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drawings/drawing3.xml" ContentType="application/vnd.openxmlformats-officedocument.drawing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drawings/drawing4.xml" ContentType="application/vnd.openxmlformats-officedocument.drawing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drawings/drawing5.xml" ContentType="application/vnd.openxmlformats-officedocument.drawing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drawings/drawing6.xml" ContentType="application/vnd.openxmlformats-officedocument.drawing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drawings/drawing7.xml" ContentType="application/vnd.openxmlformats-officedocument.drawing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drawings/drawing8.xml" ContentType="application/vnd.openxmlformats-officedocument.drawing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drawings/drawing9.xml" ContentType="application/vnd.openxmlformats-officedocument.drawing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drawings/drawing10.xml" ContentType="application/vnd.openxmlformats-officedocument.drawing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drawings/drawing11.xml" ContentType="application/vnd.openxmlformats-officedocument.drawing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drawings/drawing12.xml" ContentType="application/vnd.openxmlformats-officedocument.drawing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drawings/drawing13.xml" ContentType="application/vnd.openxmlformats-officedocument.drawing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drawings/drawing14.xml" ContentType="application/vnd.openxmlformats-officedocument.drawing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drawings/drawing15.xml" ContentType="application/vnd.openxmlformats-officedocument.drawing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drawings/drawing16.xml" ContentType="application/vnd.openxmlformats-officedocument.drawing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drawings/drawing17.xml" ContentType="application/vnd.openxmlformats-officedocument.drawing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drawings/drawing18.xml" ContentType="application/vnd.openxmlformats-officedocument.drawing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drawings/drawing19.xml" ContentType="application/vnd.openxmlformats-officedocument.drawing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drawings/drawing20.xml" ContentType="application/vnd.openxmlformats-officedocument.drawing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drawings/drawing21.xml" ContentType="application/vnd.openxmlformats-officedocument.drawing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drawings/drawing22.xml" ContentType="application/vnd.openxmlformats-officedocument.drawing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drawings/drawing23.xml" ContentType="application/vnd.openxmlformats-officedocument.drawing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drawings/drawing24.xml" ContentType="application/vnd.openxmlformats-officedocument.drawing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785" yWindow="0" windowWidth="10815" windowHeight="10125" tabRatio="954" firstSheet="6" activeTab="8"/>
  </bookViews>
  <sheets>
    <sheet name="AAA" sheetId="1" state="hidden" r:id="rId1"/>
    <sheet name="RECAP" sheetId="23" r:id="rId2"/>
    <sheet name="BOOS" sheetId="26" r:id="rId3"/>
    <sheet name="COUSIN-SCHMITT" sheetId="31" r:id="rId4"/>
    <sheet name="DELETRE" sheetId="8" r:id="rId5"/>
    <sheet name="FARVACQUES" sheetId="44" r:id="rId6"/>
    <sheet name="FERNANDES" sheetId="41" r:id="rId7"/>
    <sheet name="FISCHBACH-SCHMITT" sheetId="45" r:id="rId8"/>
    <sheet name="FREYMANN" sheetId="30" r:id="rId9"/>
    <sheet name="FUGER" sheetId="34" r:id="rId10"/>
    <sheet name="GAESSLER" sheetId="13" r:id="rId11"/>
    <sheet name="GEISLER" sheetId="47" r:id="rId12"/>
    <sheet name="GITZINGER" sheetId="29" r:id="rId13"/>
    <sheet name="LICKEL" sheetId="35" r:id="rId14"/>
    <sheet name="LEHMANN" sheetId="33" r:id="rId15"/>
    <sheet name="MADER" sheetId="39" r:id="rId16"/>
    <sheet name="RAMELET-NGUYEN" sheetId="48" r:id="rId17"/>
    <sheet name="SCHMITT-THOMAS" sheetId="46" r:id="rId18"/>
    <sheet name="THOMAS-LACOMB" sheetId="40" r:id="rId19"/>
    <sheet name="THOMAS-MATHIS" sheetId="36" r:id="rId20"/>
    <sheet name="WEBER" sheetId="43" r:id="rId21"/>
    <sheet name="WEIGEL-BIVER" sheetId="38" r:id="rId22"/>
    <sheet name="WINE" sheetId="37" r:id="rId23"/>
    <sheet name="WINTERSTEIN" sheetId="32" r:id="rId24"/>
    <sheet name="LISTE" sheetId="2" state="hidden" r:id="rId25"/>
  </sheets>
  <definedNames>
    <definedName name="Avancement">LISTE!$B$2:$B$6</definedName>
    <definedName name="Commercial">LISTE!$B$48:$B$50</definedName>
    <definedName name="Entreprises">LISTE!$B$8:$B$45</definedName>
    <definedName name="listemail">RECAP!$D$7</definedName>
    <definedName name="mail">LISTE!$D$9:$D$45</definedName>
    <definedName name="_xlnm.Print_Area" localSheetId="0">AAA!$A$1:$I$65</definedName>
    <definedName name="_xlnm.Print_Area" localSheetId="2">BOOS!$A$1:$I$60</definedName>
    <definedName name="_xlnm.Print_Area" localSheetId="3">'COUSIN-SCHMITT'!$A$1:$I$60</definedName>
    <definedName name="_xlnm.Print_Area" localSheetId="4">DELETRE!$A$1:$I$60</definedName>
    <definedName name="_xlnm.Print_Area" localSheetId="5">FARVACQUES!$A$1:$I$60</definedName>
    <definedName name="_xlnm.Print_Area" localSheetId="6">FERNANDES!$A$1:$I$60</definedName>
    <definedName name="_xlnm.Print_Area" localSheetId="7">'FISCHBACH-SCHMITT'!$A$1:$I$60</definedName>
    <definedName name="_xlnm.Print_Area" localSheetId="8">FREYMANN!$A$1:$I$60</definedName>
    <definedName name="_xlnm.Print_Area" localSheetId="9">FUGER!$A$1:$I$60</definedName>
    <definedName name="_xlnm.Print_Area" localSheetId="10">GAESSLER!$A$1:$I$60</definedName>
    <definedName name="_xlnm.Print_Area" localSheetId="11">GEISLER!$A$1:$I$60</definedName>
    <definedName name="_xlnm.Print_Area" localSheetId="12">GITZINGER!$A$1:$I$60</definedName>
    <definedName name="_xlnm.Print_Area" localSheetId="14">LEHMANN!$A$1:$I$60</definedName>
    <definedName name="_xlnm.Print_Area" localSheetId="13">LICKEL!$A$1:$I$60</definedName>
    <definedName name="_xlnm.Print_Area" localSheetId="15">MADER!$A$1:$I$60</definedName>
    <definedName name="_xlnm.Print_Area" localSheetId="16">'RAMELET-NGUYEN'!$A$1:$I$63</definedName>
    <definedName name="_xlnm.Print_Area" localSheetId="1">RECAP!$A$1:$F$1304</definedName>
    <definedName name="_xlnm.Print_Area" localSheetId="17">'SCHMITT-THOMAS'!$A$1:$I$60</definedName>
    <definedName name="_xlnm.Print_Area" localSheetId="18">'THOMAS-LACOMB'!$A$1:$I$60</definedName>
    <definedName name="_xlnm.Print_Area" localSheetId="19">'THOMAS-MATHIS'!$A$1:$I$60</definedName>
    <definedName name="_xlnm.Print_Area" localSheetId="20">WEBER!$A$1:$I$60</definedName>
    <definedName name="_xlnm.Print_Area" localSheetId="21">'WEIGEL-BIVER'!$A$1:$I$60</definedName>
    <definedName name="_xlnm.Print_Area" localSheetId="22">WINE!$A$1:$I$60</definedName>
    <definedName name="_xlnm.Print_Area" localSheetId="23">WINTERSTEIN!$A$1:$I$60</definedName>
  </definedNames>
  <calcPr calcId="145621"/>
</workbook>
</file>

<file path=xl/calcChain.xml><?xml version="1.0" encoding="utf-8"?>
<calcChain xmlns="http://schemas.openxmlformats.org/spreadsheetml/2006/main">
  <c r="B25" i="30" l="1"/>
  <c r="B19" i="46" l="1"/>
  <c r="B19" i="47"/>
  <c r="B17" i="40"/>
  <c r="B17" i="41"/>
  <c r="B16" i="40"/>
  <c r="B199" i="23" l="1"/>
  <c r="B166" i="23"/>
  <c r="B10" i="45" l="1"/>
  <c r="B10" i="40"/>
  <c r="B10" i="41"/>
  <c r="B26" i="29" l="1"/>
  <c r="B16" i="39"/>
  <c r="B16" i="41"/>
  <c r="B14" i="40"/>
  <c r="H3" i="1" l="1"/>
  <c r="B43" i="1"/>
  <c r="D43" i="1"/>
  <c r="H3" i="32"/>
  <c r="H3" i="37"/>
  <c r="H3" i="38"/>
  <c r="H3" i="43"/>
  <c r="H3" i="36"/>
  <c r="H3" i="40"/>
  <c r="H3" i="46"/>
  <c r="H3" i="39"/>
  <c r="H3" i="33"/>
  <c r="H3" i="35"/>
  <c r="H3" i="29"/>
  <c r="H3" i="47"/>
  <c r="H3" i="13"/>
  <c r="H3" i="34"/>
  <c r="H3" i="30"/>
  <c r="H3" i="45"/>
  <c r="H3" i="41"/>
  <c r="H3" i="44"/>
  <c r="H3" i="8"/>
  <c r="H3" i="31"/>
  <c r="H3" i="26"/>
  <c r="H3" i="48" l="1"/>
  <c r="H54" i="48"/>
  <c r="D50" i="48"/>
  <c r="B47" i="48"/>
  <c r="B43" i="48"/>
  <c r="D42" i="48"/>
  <c r="D39" i="48"/>
  <c r="D38" i="48"/>
  <c r="D37" i="48"/>
  <c r="B36" i="48"/>
  <c r="B34" i="48"/>
  <c r="B32" i="48"/>
  <c r="D31" i="48"/>
  <c r="B30" i="48"/>
  <c r="B29" i="48"/>
  <c r="B25" i="48"/>
  <c r="D24" i="48"/>
  <c r="B23" i="48"/>
  <c r="B21" i="48"/>
  <c r="B20" i="48"/>
  <c r="B18" i="48"/>
  <c r="D11" i="48"/>
  <c r="D14" i="48" s="1"/>
  <c r="D9" i="48"/>
  <c r="D12" i="48" s="1"/>
  <c r="B8" i="48"/>
  <c r="E4" i="48"/>
  <c r="C2" i="48"/>
  <c r="H56" i="1"/>
  <c r="B8" i="1"/>
  <c r="D24" i="1"/>
  <c r="D9" i="1"/>
  <c r="D12" i="1" s="1"/>
  <c r="D11" i="1"/>
  <c r="D14" i="1" s="1"/>
  <c r="D10" i="48" l="1"/>
  <c r="D10" i="1"/>
  <c r="D13" i="1" s="1"/>
  <c r="B14" i="41"/>
  <c r="D19" i="48" l="1"/>
  <c r="D13" i="48"/>
  <c r="B10" i="39"/>
  <c r="B27" i="47" l="1"/>
  <c r="B17" i="37" l="1"/>
  <c r="B14" i="39"/>
  <c r="D46" i="47" l="1"/>
  <c r="D44" i="47" s="1"/>
  <c r="B43" i="47"/>
  <c r="B39" i="47"/>
  <c r="D38" i="47"/>
  <c r="D35" i="47"/>
  <c r="D34" i="47"/>
  <c r="D33" i="47"/>
  <c r="B32" i="47"/>
  <c r="B30" i="47"/>
  <c r="B28" i="47"/>
  <c r="D27" i="47"/>
  <c r="B26" i="47"/>
  <c r="B25" i="47"/>
  <c r="B21" i="47"/>
  <c r="D20" i="47"/>
  <c r="B17" i="47"/>
  <c r="B16" i="47"/>
  <c r="D15" i="47"/>
  <c r="B14" i="47"/>
  <c r="B10" i="47"/>
  <c r="D9" i="47"/>
  <c r="E4" i="47"/>
  <c r="C2" i="47"/>
  <c r="B26" i="36" l="1"/>
  <c r="B17" i="35"/>
  <c r="B16" i="35"/>
  <c r="B25" i="34"/>
  <c r="B25" i="45" l="1"/>
  <c r="E29" i="34"/>
  <c r="B14" i="35" l="1"/>
  <c r="B19" i="38"/>
  <c r="B10" i="38"/>
  <c r="B10" i="43"/>
  <c r="B156" i="23" l="1"/>
  <c r="B256" i="23" l="1"/>
  <c r="B301" i="23" s="1"/>
  <c r="B346" i="23" s="1"/>
  <c r="B391" i="23" s="1"/>
  <c r="B436" i="23" s="1"/>
  <c r="B481" i="23" s="1"/>
  <c r="B526" i="23" s="1"/>
  <c r="B571" i="23" s="1"/>
  <c r="B616" i="23" s="1"/>
  <c r="B661" i="23" s="1"/>
  <c r="B706" i="23" s="1"/>
  <c r="B751" i="23" s="1"/>
  <c r="B796" i="23" s="1"/>
  <c r="B841" i="23" s="1"/>
  <c r="B886" i="23" s="1"/>
  <c r="B931" i="23" s="1"/>
  <c r="B976" i="23" s="1"/>
  <c r="B1021" i="23" s="1"/>
  <c r="B1066" i="23" s="1"/>
  <c r="B1111" i="23" s="1"/>
  <c r="B1156" i="23" s="1"/>
  <c r="B1201" i="23" s="1"/>
  <c r="B1246" i="23" s="1"/>
  <c r="B1291" i="23" s="1"/>
  <c r="B122" i="23"/>
  <c r="B77" i="23"/>
  <c r="B25" i="31" l="1"/>
  <c r="B10" i="26"/>
  <c r="D51" i="1" l="1"/>
  <c r="B48" i="1"/>
  <c r="B44" i="1"/>
  <c r="B36" i="1"/>
  <c r="B34" i="1"/>
  <c r="B32" i="1"/>
  <c r="B30" i="1"/>
  <c r="B29" i="1"/>
  <c r="B25" i="1"/>
  <c r="B23" i="1"/>
  <c r="B21" i="1"/>
  <c r="B20" i="1"/>
  <c r="B18" i="1"/>
  <c r="D38" i="46" l="1"/>
  <c r="D35" i="46"/>
  <c r="D34" i="46"/>
  <c r="D33" i="46"/>
  <c r="D27" i="46"/>
  <c r="D20" i="46"/>
  <c r="D15" i="46"/>
  <c r="E10" i="46"/>
  <c r="E11" i="46" s="1"/>
  <c r="E12" i="46" s="1"/>
  <c r="E13" i="46" s="1"/>
  <c r="E15" i="46" s="1"/>
  <c r="E16" i="46" s="1"/>
  <c r="D9" i="46"/>
  <c r="E8" i="46"/>
  <c r="E4" i="46"/>
  <c r="C2" i="46"/>
  <c r="D42" i="1"/>
  <c r="D38" i="45"/>
  <c r="D35" i="45"/>
  <c r="D34" i="45"/>
  <c r="D33" i="45"/>
  <c r="D27" i="45"/>
  <c r="D20" i="45"/>
  <c r="D15" i="45"/>
  <c r="E10" i="45"/>
  <c r="E11" i="45" s="1"/>
  <c r="E12" i="45" s="1"/>
  <c r="E14" i="45" s="1"/>
  <c r="E15" i="45" s="1"/>
  <c r="E16" i="45" s="1"/>
  <c r="D9" i="45"/>
  <c r="E8" i="45"/>
  <c r="E4" i="45"/>
  <c r="C2" i="45"/>
  <c r="E18" i="46" l="1"/>
  <c r="E20" i="46"/>
  <c r="E19" i="46"/>
  <c r="E17" i="46"/>
  <c r="E20" i="45"/>
  <c r="E19" i="45"/>
  <c r="E17" i="45"/>
  <c r="E18" i="45"/>
  <c r="B190" i="23"/>
  <c r="B191" i="23"/>
  <c r="B192" i="23"/>
  <c r="B193" i="23"/>
  <c r="B194" i="23"/>
  <c r="B195" i="23"/>
  <c r="B196" i="23"/>
  <c r="B197" i="23"/>
  <c r="B198" i="23"/>
  <c r="B200" i="23"/>
  <c r="B201" i="23"/>
  <c r="B202" i="23"/>
  <c r="B203" i="23"/>
  <c r="B204" i="23"/>
  <c r="B205" i="23"/>
  <c r="B206" i="23"/>
  <c r="B207" i="23"/>
  <c r="B208" i="23"/>
  <c r="B209" i="23"/>
  <c r="B210" i="23"/>
  <c r="B189" i="23"/>
  <c r="B158" i="23"/>
  <c r="B159" i="23"/>
  <c r="B160" i="23"/>
  <c r="B161" i="23"/>
  <c r="B162" i="23"/>
  <c r="B163" i="23"/>
  <c r="B164" i="23"/>
  <c r="B165" i="23"/>
  <c r="B157" i="23"/>
  <c r="B147" i="23"/>
  <c r="B148" i="23"/>
  <c r="E27" i="36"/>
  <c r="E21" i="46" l="1"/>
  <c r="E25" i="46"/>
  <c r="E26" i="46" s="1"/>
  <c r="E25" i="45"/>
  <c r="E26" i="45" s="1"/>
  <c r="E21" i="45"/>
  <c r="A46" i="43"/>
  <c r="B10" i="33"/>
  <c r="E27" i="46" l="1"/>
  <c r="E28" i="46"/>
  <c r="E28" i="45"/>
  <c r="E27" i="45"/>
  <c r="B25" i="43"/>
  <c r="E43" i="46" l="1"/>
  <c r="E29" i="46"/>
  <c r="E30" i="46"/>
  <c r="E32" i="46" s="1"/>
  <c r="E43" i="45"/>
  <c r="E30" i="45"/>
  <c r="E32" i="45" s="1"/>
  <c r="E29" i="45"/>
  <c r="D35" i="44"/>
  <c r="D34" i="44"/>
  <c r="D33" i="44"/>
  <c r="D27" i="44"/>
  <c r="D20" i="44"/>
  <c r="D15" i="44"/>
  <c r="E10" i="44"/>
  <c r="E11" i="44" s="1"/>
  <c r="E12" i="44" s="1"/>
  <c r="E13" i="44" s="1"/>
  <c r="E14" i="44" s="1"/>
  <c r="E15" i="44" s="1"/>
  <c r="E16" i="44" s="1"/>
  <c r="D9" i="44"/>
  <c r="E8" i="44"/>
  <c r="E4" i="44"/>
  <c r="C2" i="44"/>
  <c r="E33" i="46" l="1"/>
  <c r="E36" i="46"/>
  <c r="E46" i="46"/>
  <c r="E44" i="46"/>
  <c r="E45" i="46"/>
  <c r="E36" i="45"/>
  <c r="E33" i="45"/>
  <c r="E46" i="45"/>
  <c r="E44" i="45"/>
  <c r="E45" i="45"/>
  <c r="E20" i="44"/>
  <c r="E19" i="44"/>
  <c r="E17" i="44"/>
  <c r="E18" i="44"/>
  <c r="B10" i="37"/>
  <c r="B30" i="41"/>
  <c r="B26" i="41"/>
  <c r="B25" i="41"/>
  <c r="B19" i="41"/>
  <c r="B19" i="29"/>
  <c r="E35" i="46" l="1"/>
  <c r="E37" i="46" s="1"/>
  <c r="E38" i="46" s="1"/>
  <c r="E39" i="46" s="1"/>
  <c r="E34" i="46"/>
  <c r="E35" i="45"/>
  <c r="E37" i="45" s="1"/>
  <c r="E38" i="45" s="1"/>
  <c r="E39" i="45" s="1"/>
  <c r="E34" i="45"/>
  <c r="E25" i="44"/>
  <c r="E26" i="44" s="1"/>
  <c r="E21" i="44"/>
  <c r="B14" i="37"/>
  <c r="B10" i="29"/>
  <c r="E28" i="44" l="1"/>
  <c r="E27" i="44"/>
  <c r="D35" i="43"/>
  <c r="D34" i="43"/>
  <c r="D33" i="43"/>
  <c r="D27" i="43"/>
  <c r="D20" i="43"/>
  <c r="D15" i="43"/>
  <c r="E10" i="43"/>
  <c r="E11" i="43" s="1"/>
  <c r="E12" i="43" s="1"/>
  <c r="E13" i="43" s="1"/>
  <c r="E14" i="43" s="1"/>
  <c r="E15" i="43" s="1"/>
  <c r="E16" i="43" s="1"/>
  <c r="E8" i="43"/>
  <c r="E4" i="43"/>
  <c r="C2" i="43"/>
  <c r="E43" i="44" l="1"/>
  <c r="E30" i="44"/>
  <c r="E32" i="44" s="1"/>
  <c r="E29" i="44"/>
  <c r="E20" i="43"/>
  <c r="E17" i="43"/>
  <c r="E18" i="43"/>
  <c r="E36" i="44" l="1"/>
  <c r="E33" i="44"/>
  <c r="E46" i="44"/>
  <c r="E44" i="44"/>
  <c r="E45" i="44"/>
  <c r="E25" i="43"/>
  <c r="E26" i="43" s="1"/>
  <c r="E21" i="43"/>
  <c r="B145" i="23"/>
  <c r="B146" i="23"/>
  <c r="B149" i="23"/>
  <c r="B150" i="23"/>
  <c r="B151" i="23"/>
  <c r="B152" i="23"/>
  <c r="B153" i="23"/>
  <c r="B154" i="23"/>
  <c r="B155" i="23"/>
  <c r="B100" i="23"/>
  <c r="B101" i="23"/>
  <c r="B102" i="23"/>
  <c r="B103" i="23"/>
  <c r="B104" i="23"/>
  <c r="B105" i="23"/>
  <c r="B106" i="23"/>
  <c r="B107" i="23"/>
  <c r="B108" i="23"/>
  <c r="B109" i="23"/>
  <c r="B110" i="23"/>
  <c r="B111" i="23"/>
  <c r="B112" i="23"/>
  <c r="B113" i="23"/>
  <c r="B114" i="23"/>
  <c r="B115" i="23"/>
  <c r="B116" i="23"/>
  <c r="B117" i="23"/>
  <c r="B118" i="23"/>
  <c r="B119" i="23"/>
  <c r="B120" i="23"/>
  <c r="B121" i="23"/>
  <c r="B26" i="33"/>
  <c r="E35" i="44" l="1"/>
  <c r="E37" i="44" s="1"/>
  <c r="E38" i="44" s="1"/>
  <c r="E39" i="44" s="1"/>
  <c r="E34" i="44"/>
  <c r="E28" i="43"/>
  <c r="E27" i="43"/>
  <c r="B25" i="40"/>
  <c r="B19" i="40"/>
  <c r="B10" i="35"/>
  <c r="E43" i="43" l="1"/>
  <c r="E30" i="43"/>
  <c r="E32" i="43" s="1"/>
  <c r="E29" i="43"/>
  <c r="E36" i="43" l="1"/>
  <c r="E33" i="43"/>
  <c r="E46" i="43"/>
  <c r="E44" i="43"/>
  <c r="E45" i="43"/>
  <c r="B10" i="34"/>
  <c r="E35" i="43" l="1"/>
  <c r="E37" i="43" s="1"/>
  <c r="E38" i="43" s="1"/>
  <c r="E39" i="43" s="1"/>
  <c r="E34" i="43"/>
  <c r="B26" i="32"/>
  <c r="B25" i="29" l="1"/>
  <c r="D9" i="39" l="1"/>
  <c r="D35" i="41"/>
  <c r="D34" i="41"/>
  <c r="D33" i="41"/>
  <c r="D27" i="41"/>
  <c r="D20" i="41"/>
  <c r="D15" i="41"/>
  <c r="E10" i="41"/>
  <c r="E11" i="41" s="1"/>
  <c r="E12" i="41" s="1"/>
  <c r="E13" i="41" s="1"/>
  <c r="E14" i="41" s="1"/>
  <c r="E15" i="41" s="1"/>
  <c r="E16" i="41" s="1"/>
  <c r="E8" i="41"/>
  <c r="E4" i="41"/>
  <c r="C2" i="41"/>
  <c r="D68" i="40"/>
  <c r="D35" i="40"/>
  <c r="D34" i="40"/>
  <c r="D33" i="40"/>
  <c r="D27" i="40"/>
  <c r="D20" i="40"/>
  <c r="E10" i="40"/>
  <c r="E11" i="40" s="1"/>
  <c r="E12" i="40" s="1"/>
  <c r="E13" i="40" s="1"/>
  <c r="E14" i="40" s="1"/>
  <c r="E15" i="40" s="1"/>
  <c r="E16" i="40" s="1"/>
  <c r="E17" i="40" s="1"/>
  <c r="D9" i="40"/>
  <c r="E8" i="40"/>
  <c r="E4" i="40"/>
  <c r="C2" i="40"/>
  <c r="D35" i="39"/>
  <c r="D34" i="39"/>
  <c r="D33" i="39"/>
  <c r="D27" i="39"/>
  <c r="D20" i="39"/>
  <c r="D15" i="39"/>
  <c r="E10" i="39"/>
  <c r="E11" i="39" s="1"/>
  <c r="E12" i="39" s="1"/>
  <c r="E8" i="39"/>
  <c r="E4" i="39"/>
  <c r="C2" i="39"/>
  <c r="B43" i="37"/>
  <c r="E13" i="39" l="1"/>
  <c r="E15" i="39" s="1"/>
  <c r="E16" i="39" s="1"/>
  <c r="E18" i="41"/>
  <c r="E20" i="41"/>
  <c r="E17" i="41"/>
  <c r="E18" i="40"/>
  <c r="E20" i="40"/>
  <c r="E17" i="39" l="1"/>
  <c r="E20" i="39"/>
  <c r="E21" i="41"/>
  <c r="E25" i="41"/>
  <c r="E26" i="41" s="1"/>
  <c r="E21" i="40"/>
  <c r="E25" i="40"/>
  <c r="E26" i="40" s="1"/>
  <c r="B26" i="31"/>
  <c r="B25" i="32"/>
  <c r="B25" i="33"/>
  <c r="B16" i="34"/>
  <c r="E25" i="39" l="1"/>
  <c r="E26" i="39" s="1"/>
  <c r="E27" i="39" s="1"/>
  <c r="E27" i="41"/>
  <c r="E28" i="41"/>
  <c r="E27" i="40"/>
  <c r="E28" i="40"/>
  <c r="B14" i="36"/>
  <c r="B16" i="33"/>
  <c r="B14" i="34"/>
  <c r="E28" i="39" l="1"/>
  <c r="E30" i="39" s="1"/>
  <c r="E32" i="39" s="1"/>
  <c r="E29" i="41"/>
  <c r="E43" i="41"/>
  <c r="E30" i="41"/>
  <c r="E32" i="41" s="1"/>
  <c r="E29" i="40"/>
  <c r="E43" i="40"/>
  <c r="E30" i="40"/>
  <c r="E32" i="40" s="1"/>
  <c r="D35" i="38"/>
  <c r="D34" i="38"/>
  <c r="D33" i="38"/>
  <c r="D27" i="38"/>
  <c r="D20" i="38"/>
  <c r="E11" i="38"/>
  <c r="E12" i="38" s="1"/>
  <c r="E13" i="38" s="1"/>
  <c r="D9" i="38"/>
  <c r="E8" i="38"/>
  <c r="E4" i="38"/>
  <c r="C2" i="38"/>
  <c r="E43" i="39" l="1"/>
  <c r="E46" i="39" s="1"/>
  <c r="E29" i="39"/>
  <c r="E45" i="41"/>
  <c r="E46" i="41"/>
  <c r="E44" i="41"/>
  <c r="E33" i="41"/>
  <c r="E36" i="41"/>
  <c r="E45" i="40"/>
  <c r="E46" i="40"/>
  <c r="E44" i="40"/>
  <c r="E33" i="40"/>
  <c r="E36" i="40"/>
  <c r="E45" i="39"/>
  <c r="E33" i="39"/>
  <c r="E36" i="39"/>
  <c r="E20" i="38"/>
  <c r="B10" i="32"/>
  <c r="B56" i="23"/>
  <c r="B235" i="23" s="1"/>
  <c r="B280" i="23" s="1"/>
  <c r="B325" i="23" s="1"/>
  <c r="B370" i="23" s="1"/>
  <c r="B415" i="23" s="1"/>
  <c r="B460" i="23" s="1"/>
  <c r="B505" i="23" s="1"/>
  <c r="B550" i="23" s="1"/>
  <c r="B595" i="23" s="1"/>
  <c r="B640" i="23" s="1"/>
  <c r="B685" i="23" s="1"/>
  <c r="B730" i="23" s="1"/>
  <c r="B775" i="23" s="1"/>
  <c r="B820" i="23" s="1"/>
  <c r="B865" i="23" s="1"/>
  <c r="B910" i="23" s="1"/>
  <c r="B955" i="23" s="1"/>
  <c r="B1000" i="23" s="1"/>
  <c r="B1045" i="23" s="1"/>
  <c r="B1090" i="23" s="1"/>
  <c r="B1135" i="23" s="1"/>
  <c r="B1180" i="23" s="1"/>
  <c r="B1225" i="23" s="1"/>
  <c r="B1270" i="23" s="1"/>
  <c r="B57" i="23"/>
  <c r="B236" i="23" s="1"/>
  <c r="B281" i="23" s="1"/>
  <c r="B326" i="23" s="1"/>
  <c r="B371" i="23" s="1"/>
  <c r="B416" i="23" s="1"/>
  <c r="B461" i="23" s="1"/>
  <c r="B506" i="23" s="1"/>
  <c r="B551" i="23" s="1"/>
  <c r="B596" i="23" s="1"/>
  <c r="B641" i="23" s="1"/>
  <c r="B686" i="23" s="1"/>
  <c r="B731" i="23" s="1"/>
  <c r="B776" i="23" s="1"/>
  <c r="B821" i="23" s="1"/>
  <c r="B866" i="23" s="1"/>
  <c r="B911" i="23" s="1"/>
  <c r="B956" i="23" s="1"/>
  <c r="B1001" i="23" s="1"/>
  <c r="B1046" i="23" s="1"/>
  <c r="B1091" i="23" s="1"/>
  <c r="B1136" i="23" s="1"/>
  <c r="B1181" i="23" s="1"/>
  <c r="B1226" i="23" s="1"/>
  <c r="B1271" i="23" s="1"/>
  <c r="B58" i="23"/>
  <c r="B237" i="23" s="1"/>
  <c r="B282" i="23" s="1"/>
  <c r="B327" i="23" s="1"/>
  <c r="B372" i="23" s="1"/>
  <c r="B417" i="23" s="1"/>
  <c r="B462" i="23" s="1"/>
  <c r="B507" i="23" s="1"/>
  <c r="B552" i="23" s="1"/>
  <c r="B597" i="23" s="1"/>
  <c r="B642" i="23" s="1"/>
  <c r="B687" i="23" s="1"/>
  <c r="B732" i="23" s="1"/>
  <c r="B777" i="23" s="1"/>
  <c r="B822" i="23" s="1"/>
  <c r="B867" i="23" s="1"/>
  <c r="B912" i="23" s="1"/>
  <c r="B957" i="23" s="1"/>
  <c r="B1002" i="23" s="1"/>
  <c r="B1047" i="23" s="1"/>
  <c r="B1092" i="23" s="1"/>
  <c r="B1137" i="23" s="1"/>
  <c r="B1182" i="23" s="1"/>
  <c r="B1227" i="23" s="1"/>
  <c r="B1272" i="23" s="1"/>
  <c r="B59" i="23"/>
  <c r="B238" i="23" s="1"/>
  <c r="B283" i="23" s="1"/>
  <c r="B328" i="23" s="1"/>
  <c r="B373" i="23" s="1"/>
  <c r="B418" i="23" s="1"/>
  <c r="B463" i="23" s="1"/>
  <c r="B508" i="23" s="1"/>
  <c r="B553" i="23" s="1"/>
  <c r="B598" i="23" s="1"/>
  <c r="B643" i="23" s="1"/>
  <c r="B688" i="23" s="1"/>
  <c r="B733" i="23" s="1"/>
  <c r="B778" i="23" s="1"/>
  <c r="B823" i="23" s="1"/>
  <c r="B868" i="23" s="1"/>
  <c r="B913" i="23" s="1"/>
  <c r="B958" i="23" s="1"/>
  <c r="B1003" i="23" s="1"/>
  <c r="B1048" i="23" s="1"/>
  <c r="B1093" i="23" s="1"/>
  <c r="B1138" i="23" s="1"/>
  <c r="B1183" i="23" s="1"/>
  <c r="B1228" i="23" s="1"/>
  <c r="B1273" i="23" s="1"/>
  <c r="B60" i="23"/>
  <c r="B239" i="23" s="1"/>
  <c r="B284" i="23" s="1"/>
  <c r="B329" i="23" s="1"/>
  <c r="B374" i="23" s="1"/>
  <c r="B61" i="23"/>
  <c r="B240" i="23" s="1"/>
  <c r="B285" i="23" s="1"/>
  <c r="B330" i="23" s="1"/>
  <c r="B375" i="23" s="1"/>
  <c r="B420" i="23" s="1"/>
  <c r="B465" i="23" s="1"/>
  <c r="B510" i="23" s="1"/>
  <c r="B555" i="23" s="1"/>
  <c r="B600" i="23" s="1"/>
  <c r="B645" i="23" s="1"/>
  <c r="B690" i="23" s="1"/>
  <c r="B735" i="23" s="1"/>
  <c r="B780" i="23" s="1"/>
  <c r="B825" i="23" s="1"/>
  <c r="B870" i="23" s="1"/>
  <c r="B915" i="23" s="1"/>
  <c r="B960" i="23" s="1"/>
  <c r="B1005" i="23" s="1"/>
  <c r="B1050" i="23" s="1"/>
  <c r="B1095" i="23" s="1"/>
  <c r="B1140" i="23" s="1"/>
  <c r="B1185" i="23" s="1"/>
  <c r="B1230" i="23" s="1"/>
  <c r="B1275" i="23" s="1"/>
  <c r="B62" i="23"/>
  <c r="B241" i="23" s="1"/>
  <c r="B286" i="23" s="1"/>
  <c r="B331" i="23" s="1"/>
  <c r="B376" i="23" s="1"/>
  <c r="B421" i="23" s="1"/>
  <c r="B466" i="23" s="1"/>
  <c r="B511" i="23" s="1"/>
  <c r="B556" i="23" s="1"/>
  <c r="B601" i="23" s="1"/>
  <c r="B646" i="23" s="1"/>
  <c r="B691" i="23" s="1"/>
  <c r="B736" i="23" s="1"/>
  <c r="B781" i="23" s="1"/>
  <c r="B826" i="23" s="1"/>
  <c r="B871" i="23" s="1"/>
  <c r="B916" i="23" s="1"/>
  <c r="B961" i="23" s="1"/>
  <c r="B1006" i="23" s="1"/>
  <c r="B1051" i="23" s="1"/>
  <c r="B1096" i="23" s="1"/>
  <c r="B1141" i="23" s="1"/>
  <c r="B1186" i="23" s="1"/>
  <c r="B1231" i="23" s="1"/>
  <c r="B1276" i="23" s="1"/>
  <c r="B63" i="23"/>
  <c r="B242" i="23" s="1"/>
  <c r="B287" i="23" s="1"/>
  <c r="B332" i="23" s="1"/>
  <c r="B377" i="23" s="1"/>
  <c r="B422" i="23" s="1"/>
  <c r="B467" i="23" s="1"/>
  <c r="B512" i="23" s="1"/>
  <c r="B557" i="23" s="1"/>
  <c r="B602" i="23" s="1"/>
  <c r="B647" i="23" s="1"/>
  <c r="B692" i="23" s="1"/>
  <c r="B737" i="23" s="1"/>
  <c r="B782" i="23" s="1"/>
  <c r="B827" i="23" s="1"/>
  <c r="B872" i="23" s="1"/>
  <c r="B917" i="23" s="1"/>
  <c r="B962" i="23" s="1"/>
  <c r="B1007" i="23" s="1"/>
  <c r="B1052" i="23" s="1"/>
  <c r="B1097" i="23" s="1"/>
  <c r="B1142" i="23" s="1"/>
  <c r="B1187" i="23" s="1"/>
  <c r="B1232" i="23" s="1"/>
  <c r="B1277" i="23" s="1"/>
  <c r="B64" i="23"/>
  <c r="B243" i="23" s="1"/>
  <c r="B288" i="23" s="1"/>
  <c r="B333" i="23" s="1"/>
  <c r="B378" i="23" s="1"/>
  <c r="B423" i="23" s="1"/>
  <c r="B468" i="23" s="1"/>
  <c r="B513" i="23" s="1"/>
  <c r="B558" i="23" s="1"/>
  <c r="B603" i="23" s="1"/>
  <c r="B648" i="23" s="1"/>
  <c r="B693" i="23" s="1"/>
  <c r="B738" i="23" s="1"/>
  <c r="B783" i="23" s="1"/>
  <c r="B828" i="23" s="1"/>
  <c r="B873" i="23" s="1"/>
  <c r="B918" i="23" s="1"/>
  <c r="B963" i="23" s="1"/>
  <c r="B1008" i="23" s="1"/>
  <c r="B1053" i="23" s="1"/>
  <c r="B1098" i="23" s="1"/>
  <c r="B1143" i="23" s="1"/>
  <c r="B1188" i="23" s="1"/>
  <c r="B1233" i="23" s="1"/>
  <c r="B1278" i="23" s="1"/>
  <c r="B65" i="23"/>
  <c r="B244" i="23" s="1"/>
  <c r="B289" i="23" s="1"/>
  <c r="B334" i="23" s="1"/>
  <c r="B379" i="23" s="1"/>
  <c r="B424" i="23" s="1"/>
  <c r="B469" i="23" s="1"/>
  <c r="B514" i="23" s="1"/>
  <c r="B559" i="23" s="1"/>
  <c r="B604" i="23" s="1"/>
  <c r="B649" i="23" s="1"/>
  <c r="B694" i="23" s="1"/>
  <c r="B739" i="23" s="1"/>
  <c r="B784" i="23" s="1"/>
  <c r="B829" i="23" s="1"/>
  <c r="B874" i="23" s="1"/>
  <c r="B919" i="23" s="1"/>
  <c r="B964" i="23" s="1"/>
  <c r="B1009" i="23" s="1"/>
  <c r="B1054" i="23" s="1"/>
  <c r="B1099" i="23" s="1"/>
  <c r="B1144" i="23" s="1"/>
  <c r="B1189" i="23" s="1"/>
  <c r="B1234" i="23" s="1"/>
  <c r="B1279" i="23" s="1"/>
  <c r="B66" i="23"/>
  <c r="B67" i="23"/>
  <c r="B246" i="23" s="1"/>
  <c r="B291" i="23" s="1"/>
  <c r="B336" i="23" s="1"/>
  <c r="B381" i="23" s="1"/>
  <c r="B426" i="23" s="1"/>
  <c r="B471" i="23" s="1"/>
  <c r="B516" i="23" s="1"/>
  <c r="B561" i="23" s="1"/>
  <c r="B606" i="23" s="1"/>
  <c r="B651" i="23" s="1"/>
  <c r="B696" i="23" s="1"/>
  <c r="B741" i="23" s="1"/>
  <c r="B786" i="23" s="1"/>
  <c r="B831" i="23" s="1"/>
  <c r="B876" i="23" s="1"/>
  <c r="B921" i="23" s="1"/>
  <c r="B966" i="23" s="1"/>
  <c r="B1011" i="23" s="1"/>
  <c r="B1056" i="23" s="1"/>
  <c r="B1101" i="23" s="1"/>
  <c r="B1146" i="23" s="1"/>
  <c r="B1191" i="23" s="1"/>
  <c r="B1236" i="23" s="1"/>
  <c r="B1281" i="23" s="1"/>
  <c r="B68" i="23"/>
  <c r="B247" i="23" s="1"/>
  <c r="B292" i="23" s="1"/>
  <c r="B337" i="23" s="1"/>
  <c r="B382" i="23" s="1"/>
  <c r="B427" i="23" s="1"/>
  <c r="B472" i="23" s="1"/>
  <c r="B517" i="23" s="1"/>
  <c r="B562" i="23" s="1"/>
  <c r="B607" i="23" s="1"/>
  <c r="B652" i="23" s="1"/>
  <c r="B697" i="23" s="1"/>
  <c r="B742" i="23" s="1"/>
  <c r="B787" i="23" s="1"/>
  <c r="B832" i="23" s="1"/>
  <c r="B877" i="23" s="1"/>
  <c r="B922" i="23" s="1"/>
  <c r="B967" i="23" s="1"/>
  <c r="B1012" i="23" s="1"/>
  <c r="B1057" i="23" s="1"/>
  <c r="B1102" i="23" s="1"/>
  <c r="B1147" i="23" s="1"/>
  <c r="B1192" i="23" s="1"/>
  <c r="B1237" i="23" s="1"/>
  <c r="B1282" i="23" s="1"/>
  <c r="B69" i="23"/>
  <c r="B248" i="23" s="1"/>
  <c r="B293" i="23" s="1"/>
  <c r="B338" i="23" s="1"/>
  <c r="B383" i="23" s="1"/>
  <c r="B428" i="23" s="1"/>
  <c r="B473" i="23" s="1"/>
  <c r="B518" i="23" s="1"/>
  <c r="B563" i="23" s="1"/>
  <c r="B608" i="23" s="1"/>
  <c r="B653" i="23" s="1"/>
  <c r="B698" i="23" s="1"/>
  <c r="B743" i="23" s="1"/>
  <c r="B788" i="23" s="1"/>
  <c r="B833" i="23" s="1"/>
  <c r="B878" i="23" s="1"/>
  <c r="B923" i="23" s="1"/>
  <c r="B968" i="23" s="1"/>
  <c r="B1013" i="23" s="1"/>
  <c r="B1058" i="23" s="1"/>
  <c r="B1103" i="23" s="1"/>
  <c r="B1148" i="23" s="1"/>
  <c r="B1193" i="23" s="1"/>
  <c r="B1238" i="23" s="1"/>
  <c r="B1283" i="23" s="1"/>
  <c r="B70" i="23"/>
  <c r="B249" i="23" s="1"/>
  <c r="B294" i="23" s="1"/>
  <c r="B339" i="23" s="1"/>
  <c r="B384" i="23" s="1"/>
  <c r="B429" i="23" s="1"/>
  <c r="B474" i="23" s="1"/>
  <c r="B519" i="23" s="1"/>
  <c r="B564" i="23" s="1"/>
  <c r="B609" i="23" s="1"/>
  <c r="B654" i="23" s="1"/>
  <c r="B699" i="23" s="1"/>
  <c r="B744" i="23" s="1"/>
  <c r="B789" i="23" s="1"/>
  <c r="B834" i="23" s="1"/>
  <c r="B879" i="23" s="1"/>
  <c r="B924" i="23" s="1"/>
  <c r="B969" i="23" s="1"/>
  <c r="B1014" i="23" s="1"/>
  <c r="B1059" i="23" s="1"/>
  <c r="B1104" i="23" s="1"/>
  <c r="B1149" i="23" s="1"/>
  <c r="B1194" i="23" s="1"/>
  <c r="B1239" i="23" s="1"/>
  <c r="B1284" i="23" s="1"/>
  <c r="B71" i="23"/>
  <c r="B250" i="23" s="1"/>
  <c r="B295" i="23" s="1"/>
  <c r="B340" i="23" s="1"/>
  <c r="B72" i="23"/>
  <c r="B251" i="23" s="1"/>
  <c r="B296" i="23" s="1"/>
  <c r="B341" i="23" s="1"/>
  <c r="B386" i="23" s="1"/>
  <c r="B431" i="23" s="1"/>
  <c r="B476" i="23" s="1"/>
  <c r="B521" i="23" s="1"/>
  <c r="B566" i="23" s="1"/>
  <c r="B611" i="23" s="1"/>
  <c r="B656" i="23" s="1"/>
  <c r="B701" i="23" s="1"/>
  <c r="B746" i="23" s="1"/>
  <c r="B791" i="23" s="1"/>
  <c r="B836" i="23" s="1"/>
  <c r="B881" i="23" s="1"/>
  <c r="B926" i="23" s="1"/>
  <c r="B971" i="23" s="1"/>
  <c r="B1016" i="23" s="1"/>
  <c r="B1061" i="23" s="1"/>
  <c r="B1106" i="23" s="1"/>
  <c r="B1151" i="23" s="1"/>
  <c r="B1196" i="23" s="1"/>
  <c r="B1241" i="23" s="1"/>
  <c r="B1286" i="23" s="1"/>
  <c r="B73" i="23"/>
  <c r="B252" i="23" s="1"/>
  <c r="B297" i="23" s="1"/>
  <c r="B342" i="23" s="1"/>
  <c r="B387" i="23" s="1"/>
  <c r="B432" i="23" s="1"/>
  <c r="B477" i="23" s="1"/>
  <c r="B522" i="23" s="1"/>
  <c r="B567" i="23" s="1"/>
  <c r="B612" i="23" s="1"/>
  <c r="B657" i="23" s="1"/>
  <c r="B702" i="23" s="1"/>
  <c r="B747" i="23" s="1"/>
  <c r="B792" i="23" s="1"/>
  <c r="B837" i="23" s="1"/>
  <c r="B882" i="23" s="1"/>
  <c r="B927" i="23" s="1"/>
  <c r="B972" i="23" s="1"/>
  <c r="B1017" i="23" s="1"/>
  <c r="B1062" i="23" s="1"/>
  <c r="B1107" i="23" s="1"/>
  <c r="B1152" i="23" s="1"/>
  <c r="B1197" i="23" s="1"/>
  <c r="B1242" i="23" s="1"/>
  <c r="B1287" i="23" s="1"/>
  <c r="B74" i="23"/>
  <c r="B253" i="23" s="1"/>
  <c r="B298" i="23" s="1"/>
  <c r="B343" i="23" s="1"/>
  <c r="B388" i="23" s="1"/>
  <c r="B433" i="23" s="1"/>
  <c r="B478" i="23" s="1"/>
  <c r="B523" i="23" s="1"/>
  <c r="B568" i="23" s="1"/>
  <c r="B613" i="23" s="1"/>
  <c r="B75" i="23"/>
  <c r="B254" i="23" s="1"/>
  <c r="B299" i="23" s="1"/>
  <c r="B344" i="23" s="1"/>
  <c r="B389" i="23" s="1"/>
  <c r="B434" i="23" s="1"/>
  <c r="B479" i="23" s="1"/>
  <c r="B524" i="23" s="1"/>
  <c r="B569" i="23" s="1"/>
  <c r="B614" i="23" s="1"/>
  <c r="B659" i="23" s="1"/>
  <c r="B704" i="23" s="1"/>
  <c r="B749" i="23" s="1"/>
  <c r="B794" i="23" s="1"/>
  <c r="B839" i="23" s="1"/>
  <c r="B884" i="23" s="1"/>
  <c r="B929" i="23" s="1"/>
  <c r="B974" i="23" s="1"/>
  <c r="B1019" i="23" s="1"/>
  <c r="B1064" i="23" s="1"/>
  <c r="B1109" i="23" s="1"/>
  <c r="B1154" i="23" s="1"/>
  <c r="B1199" i="23" s="1"/>
  <c r="B1244" i="23" s="1"/>
  <c r="B1289" i="23" s="1"/>
  <c r="B76" i="23"/>
  <c r="B255" i="23" s="1"/>
  <c r="B300" i="23" s="1"/>
  <c r="B345" i="23" s="1"/>
  <c r="B390" i="23" s="1"/>
  <c r="B435" i="23" s="1"/>
  <c r="B480" i="23" s="1"/>
  <c r="B525" i="23" s="1"/>
  <c r="B570" i="23" s="1"/>
  <c r="B615" i="23" s="1"/>
  <c r="B660" i="23" s="1"/>
  <c r="B705" i="23" s="1"/>
  <c r="B750" i="23" s="1"/>
  <c r="B795" i="23" s="1"/>
  <c r="B840" i="23" s="1"/>
  <c r="B885" i="23" s="1"/>
  <c r="B930" i="23" s="1"/>
  <c r="B975" i="23" s="1"/>
  <c r="B1020" i="23" s="1"/>
  <c r="B1065" i="23" s="1"/>
  <c r="B1110" i="23" s="1"/>
  <c r="B1155" i="23" s="1"/>
  <c r="B1200" i="23" s="1"/>
  <c r="B1245" i="23" s="1"/>
  <c r="B1290" i="23" s="1"/>
  <c r="B234" i="23"/>
  <c r="B279" i="23" s="1"/>
  <c r="B324" i="23" s="1"/>
  <c r="B369" i="23" s="1"/>
  <c r="B414" i="23" s="1"/>
  <c r="B459" i="23" s="1"/>
  <c r="B504" i="23" s="1"/>
  <c r="B549" i="23" s="1"/>
  <c r="B594" i="23" s="1"/>
  <c r="B639" i="23" s="1"/>
  <c r="B684" i="23" s="1"/>
  <c r="B729" i="23" s="1"/>
  <c r="B774" i="23" s="1"/>
  <c r="B819" i="23" s="1"/>
  <c r="B864" i="23" s="1"/>
  <c r="B909" i="23" s="1"/>
  <c r="B954" i="23" s="1"/>
  <c r="B999" i="23" s="1"/>
  <c r="B1044" i="23" s="1"/>
  <c r="B1089" i="23" s="1"/>
  <c r="B1134" i="23" s="1"/>
  <c r="B1179" i="23" s="1"/>
  <c r="B1224" i="23" s="1"/>
  <c r="B1269" i="23" s="1"/>
  <c r="B17" i="32"/>
  <c r="B16" i="32"/>
  <c r="B17" i="31"/>
  <c r="B10" i="36"/>
  <c r="B25" i="26"/>
  <c r="B16" i="31"/>
  <c r="B14" i="33"/>
  <c r="B16" i="29"/>
  <c r="B17" i="29"/>
  <c r="B10" i="31"/>
  <c r="B14" i="32"/>
  <c r="B40" i="37"/>
  <c r="B39" i="37"/>
  <c r="B28" i="37"/>
  <c r="B26" i="37"/>
  <c r="B658" i="23" l="1"/>
  <c r="B703" i="23" s="1"/>
  <c r="B748" i="23" s="1"/>
  <c r="B793" i="23" s="1"/>
  <c r="B838" i="23" s="1"/>
  <c r="B883" i="23" s="1"/>
  <c r="B928" i="23" s="1"/>
  <c r="B973" i="23" s="1"/>
  <c r="B1018" i="23" s="1"/>
  <c r="B1063" i="23" s="1"/>
  <c r="B1108" i="23" s="1"/>
  <c r="B1153" i="23" s="1"/>
  <c r="B1198" i="23" s="1"/>
  <c r="B1243" i="23" s="1"/>
  <c r="B1288" i="23" s="1"/>
  <c r="B419" i="23"/>
  <c r="B464" i="23" s="1"/>
  <c r="B509" i="23" s="1"/>
  <c r="B554" i="23" s="1"/>
  <c r="B599" i="23" s="1"/>
  <c r="B644" i="23" s="1"/>
  <c r="B689" i="23" s="1"/>
  <c r="B734" i="23" s="1"/>
  <c r="B779" i="23" s="1"/>
  <c r="B824" i="23" s="1"/>
  <c r="B869" i="23" s="1"/>
  <c r="B914" i="23" s="1"/>
  <c r="B959" i="23" s="1"/>
  <c r="B1004" i="23" s="1"/>
  <c r="B1049" i="23" s="1"/>
  <c r="B1094" i="23" s="1"/>
  <c r="B1139" i="23" s="1"/>
  <c r="B1184" i="23" s="1"/>
  <c r="B1229" i="23" s="1"/>
  <c r="B1274" i="23" s="1"/>
  <c r="E44" i="39"/>
  <c r="E35" i="41"/>
  <c r="E37" i="41" s="1"/>
  <c r="E38" i="41" s="1"/>
  <c r="E39" i="41" s="1"/>
  <c r="E34" i="41"/>
  <c r="E35" i="40"/>
  <c r="E37" i="40" s="1"/>
  <c r="E38" i="40" s="1"/>
  <c r="E39" i="40" s="1"/>
  <c r="E34" i="40"/>
  <c r="E35" i="39"/>
  <c r="E37" i="39" s="1"/>
  <c r="E38" i="39" s="1"/>
  <c r="E39" i="39" s="1"/>
  <c r="E34" i="39"/>
  <c r="B245" i="23"/>
  <c r="B290" i="23" s="1"/>
  <c r="B335" i="23" s="1"/>
  <c r="B380" i="23" s="1"/>
  <c r="B425" i="23" s="1"/>
  <c r="B470" i="23" s="1"/>
  <c r="B515" i="23" s="1"/>
  <c r="B560" i="23" s="1"/>
  <c r="B605" i="23" s="1"/>
  <c r="B650" i="23" s="1"/>
  <c r="B695" i="23" s="1"/>
  <c r="B740" i="23" s="1"/>
  <c r="B785" i="23" s="1"/>
  <c r="B830" i="23" s="1"/>
  <c r="B875" i="23" s="1"/>
  <c r="B920" i="23" s="1"/>
  <c r="B965" i="23" s="1"/>
  <c r="B1010" i="23" s="1"/>
  <c r="B1055" i="23" s="1"/>
  <c r="B1100" i="23" s="1"/>
  <c r="B1145" i="23" s="1"/>
  <c r="B1190" i="23" s="1"/>
  <c r="B1235" i="23" s="1"/>
  <c r="B1280" i="23" s="1"/>
  <c r="B385" i="23"/>
  <c r="B430" i="23" s="1"/>
  <c r="B475" i="23" s="1"/>
  <c r="B520" i="23" s="1"/>
  <c r="B565" i="23" s="1"/>
  <c r="B610" i="23" s="1"/>
  <c r="B655" i="23" s="1"/>
  <c r="B700" i="23" s="1"/>
  <c r="B745" i="23" s="1"/>
  <c r="B790" i="23" s="1"/>
  <c r="B835" i="23" s="1"/>
  <c r="B880" i="23" s="1"/>
  <c r="B925" i="23" s="1"/>
  <c r="B970" i="23" s="1"/>
  <c r="B1015" i="23" s="1"/>
  <c r="B1060" i="23" s="1"/>
  <c r="B1105" i="23" s="1"/>
  <c r="B1150" i="23" s="1"/>
  <c r="B1195" i="23" s="1"/>
  <c r="B1240" i="23" s="1"/>
  <c r="B1285" i="23" s="1"/>
  <c r="B14" i="31"/>
  <c r="B19" i="33"/>
  <c r="E27" i="38" l="1"/>
  <c r="E28" i="38"/>
  <c r="B14" i="29"/>
  <c r="E29" i="38" l="1"/>
  <c r="E43" i="38"/>
  <c r="E30" i="38"/>
  <c r="E32" i="38" s="1"/>
  <c r="B19" i="31"/>
  <c r="B19" i="32"/>
  <c r="B32" i="8"/>
  <c r="B16" i="30"/>
  <c r="B17" i="30"/>
  <c r="E45" i="38" l="1"/>
  <c r="E46" i="38"/>
  <c r="E44" i="38"/>
  <c r="E33" i="38"/>
  <c r="E36" i="38"/>
  <c r="B26" i="35"/>
  <c r="D68" i="37"/>
  <c r="D35" i="37"/>
  <c r="D34" i="37"/>
  <c r="D33" i="37"/>
  <c r="D27" i="37"/>
  <c r="D20" i="37"/>
  <c r="D15" i="37"/>
  <c r="E10" i="37"/>
  <c r="E11" i="37" s="1"/>
  <c r="E12" i="37" s="1"/>
  <c r="E13" i="37" s="1"/>
  <c r="E8" i="37"/>
  <c r="E4" i="37"/>
  <c r="C2" i="37"/>
  <c r="D68" i="36"/>
  <c r="D35" i="36"/>
  <c r="D34" i="36"/>
  <c r="D33" i="36"/>
  <c r="D27" i="36"/>
  <c r="D20" i="36"/>
  <c r="D15" i="36"/>
  <c r="E10" i="36"/>
  <c r="E11" i="36" s="1"/>
  <c r="E12" i="36" s="1"/>
  <c r="E13" i="36" s="1"/>
  <c r="E16" i="36" s="1"/>
  <c r="D9" i="36"/>
  <c r="E8" i="36"/>
  <c r="E4" i="36"/>
  <c r="C2" i="36"/>
  <c r="D68" i="35"/>
  <c r="D35" i="35"/>
  <c r="D34" i="35"/>
  <c r="D33" i="35"/>
  <c r="D27" i="35"/>
  <c r="D20" i="35"/>
  <c r="D15" i="35"/>
  <c r="E11" i="35"/>
  <c r="E12" i="35" s="1"/>
  <c r="E14" i="35" s="1"/>
  <c r="E16" i="35" s="1"/>
  <c r="D9" i="35"/>
  <c r="E8" i="35"/>
  <c r="E4" i="35"/>
  <c r="C2" i="35"/>
  <c r="B10" i="30"/>
  <c r="E35" i="38" l="1"/>
  <c r="E37" i="38" s="1"/>
  <c r="E38" i="38" s="1"/>
  <c r="E39" i="38" s="1"/>
  <c r="E34" i="38"/>
  <c r="E17" i="37"/>
  <c r="E18" i="37"/>
  <c r="E20" i="36"/>
  <c r="E17" i="36"/>
  <c r="E18" i="36"/>
  <c r="E20" i="35"/>
  <c r="E19" i="35"/>
  <c r="E17" i="35"/>
  <c r="E18" i="35"/>
  <c r="B28" i="34"/>
  <c r="B30" i="34"/>
  <c r="B26" i="34"/>
  <c r="D68" i="34"/>
  <c r="D35" i="34"/>
  <c r="D34" i="34"/>
  <c r="D33" i="34"/>
  <c r="D27" i="34"/>
  <c r="D20" i="34"/>
  <c r="D15" i="34"/>
  <c r="E11" i="34"/>
  <c r="E12" i="34" s="1"/>
  <c r="E13" i="34" s="1"/>
  <c r="E14" i="34" s="1"/>
  <c r="E15" i="34" s="1"/>
  <c r="D9" i="34"/>
  <c r="E8" i="34"/>
  <c r="E4" i="34"/>
  <c r="C2" i="34"/>
  <c r="B14" i="30"/>
  <c r="B25" i="13"/>
  <c r="B26" i="13"/>
  <c r="E25" i="37" l="1"/>
  <c r="E26" i="37" s="1"/>
  <c r="E21" i="37"/>
  <c r="E25" i="36"/>
  <c r="E21" i="36"/>
  <c r="E25" i="35"/>
  <c r="E26" i="35" s="1"/>
  <c r="E21" i="35"/>
  <c r="E17" i="34"/>
  <c r="E18" i="34"/>
  <c r="D68" i="33"/>
  <c r="D35" i="33"/>
  <c r="D34" i="33"/>
  <c r="D33" i="33"/>
  <c r="D27" i="33"/>
  <c r="D20" i="33"/>
  <c r="D15" i="33"/>
  <c r="E10" i="33"/>
  <c r="E11" i="33" s="1"/>
  <c r="E12" i="33" s="1"/>
  <c r="D9" i="33"/>
  <c r="E8" i="33"/>
  <c r="E4" i="33"/>
  <c r="C2" i="33"/>
  <c r="E11" i="32"/>
  <c r="E12" i="32" s="1"/>
  <c r="E28" i="37" l="1"/>
  <c r="E27" i="37"/>
  <c r="E28" i="36"/>
  <c r="E28" i="35"/>
  <c r="E27" i="35"/>
  <c r="E25" i="34"/>
  <c r="E20" i="33"/>
  <c r="E17" i="33"/>
  <c r="E18" i="33"/>
  <c r="E43" i="37" l="1"/>
  <c r="E30" i="37"/>
  <c r="E32" i="37" s="1"/>
  <c r="E29" i="37"/>
  <c r="E43" i="36"/>
  <c r="E30" i="36"/>
  <c r="E32" i="36" s="1"/>
  <c r="E29" i="36"/>
  <c r="E43" i="35"/>
  <c r="E30" i="35"/>
  <c r="E32" i="35" s="1"/>
  <c r="E29" i="35"/>
  <c r="E25" i="33"/>
  <c r="E26" i="33" s="1"/>
  <c r="B19" i="30"/>
  <c r="B10" i="13"/>
  <c r="D68" i="32"/>
  <c r="D35" i="32"/>
  <c r="D34" i="32"/>
  <c r="D33" i="32"/>
  <c r="D27" i="32"/>
  <c r="D20" i="32"/>
  <c r="D15" i="32"/>
  <c r="D9" i="32"/>
  <c r="E8" i="32"/>
  <c r="E4" i="32"/>
  <c r="C2" i="32"/>
  <c r="D68" i="31"/>
  <c r="D35" i="31"/>
  <c r="D34" i="31"/>
  <c r="D33" i="31"/>
  <c r="D27" i="31"/>
  <c r="D20" i="31"/>
  <c r="D15" i="31"/>
  <c r="E11" i="31"/>
  <c r="E12" i="31" s="1"/>
  <c r="E13" i="31" s="1"/>
  <c r="E14" i="31" s="1"/>
  <c r="E8" i="31"/>
  <c r="E4" i="31"/>
  <c r="C2" i="31"/>
  <c r="D38" i="30"/>
  <c r="B17" i="13"/>
  <c r="E46" i="37" l="1"/>
  <c r="E44" i="37"/>
  <c r="E45" i="37"/>
  <c r="E36" i="37"/>
  <c r="E33" i="37"/>
  <c r="E46" i="36"/>
  <c r="E44" i="36"/>
  <c r="E45" i="36"/>
  <c r="E36" i="36"/>
  <c r="E33" i="36"/>
  <c r="E46" i="35"/>
  <c r="E44" i="35"/>
  <c r="E45" i="35"/>
  <c r="E36" i="35"/>
  <c r="E33" i="35"/>
  <c r="E30" i="34"/>
  <c r="E32" i="34" s="1"/>
  <c r="E28" i="33"/>
  <c r="E20" i="32"/>
  <c r="E19" i="32"/>
  <c r="E17" i="32"/>
  <c r="E18" i="32"/>
  <c r="E17" i="31"/>
  <c r="E18" i="31"/>
  <c r="B43" i="30"/>
  <c r="B32" i="30"/>
  <c r="B30" i="30"/>
  <c r="B29" i="30"/>
  <c r="B28" i="30"/>
  <c r="B21" i="30"/>
  <c r="D68" i="30"/>
  <c r="D35" i="30"/>
  <c r="D34" i="30"/>
  <c r="D33" i="30"/>
  <c r="D27" i="30"/>
  <c r="D20" i="30"/>
  <c r="D15" i="30"/>
  <c r="E12" i="30"/>
  <c r="E14" i="30" s="1"/>
  <c r="E15" i="30" s="1"/>
  <c r="D9" i="30"/>
  <c r="E8" i="30"/>
  <c r="E4" i="30"/>
  <c r="C2" i="30"/>
  <c r="B43" i="29"/>
  <c r="B39" i="29"/>
  <c r="B32" i="29"/>
  <c r="B30" i="29"/>
  <c r="B29" i="29"/>
  <c r="B28" i="29"/>
  <c r="B21" i="29"/>
  <c r="D68" i="29"/>
  <c r="D35" i="29"/>
  <c r="D34" i="29"/>
  <c r="D33" i="29"/>
  <c r="D27" i="29"/>
  <c r="D20" i="29"/>
  <c r="D15" i="29"/>
  <c r="E11" i="29"/>
  <c r="E12" i="29" s="1"/>
  <c r="E13" i="29" s="1"/>
  <c r="E14" i="29" s="1"/>
  <c r="E8" i="29"/>
  <c r="E4" i="29"/>
  <c r="C2" i="29"/>
  <c r="E35" i="37" l="1"/>
  <c r="E34" i="37"/>
  <c r="E35" i="36"/>
  <c r="E37" i="36" s="1"/>
  <c r="E38" i="36" s="1"/>
  <c r="E39" i="36" s="1"/>
  <c r="E34" i="36"/>
  <c r="E35" i="35"/>
  <c r="E37" i="35" s="1"/>
  <c r="E38" i="35" s="1"/>
  <c r="E39" i="35" s="1"/>
  <c r="E34" i="35"/>
  <c r="E46" i="34"/>
  <c r="E44" i="34"/>
  <c r="E45" i="34"/>
  <c r="E36" i="34"/>
  <c r="E33" i="34"/>
  <c r="E30" i="33"/>
  <c r="E32" i="33" s="1"/>
  <c r="E29" i="33"/>
  <c r="E25" i="32"/>
  <c r="E26" i="32" s="1"/>
  <c r="E21" i="32"/>
  <c r="E21" i="31"/>
  <c r="E17" i="30"/>
  <c r="E18" i="30"/>
  <c r="E20" i="29"/>
  <c r="E17" i="29"/>
  <c r="E18" i="29"/>
  <c r="B19" i="26"/>
  <c r="E4" i="1"/>
  <c r="E4" i="26"/>
  <c r="D19" i="1"/>
  <c r="D20" i="26"/>
  <c r="D9" i="26"/>
  <c r="D15" i="26"/>
  <c r="D68" i="26"/>
  <c r="D35" i="26"/>
  <c r="D34" i="26"/>
  <c r="D33" i="26"/>
  <c r="D27" i="26"/>
  <c r="E10" i="26"/>
  <c r="E11" i="26" s="1"/>
  <c r="E14" i="26" s="1"/>
  <c r="E15" i="26" s="1"/>
  <c r="E16" i="26" s="1"/>
  <c r="E8" i="26"/>
  <c r="C2" i="26"/>
  <c r="E37" i="37" l="1"/>
  <c r="E38" i="37" s="1"/>
  <c r="E39" i="37" s="1"/>
  <c r="E40" i="37"/>
  <c r="E35" i="34"/>
  <c r="E37" i="34" s="1"/>
  <c r="E38" i="34" s="1"/>
  <c r="E39" i="34" s="1"/>
  <c r="E34" i="34"/>
  <c r="E46" i="33"/>
  <c r="E44" i="33"/>
  <c r="E45" i="33"/>
  <c r="E33" i="33"/>
  <c r="E28" i="32"/>
  <c r="E27" i="32"/>
  <c r="E25" i="30"/>
  <c r="E21" i="30"/>
  <c r="E18" i="26"/>
  <c r="E17" i="26"/>
  <c r="D1" i="2"/>
  <c r="C2" i="1"/>
  <c r="D68" i="13"/>
  <c r="D35" i="13"/>
  <c r="D34" i="13"/>
  <c r="D33" i="13"/>
  <c r="D27" i="13"/>
  <c r="D20" i="13"/>
  <c r="D15" i="13"/>
  <c r="E10" i="13"/>
  <c r="E11" i="13" s="1"/>
  <c r="E12" i="13" s="1"/>
  <c r="E13" i="13" s="1"/>
  <c r="E14" i="13" s="1"/>
  <c r="E15" i="13" s="1"/>
  <c r="E8" i="13"/>
  <c r="E4" i="13"/>
  <c r="E4" i="8"/>
  <c r="D68" i="8"/>
  <c r="D46" i="8"/>
  <c r="D35" i="8"/>
  <c r="D34" i="8"/>
  <c r="D33" i="8"/>
  <c r="D27" i="8"/>
  <c r="D20" i="8"/>
  <c r="D15" i="8"/>
  <c r="E10" i="8"/>
  <c r="E11" i="8" s="1"/>
  <c r="E12" i="8" s="1"/>
  <c r="E13" i="8" s="1"/>
  <c r="E14" i="8" s="1"/>
  <c r="E15" i="8" s="1"/>
  <c r="E16" i="8" s="1"/>
  <c r="E8" i="8"/>
  <c r="D39" i="1"/>
  <c r="D38" i="1"/>
  <c r="D37" i="1"/>
  <c r="D31" i="1"/>
  <c r="I1" i="48" l="1"/>
  <c r="E9" i="48" s="1"/>
  <c r="E10" i="48" s="1"/>
  <c r="E16" i="48" s="1"/>
  <c r="E17" i="48" s="1"/>
  <c r="I1" i="47"/>
  <c r="E10" i="47" s="1"/>
  <c r="E11" i="47" s="1"/>
  <c r="E12" i="47" s="1"/>
  <c r="E13" i="47" s="1"/>
  <c r="E14" i="47" s="1"/>
  <c r="E15" i="47" s="1"/>
  <c r="E16" i="47" s="1"/>
  <c r="I1" i="45"/>
  <c r="I1" i="46"/>
  <c r="I1" i="43"/>
  <c r="I1" i="44"/>
  <c r="I1" i="40"/>
  <c r="I1" i="41"/>
  <c r="I1" i="38"/>
  <c r="I1" i="39"/>
  <c r="I1" i="36"/>
  <c r="I1" i="37"/>
  <c r="I1" i="34"/>
  <c r="I1" i="35"/>
  <c r="I1" i="32"/>
  <c r="I1" i="33"/>
  <c r="E35" i="33"/>
  <c r="E38" i="33" s="1"/>
  <c r="E34" i="33"/>
  <c r="E43" i="32"/>
  <c r="E30" i="32"/>
  <c r="E32" i="32" s="1"/>
  <c r="E29" i="32"/>
  <c r="E43" i="31"/>
  <c r="E32" i="31"/>
  <c r="I1" i="30"/>
  <c r="I1" i="31"/>
  <c r="D4" i="23"/>
  <c r="D228" i="23" s="1"/>
  <c r="I1" i="29"/>
  <c r="I1" i="26"/>
  <c r="E25" i="26"/>
  <c r="E26" i="26" s="1"/>
  <c r="I1" i="13"/>
  <c r="I1" i="8"/>
  <c r="I1" i="1"/>
  <c r="E17" i="13"/>
  <c r="E20" i="8"/>
  <c r="E19" i="8"/>
  <c r="E11" i="48" l="1"/>
  <c r="E12" i="48" s="1"/>
  <c r="E13" i="48" s="1"/>
  <c r="E15" i="48"/>
  <c r="E14" i="48"/>
  <c r="E18" i="48"/>
  <c r="E19" i="48" s="1"/>
  <c r="E20" i="48" s="1"/>
  <c r="E8" i="1"/>
  <c r="E9" i="1" s="1"/>
  <c r="E10" i="1" s="1"/>
  <c r="E8" i="47"/>
  <c r="E20" i="47"/>
  <c r="E19" i="47"/>
  <c r="E18" i="47"/>
  <c r="E17" i="47"/>
  <c r="E46" i="32"/>
  <c r="E44" i="32"/>
  <c r="E45" i="32"/>
  <c r="E36" i="32"/>
  <c r="E46" i="31"/>
  <c r="E44" i="31"/>
  <c r="E45" i="31"/>
  <c r="E36" i="31"/>
  <c r="E33" i="31"/>
  <c r="D139" i="23"/>
  <c r="D318" i="23" s="1"/>
  <c r="D498" i="23" s="1"/>
  <c r="D678" i="23" s="1"/>
  <c r="D858" i="23" s="1"/>
  <c r="D1038" i="23" s="1"/>
  <c r="D1218" i="23" s="1"/>
  <c r="D94" i="23"/>
  <c r="D273" i="23" s="1"/>
  <c r="D453" i="23" s="1"/>
  <c r="D633" i="23" s="1"/>
  <c r="D813" i="23" s="1"/>
  <c r="D993" i="23" s="1"/>
  <c r="D1173" i="23" s="1"/>
  <c r="D183" i="23"/>
  <c r="D363" i="23" s="1"/>
  <c r="D543" i="23" s="1"/>
  <c r="D723" i="23" s="1"/>
  <c r="D903" i="23" s="1"/>
  <c r="D1083" i="23" s="1"/>
  <c r="D1263" i="23" s="1"/>
  <c r="E30" i="30"/>
  <c r="E32" i="30" s="1"/>
  <c r="E29" i="30"/>
  <c r="D49" i="23"/>
  <c r="E32" i="29"/>
  <c r="D408" i="23"/>
  <c r="D588" i="23" s="1"/>
  <c r="D768" i="23" s="1"/>
  <c r="D948" i="23" s="1"/>
  <c r="D1128" i="23" s="1"/>
  <c r="E21" i="13"/>
  <c r="E26" i="13"/>
  <c r="E21" i="8"/>
  <c r="E25" i="8"/>
  <c r="E26" i="8" s="1"/>
  <c r="E28" i="8" s="1"/>
  <c r="E24" i="48" l="1"/>
  <c r="E29" i="48" s="1"/>
  <c r="E30" i="48" s="1"/>
  <c r="E23" i="48"/>
  <c r="E25" i="48" s="1"/>
  <c r="E22" i="48"/>
  <c r="E21" i="48"/>
  <c r="E11" i="1"/>
  <c r="E12" i="1" s="1"/>
  <c r="E13" i="1" s="1"/>
  <c r="E16" i="1"/>
  <c r="E25" i="47"/>
  <c r="E26" i="47" s="1"/>
  <c r="E21" i="47"/>
  <c r="E15" i="1"/>
  <c r="E35" i="32"/>
  <c r="E37" i="32" s="1"/>
  <c r="E38" i="32" s="1"/>
  <c r="E39" i="32" s="1"/>
  <c r="E34" i="32"/>
  <c r="E37" i="31"/>
  <c r="E39" i="31" s="1"/>
  <c r="E46" i="30"/>
  <c r="E44" i="30"/>
  <c r="E45" i="30"/>
  <c r="E36" i="30"/>
  <c r="E33" i="30"/>
  <c r="E46" i="29"/>
  <c r="E44" i="29"/>
  <c r="E45" i="29"/>
  <c r="E36" i="29"/>
  <c r="E33" i="29"/>
  <c r="E30" i="26"/>
  <c r="E32" i="26" s="1"/>
  <c r="E27" i="13"/>
  <c r="E28" i="13"/>
  <c r="E27" i="8"/>
  <c r="E32" i="48" l="1"/>
  <c r="E31" i="48"/>
  <c r="E17" i="1"/>
  <c r="E18" i="1" s="1"/>
  <c r="E19" i="1" s="1"/>
  <c r="E20" i="1" s="1"/>
  <c r="E14" i="1"/>
  <c r="E28" i="47"/>
  <c r="E27" i="47"/>
  <c r="E35" i="30"/>
  <c r="E37" i="30" s="1"/>
  <c r="E38" i="30" s="1"/>
  <c r="E39" i="30" s="1"/>
  <c r="E34" i="30"/>
  <c r="E37" i="29"/>
  <c r="E38" i="29" s="1"/>
  <c r="E39" i="29" s="1"/>
  <c r="E46" i="26"/>
  <c r="E44" i="26"/>
  <c r="E45" i="26"/>
  <c r="E29" i="13"/>
  <c r="E30" i="13"/>
  <c r="E43" i="8"/>
  <c r="E36" i="8"/>
  <c r="E47" i="48" l="1"/>
  <c r="E34" i="48"/>
  <c r="E36" i="48" s="1"/>
  <c r="E33" i="48"/>
  <c r="E22" i="1"/>
  <c r="E24" i="1"/>
  <c r="E29" i="1" s="1"/>
  <c r="E30" i="1" s="1"/>
  <c r="E21" i="1"/>
  <c r="E23" i="1"/>
  <c r="E43" i="47"/>
  <c r="E30" i="47"/>
  <c r="E32" i="47" s="1"/>
  <c r="E29" i="47"/>
  <c r="E37" i="26"/>
  <c r="E39" i="26" s="1"/>
  <c r="E33" i="13"/>
  <c r="E36" i="13"/>
  <c r="E46" i="13"/>
  <c r="E44" i="13"/>
  <c r="E45" i="13"/>
  <c r="E33" i="8"/>
  <c r="E44" i="8"/>
  <c r="E46" i="8"/>
  <c r="E45" i="8"/>
  <c r="E40" i="48" l="1"/>
  <c r="E37" i="48"/>
  <c r="E48" i="48"/>
  <c r="E50" i="48"/>
  <c r="E49" i="48"/>
  <c r="E31" i="1"/>
  <c r="E32" i="1"/>
  <c r="E25" i="1"/>
  <c r="E36" i="47"/>
  <c r="E33" i="47"/>
  <c r="E46" i="47"/>
  <c r="E45" i="47"/>
  <c r="E44" i="47"/>
  <c r="E35" i="13"/>
  <c r="E37" i="13" s="1"/>
  <c r="E38" i="13" s="1"/>
  <c r="E39" i="13" s="1"/>
  <c r="E34" i="13"/>
  <c r="E37" i="8"/>
  <c r="E38" i="8" s="1"/>
  <c r="E34" i="8"/>
  <c r="E39" i="48" l="1"/>
  <c r="E41" i="48" s="1"/>
  <c r="E38" i="48"/>
  <c r="E43" i="48"/>
  <c r="E42" i="48"/>
  <c r="E33" i="1"/>
  <c r="E34" i="1"/>
  <c r="E36" i="1" s="1"/>
  <c r="E35" i="47"/>
  <c r="E37" i="47" s="1"/>
  <c r="E38" i="47" s="1"/>
  <c r="E39" i="47" s="1"/>
  <c r="E34" i="47"/>
  <c r="E48" i="1"/>
  <c r="E49" i="1" s="1"/>
  <c r="E40" i="1" l="1"/>
  <c r="E37" i="1"/>
  <c r="E50" i="1"/>
  <c r="E51" i="1"/>
  <c r="E42" i="1" l="1"/>
  <c r="E44" i="1"/>
  <c r="E43" i="1" s="1"/>
  <c r="E38" i="1"/>
  <c r="E39" i="1"/>
  <c r="E41" i="1" l="1"/>
</calcChain>
</file>

<file path=xl/sharedStrings.xml><?xml version="1.0" encoding="utf-8"?>
<sst xmlns="http://schemas.openxmlformats.org/spreadsheetml/2006/main" count="4619" uniqueCount="320">
  <si>
    <t xml:space="preserve">Suivi de chantier </t>
  </si>
  <si>
    <t>SEMAINE</t>
  </si>
  <si>
    <t>Client :</t>
  </si>
  <si>
    <t>Demarré le :</t>
  </si>
  <si>
    <t>Prévision clos couvert :</t>
  </si>
  <si>
    <t>Type d'intervention</t>
  </si>
  <si>
    <t>Entreprise</t>
  </si>
  <si>
    <t>S</t>
  </si>
  <si>
    <t xml:space="preserve">   Date</t>
  </si>
  <si>
    <t>Avancment</t>
  </si>
  <si>
    <t>Accès terrain</t>
  </si>
  <si>
    <t xml:space="preserve"> </t>
  </si>
  <si>
    <t>Terrassement</t>
  </si>
  <si>
    <t>Gros œuvre</t>
  </si>
  <si>
    <t>Remblaiement</t>
  </si>
  <si>
    <t>Pose Echafaudage</t>
  </si>
  <si>
    <t>Charpente</t>
  </si>
  <si>
    <t>Etanchéité</t>
  </si>
  <si>
    <t>Men. Ext.</t>
  </si>
  <si>
    <t>Dépose échafaudage</t>
  </si>
  <si>
    <t>Porte de garage</t>
  </si>
  <si>
    <t>date</t>
  </si>
  <si>
    <t>Electricité avant chape</t>
  </si>
  <si>
    <t>Sanitaire avant chape</t>
  </si>
  <si>
    <t>Isol sol</t>
  </si>
  <si>
    <t>Chauf sol</t>
  </si>
  <si>
    <t>Aspiration</t>
  </si>
  <si>
    <t>Chape</t>
  </si>
  <si>
    <t>Finition plâtrerie</t>
  </si>
  <si>
    <t>Finition  électricien</t>
  </si>
  <si>
    <t>Finition sanitaire</t>
  </si>
  <si>
    <t>Revêtements de sols</t>
  </si>
  <si>
    <t>Revêtements muraux</t>
  </si>
  <si>
    <t>Finition chauffage</t>
  </si>
  <si>
    <t>Menuiserie int</t>
  </si>
  <si>
    <t>Crépis fond</t>
  </si>
  <si>
    <t>Crépis teinte</t>
  </si>
  <si>
    <t>Réunion client :</t>
  </si>
  <si>
    <t>réunion</t>
  </si>
  <si>
    <t>état</t>
  </si>
  <si>
    <t>RDV validation</t>
  </si>
  <si>
    <t>RDV demarrage chantier</t>
  </si>
  <si>
    <t>RDV clos couvert</t>
  </si>
  <si>
    <t>Réception</t>
  </si>
  <si>
    <t>Commentaire :</t>
  </si>
  <si>
    <t>Date :</t>
  </si>
  <si>
    <t>VT</t>
  </si>
  <si>
    <t>00/00/00</t>
  </si>
  <si>
    <t>RDV PERMIS</t>
  </si>
  <si>
    <t>SIGNATURE PERMIS</t>
  </si>
  <si>
    <t>DEPOT PERMIS</t>
  </si>
  <si>
    <t>RÉUNION DEMARRAGE</t>
  </si>
  <si>
    <t>RETOUR PC</t>
  </si>
  <si>
    <t>Avancement</t>
  </si>
  <si>
    <t>En cours</t>
  </si>
  <si>
    <t>Réalisé</t>
  </si>
  <si>
    <t>Date</t>
  </si>
  <si>
    <t>TEMA</t>
  </si>
  <si>
    <t>RIEDINGER</t>
  </si>
  <si>
    <t>AKTAS</t>
  </si>
  <si>
    <t>BAYARD</t>
  </si>
  <si>
    <t>GABEL</t>
  </si>
  <si>
    <t>OTT</t>
  </si>
  <si>
    <t>SOPREMA</t>
  </si>
  <si>
    <t>NEUMEYER</t>
  </si>
  <si>
    <t>HILZINGER</t>
  </si>
  <si>
    <t>KBR</t>
  </si>
  <si>
    <t>DEGRIFF</t>
  </si>
  <si>
    <t>SOARES</t>
  </si>
  <si>
    <t>HDA</t>
  </si>
  <si>
    <t>GROSS</t>
  </si>
  <si>
    <t>BENELEC</t>
  </si>
  <si>
    <t>HECKER</t>
  </si>
  <si>
    <t>HERTFELDER</t>
  </si>
  <si>
    <t>WAGNER</t>
  </si>
  <si>
    <t>EKOTHERM</t>
  </si>
  <si>
    <t>BECK</t>
  </si>
  <si>
    <t>HEUSCH</t>
  </si>
  <si>
    <t>CARRELAGE DE L'EST</t>
  </si>
  <si>
    <t>BECHTEL</t>
  </si>
  <si>
    <t>KOVACIC</t>
  </si>
  <si>
    <t>FMS</t>
  </si>
  <si>
    <t>TASTEPER</t>
  </si>
  <si>
    <t>NORD ISOLATION</t>
  </si>
  <si>
    <t>AU COIN DU FEU</t>
  </si>
  <si>
    <t>Couverture</t>
  </si>
  <si>
    <t>Zinguerie</t>
  </si>
  <si>
    <t>Ferronnerie</t>
  </si>
  <si>
    <t>Assainissement</t>
  </si>
  <si>
    <t>Commentaires</t>
  </si>
  <si>
    <t>A CHARGE CLIENT</t>
  </si>
  <si>
    <t>_</t>
  </si>
  <si>
    <t>Electricité avant plâtre</t>
  </si>
  <si>
    <t>Plâtrerie montage</t>
  </si>
  <si>
    <t>NON CONCERNÉ</t>
  </si>
  <si>
    <t>Peinture des boiseries</t>
  </si>
  <si>
    <t>Non compris</t>
  </si>
  <si>
    <t>A charge client</t>
  </si>
  <si>
    <t>Permis reçu le :</t>
  </si>
  <si>
    <t>GERSTHEIM</t>
  </si>
  <si>
    <t>Rampannage</t>
  </si>
  <si>
    <t>DELETRE</t>
  </si>
  <si>
    <t>GAMBSHEIM</t>
  </si>
  <si>
    <t>24 RUE DES TISSERANDS</t>
  </si>
  <si>
    <t>GAESSLER</t>
  </si>
  <si>
    <t>OSTWALD</t>
  </si>
  <si>
    <t>SOBATRA</t>
  </si>
  <si>
    <t>LIEU -DIT WICKENAU</t>
  </si>
  <si>
    <t>FRAIS DE MÉTRÉ</t>
  </si>
  <si>
    <t>RETOUR MARCHÉ</t>
  </si>
  <si>
    <t>WICKERSHEIM</t>
  </si>
  <si>
    <t>RUE DU FOYER</t>
  </si>
  <si>
    <t>PAS EVEOL</t>
  </si>
  <si>
    <t>ENTREPRISE</t>
  </si>
  <si>
    <t>CLIENTS</t>
  </si>
  <si>
    <t>STADE D'AVANCEMENT</t>
  </si>
  <si>
    <t>INTERVENTION DEMANDÉE</t>
  </si>
  <si>
    <t>PRÉVUE</t>
  </si>
  <si>
    <t>PLANNING BERAL</t>
  </si>
  <si>
    <t>Entreprises</t>
  </si>
  <si>
    <t>abc.aktas@gmail.com</t>
  </si>
  <si>
    <t>aucoindufeualsace@orange.fr</t>
  </si>
  <si>
    <t>ch.bayard@wanadoo.fr</t>
  </si>
  <si>
    <t>yves.bechtel@orange.fr</t>
  </si>
  <si>
    <t>contact@beckchape.fr</t>
  </si>
  <si>
    <t>benelec@orange.fr</t>
  </si>
  <si>
    <t>carrelagedelest@hotmail.fr</t>
  </si>
  <si>
    <t>hda-platrier@live.fr</t>
  </si>
  <si>
    <t>electro.hecker@gmail.com</t>
  </si>
  <si>
    <t>ELECTRO HECKER</t>
  </si>
  <si>
    <t>cédric glaas</t>
  </si>
  <si>
    <t>eko63@hotmail.fr</t>
  </si>
  <si>
    <t>didier.hertfelder@wanadoo.fr</t>
  </si>
  <si>
    <t>kovacic.pose@orange.fr</t>
  </si>
  <si>
    <t xml:space="preserve">kovacic.contact@orange.fr  </t>
  </si>
  <si>
    <t>denis.ott@wanadoo.fr</t>
  </si>
  <si>
    <t>owurth@soprema.fr</t>
  </si>
  <si>
    <t>tasteper.sas@live.fr</t>
  </si>
  <si>
    <t>tema67100@hotmail.fr</t>
  </si>
  <si>
    <t>wagner.fils@free.fr</t>
  </si>
  <si>
    <t>mail</t>
  </si>
  <si>
    <t>vincent-padowicz@beral.fr</t>
  </si>
  <si>
    <t>VINCENT PADOWICZ - CONDUCTEUR DES TRAVAUX - BERAL - 07.63.12.85.01 - vincent-padowicz@beral.fr</t>
  </si>
  <si>
    <t>jeanmichel.h@fm-s.eu</t>
  </si>
  <si>
    <t>charpente.gabel@wanadoo.fr</t>
  </si>
  <si>
    <t>montage plâtrerie</t>
  </si>
  <si>
    <t>jacky.gross2@wanadoo.fr</t>
  </si>
  <si>
    <t>BOOS</t>
  </si>
  <si>
    <t>graff@hilzinger.fr</t>
  </si>
  <si>
    <t>finitions</t>
  </si>
  <si>
    <t>sobatra2@wanadoo.fr</t>
  </si>
  <si>
    <t>pose des menuiseries</t>
  </si>
  <si>
    <t>chape</t>
  </si>
  <si>
    <t>encastrement maçonnerie</t>
  </si>
  <si>
    <t>sanitaire avant chape</t>
  </si>
  <si>
    <t>charpente</t>
  </si>
  <si>
    <t>kbr.fermetures@gmail.com</t>
  </si>
  <si>
    <t>cedric.glaas@icloud.com</t>
  </si>
  <si>
    <t>MERCI DE ME RETOURNER CE DOCUMENT COMPLÉTÉ ET DE ME CONTACTER AVANT CHAQUE INTERVENTION POUR CONFIRMATION. PLANNING SOUS RÉSERVE.</t>
  </si>
  <si>
    <t>Localité :</t>
  </si>
  <si>
    <t>Total</t>
  </si>
  <si>
    <t>Reste</t>
  </si>
  <si>
    <t>carlos.soares74@sfr.fr</t>
  </si>
  <si>
    <t>FEGERSHEIM</t>
  </si>
  <si>
    <t>RUE PABLO PICASSO</t>
  </si>
  <si>
    <t>GAZ</t>
  </si>
  <si>
    <t>FREYMANN</t>
  </si>
  <si>
    <t>GITZINGER</t>
  </si>
  <si>
    <t>18/01/207</t>
  </si>
  <si>
    <t>réalisé</t>
  </si>
  <si>
    <t>voir avec</t>
  </si>
  <si>
    <t>Tema</t>
  </si>
  <si>
    <t>HOFFEN</t>
  </si>
  <si>
    <t>LOT. BRUNNENWALD LOT25</t>
  </si>
  <si>
    <t>TRAENHEIM</t>
  </si>
  <si>
    <t>28 RUE DE MOLSHEIM</t>
  </si>
  <si>
    <t>pose PG</t>
  </si>
  <si>
    <t>COUSIN-SCHMITT</t>
  </si>
  <si>
    <t>WINTERSTEIN</t>
  </si>
  <si>
    <t>carrelage</t>
  </si>
  <si>
    <t>manque 1 PF</t>
  </si>
  <si>
    <t>Gerstheim</t>
  </si>
  <si>
    <t>Chauf GAZ</t>
  </si>
  <si>
    <t>borgerdecoration@yahoo.fr</t>
  </si>
  <si>
    <t>BORGER DECO</t>
  </si>
  <si>
    <t>Menuiserie int + stratifié</t>
  </si>
  <si>
    <t>Carrelage</t>
  </si>
  <si>
    <t>VMC DOUBLE FLUX</t>
  </si>
  <si>
    <t>UNIQUEMENT RDC</t>
  </si>
  <si>
    <t>FUGER</t>
  </si>
  <si>
    <t>LEHMANN</t>
  </si>
  <si>
    <t>entr.neumeyer@orange.fr</t>
  </si>
  <si>
    <t>contact@sarlnordisolation.com</t>
  </si>
  <si>
    <t>WINE</t>
  </si>
  <si>
    <t>rempannage</t>
  </si>
  <si>
    <t>KUTZENHAUSEN</t>
  </si>
  <si>
    <t>debesconstruction@orange.fr</t>
  </si>
  <si>
    <t>DEBÈS CONSTRUCTION</t>
  </si>
  <si>
    <t>BARTOLO</t>
  </si>
  <si>
    <t>BREUSCHWICKERSHEIM</t>
  </si>
  <si>
    <t>ROSHEIM</t>
  </si>
  <si>
    <t>PF cassée à la pose</t>
  </si>
  <si>
    <t>modif ech. Pour pose auvent</t>
  </si>
  <si>
    <t>Parquet et Stratifié</t>
  </si>
  <si>
    <t>ATTENTE ENLEVEMENT LIGNE HT</t>
  </si>
  <si>
    <t>LICKEL</t>
  </si>
  <si>
    <t>THOMAS-MATHIS</t>
  </si>
  <si>
    <t>enduit extérieur</t>
  </si>
  <si>
    <t>appeler client pour dallage</t>
  </si>
  <si>
    <t>suite du GO</t>
  </si>
  <si>
    <t>attente choix client</t>
  </si>
  <si>
    <t>BAC ACIER GARAGE</t>
  </si>
  <si>
    <t>RÉCAPITULATIF CHANTIERS - AVANCEMENT</t>
  </si>
  <si>
    <t>préparation dalle</t>
  </si>
  <si>
    <t>appuis à poser pour le 24/04</t>
  </si>
  <si>
    <t>dallage garage</t>
  </si>
  <si>
    <t xml:space="preserve">voir avec </t>
  </si>
  <si>
    <t>Ekotherm</t>
  </si>
  <si>
    <t>17 à partir du mercredi 26</t>
  </si>
  <si>
    <t>HANGENBIETEN</t>
  </si>
  <si>
    <t>Menuiserie int+stratifié</t>
  </si>
  <si>
    <t>Chauf PAC</t>
  </si>
  <si>
    <t>Commercial :</t>
  </si>
  <si>
    <t>Commerciaux</t>
  </si>
  <si>
    <t>GK</t>
  </si>
  <si>
    <t>FM</t>
  </si>
  <si>
    <t>J-FD</t>
  </si>
  <si>
    <t>FLEXBOURG</t>
  </si>
  <si>
    <t>Prévision cc :</t>
  </si>
  <si>
    <t>Réunion MAP</t>
  </si>
  <si>
    <t>RDV implantation</t>
  </si>
  <si>
    <t>FERNANDES</t>
  </si>
  <si>
    <t>MADER</t>
  </si>
  <si>
    <t>THOMAS-LACOMB</t>
  </si>
  <si>
    <t>WEIGEL-BIVER</t>
  </si>
  <si>
    <t>casser ouverture entre salon et maison</t>
  </si>
  <si>
    <t>23 lundi 12/06</t>
  </si>
  <si>
    <t>attente eau + elec</t>
  </si>
  <si>
    <t>Fondations</t>
  </si>
  <si>
    <t>PFETTISHEIM</t>
  </si>
  <si>
    <t>encastrement plâtre</t>
  </si>
  <si>
    <t>LUTZELHOUSE</t>
  </si>
  <si>
    <t>FARVACQUES</t>
  </si>
  <si>
    <t>WEBER</t>
  </si>
  <si>
    <t>plâtrerie en cours</t>
  </si>
  <si>
    <t>OBSERVATIONS</t>
  </si>
  <si>
    <t>sous-toiture S25</t>
  </si>
  <si>
    <t>pose menuiserie</t>
  </si>
  <si>
    <t>prise des mesures</t>
  </si>
  <si>
    <t>dalle</t>
  </si>
  <si>
    <t>encastrement plâtre (prégymétal)</t>
  </si>
  <si>
    <t>préparation avant chape</t>
  </si>
  <si>
    <t>-</t>
  </si>
  <si>
    <t>pose moteur</t>
  </si>
  <si>
    <t>charpente - couverture</t>
  </si>
  <si>
    <t>pose</t>
  </si>
  <si>
    <t>le 26/07 au plus tard</t>
  </si>
  <si>
    <t>31 fini au 04/08</t>
  </si>
  <si>
    <t>fini au 11/08</t>
  </si>
  <si>
    <t>lundi 14/08</t>
  </si>
  <si>
    <t>pas d'appareillage</t>
  </si>
  <si>
    <t>21-22/08</t>
  </si>
  <si>
    <t>23-24/08</t>
  </si>
  <si>
    <t>FAIRE AU + VITE CONSUEL</t>
  </si>
  <si>
    <t>WEYERSHEIM</t>
  </si>
  <si>
    <t>MEYER</t>
  </si>
  <si>
    <t>meyer.energies67@gmail.com</t>
  </si>
  <si>
    <t>MEYER ENERGIES</t>
  </si>
  <si>
    <t>étanchéité</t>
  </si>
  <si>
    <t>FISCHBACH-SCHMITT</t>
  </si>
  <si>
    <t>SCHMITT-THOMAS</t>
  </si>
  <si>
    <t>finitions en cours</t>
  </si>
  <si>
    <t>pose fin août selon client</t>
  </si>
  <si>
    <t>chape séchage rapide</t>
  </si>
  <si>
    <t>lundi 14/08 impérativement</t>
  </si>
  <si>
    <t>a partir du 18/07</t>
  </si>
  <si>
    <t>32 finir toutes interventions au 11/08</t>
  </si>
  <si>
    <t>32 07 et 08/08</t>
  </si>
  <si>
    <t>impératif</t>
  </si>
  <si>
    <t>début de semaine</t>
  </si>
  <si>
    <t>mise en route</t>
  </si>
  <si>
    <t>32 seulement si possible</t>
  </si>
  <si>
    <t>couvert</t>
  </si>
  <si>
    <t>réglage général</t>
  </si>
  <si>
    <t>pose PS</t>
  </si>
  <si>
    <t>zinguerie</t>
  </si>
  <si>
    <t>zinguerie + étanchéité</t>
  </si>
  <si>
    <t>couverture</t>
  </si>
  <si>
    <t>couverture zinguerie</t>
  </si>
  <si>
    <t>30-31</t>
  </si>
  <si>
    <t>ok à partir du 25</t>
  </si>
  <si>
    <t>fintion</t>
  </si>
  <si>
    <t>Chauffage P.A.C.</t>
  </si>
  <si>
    <t>Murs béton banchés</t>
  </si>
  <si>
    <t>Dalle basse RDC</t>
  </si>
  <si>
    <t>Maçonnerie RDC</t>
  </si>
  <si>
    <t>dalle haute RDC</t>
  </si>
  <si>
    <t>Maçonnerie pignons</t>
  </si>
  <si>
    <t>Dallage</t>
  </si>
  <si>
    <t>Porte de garage/de service</t>
  </si>
  <si>
    <t>Menuiserie extérieure</t>
  </si>
  <si>
    <t>Menuiserie intérieure</t>
  </si>
  <si>
    <t>Isolation de sol</t>
  </si>
  <si>
    <t>Chauffage</t>
  </si>
  <si>
    <t>Délai de construction final :</t>
  </si>
  <si>
    <t>Temps effectif de construction :</t>
  </si>
  <si>
    <t>SECOND ŒUVRE</t>
  </si>
  <si>
    <t>GROS ŒUVRE</t>
  </si>
  <si>
    <t>EXTÉRIEUR</t>
  </si>
  <si>
    <t>Stratifié</t>
  </si>
  <si>
    <t>démarrage S35</t>
  </si>
  <si>
    <t>clos couvert</t>
  </si>
  <si>
    <t>GEISLER</t>
  </si>
  <si>
    <t>RAMELET-NGUYEN</t>
  </si>
  <si>
    <t>pignons</t>
  </si>
  <si>
    <t>à receptionner</t>
  </si>
  <si>
    <t>démarrage S40</t>
  </si>
  <si>
    <t>attente men. Ext</t>
  </si>
  <si>
    <t>second œuvre</t>
  </si>
  <si>
    <t>1459,78-1459,78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</si>
</sst>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General\ &quot;mois&quot;"/>
    <numFmt numFmtId="165" formatCode="&quot;S&quot;General"/>
    <numFmt numFmtId="166" formatCode="&quot; S &quot;General"/>
    <numFmt numFmtId="167" formatCode="#,##0.00\ &quot;€&quot;"/>
    <numFmt numFmtId="168" formatCode="#,##0.00\ _€"/>
    <numFmt numFmtId="169" formatCode="#,##0.00_ ;\-#,##0.00\ "/>
  </numFmts>
  <fonts count="3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303030"/>
      <name val="Arial"/>
      <family val="2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.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D9D9"/>
        <bgColor indexed="64"/>
      </patternFill>
    </fill>
    <fill>
      <patternFill patternType="solid">
        <fgColor rgb="FFFFFEFF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0000"/>
        <bgColor theme="0" tint="-0.14999847407452621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0" tint="-0.14999847407452621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3" fillId="0" borderId="0"/>
    <xf numFmtId="0" fontId="23" fillId="0" borderId="0"/>
    <xf numFmtId="0" fontId="26" fillId="0" borderId="0" applyNumberFormat="0" applyFill="0" applyBorder="0" applyAlignment="0" applyProtection="0">
      <alignment vertical="top"/>
      <protection locked="0"/>
    </xf>
  </cellStyleXfs>
  <cellXfs count="582">
    <xf numFmtId="0" fontId="0" fillId="0" borderId="0" xfId="0"/>
    <xf numFmtId="0" fontId="5" fillId="0" borderId="2" xfId="0" applyFont="1" applyBorder="1" applyAlignment="1" applyProtection="1"/>
    <xf numFmtId="0" fontId="0" fillId="0" borderId="2" xfId="0" applyBorder="1" applyProtection="1"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6" fillId="0" borderId="0" xfId="0" applyFont="1" applyBorder="1" applyProtection="1"/>
    <xf numFmtId="0" fontId="3" fillId="0" borderId="3" xfId="0" applyFont="1" applyBorder="1" applyAlignment="1" applyProtection="1">
      <alignment horizontal="right"/>
    </xf>
    <xf numFmtId="0" fontId="7" fillId="0" borderId="3" xfId="0" applyFont="1" applyBorder="1" applyAlignment="1" applyProtection="1">
      <alignment horizontal="right"/>
    </xf>
    <xf numFmtId="0" fontId="6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right"/>
    </xf>
    <xf numFmtId="0" fontId="7" fillId="0" borderId="0" xfId="0" applyFont="1" applyBorder="1" applyAlignment="1" applyProtection="1">
      <alignment horizontal="right"/>
    </xf>
    <xf numFmtId="0" fontId="3" fillId="0" borderId="8" xfId="0" applyFont="1" applyBorder="1" applyAlignment="1" applyProtection="1">
      <alignment horizontal="right"/>
    </xf>
    <xf numFmtId="164" fontId="3" fillId="0" borderId="9" xfId="0" applyNumberFormat="1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right"/>
    </xf>
    <xf numFmtId="0" fontId="7" fillId="0" borderId="9" xfId="0" applyFont="1" applyBorder="1" applyAlignment="1" applyProtection="1">
      <alignment horizontal="right"/>
    </xf>
    <xf numFmtId="0" fontId="3" fillId="0" borderId="9" xfId="0" applyNumberFormat="1" applyFont="1" applyBorder="1" applyAlignment="1" applyProtection="1">
      <alignment horizontal="left" vertical="center"/>
      <protection locked="0"/>
    </xf>
    <xf numFmtId="0" fontId="4" fillId="0" borderId="10" xfId="0" applyNumberFormat="1" applyFont="1" applyBorder="1" applyAlignment="1" applyProtection="1">
      <alignment horizontal="left" vertical="center"/>
      <protection locked="0"/>
    </xf>
    <xf numFmtId="0" fontId="0" fillId="0" borderId="11" xfId="0" applyBorder="1" applyProtection="1">
      <protection locked="0"/>
    </xf>
    <xf numFmtId="0" fontId="0" fillId="0" borderId="3" xfId="0" applyBorder="1" applyProtection="1">
      <protection locked="0"/>
    </xf>
    <xf numFmtId="0" fontId="3" fillId="0" borderId="3" xfId="0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5" xfId="0" applyBorder="1" applyProtection="1"/>
    <xf numFmtId="0" fontId="3" fillId="0" borderId="12" xfId="0" applyFont="1" applyBorder="1" applyAlignment="1" applyProtection="1"/>
    <xf numFmtId="0" fontId="3" fillId="0" borderId="13" xfId="0" applyFont="1" applyBorder="1" applyAlignment="1" applyProtection="1"/>
    <xf numFmtId="0" fontId="1" fillId="0" borderId="14" xfId="0" applyFont="1" applyFill="1" applyBorder="1" applyAlignment="1" applyProtection="1"/>
    <xf numFmtId="0" fontId="0" fillId="0" borderId="14" xfId="0" applyBorder="1" applyAlignment="1" applyProtection="1">
      <alignment horizontal="center"/>
    </xf>
    <xf numFmtId="0" fontId="0" fillId="2" borderId="10" xfId="0" applyFill="1" applyBorder="1" applyProtection="1">
      <protection locked="0"/>
    </xf>
    <xf numFmtId="165" fontId="0" fillId="2" borderId="1" xfId="0" applyNumberFormat="1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10" fillId="2" borderId="8" xfId="0" applyNumberFormat="1" applyFont="1" applyFill="1" applyBorder="1" applyAlignment="1" applyProtection="1">
      <alignment horizontal="center"/>
    </xf>
    <xf numFmtId="0" fontId="0" fillId="2" borderId="4" xfId="0" applyFill="1" applyBorder="1" applyProtection="1"/>
    <xf numFmtId="165" fontId="2" fillId="2" borderId="1" xfId="0" applyNumberFormat="1" applyFont="1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0" xfId="0" applyFill="1" applyProtection="1"/>
    <xf numFmtId="0" fontId="0" fillId="0" borderId="17" xfId="0" applyFont="1" applyBorder="1"/>
    <xf numFmtId="165" fontId="0" fillId="0" borderId="1" xfId="0" applyNumberFormat="1" applyBorder="1" applyAlignment="1" applyProtection="1">
      <alignment wrapText="1"/>
      <protection locked="0"/>
    </xf>
    <xf numFmtId="0" fontId="0" fillId="0" borderId="4" xfId="0" applyBorder="1" applyProtection="1">
      <protection locked="0"/>
    </xf>
    <xf numFmtId="0" fontId="0" fillId="0" borderId="17" xfId="0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</xf>
    <xf numFmtId="0" fontId="0" fillId="0" borderId="18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NumberFormat="1" applyBorder="1" applyProtection="1">
      <protection locked="0"/>
    </xf>
    <xf numFmtId="0" fontId="9" fillId="0" borderId="9" xfId="0" applyFont="1" applyBorder="1" applyAlignment="1" applyProtection="1"/>
    <xf numFmtId="0" fontId="1" fillId="0" borderId="14" xfId="0" applyFont="1" applyBorder="1" applyAlignment="1" applyProtection="1"/>
    <xf numFmtId="0" fontId="0" fillId="5" borderId="10" xfId="0" applyFill="1" applyBorder="1" applyProtection="1"/>
    <xf numFmtId="165" fontId="0" fillId="0" borderId="8" xfId="0" applyNumberFormat="1" applyBorder="1" applyAlignment="1" applyProtection="1">
      <alignment wrapText="1"/>
      <protection locked="0"/>
    </xf>
    <xf numFmtId="0" fontId="0" fillId="0" borderId="16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4" xfId="0" applyFont="1" applyBorder="1" applyProtection="1"/>
    <xf numFmtId="0" fontId="0" fillId="5" borderId="4" xfId="0" applyFill="1" applyBorder="1" applyProtection="1"/>
    <xf numFmtId="0" fontId="0" fillId="0" borderId="4" xfId="0" applyBorder="1" applyProtection="1"/>
    <xf numFmtId="0" fontId="0" fillId="0" borderId="4" xfId="0" applyFill="1" applyBorder="1" applyProtection="1"/>
    <xf numFmtId="0" fontId="0" fillId="0" borderId="6" xfId="0" applyBorder="1" applyProtection="1"/>
    <xf numFmtId="165" fontId="0" fillId="0" borderId="11" xfId="0" applyNumberFormat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Protection="1"/>
    <xf numFmtId="0" fontId="3" fillId="0" borderId="13" xfId="0" applyFont="1" applyBorder="1" applyAlignment="1" applyProtection="1">
      <alignment horizontal="left"/>
    </xf>
    <xf numFmtId="0" fontId="3" fillId="0" borderId="14" xfId="0" applyFont="1" applyBorder="1" applyAlignment="1" applyProtection="1">
      <alignment horizontal="left"/>
    </xf>
    <xf numFmtId="0" fontId="3" fillId="0" borderId="12" xfId="0" applyFont="1" applyBorder="1" applyAlignment="1" applyProtection="1">
      <alignment horizontal="left"/>
    </xf>
    <xf numFmtId="0" fontId="0" fillId="5" borderId="10" xfId="0" applyFont="1" applyFill="1" applyBorder="1" applyProtection="1"/>
    <xf numFmtId="166" fontId="0" fillId="0" borderId="19" xfId="0" applyNumberFormat="1" applyBorder="1" applyAlignment="1" applyProtection="1">
      <alignment wrapText="1"/>
      <protection locked="0"/>
    </xf>
    <xf numFmtId="0" fontId="0" fillId="0" borderId="0" xfId="0" applyFont="1" applyBorder="1" applyProtection="1">
      <protection locked="0"/>
    </xf>
    <xf numFmtId="0" fontId="8" fillId="0" borderId="5" xfId="0" applyFont="1" applyBorder="1" applyAlignment="1" applyProtection="1">
      <alignment horizontal="left"/>
    </xf>
    <xf numFmtId="0" fontId="3" fillId="0" borderId="20" xfId="0" applyFont="1" applyBorder="1" applyAlignment="1" applyProtection="1">
      <alignment horizontal="left"/>
    </xf>
    <xf numFmtId="0" fontId="3" fillId="0" borderId="21" xfId="0" applyFont="1" applyBorder="1" applyAlignment="1" applyProtection="1">
      <alignment horizontal="left"/>
    </xf>
    <xf numFmtId="0" fontId="3" fillId="0" borderId="22" xfId="0" applyFont="1" applyBorder="1" applyAlignment="1" applyProtection="1">
      <alignment horizontal="left"/>
    </xf>
    <xf numFmtId="0" fontId="3" fillId="0" borderId="23" xfId="0" applyFont="1" applyBorder="1" applyAlignment="1" applyProtection="1">
      <alignment horizontal="left"/>
    </xf>
    <xf numFmtId="0" fontId="0" fillId="0" borderId="5" xfId="0" applyBorder="1" applyAlignment="1" applyProtection="1">
      <alignment horizontal="right"/>
      <protection locked="0"/>
    </xf>
    <xf numFmtId="0" fontId="0" fillId="0" borderId="1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Font="1" applyBorder="1" applyProtection="1">
      <protection locked="0"/>
    </xf>
    <xf numFmtId="0" fontId="11" fillId="0" borderId="11" xfId="0" applyFont="1" applyBorder="1" applyProtection="1"/>
    <xf numFmtId="0" fontId="8" fillId="0" borderId="0" xfId="0" applyFont="1" applyBorder="1" applyProtection="1"/>
    <xf numFmtId="0" fontId="0" fillId="0" borderId="17" xfId="0" applyBorder="1" applyProtection="1"/>
    <xf numFmtId="14" fontId="0" fillId="0" borderId="17" xfId="0" applyNumberFormat="1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18" xfId="0" applyBorder="1" applyProtection="1"/>
    <xf numFmtId="0" fontId="0" fillId="0" borderId="24" xfId="0" applyBorder="1" applyProtection="1"/>
    <xf numFmtId="14" fontId="0" fillId="0" borderId="24" xfId="0" applyNumberFormat="1" applyBorder="1" applyProtection="1"/>
    <xf numFmtId="0" fontId="12" fillId="2" borderId="8" xfId="0" applyNumberFormat="1" applyFont="1" applyFill="1" applyBorder="1" applyAlignment="1" applyProtection="1">
      <alignment horizontal="center"/>
    </xf>
    <xf numFmtId="0" fontId="3" fillId="0" borderId="14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 wrapText="1"/>
    </xf>
    <xf numFmtId="0" fontId="0" fillId="2" borderId="15" xfId="0" applyNumberFormat="1" applyFill="1" applyBorder="1" applyAlignment="1" applyProtection="1">
      <alignment horizontal="center" wrapText="1"/>
    </xf>
    <xf numFmtId="0" fontId="0" fillId="3" borderId="15" xfId="0" applyFill="1" applyBorder="1" applyAlignment="1" applyProtection="1">
      <alignment horizontal="center" wrapText="1"/>
    </xf>
    <xf numFmtId="0" fontId="0" fillId="4" borderId="17" xfId="0" applyFill="1" applyBorder="1" applyAlignment="1" applyProtection="1">
      <alignment horizontal="center" wrapText="1"/>
    </xf>
    <xf numFmtId="0" fontId="0" fillId="6" borderId="4" xfId="0" applyFill="1" applyBorder="1" applyProtection="1"/>
    <xf numFmtId="0" fontId="0" fillId="6" borderId="17" xfId="0" applyFill="1" applyBorder="1" applyAlignment="1" applyProtection="1">
      <alignment horizontal="center" wrapText="1"/>
    </xf>
    <xf numFmtId="166" fontId="0" fillId="6" borderId="1" xfId="0" applyNumberFormat="1" applyFill="1" applyBorder="1" applyAlignment="1" applyProtection="1">
      <alignment wrapText="1"/>
      <protection locked="0"/>
    </xf>
    <xf numFmtId="0" fontId="0" fillId="6" borderId="4" xfId="0" applyFill="1" applyBorder="1" applyProtection="1">
      <protection locked="0"/>
    </xf>
    <xf numFmtId="0" fontId="0" fillId="6" borderId="17" xfId="0" applyFill="1" applyBorder="1" applyProtection="1">
      <protection locked="0"/>
    </xf>
    <xf numFmtId="0" fontId="10" fillId="6" borderId="8" xfId="0" applyNumberFormat="1" applyFont="1" applyFill="1" applyBorder="1" applyAlignment="1" applyProtection="1">
      <alignment horizontal="center"/>
    </xf>
    <xf numFmtId="0" fontId="0" fillId="6" borderId="15" xfId="0" applyFill="1" applyBorder="1" applyAlignment="1" applyProtection="1">
      <alignment horizontal="center" wrapText="1"/>
    </xf>
    <xf numFmtId="165" fontId="0" fillId="6" borderId="1" xfId="0" applyNumberFormat="1" applyFill="1" applyBorder="1" applyAlignment="1" applyProtection="1">
      <alignment wrapText="1"/>
      <protection locked="0"/>
    </xf>
    <xf numFmtId="0" fontId="0" fillId="7" borderId="4" xfId="0" applyFill="1" applyBorder="1" applyProtection="1"/>
    <xf numFmtId="0" fontId="0" fillId="6" borderId="15" xfId="0" applyNumberFormat="1" applyFill="1" applyBorder="1" applyAlignment="1" applyProtection="1">
      <alignment horizontal="center" wrapText="1"/>
    </xf>
    <xf numFmtId="0" fontId="12" fillId="6" borderId="8" xfId="0" applyNumberFormat="1" applyFont="1" applyFill="1" applyBorder="1" applyAlignment="1" applyProtection="1">
      <alignment horizontal="center"/>
    </xf>
    <xf numFmtId="0" fontId="0" fillId="8" borderId="10" xfId="0" applyFill="1" applyBorder="1" applyProtection="1"/>
    <xf numFmtId="165" fontId="0" fillId="6" borderId="8" xfId="0" applyNumberFormat="1" applyFill="1" applyBorder="1" applyAlignment="1" applyProtection="1">
      <alignment wrapText="1"/>
      <protection locked="0"/>
    </xf>
    <xf numFmtId="0" fontId="0" fillId="6" borderId="16" xfId="0" applyFill="1" applyBorder="1" applyProtection="1">
      <protection locked="0"/>
    </xf>
    <xf numFmtId="0" fontId="0" fillId="6" borderId="15" xfId="0" applyFill="1" applyBorder="1" applyProtection="1">
      <protection locked="0"/>
    </xf>
    <xf numFmtId="0" fontId="0" fillId="9" borderId="4" xfId="0" applyFill="1" applyBorder="1" applyProtection="1"/>
    <xf numFmtId="0" fontId="0" fillId="9" borderId="15" xfId="0" applyFill="1" applyBorder="1" applyAlignment="1" applyProtection="1">
      <alignment horizontal="center" wrapText="1"/>
    </xf>
    <xf numFmtId="165" fontId="0" fillId="9" borderId="1" xfId="0" applyNumberFormat="1" applyFill="1" applyBorder="1" applyAlignment="1" applyProtection="1">
      <alignment wrapText="1"/>
      <protection locked="0"/>
    </xf>
    <xf numFmtId="0" fontId="0" fillId="9" borderId="4" xfId="0" applyFill="1" applyBorder="1" applyProtection="1">
      <protection locked="0"/>
    </xf>
    <xf numFmtId="0" fontId="0" fillId="9" borderId="17" xfId="0" applyFill="1" applyBorder="1" applyProtection="1">
      <protection locked="0"/>
    </xf>
    <xf numFmtId="0" fontId="10" fillId="9" borderId="8" xfId="0" applyNumberFormat="1" applyFont="1" applyFill="1" applyBorder="1" applyAlignment="1" applyProtection="1">
      <alignment horizontal="center"/>
    </xf>
    <xf numFmtId="0" fontId="0" fillId="9" borderId="17" xfId="0" applyFill="1" applyBorder="1" applyAlignment="1" applyProtection="1">
      <alignment horizontal="center" wrapText="1"/>
    </xf>
    <xf numFmtId="0" fontId="0" fillId="10" borderId="4" xfId="0" applyFill="1" applyBorder="1" applyProtection="1"/>
    <xf numFmtId="0" fontId="0" fillId="10" borderId="10" xfId="0" applyFont="1" applyFill="1" applyBorder="1" applyProtection="1"/>
    <xf numFmtId="166" fontId="0" fillId="9" borderId="19" xfId="0" applyNumberFormat="1" applyFill="1" applyBorder="1" applyAlignment="1" applyProtection="1">
      <alignment wrapText="1"/>
      <protection locked="0"/>
    </xf>
    <xf numFmtId="0" fontId="0" fillId="9" borderId="16" xfId="0" applyFill="1" applyBorder="1" applyProtection="1">
      <protection locked="0"/>
    </xf>
    <xf numFmtId="0" fontId="0" fillId="9" borderId="15" xfId="0" applyFill="1" applyBorder="1" applyProtection="1">
      <protection locked="0"/>
    </xf>
    <xf numFmtId="166" fontId="0" fillId="9" borderId="1" xfId="0" applyNumberFormat="1" applyFill="1" applyBorder="1" applyAlignment="1" applyProtection="1">
      <alignment wrapText="1"/>
      <protection locked="0"/>
    </xf>
    <xf numFmtId="0" fontId="0" fillId="9" borderId="6" xfId="0" applyFont="1" applyFill="1" applyBorder="1" applyProtection="1"/>
    <xf numFmtId="0" fontId="0" fillId="9" borderId="18" xfId="0" applyFill="1" applyBorder="1" applyProtection="1">
      <protection locked="0"/>
    </xf>
    <xf numFmtId="0" fontId="0" fillId="9" borderId="6" xfId="0" applyFill="1" applyBorder="1" applyProtection="1"/>
    <xf numFmtId="165" fontId="0" fillId="9" borderId="11" xfId="0" applyNumberFormat="1" applyFill="1" applyBorder="1" applyAlignment="1" applyProtection="1">
      <alignment wrapText="1"/>
      <protection locked="0"/>
    </xf>
    <xf numFmtId="0" fontId="0" fillId="9" borderId="6" xfId="0" applyFill="1" applyBorder="1" applyProtection="1">
      <protection locked="0"/>
    </xf>
    <xf numFmtId="0" fontId="3" fillId="0" borderId="8" xfId="0" applyFont="1" applyBorder="1" applyAlignment="1" applyProtection="1">
      <alignment horizontal="left"/>
    </xf>
    <xf numFmtId="0" fontId="15" fillId="2" borderId="8" xfId="0" applyNumberFormat="1" applyFont="1" applyFill="1" applyBorder="1" applyAlignment="1" applyProtection="1">
      <alignment horizontal="center"/>
    </xf>
    <xf numFmtId="0" fontId="16" fillId="0" borderId="0" xfId="0" applyFont="1"/>
    <xf numFmtId="14" fontId="0" fillId="0" borderId="0" xfId="0" applyNumberFormat="1"/>
    <xf numFmtId="0" fontId="0" fillId="0" borderId="5" xfId="0" applyBorder="1" applyAlignment="1" applyProtection="1">
      <alignment horizontal="center" vertical="center"/>
    </xf>
    <xf numFmtId="0" fontId="0" fillId="2" borderId="17" xfId="0" applyFont="1" applyFill="1" applyBorder="1"/>
    <xf numFmtId="0" fontId="0" fillId="2" borderId="18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NumberFormat="1" applyFill="1" applyBorder="1" applyProtection="1">
      <protection locked="0"/>
    </xf>
    <xf numFmtId="0" fontId="9" fillId="2" borderId="9" xfId="0" applyFont="1" applyFill="1" applyBorder="1" applyAlignment="1" applyProtection="1"/>
    <xf numFmtId="0" fontId="3" fillId="2" borderId="12" xfId="0" applyFont="1" applyFill="1" applyBorder="1" applyAlignment="1" applyProtection="1"/>
    <xf numFmtId="0" fontId="3" fillId="2" borderId="13" xfId="0" applyFont="1" applyFill="1" applyBorder="1" applyAlignment="1" applyProtection="1"/>
    <xf numFmtId="0" fontId="1" fillId="2" borderId="14" xfId="0" applyFont="1" applyFill="1" applyBorder="1" applyAlignment="1" applyProtection="1"/>
    <xf numFmtId="0" fontId="3" fillId="2" borderId="14" xfId="0" applyFont="1" applyFill="1" applyBorder="1" applyAlignment="1" applyProtection="1">
      <alignment horizontal="center"/>
    </xf>
    <xf numFmtId="0" fontId="0" fillId="7" borderId="10" xfId="0" applyFill="1" applyBorder="1" applyProtection="1"/>
    <xf numFmtId="165" fontId="0" fillId="2" borderId="8" xfId="0" applyNumberFormat="1" applyFill="1" applyBorder="1" applyAlignment="1" applyProtection="1">
      <alignment wrapText="1"/>
      <protection locked="0"/>
    </xf>
    <xf numFmtId="0" fontId="0" fillId="2" borderId="4" xfId="0" applyFont="1" applyFill="1" applyBorder="1" applyProtection="1"/>
    <xf numFmtId="0" fontId="0" fillId="2" borderId="6" xfId="0" applyFill="1" applyBorder="1" applyProtection="1"/>
    <xf numFmtId="165" fontId="0" fillId="2" borderId="11" xfId="0" applyNumberFormat="1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0" fontId="0" fillId="2" borderId="0" xfId="0" applyFill="1" applyBorder="1" applyProtection="1"/>
    <xf numFmtId="0" fontId="3" fillId="2" borderId="13" xfId="0" applyFont="1" applyFill="1" applyBorder="1" applyAlignment="1" applyProtection="1">
      <alignment horizontal="left"/>
    </xf>
    <xf numFmtId="0" fontId="3" fillId="2" borderId="14" xfId="0" applyFont="1" applyFill="1" applyBorder="1" applyAlignment="1" applyProtection="1">
      <alignment horizontal="left"/>
    </xf>
    <xf numFmtId="0" fontId="3" fillId="2" borderId="12" xfId="0" applyFont="1" applyFill="1" applyBorder="1" applyAlignment="1" applyProtection="1">
      <alignment horizontal="left"/>
    </xf>
    <xf numFmtId="0" fontId="3" fillId="2" borderId="13" xfId="0" applyFont="1" applyFill="1" applyBorder="1" applyAlignment="1" applyProtection="1">
      <alignment horizontal="center"/>
    </xf>
    <xf numFmtId="0" fontId="0" fillId="7" borderId="10" xfId="0" applyFont="1" applyFill="1" applyBorder="1" applyProtection="1"/>
    <xf numFmtId="166" fontId="0" fillId="2" borderId="19" xfId="0" applyNumberFormat="1" applyFill="1" applyBorder="1" applyAlignment="1" applyProtection="1">
      <alignment wrapText="1"/>
      <protection locked="0"/>
    </xf>
    <xf numFmtId="166" fontId="0" fillId="2" borderId="1" xfId="0" applyNumberFormat="1" applyFill="1" applyBorder="1" applyAlignment="1" applyProtection="1">
      <alignment wrapText="1"/>
      <protection locked="0"/>
    </xf>
    <xf numFmtId="0" fontId="0" fillId="2" borderId="6" xfId="0" applyFont="1" applyFill="1" applyBorder="1" applyProtection="1"/>
    <xf numFmtId="0" fontId="21" fillId="6" borderId="4" xfId="0" applyFont="1" applyFill="1" applyBorder="1" applyProtection="1"/>
    <xf numFmtId="0" fontId="21" fillId="6" borderId="15" xfId="0" applyFont="1" applyFill="1" applyBorder="1" applyAlignment="1" applyProtection="1">
      <alignment horizontal="center" wrapText="1"/>
    </xf>
    <xf numFmtId="165" fontId="21" fillId="6" borderId="1" xfId="0" applyNumberFormat="1" applyFont="1" applyFill="1" applyBorder="1" applyAlignment="1" applyProtection="1">
      <alignment wrapText="1"/>
      <protection locked="0"/>
    </xf>
    <xf numFmtId="0" fontId="21" fillId="6" borderId="4" xfId="0" applyFont="1" applyFill="1" applyBorder="1" applyProtection="1">
      <protection locked="0"/>
    </xf>
    <xf numFmtId="0" fontId="21" fillId="6" borderId="17" xfId="0" applyFont="1" applyFill="1" applyBorder="1" applyProtection="1">
      <protection locked="0"/>
    </xf>
    <xf numFmtId="0" fontId="22" fillId="6" borderId="8" xfId="0" applyNumberFormat="1" applyFont="1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</xf>
    <xf numFmtId="0" fontId="21" fillId="6" borderId="17" xfId="0" applyFont="1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/>
    </xf>
    <xf numFmtId="166" fontId="21" fillId="6" borderId="1" xfId="0" applyNumberFormat="1" applyFont="1" applyFill="1" applyBorder="1" applyAlignment="1" applyProtection="1">
      <alignment wrapText="1"/>
      <protection locked="0"/>
    </xf>
    <xf numFmtId="0" fontId="0" fillId="7" borderId="4" xfId="0" applyFont="1" applyFill="1" applyBorder="1" applyProtection="1"/>
    <xf numFmtId="0" fontId="0" fillId="2" borderId="15" xfId="0" applyFont="1" applyFill="1" applyBorder="1" applyAlignment="1" applyProtection="1">
      <alignment horizontal="center" wrapText="1"/>
    </xf>
    <xf numFmtId="166" fontId="0" fillId="2" borderId="1" xfId="0" applyNumberFormat="1" applyFont="1" applyFill="1" applyBorder="1" applyAlignment="1" applyProtection="1">
      <alignment wrapText="1"/>
      <protection locked="0"/>
    </xf>
    <xf numFmtId="0" fontId="0" fillId="2" borderId="4" xfId="0" applyFont="1" applyFill="1" applyBorder="1" applyProtection="1">
      <protection locked="0"/>
    </xf>
    <xf numFmtId="0" fontId="0" fillId="2" borderId="17" xfId="0" applyFont="1" applyFill="1" applyBorder="1" applyProtection="1">
      <protection locked="0"/>
    </xf>
    <xf numFmtId="0" fontId="21" fillId="6" borderId="15" xfId="0" applyFont="1" applyFill="1" applyBorder="1" applyAlignment="1" applyProtection="1">
      <alignment horizontal="center"/>
    </xf>
    <xf numFmtId="14" fontId="0" fillId="0" borderId="15" xfId="0" applyNumberFormat="1" applyBorder="1" applyProtection="1">
      <protection locked="0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19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left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24" fillId="0" borderId="25" xfId="0" applyFont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26" fillId="0" borderId="0" xfId="3" applyAlignment="1" applyProtection="1"/>
    <xf numFmtId="0" fontId="26" fillId="0" borderId="0" xfId="3" applyAlignment="1" applyProtection="1">
      <alignment wrapText="1"/>
    </xf>
    <xf numFmtId="0" fontId="0" fillId="0" borderId="0" xfId="0" applyFill="1" applyBorder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9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Fill="1" applyAlignment="1">
      <alignment horizontal="center"/>
    </xf>
    <xf numFmtId="0" fontId="28" fillId="0" borderId="5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left"/>
    </xf>
    <xf numFmtId="0" fontId="30" fillId="0" borderId="0" xfId="0" applyFont="1" applyAlignment="1">
      <alignment horizontal="center" vertical="center"/>
    </xf>
    <xf numFmtId="0" fontId="8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horizontal="right"/>
      <protection locked="0"/>
    </xf>
    <xf numFmtId="0" fontId="11" fillId="0" borderId="3" xfId="0" applyFont="1" applyBorder="1" applyProtection="1"/>
    <xf numFmtId="167" fontId="31" fillId="0" borderId="17" xfId="0" applyNumberFormat="1" applyFont="1" applyBorder="1" applyAlignment="1" applyProtection="1">
      <alignment horizontal="center"/>
    </xf>
    <xf numFmtId="167" fontId="31" fillId="0" borderId="5" xfId="0" applyNumberFormat="1" applyFont="1" applyBorder="1" applyAlignment="1" applyProtection="1">
      <alignment horizontal="center"/>
    </xf>
    <xf numFmtId="167" fontId="31" fillId="0" borderId="5" xfId="0" applyNumberFormat="1" applyFont="1" applyBorder="1" applyAlignment="1" applyProtection="1">
      <alignment horizontal="center"/>
      <protection locked="0"/>
    </xf>
    <xf numFmtId="167" fontId="31" fillId="0" borderId="0" xfId="0" applyNumberFormat="1" applyFont="1" applyBorder="1" applyAlignment="1" applyProtection="1">
      <alignment horizontal="center"/>
      <protection locked="0"/>
    </xf>
    <xf numFmtId="167" fontId="32" fillId="0" borderId="5" xfId="0" applyNumberFormat="1" applyFont="1" applyBorder="1" applyAlignment="1" applyProtection="1">
      <alignment horizontal="center"/>
    </xf>
    <xf numFmtId="167" fontId="32" fillId="0" borderId="0" xfId="0" applyNumberFormat="1" applyFont="1" applyBorder="1" applyAlignment="1" applyProtection="1">
      <alignment horizontal="center"/>
    </xf>
    <xf numFmtId="167" fontId="31" fillId="0" borderId="0" xfId="0" applyNumberFormat="1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3" fillId="0" borderId="9" xfId="0" applyFont="1" applyBorder="1" applyAlignment="1" applyProtection="1">
      <alignment horizontal="left"/>
    </xf>
    <xf numFmtId="0" fontId="28" fillId="0" borderId="0" xfId="0" applyFont="1" applyBorder="1" applyAlignment="1" applyProtection="1">
      <alignment horizontal="center" vertical="center"/>
    </xf>
    <xf numFmtId="0" fontId="33" fillId="0" borderId="17" xfId="0" applyFont="1" applyBorder="1" applyAlignment="1" applyProtection="1">
      <alignment horizontal="center" vertical="center"/>
    </xf>
    <xf numFmtId="0" fontId="33" fillId="0" borderId="5" xfId="0" applyFont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center" vertical="center"/>
    </xf>
    <xf numFmtId="0" fontId="33" fillId="0" borderId="5" xfId="0" applyFont="1" applyBorder="1" applyAlignment="1" applyProtection="1">
      <alignment horizontal="center" vertical="center"/>
      <protection locked="0"/>
    </xf>
    <xf numFmtId="0" fontId="33" fillId="0" borderId="0" xfId="0" applyFont="1" applyBorder="1" applyAlignment="1" applyProtection="1">
      <alignment horizontal="center" vertical="center"/>
      <protection locked="0"/>
    </xf>
    <xf numFmtId="0" fontId="32" fillId="0" borderId="5" xfId="0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center"/>
    </xf>
    <xf numFmtId="0" fontId="33" fillId="0" borderId="10" xfId="0" applyFont="1" applyBorder="1" applyAlignment="1" applyProtection="1">
      <alignment horizontal="center" vertical="center"/>
    </xf>
    <xf numFmtId="0" fontId="33" fillId="0" borderId="17" xfId="0" applyFont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8" fontId="31" fillId="0" borderId="10" xfId="0" applyNumberFormat="1" applyFont="1" applyBorder="1" applyAlignment="1" applyProtection="1">
      <alignment horizontal="center" vertical="center"/>
    </xf>
    <xf numFmtId="168" fontId="31" fillId="11" borderId="5" xfId="0" applyNumberFormat="1" applyFont="1" applyFill="1" applyBorder="1" applyAlignment="1" applyProtection="1">
      <alignment horizontal="center" vertical="center"/>
    </xf>
    <xf numFmtId="168" fontId="31" fillId="11" borderId="0" xfId="0" applyNumberFormat="1" applyFont="1" applyFill="1" applyBorder="1" applyAlignment="1" applyProtection="1">
      <alignment horizontal="center" vertical="center"/>
    </xf>
    <xf numFmtId="168" fontId="31" fillId="11" borderId="17" xfId="0" applyNumberFormat="1" applyFont="1" applyFill="1" applyBorder="1" applyAlignment="1" applyProtection="1">
      <alignment horizontal="center" vertical="center"/>
    </xf>
    <xf numFmtId="168" fontId="31" fillId="0" borderId="5" xfId="0" applyNumberFormat="1" applyFont="1" applyBorder="1" applyAlignment="1" applyProtection="1">
      <alignment horizontal="center" vertical="center"/>
    </xf>
    <xf numFmtId="168" fontId="31" fillId="0" borderId="0" xfId="0" applyNumberFormat="1" applyFont="1" applyBorder="1" applyAlignment="1" applyProtection="1">
      <alignment horizontal="center" vertical="center"/>
    </xf>
    <xf numFmtId="168" fontId="31" fillId="0" borderId="5" xfId="0" applyNumberFormat="1" applyFont="1" applyBorder="1" applyAlignment="1" applyProtection="1">
      <alignment horizontal="center" vertical="center"/>
      <protection locked="0"/>
    </xf>
    <xf numFmtId="168" fontId="31" fillId="0" borderId="0" xfId="0" applyNumberFormat="1" applyFont="1" applyBorder="1" applyAlignment="1" applyProtection="1">
      <alignment horizontal="center" vertical="center"/>
      <protection locked="0"/>
    </xf>
    <xf numFmtId="168" fontId="32" fillId="0" borderId="5" xfId="0" applyNumberFormat="1" applyFont="1" applyBorder="1" applyAlignment="1" applyProtection="1">
      <alignment horizontal="center" vertical="center"/>
    </xf>
    <xf numFmtId="168" fontId="32" fillId="0" borderId="0" xfId="0" applyNumberFormat="1" applyFont="1" applyBorder="1" applyAlignment="1" applyProtection="1">
      <alignment horizontal="center" vertical="center"/>
    </xf>
    <xf numFmtId="168" fontId="31" fillId="0" borderId="17" xfId="0" applyNumberFormat="1" applyFont="1" applyBorder="1" applyAlignment="1" applyProtection="1">
      <alignment horizontal="center" vertical="center"/>
    </xf>
    <xf numFmtId="0" fontId="31" fillId="0" borderId="5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</xf>
    <xf numFmtId="167" fontId="31" fillId="11" borderId="17" xfId="0" applyNumberFormat="1" applyFont="1" applyFill="1" applyBorder="1" applyAlignment="1" applyProtection="1">
      <alignment horizontal="center" vertical="center"/>
    </xf>
    <xf numFmtId="167" fontId="33" fillId="11" borderId="17" xfId="0" applyNumberFormat="1" applyFont="1" applyFill="1" applyBorder="1" applyAlignment="1" applyProtection="1">
      <alignment horizontal="center" vertical="center"/>
    </xf>
    <xf numFmtId="167" fontId="31" fillId="11" borderId="5" xfId="0" applyNumberFormat="1" applyFont="1" applyFill="1" applyBorder="1" applyAlignment="1" applyProtection="1">
      <alignment horizontal="center" vertical="center"/>
    </xf>
    <xf numFmtId="167" fontId="31" fillId="0" borderId="5" xfId="0" applyNumberFormat="1" applyFont="1" applyBorder="1" applyAlignment="1" applyProtection="1">
      <alignment horizontal="center" vertical="center"/>
    </xf>
    <xf numFmtId="167" fontId="31" fillId="0" borderId="0" xfId="0" applyNumberFormat="1" applyFont="1" applyBorder="1" applyAlignment="1" applyProtection="1">
      <alignment horizontal="center" vertical="center"/>
    </xf>
    <xf numFmtId="167" fontId="31" fillId="11" borderId="5" xfId="0" applyNumberFormat="1" applyFont="1" applyFill="1" applyBorder="1" applyAlignment="1" applyProtection="1">
      <alignment horizontal="center"/>
    </xf>
    <xf numFmtId="167" fontId="31" fillId="11" borderId="17" xfId="0" applyNumberFormat="1" applyFont="1" applyFill="1" applyBorder="1" applyAlignment="1" applyProtection="1">
      <alignment horizontal="center"/>
    </xf>
    <xf numFmtId="167" fontId="31" fillId="0" borderId="5" xfId="0" applyNumberFormat="1" applyFont="1" applyFill="1" applyBorder="1" applyAlignment="1" applyProtection="1">
      <alignment horizontal="center"/>
    </xf>
    <xf numFmtId="167" fontId="31" fillId="0" borderId="0" xfId="0" applyNumberFormat="1" applyFont="1" applyFill="1" applyBorder="1" applyAlignment="1" applyProtection="1">
      <alignment horizontal="center"/>
    </xf>
    <xf numFmtId="167" fontId="31" fillId="0" borderId="5" xfId="0" applyNumberFormat="1" applyFont="1" applyFill="1" applyBorder="1" applyAlignment="1" applyProtection="1">
      <alignment horizontal="center"/>
      <protection locked="0"/>
    </xf>
    <xf numFmtId="167" fontId="31" fillId="0" borderId="0" xfId="0" applyNumberFormat="1" applyFont="1" applyFill="1" applyBorder="1" applyAlignment="1" applyProtection="1">
      <alignment horizontal="center"/>
      <protection locked="0"/>
    </xf>
    <xf numFmtId="167" fontId="32" fillId="0" borderId="5" xfId="0" applyNumberFormat="1" applyFont="1" applyFill="1" applyBorder="1" applyAlignment="1" applyProtection="1">
      <alignment horizontal="center"/>
    </xf>
    <xf numFmtId="167" fontId="32" fillId="0" borderId="0" xfId="0" applyNumberFormat="1" applyFont="1" applyFill="1" applyBorder="1" applyAlignment="1" applyProtection="1">
      <alignment horizontal="center"/>
    </xf>
    <xf numFmtId="167" fontId="31" fillId="0" borderId="17" xfId="0" applyNumberFormat="1" applyFont="1" applyFill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 vertical="center"/>
    </xf>
    <xf numFmtId="0" fontId="0" fillId="0" borderId="0" xfId="0" applyFill="1" applyAlignment="1"/>
    <xf numFmtId="0" fontId="26" fillId="0" borderId="0" xfId="3" applyFill="1" applyAlignment="1" applyProtection="1"/>
    <xf numFmtId="0" fontId="10" fillId="0" borderId="8" xfId="0" applyNumberFormat="1" applyFont="1" applyFill="1" applyBorder="1" applyAlignment="1" applyProtection="1">
      <alignment horizontal="center"/>
    </xf>
    <xf numFmtId="167" fontId="33" fillId="0" borderId="17" xfId="0" applyNumberFormat="1" applyFont="1" applyBorder="1" applyAlignment="1" applyProtection="1">
      <alignment horizontal="center" vertical="center"/>
    </xf>
    <xf numFmtId="167" fontId="33" fillId="0" borderId="5" xfId="0" applyNumberFormat="1" applyFont="1" applyBorder="1" applyAlignment="1" applyProtection="1">
      <alignment horizontal="center" vertical="center"/>
    </xf>
    <xf numFmtId="167" fontId="33" fillId="0" borderId="0" xfId="0" applyNumberFormat="1" applyFont="1" applyBorder="1" applyAlignment="1" applyProtection="1">
      <alignment horizontal="center" vertical="center"/>
    </xf>
    <xf numFmtId="167" fontId="33" fillId="0" borderId="5" xfId="0" applyNumberFormat="1" applyFont="1" applyBorder="1" applyAlignment="1" applyProtection="1">
      <alignment horizontal="center" vertical="center"/>
      <protection locked="0"/>
    </xf>
    <xf numFmtId="167" fontId="33" fillId="0" borderId="0" xfId="0" applyNumberFormat="1" applyFont="1" applyBorder="1" applyAlignment="1" applyProtection="1">
      <alignment horizontal="center" vertical="center"/>
      <protection locked="0"/>
    </xf>
    <xf numFmtId="167" fontId="32" fillId="0" borderId="5" xfId="0" applyNumberFormat="1" applyFont="1" applyBorder="1" applyAlignment="1" applyProtection="1">
      <alignment horizontal="center" vertical="center"/>
    </xf>
    <xf numFmtId="167" fontId="32" fillId="0" borderId="0" xfId="0" applyNumberFormat="1" applyFont="1" applyBorder="1" applyAlignment="1" applyProtection="1">
      <alignment horizontal="center" vertical="center"/>
    </xf>
    <xf numFmtId="167" fontId="33" fillId="0" borderId="10" xfId="0" applyNumberFormat="1" applyFont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center" vertical="center"/>
    </xf>
    <xf numFmtId="0" fontId="0" fillId="0" borderId="17" xfId="0" applyBorder="1" applyAlignment="1" applyProtection="1">
      <alignment horizontal="right"/>
      <protection locked="0"/>
    </xf>
    <xf numFmtId="44" fontId="0" fillId="0" borderId="0" xfId="0" applyNumberFormat="1"/>
    <xf numFmtId="167" fontId="0" fillId="0" borderId="0" xfId="0" applyNumberFormat="1"/>
    <xf numFmtId="167" fontId="33" fillId="11" borderId="5" xfId="0" applyNumberFormat="1" applyFont="1" applyFill="1" applyBorder="1" applyAlignment="1" applyProtection="1">
      <alignment horizontal="center" vertical="center"/>
    </xf>
    <xf numFmtId="167" fontId="35" fillId="0" borderId="17" xfId="0" applyNumberFormat="1" applyFont="1" applyBorder="1" applyAlignment="1" applyProtection="1">
      <alignment horizontal="center" vertical="center"/>
    </xf>
    <xf numFmtId="167" fontId="35" fillId="0" borderId="0" xfId="0" applyNumberFormat="1" applyFont="1" applyBorder="1" applyAlignment="1" applyProtection="1">
      <alignment horizontal="center" vertical="center"/>
    </xf>
    <xf numFmtId="167" fontId="35" fillId="0" borderId="0" xfId="0" applyNumberFormat="1" applyFont="1" applyBorder="1" applyAlignment="1" applyProtection="1">
      <alignment horizontal="center" vertical="center"/>
      <protection locked="0"/>
    </xf>
    <xf numFmtId="167" fontId="36" fillId="0" borderId="0" xfId="0" applyNumberFormat="1" applyFont="1" applyBorder="1" applyAlignment="1" applyProtection="1">
      <alignment horizontal="center" vertical="center"/>
    </xf>
    <xf numFmtId="167" fontId="35" fillId="0" borderId="10" xfId="0" applyNumberFormat="1" applyFont="1" applyBorder="1" applyAlignment="1" applyProtection="1">
      <alignment horizontal="center" vertical="center"/>
    </xf>
    <xf numFmtId="0" fontId="28" fillId="11" borderId="5" xfId="0" applyFont="1" applyFill="1" applyBorder="1" applyAlignment="1" applyProtection="1">
      <alignment horizontal="center" vertical="center"/>
    </xf>
    <xf numFmtId="167" fontId="33" fillId="0" borderId="7" xfId="0" applyNumberFormat="1" applyFont="1" applyBorder="1" applyAlignment="1" applyProtection="1">
      <alignment horizontal="center" vertical="center"/>
    </xf>
    <xf numFmtId="0" fontId="0" fillId="0" borderId="4" xfId="0" applyFont="1" applyFill="1" applyBorder="1" applyProtection="1"/>
    <xf numFmtId="0" fontId="0" fillId="0" borderId="17" xfId="0" applyFont="1" applyFill="1" applyBorder="1" applyAlignment="1" applyProtection="1">
      <alignment horizontal="center" wrapText="1"/>
    </xf>
    <xf numFmtId="165" fontId="0" fillId="0" borderId="1" xfId="0" applyNumberFormat="1" applyFont="1" applyFill="1" applyBorder="1" applyAlignment="1" applyProtection="1">
      <alignment wrapText="1"/>
      <protection locked="0"/>
    </xf>
    <xf numFmtId="0" fontId="0" fillId="0" borderId="4" xfId="0" applyFont="1" applyFill="1" applyBorder="1" applyProtection="1">
      <protection locked="0"/>
    </xf>
    <xf numFmtId="0" fontId="0" fillId="0" borderId="17" xfId="0" applyFont="1" applyFill="1" applyBorder="1" applyProtection="1">
      <protection locked="0"/>
    </xf>
    <xf numFmtId="0" fontId="33" fillId="11" borderId="17" xfId="0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167" fontId="33" fillId="0" borderId="17" xfId="0" applyNumberFormat="1" applyFont="1" applyFill="1" applyBorder="1" applyAlignment="1" applyProtection="1">
      <alignment horizontal="center" vertical="center"/>
    </xf>
    <xf numFmtId="0" fontId="33" fillId="0" borderId="1" xfId="0" applyFont="1" applyBorder="1" applyAlignment="1" applyProtection="1">
      <alignment horizontal="center" vertical="center"/>
    </xf>
    <xf numFmtId="0" fontId="31" fillId="0" borderId="17" xfId="0" applyFont="1" applyBorder="1" applyAlignment="1" applyProtection="1">
      <alignment vertical="center"/>
    </xf>
    <xf numFmtId="0" fontId="31" fillId="0" borderId="17" xfId="0" applyFont="1" applyBorder="1" applyAlignment="1" applyProtection="1">
      <alignment horizontal="center" vertical="center"/>
    </xf>
    <xf numFmtId="0" fontId="31" fillId="0" borderId="5" xfId="0" applyFont="1" applyBorder="1" applyAlignment="1" applyProtection="1">
      <alignment horizontal="center" vertical="center"/>
      <protection locked="0"/>
    </xf>
    <xf numFmtId="2" fontId="28" fillId="0" borderId="5" xfId="0" applyNumberFormat="1" applyFont="1" applyBorder="1" applyAlignment="1" applyProtection="1">
      <alignment horizontal="center" vertical="center"/>
    </xf>
    <xf numFmtId="2" fontId="0" fillId="0" borderId="5" xfId="0" applyNumberFormat="1" applyFont="1" applyBorder="1" applyAlignment="1" applyProtection="1">
      <alignment horizontal="center" vertical="center"/>
    </xf>
    <xf numFmtId="2" fontId="31" fillId="0" borderId="17" xfId="0" applyNumberFormat="1" applyFont="1" applyBorder="1" applyAlignment="1" applyProtection="1">
      <alignment vertical="center"/>
    </xf>
    <xf numFmtId="2" fontId="31" fillId="0" borderId="5" xfId="0" applyNumberFormat="1" applyFont="1" applyBorder="1" applyAlignment="1" applyProtection="1">
      <alignment vertical="center"/>
    </xf>
    <xf numFmtId="2" fontId="31" fillId="0" borderId="5" xfId="0" applyNumberFormat="1" applyFont="1" applyBorder="1" applyAlignment="1" applyProtection="1">
      <alignment vertical="center"/>
      <protection locked="0"/>
    </xf>
    <xf numFmtId="2" fontId="7" fillId="0" borderId="5" xfId="0" applyNumberFormat="1" applyFont="1" applyBorder="1" applyAlignment="1" applyProtection="1">
      <alignment vertical="center"/>
    </xf>
    <xf numFmtId="2" fontId="31" fillId="0" borderId="17" xfId="0" applyNumberFormat="1" applyFont="1" applyBorder="1" applyAlignment="1" applyProtection="1">
      <alignment horizontal="center" vertical="center"/>
    </xf>
    <xf numFmtId="2" fontId="31" fillId="0" borderId="5" xfId="0" applyNumberFormat="1" applyFont="1" applyBorder="1" applyAlignment="1" applyProtection="1">
      <alignment horizontal="center" vertical="center"/>
      <protection locked="0"/>
    </xf>
    <xf numFmtId="0" fontId="31" fillId="11" borderId="17" xfId="0" applyFont="1" applyFill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168" fontId="33" fillId="11" borderId="17" xfId="0" applyNumberFormat="1" applyFont="1" applyFill="1" applyBorder="1" applyAlignment="1" applyProtection="1">
      <alignment horizontal="center" vertical="center"/>
    </xf>
    <xf numFmtId="168" fontId="33" fillId="0" borderId="5" xfId="0" applyNumberFormat="1" applyFont="1" applyBorder="1" applyAlignment="1" applyProtection="1">
      <alignment horizontal="center" vertical="center"/>
    </xf>
    <xf numFmtId="168" fontId="33" fillId="0" borderId="5" xfId="0" applyNumberFormat="1" applyFont="1" applyFill="1" applyBorder="1" applyAlignment="1" applyProtection="1">
      <alignment horizontal="center" vertical="center"/>
    </xf>
    <xf numFmtId="168" fontId="33" fillId="11" borderId="17" xfId="0" applyNumberFormat="1" applyFont="1" applyFill="1" applyBorder="1" applyAlignment="1" applyProtection="1">
      <alignment vertical="center"/>
    </xf>
    <xf numFmtId="168" fontId="33" fillId="0" borderId="5" xfId="0" applyNumberFormat="1" applyFont="1" applyBorder="1" applyAlignment="1" applyProtection="1">
      <alignment horizontal="center" vertical="center"/>
      <protection locked="0"/>
    </xf>
    <xf numFmtId="168" fontId="33" fillId="0" borderId="17" xfId="0" applyNumberFormat="1" applyFont="1" applyBorder="1" applyAlignment="1" applyProtection="1">
      <alignment horizontal="center" vertical="center"/>
    </xf>
    <xf numFmtId="168" fontId="33" fillId="0" borderId="0" xfId="0" applyNumberFormat="1" applyFont="1" applyBorder="1" applyAlignment="1" applyProtection="1">
      <alignment horizontal="center" vertical="center"/>
    </xf>
    <xf numFmtId="168" fontId="33" fillId="0" borderId="0" xfId="0" applyNumberFormat="1" applyFont="1" applyBorder="1" applyAlignment="1" applyProtection="1">
      <alignment horizontal="center" vertical="center"/>
      <protection locked="0"/>
    </xf>
    <xf numFmtId="2" fontId="31" fillId="11" borderId="17" xfId="0" applyNumberFormat="1" applyFont="1" applyFill="1" applyBorder="1" applyAlignment="1" applyProtection="1">
      <alignment vertical="center"/>
    </xf>
    <xf numFmtId="2" fontId="31" fillId="11" borderId="17" xfId="0" applyNumberFormat="1" applyFont="1" applyFill="1" applyBorder="1" applyAlignment="1" applyProtection="1">
      <alignment horizontal="center" vertical="center"/>
    </xf>
    <xf numFmtId="0" fontId="0" fillId="10" borderId="4" xfId="0" applyFont="1" applyFill="1" applyBorder="1" applyProtection="1"/>
    <xf numFmtId="0" fontId="0" fillId="9" borderId="15" xfId="0" applyFont="1" applyFill="1" applyBorder="1" applyAlignment="1" applyProtection="1">
      <alignment horizontal="center" wrapText="1"/>
    </xf>
    <xf numFmtId="166" fontId="0" fillId="9" borderId="1" xfId="0" applyNumberFormat="1" applyFont="1" applyFill="1" applyBorder="1" applyAlignment="1" applyProtection="1">
      <alignment wrapText="1"/>
      <protection locked="0"/>
    </xf>
    <xf numFmtId="0" fontId="0" fillId="9" borderId="4" xfId="0" applyFont="1" applyFill="1" applyBorder="1" applyProtection="1">
      <protection locked="0"/>
    </xf>
    <xf numFmtId="0" fontId="0" fillId="9" borderId="17" xfId="0" applyFont="1" applyFill="1" applyBorder="1" applyProtection="1">
      <protection locked="0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43" fontId="31" fillId="0" borderId="17" xfId="0" applyNumberFormat="1" applyFont="1" applyBorder="1" applyAlignment="1" applyProtection="1">
      <alignment horizontal="center" vertical="center"/>
    </xf>
    <xf numFmtId="43" fontId="31" fillId="0" borderId="5" xfId="0" applyNumberFormat="1" applyFont="1" applyBorder="1" applyAlignment="1" applyProtection="1">
      <alignment horizontal="center" vertical="center"/>
    </xf>
    <xf numFmtId="43" fontId="31" fillId="0" borderId="0" xfId="0" applyNumberFormat="1" applyFont="1" applyBorder="1" applyAlignment="1" applyProtection="1">
      <alignment horizontal="center" vertical="center"/>
    </xf>
    <xf numFmtId="43" fontId="31" fillId="0" borderId="5" xfId="0" applyNumberFormat="1" applyFont="1" applyBorder="1" applyAlignment="1" applyProtection="1">
      <alignment horizontal="center" vertical="center"/>
      <protection locked="0"/>
    </xf>
    <xf numFmtId="43" fontId="31" fillId="0" borderId="0" xfId="0" applyNumberFormat="1" applyFont="1" applyBorder="1" applyAlignment="1" applyProtection="1">
      <alignment horizontal="center" vertical="center"/>
      <protection locked="0"/>
    </xf>
    <xf numFmtId="43" fontId="7" fillId="0" borderId="5" xfId="0" applyNumberFormat="1" applyFont="1" applyBorder="1" applyAlignment="1" applyProtection="1">
      <alignment horizontal="center" vertical="center"/>
    </xf>
    <xf numFmtId="43" fontId="7" fillId="0" borderId="0" xfId="0" applyNumberFormat="1" applyFont="1" applyBorder="1" applyAlignment="1" applyProtection="1">
      <alignment horizontal="center" vertical="center"/>
    </xf>
    <xf numFmtId="43" fontId="33" fillId="0" borderId="5" xfId="0" applyNumberFormat="1" applyFont="1" applyBorder="1" applyAlignment="1" applyProtection="1">
      <alignment horizontal="center" vertical="center"/>
    </xf>
    <xf numFmtId="43" fontId="33" fillId="0" borderId="0" xfId="0" applyNumberFormat="1" applyFont="1" applyBorder="1" applyAlignment="1" applyProtection="1">
      <alignment horizontal="center" vertical="center"/>
    </xf>
    <xf numFmtId="169" fontId="37" fillId="0" borderId="17" xfId="0" applyNumberFormat="1" applyFont="1" applyBorder="1" applyAlignment="1" applyProtection="1">
      <alignment horizontal="center" vertical="center"/>
    </xf>
    <xf numFmtId="169" fontId="32" fillId="0" borderId="5" xfId="0" applyNumberFormat="1" applyFont="1" applyBorder="1" applyAlignment="1" applyProtection="1">
      <alignment horizontal="center" vertical="center"/>
    </xf>
    <xf numFmtId="43" fontId="31" fillId="11" borderId="17" xfId="0" applyNumberFormat="1" applyFont="1" applyFill="1" applyBorder="1" applyAlignment="1" applyProtection="1">
      <alignment horizontal="center" vertical="center"/>
    </xf>
    <xf numFmtId="169" fontId="37" fillId="11" borderId="17" xfId="0" applyNumberFormat="1" applyFont="1" applyFill="1" applyBorder="1" applyAlignment="1" applyProtection="1">
      <alignment horizontal="center" vertical="center"/>
    </xf>
    <xf numFmtId="17" fontId="0" fillId="0" borderId="17" xfId="0" applyNumberFormat="1" applyBorder="1" applyProtection="1">
      <protection locked="0"/>
    </xf>
    <xf numFmtId="0" fontId="31" fillId="11" borderId="17" xfId="0" applyNumberFormat="1" applyFont="1" applyFill="1" applyBorder="1" applyAlignment="1" applyProtection="1">
      <alignment horizontal="center" vertical="center"/>
    </xf>
    <xf numFmtId="0" fontId="31" fillId="0" borderId="17" xfId="0" applyNumberFormat="1" applyFont="1" applyBorder="1" applyAlignment="1" applyProtection="1">
      <alignment horizontal="center" vertical="center"/>
    </xf>
    <xf numFmtId="16" fontId="0" fillId="0" borderId="0" xfId="0" applyNumberFormat="1" applyFill="1" applyBorder="1" applyAlignment="1">
      <alignment vertical="center"/>
    </xf>
    <xf numFmtId="168" fontId="31" fillId="2" borderId="5" xfId="0" applyNumberFormat="1" applyFont="1" applyFill="1" applyBorder="1" applyAlignment="1" applyProtection="1">
      <alignment horizontal="center" vertical="center"/>
    </xf>
    <xf numFmtId="168" fontId="31" fillId="2" borderId="0" xfId="0" applyNumberFormat="1" applyFont="1" applyFill="1" applyBorder="1" applyAlignment="1" applyProtection="1">
      <alignment horizontal="center" vertical="center"/>
    </xf>
    <xf numFmtId="167" fontId="31" fillId="2" borderId="0" xfId="0" applyNumberFormat="1" applyFont="1" applyFill="1" applyBorder="1" applyAlignment="1" applyProtection="1">
      <alignment horizontal="center" vertical="center"/>
    </xf>
    <xf numFmtId="0" fontId="31" fillId="11" borderId="17" xfId="0" applyFont="1" applyFill="1" applyBorder="1" applyAlignment="1" applyProtection="1">
      <alignment vertical="center"/>
    </xf>
    <xf numFmtId="0" fontId="0" fillId="2" borderId="7" xfId="0" applyFill="1" applyBorder="1" applyProtection="1"/>
    <xf numFmtId="0" fontId="0" fillId="2" borderId="0" xfId="0" applyFill="1" applyBorder="1" applyAlignment="1" applyProtection="1">
      <alignment horizontal="center" wrapText="1"/>
    </xf>
    <xf numFmtId="0" fontId="10" fillId="2" borderId="0" xfId="0" applyNumberFormat="1" applyFont="1" applyFill="1" applyBorder="1" applyAlignment="1" applyProtection="1">
      <alignment horizontal="center"/>
    </xf>
    <xf numFmtId="0" fontId="31" fillId="0" borderId="17" xfId="0" applyFont="1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/>
    </xf>
    <xf numFmtId="167" fontId="33" fillId="11" borderId="17" xfId="0" applyNumberFormat="1" applyFont="1" applyFill="1" applyBorder="1" applyAlignment="1" applyProtection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9" xfId="0" applyFill="1" applyBorder="1" applyAlignment="1">
      <alignment horizontal="center"/>
    </xf>
    <xf numFmtId="0" fontId="31" fillId="11" borderId="5" xfId="0" applyFont="1" applyFill="1" applyBorder="1" applyAlignment="1" applyProtection="1">
      <alignment horizontal="center" vertical="center"/>
    </xf>
    <xf numFmtId="0" fontId="31" fillId="11" borderId="17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3" fillId="0" borderId="0" xfId="0" applyFont="1" applyFill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13" fillId="0" borderId="4" xfId="0" applyFont="1" applyFill="1" applyBorder="1" applyProtection="1"/>
    <xf numFmtId="165" fontId="13" fillId="0" borderId="1" xfId="0" applyNumberFormat="1" applyFont="1" applyFill="1" applyBorder="1" applyAlignment="1" applyProtection="1">
      <alignment wrapText="1"/>
      <protection locked="0"/>
    </xf>
    <xf numFmtId="0" fontId="13" fillId="0" borderId="4" xfId="0" applyFont="1" applyFill="1" applyBorder="1" applyProtection="1">
      <protection locked="0"/>
    </xf>
    <xf numFmtId="0" fontId="13" fillId="0" borderId="17" xfId="0" applyFont="1" applyFill="1" applyBorder="1" applyProtection="1">
      <protection locked="0"/>
    </xf>
    <xf numFmtId="0" fontId="14" fillId="0" borderId="8" xfId="0" applyNumberFormat="1" applyFont="1" applyFill="1" applyBorder="1" applyAlignment="1" applyProtection="1">
      <alignment horizontal="center"/>
    </xf>
    <xf numFmtId="0" fontId="34" fillId="0" borderId="5" xfId="0" applyFont="1" applyFill="1" applyBorder="1" applyAlignment="1" applyProtection="1">
      <alignment horizontal="center" vertical="center"/>
    </xf>
    <xf numFmtId="0" fontId="13" fillId="0" borderId="7" xfId="0" applyFont="1" applyFill="1" applyBorder="1" applyProtection="1">
      <protection locked="0"/>
    </xf>
    <xf numFmtId="0" fontId="13" fillId="0" borderId="0" xfId="0" applyFont="1" applyFill="1"/>
    <xf numFmtId="0" fontId="0" fillId="6" borderId="15" xfId="0" applyFill="1" applyBorder="1" applyAlignment="1" applyProtection="1">
      <alignment horizontal="center"/>
    </xf>
    <xf numFmtId="0" fontId="0" fillId="6" borderId="17" xfId="0" applyFill="1" applyBorder="1" applyAlignment="1" applyProtection="1">
      <alignment horizontal="center"/>
    </xf>
    <xf numFmtId="0" fontId="0" fillId="2" borderId="15" xfId="0" applyNumberFormat="1" applyFill="1" applyBorder="1" applyAlignment="1" applyProtection="1">
      <alignment horizontal="center"/>
    </xf>
    <xf numFmtId="0" fontId="13" fillId="0" borderId="17" xfId="0" applyFont="1" applyFill="1" applyBorder="1" applyAlignment="1" applyProtection="1">
      <alignment horizontal="center"/>
    </xf>
    <xf numFmtId="0" fontId="0" fillId="2" borderId="0" xfId="0" applyNumberFormat="1" applyFill="1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0" fontId="0" fillId="2" borderId="0" xfId="0" applyFill="1" applyBorder="1" applyAlignment="1" applyProtection="1"/>
    <xf numFmtId="0" fontId="0" fillId="2" borderId="15" xfId="0" applyFont="1" applyFill="1" applyBorder="1" applyAlignment="1" applyProtection="1">
      <alignment horizontal="center"/>
    </xf>
    <xf numFmtId="0" fontId="21" fillId="6" borderId="17" xfId="0" applyFont="1" applyFill="1" applyBorder="1" applyAlignment="1" applyProtection="1">
      <alignment horizontal="center"/>
    </xf>
    <xf numFmtId="0" fontId="0" fillId="0" borderId="0" xfId="0" applyBorder="1" applyAlignment="1" applyProtection="1">
      <protection locked="0"/>
    </xf>
    <xf numFmtId="14" fontId="0" fillId="0" borderId="17" xfId="0" applyNumberFormat="1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0" fillId="0" borderId="3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9" xfId="0" applyBorder="1" applyAlignment="1" applyProtection="1">
      <alignment horizontal="left" vertical="top"/>
      <protection locked="0"/>
    </xf>
    <xf numFmtId="0" fontId="0" fillId="0" borderId="0" xfId="0" applyAlignment="1" applyProtection="1">
      <protection locked="0"/>
    </xf>
    <xf numFmtId="0" fontId="0" fillId="0" borderId="0" xfId="0" applyFont="1" applyBorder="1" applyAlignment="1" applyProtection="1">
      <protection locked="0"/>
    </xf>
    <xf numFmtId="14" fontId="0" fillId="0" borderId="0" xfId="0" applyNumberFormat="1" applyFont="1" applyBorder="1" applyAlignment="1" applyProtection="1">
      <protection locked="0"/>
    </xf>
    <xf numFmtId="14" fontId="0" fillId="0" borderId="0" xfId="0" applyNumberFormat="1" applyFont="1" applyBorder="1" applyAlignment="1" applyProtection="1"/>
    <xf numFmtId="14" fontId="0" fillId="0" borderId="15" xfId="0" applyNumberFormat="1" applyBorder="1" applyAlignment="1" applyProtection="1">
      <protection locked="0"/>
    </xf>
    <xf numFmtId="0" fontId="0" fillId="2" borderId="17" xfId="0" applyFont="1" applyFill="1" applyBorder="1" applyAlignment="1" applyProtection="1">
      <alignment horizontal="center" wrapText="1"/>
    </xf>
    <xf numFmtId="165" fontId="0" fillId="2" borderId="1" xfId="0" applyNumberFormat="1" applyFont="1" applyFill="1" applyBorder="1" applyAlignment="1" applyProtection="1">
      <alignment wrapText="1"/>
      <protection locked="0"/>
    </xf>
    <xf numFmtId="0" fontId="10" fillId="2" borderId="1" xfId="0" applyNumberFormat="1" applyFont="1" applyFill="1" applyBorder="1" applyAlignment="1" applyProtection="1">
      <alignment horizontal="center"/>
    </xf>
    <xf numFmtId="0" fontId="0" fillId="0" borderId="0" xfId="0" applyFont="1" applyBorder="1"/>
    <xf numFmtId="14" fontId="0" fillId="0" borderId="0" xfId="0" applyNumberFormat="1" applyFont="1" applyBorder="1" applyProtection="1">
      <protection locked="0"/>
    </xf>
    <xf numFmtId="14" fontId="0" fillId="0" borderId="0" xfId="0" applyNumberFormat="1" applyFont="1" applyBorder="1" applyProtection="1"/>
    <xf numFmtId="0" fontId="34" fillId="11" borderId="5" xfId="0" applyFont="1" applyFill="1" applyBorder="1" applyAlignment="1" applyProtection="1">
      <alignment horizontal="center" vertical="center"/>
    </xf>
    <xf numFmtId="43" fontId="31" fillId="11" borderId="17" xfId="0" applyNumberFormat="1" applyFont="1" applyFill="1" applyBorder="1" applyAlignment="1" applyProtection="1">
      <alignment vertical="center"/>
    </xf>
    <xf numFmtId="0" fontId="0" fillId="0" borderId="0" xfId="0" applyFont="1" applyFill="1" applyAlignment="1">
      <alignment horizontal="left"/>
    </xf>
    <xf numFmtId="0" fontId="0" fillId="0" borderId="0" xfId="0" applyNumberFormat="1" applyFont="1" applyFill="1" applyAlignment="1">
      <alignment horizontal="left"/>
    </xf>
    <xf numFmtId="16" fontId="0" fillId="0" borderId="0" xfId="0" applyNumberFormat="1" applyFill="1" applyBorder="1" applyAlignment="1">
      <alignment horizontal="left" vertical="center"/>
    </xf>
    <xf numFmtId="0" fontId="2" fillId="2" borderId="0" xfId="0" applyFont="1" applyFill="1" applyProtection="1"/>
    <xf numFmtId="0" fontId="2" fillId="2" borderId="15" xfId="0" applyFont="1" applyFill="1" applyBorder="1" applyAlignment="1" applyProtection="1">
      <alignment horizontal="center" wrapText="1"/>
    </xf>
    <xf numFmtId="0" fontId="2" fillId="2" borderId="4" xfId="0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2" fillId="2" borderId="17" xfId="0" applyFont="1" applyFill="1" applyBorder="1"/>
    <xf numFmtId="0" fontId="2" fillId="2" borderId="17" xfId="0" applyFont="1" applyFill="1" applyBorder="1" applyAlignment="1" applyProtection="1">
      <alignment horizontal="center" wrapText="1"/>
    </xf>
    <xf numFmtId="0" fontId="33" fillId="11" borderId="5" xfId="0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/>
    <xf numFmtId="0" fontId="2" fillId="0" borderId="0" xfId="0" applyFo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3" fillId="11" borderId="17" xfId="0" applyFont="1" applyFill="1" applyBorder="1" applyAlignment="1" applyProtection="1">
      <alignment vertical="center"/>
    </xf>
    <xf numFmtId="0" fontId="0" fillId="0" borderId="0" xfId="0" applyFill="1" applyAlignment="1">
      <alignment horizontal="center"/>
    </xf>
    <xf numFmtId="0" fontId="13" fillId="2" borderId="4" xfId="0" applyFont="1" applyFill="1" applyBorder="1" applyProtection="1"/>
    <xf numFmtId="0" fontId="13" fillId="2" borderId="17" xfId="0" applyFont="1" applyFill="1" applyBorder="1" applyAlignment="1" applyProtection="1">
      <alignment horizontal="center" wrapText="1"/>
    </xf>
    <xf numFmtId="165" fontId="13" fillId="2" borderId="1" xfId="0" applyNumberFormat="1" applyFont="1" applyFill="1" applyBorder="1" applyAlignment="1" applyProtection="1">
      <alignment wrapText="1"/>
      <protection locked="0"/>
    </xf>
    <xf numFmtId="0" fontId="13" fillId="2" borderId="4" xfId="0" applyFont="1" applyFill="1" applyBorder="1" applyProtection="1">
      <protection locked="0"/>
    </xf>
    <xf numFmtId="0" fontId="13" fillId="2" borderId="17" xfId="0" applyFont="1" applyFill="1" applyBorder="1" applyProtection="1">
      <protection locked="0"/>
    </xf>
    <xf numFmtId="0" fontId="14" fillId="2" borderId="8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left" vertical="center"/>
    </xf>
    <xf numFmtId="0" fontId="13" fillId="2" borderId="17" xfId="0" applyFont="1" applyFill="1" applyBorder="1"/>
    <xf numFmtId="0" fontId="0" fillId="2" borderId="4" xfId="0" applyFill="1" applyBorder="1" applyAlignment="1" applyProtection="1">
      <alignment horizontal="left"/>
      <protection locked="0"/>
    </xf>
    <xf numFmtId="0" fontId="13" fillId="2" borderId="18" xfId="0" applyFont="1" applyFill="1" applyBorder="1" applyProtection="1">
      <protection locked="0"/>
    </xf>
    <xf numFmtId="0" fontId="0" fillId="0" borderId="0" xfId="0" applyFont="1" applyBorder="1" applyAlignment="1" applyProtection="1">
      <alignment horizontal="center" vertical="center"/>
    </xf>
    <xf numFmtId="0" fontId="31" fillId="0" borderId="5" xfId="0" applyFont="1" applyBorder="1" applyAlignment="1" applyProtection="1">
      <alignment vertical="center"/>
    </xf>
    <xf numFmtId="0" fontId="31" fillId="0" borderId="5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</xf>
    <xf numFmtId="0" fontId="31" fillId="0" borderId="17" xfId="0" applyFont="1" applyBorder="1" applyAlignment="1" applyProtection="1">
      <alignment horizontal="right" vertical="center"/>
    </xf>
    <xf numFmtId="0" fontId="31" fillId="0" borderId="5" xfId="0" applyFont="1" applyBorder="1" applyAlignment="1" applyProtection="1">
      <alignment horizontal="right" vertical="center"/>
    </xf>
    <xf numFmtId="0" fontId="31" fillId="0" borderId="0" xfId="0" applyFont="1" applyBorder="1" applyAlignment="1" applyProtection="1">
      <alignment horizontal="right" vertical="center"/>
    </xf>
    <xf numFmtId="2" fontId="31" fillId="0" borderId="17" xfId="0" applyNumberFormat="1" applyFont="1" applyBorder="1" applyAlignment="1" applyProtection="1">
      <alignment horizontal="right" vertical="center"/>
    </xf>
    <xf numFmtId="2" fontId="31" fillId="0" borderId="5" xfId="0" applyNumberFormat="1" applyFont="1" applyBorder="1" applyAlignment="1" applyProtection="1">
      <alignment horizontal="right" vertical="center"/>
    </xf>
    <xf numFmtId="2" fontId="31" fillId="0" borderId="0" xfId="0" applyNumberFormat="1" applyFont="1" applyBorder="1" applyAlignment="1" applyProtection="1">
      <alignment horizontal="right" vertical="center"/>
    </xf>
    <xf numFmtId="2" fontId="31" fillId="0" borderId="5" xfId="0" applyNumberFormat="1" applyFont="1" applyBorder="1" applyAlignment="1" applyProtection="1">
      <alignment horizontal="right" vertical="center"/>
      <protection locked="0"/>
    </xf>
    <xf numFmtId="2" fontId="31" fillId="0" borderId="0" xfId="0" applyNumberFormat="1" applyFont="1" applyBorder="1" applyAlignment="1" applyProtection="1">
      <alignment horizontal="right" vertical="center"/>
      <protection locked="0"/>
    </xf>
    <xf numFmtId="2" fontId="7" fillId="0" borderId="5" xfId="0" applyNumberFormat="1" applyFont="1" applyBorder="1" applyAlignment="1" applyProtection="1">
      <alignment horizontal="right" vertical="center"/>
    </xf>
    <xf numFmtId="2" fontId="7" fillId="0" borderId="0" xfId="0" applyNumberFormat="1" applyFont="1" applyBorder="1" applyAlignment="1" applyProtection="1">
      <alignment horizontal="right" vertical="center"/>
    </xf>
    <xf numFmtId="2" fontId="31" fillId="0" borderId="5" xfId="0" applyNumberFormat="1" applyFont="1" applyBorder="1" applyAlignment="1" applyProtection="1">
      <alignment horizontal="center" vertical="center"/>
    </xf>
    <xf numFmtId="0" fontId="31" fillId="0" borderId="10" xfId="0" applyFont="1" applyBorder="1" applyAlignment="1" applyProtection="1">
      <alignment horizontal="center" vertical="center"/>
    </xf>
    <xf numFmtId="0" fontId="0" fillId="0" borderId="15" xfId="0" applyNumberFormat="1" applyBorder="1" applyProtection="1">
      <protection locked="0"/>
    </xf>
    <xf numFmtId="0" fontId="0" fillId="0" borderId="17" xfId="0" applyNumberFormat="1" applyBorder="1" applyProtection="1">
      <protection locked="0"/>
    </xf>
    <xf numFmtId="0" fontId="0" fillId="0" borderId="18" xfId="0" applyNumberFormat="1" applyBorder="1" applyProtection="1">
      <protection locked="0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2" fontId="31" fillId="11" borderId="17" xfId="0" applyNumberFormat="1" applyFont="1" applyFill="1" applyBorder="1" applyAlignment="1" applyProtection="1">
      <alignment horizontal="right" vertical="center"/>
    </xf>
    <xf numFmtId="0" fontId="31" fillId="11" borderId="17" xfId="0" applyFont="1" applyFill="1" applyBorder="1" applyAlignment="1" applyProtection="1">
      <alignment horizontal="right" vertic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/>
    </xf>
    <xf numFmtId="0" fontId="13" fillId="0" borderId="0" xfId="0" applyNumberFormat="1" applyFont="1" applyFill="1" applyAlignment="1">
      <alignment horizontal="left"/>
    </xf>
    <xf numFmtId="14" fontId="7" fillId="0" borderId="0" xfId="0" applyNumberFormat="1" applyFont="1" applyBorder="1" applyAlignment="1" applyProtection="1">
      <alignment horizontal="right"/>
    </xf>
    <xf numFmtId="0" fontId="31" fillId="11" borderId="5" xfId="0" applyFont="1" applyFill="1" applyBorder="1" applyAlignment="1" applyProtection="1">
      <alignment vertical="center"/>
    </xf>
    <xf numFmtId="165" fontId="0" fillId="2" borderId="1" xfId="0" applyNumberFormat="1" applyFill="1" applyBorder="1" applyAlignment="1" applyProtection="1">
      <alignment wrapText="1"/>
    </xf>
    <xf numFmtId="165" fontId="13" fillId="2" borderId="1" xfId="0" applyNumberFormat="1" applyFont="1" applyFill="1" applyBorder="1" applyAlignment="1" applyProtection="1">
      <alignment wrapText="1"/>
    </xf>
    <xf numFmtId="0" fontId="28" fillId="0" borderId="17" xfId="0" applyFont="1" applyBorder="1" applyAlignment="1" applyProtection="1">
      <alignment horizontal="center" vertical="center"/>
    </xf>
    <xf numFmtId="0" fontId="31" fillId="0" borderId="7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10" fillId="2" borderId="17" xfId="0" applyFont="1" applyFill="1" applyBorder="1"/>
    <xf numFmtId="14" fontId="0" fillId="0" borderId="18" xfId="0" applyNumberFormat="1" applyBorder="1" applyProtection="1">
      <protection locked="0"/>
    </xf>
    <xf numFmtId="0" fontId="13" fillId="6" borderId="4" xfId="0" applyFont="1" applyFill="1" applyBorder="1" applyProtection="1"/>
    <xf numFmtId="0" fontId="13" fillId="6" borderId="17" xfId="0" applyFont="1" applyFill="1" applyBorder="1" applyAlignment="1" applyProtection="1">
      <alignment horizontal="center" wrapText="1"/>
    </xf>
    <xf numFmtId="165" fontId="13" fillId="6" borderId="1" xfId="0" applyNumberFormat="1" applyFont="1" applyFill="1" applyBorder="1" applyAlignment="1" applyProtection="1">
      <alignment wrapText="1"/>
      <protection locked="0"/>
    </xf>
    <xf numFmtId="0" fontId="13" fillId="6" borderId="4" xfId="0" applyFont="1" applyFill="1" applyBorder="1" applyProtection="1">
      <protection locked="0"/>
    </xf>
    <xf numFmtId="0" fontId="13" fillId="6" borderId="17" xfId="0" applyFont="1" applyFill="1" applyBorder="1" applyProtection="1">
      <protection locked="0"/>
    </xf>
    <xf numFmtId="0" fontId="14" fillId="6" borderId="8" xfId="0" applyNumberFormat="1" applyFont="1" applyFill="1" applyBorder="1" applyAlignment="1" applyProtection="1">
      <alignment horizontal="center"/>
    </xf>
    <xf numFmtId="0" fontId="10" fillId="2" borderId="0" xfId="0" applyFont="1" applyFill="1" applyBorder="1"/>
    <xf numFmtId="165" fontId="0" fillId="2" borderId="0" xfId="0" applyNumberFormat="1" applyFill="1" applyBorder="1" applyAlignment="1" applyProtection="1">
      <alignment wrapText="1"/>
      <protection locked="0"/>
    </xf>
    <xf numFmtId="0" fontId="0" fillId="2" borderId="34" xfId="0" applyFill="1" applyBorder="1" applyAlignment="1" applyProtection="1">
      <alignment horizontal="center" wrapText="1"/>
    </xf>
    <xf numFmtId="0" fontId="10" fillId="2" borderId="5" xfId="0" applyNumberFormat="1" applyFont="1" applyFill="1" applyBorder="1" applyAlignment="1" applyProtection="1">
      <alignment horizontal="center"/>
    </xf>
    <xf numFmtId="0" fontId="0" fillId="2" borderId="3" xfId="0" applyFill="1" applyBorder="1" applyProtection="1"/>
    <xf numFmtId="165" fontId="0" fillId="2" borderId="3" xfId="0" applyNumberFormat="1" applyFill="1" applyBorder="1" applyAlignment="1" applyProtection="1">
      <alignment wrapText="1"/>
      <protection locked="0"/>
    </xf>
    <xf numFmtId="0" fontId="0" fillId="2" borderId="3" xfId="0" applyFill="1" applyBorder="1" applyProtection="1">
      <protection locked="0"/>
    </xf>
    <xf numFmtId="164" fontId="3" fillId="0" borderId="9" xfId="0" applyNumberFormat="1" applyFont="1" applyBorder="1" applyAlignment="1" applyProtection="1">
      <alignment horizontal="center"/>
    </xf>
    <xf numFmtId="0" fontId="16" fillId="0" borderId="0" xfId="0" applyFont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28" fillId="11" borderId="1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14" fontId="3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14" fontId="0" fillId="0" borderId="9" xfId="0" applyNumberFormat="1" applyBorder="1" applyAlignment="1" applyProtection="1">
      <alignment horizontal="left"/>
    </xf>
    <xf numFmtId="0" fontId="9" fillId="14" borderId="1" xfId="0" applyFont="1" applyFill="1" applyBorder="1" applyAlignment="1" applyProtection="1">
      <alignment horizontal="center"/>
    </xf>
    <xf numFmtId="0" fontId="9" fillId="14" borderId="2" xfId="0" applyFont="1" applyFill="1" applyBorder="1" applyAlignment="1" applyProtection="1">
      <alignment horizontal="center"/>
    </xf>
    <xf numFmtId="0" fontId="9" fillId="14" borderId="4" xfId="0" applyFont="1" applyFill="1" applyBorder="1" applyAlignment="1" applyProtection="1">
      <alignment horizontal="center"/>
    </xf>
    <xf numFmtId="0" fontId="3" fillId="0" borderId="11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27" fillId="11" borderId="11" xfId="0" applyFont="1" applyFill="1" applyBorder="1" applyAlignment="1" applyProtection="1">
      <alignment horizontal="center"/>
      <protection locked="0"/>
    </xf>
    <xf numFmtId="0" fontId="27" fillId="11" borderId="3" xfId="0" applyFont="1" applyFill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26" fillId="0" borderId="0" xfId="3" applyFill="1" applyAlignment="1" applyProtection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Border="1" applyAlignment="1" applyProtection="1">
      <alignment horizontal="center"/>
    </xf>
    <xf numFmtId="168" fontId="31" fillId="0" borderId="5" xfId="0" applyNumberFormat="1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17" fillId="11" borderId="11" xfId="0" applyFont="1" applyFill="1" applyBorder="1" applyAlignment="1" applyProtection="1">
      <alignment horizontal="center"/>
      <protection locked="0"/>
    </xf>
    <xf numFmtId="0" fontId="17" fillId="11" borderId="3" xfId="0" applyFont="1" applyFill="1" applyBorder="1" applyAlignment="1" applyProtection="1">
      <alignment horizontal="center"/>
      <protection locked="0"/>
    </xf>
    <xf numFmtId="167" fontId="33" fillId="11" borderId="11" xfId="0" applyNumberFormat="1" applyFont="1" applyFill="1" applyBorder="1" applyAlignment="1" applyProtection="1">
      <alignment horizontal="center" vertical="center"/>
    </xf>
    <xf numFmtId="167" fontId="33" fillId="11" borderId="8" xfId="0" applyNumberFormat="1" applyFont="1" applyFill="1" applyBorder="1" applyAlignment="1" applyProtection="1">
      <alignment horizontal="center" vertical="center"/>
    </xf>
    <xf numFmtId="167" fontId="33" fillId="0" borderId="3" xfId="0" applyNumberFormat="1" applyFont="1" applyBorder="1" applyAlignment="1" applyProtection="1">
      <alignment horizontal="center" vertical="center"/>
    </xf>
    <xf numFmtId="167" fontId="33" fillId="0" borderId="9" xfId="0" applyNumberFormat="1" applyFont="1" applyBorder="1" applyAlignment="1" applyProtection="1">
      <alignment horizontal="center" vertical="center"/>
    </xf>
    <xf numFmtId="43" fontId="31" fillId="0" borderId="18" xfId="0" applyNumberFormat="1" applyFont="1" applyBorder="1" applyAlignment="1" applyProtection="1">
      <alignment horizontal="center" vertical="center"/>
    </xf>
    <xf numFmtId="43" fontId="31" fillId="0" borderId="15" xfId="0" applyNumberFormat="1" applyFont="1" applyBorder="1" applyAlignment="1" applyProtection="1">
      <alignment horizontal="center" vertical="center"/>
    </xf>
    <xf numFmtId="2" fontId="31" fillId="0" borderId="18" xfId="0" applyNumberFormat="1" applyFont="1" applyBorder="1" applyAlignment="1" applyProtection="1">
      <alignment horizontal="center" vertical="center"/>
    </xf>
    <xf numFmtId="2" fontId="31" fillId="0" borderId="15" xfId="0" applyNumberFormat="1" applyFont="1" applyBorder="1" applyAlignment="1" applyProtection="1">
      <alignment horizontal="center" vertical="center"/>
    </xf>
    <xf numFmtId="0" fontId="33" fillId="0" borderId="18" xfId="0" applyFont="1" applyBorder="1" applyAlignment="1" applyProtection="1">
      <alignment horizontal="center" vertical="center"/>
    </xf>
    <xf numFmtId="0" fontId="33" fillId="0" borderId="15" xfId="0" applyFont="1" applyBorder="1" applyAlignment="1" applyProtection="1">
      <alignment horizontal="center" vertical="center"/>
    </xf>
    <xf numFmtId="0" fontId="9" fillId="13" borderId="1" xfId="0" applyFont="1" applyFill="1" applyBorder="1" applyAlignment="1" applyProtection="1">
      <alignment horizontal="center"/>
    </xf>
    <xf numFmtId="0" fontId="9" fillId="13" borderId="2" xfId="0" applyFont="1" applyFill="1" applyBorder="1" applyAlignment="1" applyProtection="1">
      <alignment horizontal="center"/>
    </xf>
    <xf numFmtId="0" fontId="9" fillId="13" borderId="4" xfId="0" applyFont="1" applyFill="1" applyBorder="1" applyAlignment="1" applyProtection="1">
      <alignment horizontal="center"/>
    </xf>
    <xf numFmtId="0" fontId="9" fillId="13" borderId="1" xfId="0" applyFont="1" applyFill="1" applyBorder="1" applyAlignment="1" applyProtection="1">
      <alignment horizontal="center"/>
      <protection locked="0"/>
    </xf>
    <xf numFmtId="0" fontId="9" fillId="13" borderId="2" xfId="0" applyFont="1" applyFill="1" applyBorder="1" applyAlignment="1" applyProtection="1">
      <alignment horizontal="center"/>
      <protection locked="0"/>
    </xf>
    <xf numFmtId="0" fontId="9" fillId="13" borderId="4" xfId="0" applyFont="1" applyFill="1" applyBorder="1" applyAlignment="1" applyProtection="1">
      <alignment horizontal="center"/>
      <protection locked="0"/>
    </xf>
    <xf numFmtId="0" fontId="0" fillId="12" borderId="26" xfId="0" applyFill="1" applyBorder="1" applyAlignment="1" applyProtection="1">
      <alignment horizontal="center" vertical="center"/>
      <protection locked="0"/>
    </xf>
    <xf numFmtId="0" fontId="0" fillId="12" borderId="32" xfId="0" applyFill="1" applyBorder="1" applyAlignment="1" applyProtection="1">
      <alignment horizontal="center" vertical="center"/>
      <protection locked="0"/>
    </xf>
    <xf numFmtId="0" fontId="0" fillId="12" borderId="33" xfId="0" applyFill="1" applyBorder="1" applyAlignment="1" applyProtection="1">
      <alignment horizontal="center" vertical="center"/>
    </xf>
    <xf numFmtId="0" fontId="0" fillId="12" borderId="28" xfId="0" applyFill="1" applyBorder="1" applyAlignment="1" applyProtection="1">
      <alignment horizontal="center" vertical="center"/>
    </xf>
    <xf numFmtId="14" fontId="0" fillId="0" borderId="9" xfId="0" applyNumberFormat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center"/>
    </xf>
    <xf numFmtId="14" fontId="3" fillId="0" borderId="0" xfId="0" applyNumberFormat="1" applyFont="1" applyBorder="1" applyAlignment="1" applyProtection="1">
      <alignment horizontal="center"/>
      <protection locked="0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2851"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alignment textRotation="0" wrapTex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6" formatCode="&quot; S &quot;General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6" formatCode="&quot; S &quot;General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5524500" y="70437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123825</xdr:rowOff>
        </xdr:from>
        <xdr:to>
          <xdr:col>7</xdr:col>
          <xdr:colOff>676275</xdr:colOff>
          <xdr:row>3</xdr:row>
          <xdr:rowOff>219075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Éditer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</xdr:row>
          <xdr:rowOff>266700</xdr:rowOff>
        </xdr:from>
        <xdr:to>
          <xdr:col>7</xdr:col>
          <xdr:colOff>685800</xdr:colOff>
          <xdr:row>5</xdr:row>
          <xdr:rowOff>28575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</xdr:row>
          <xdr:rowOff>95250</xdr:rowOff>
        </xdr:from>
        <xdr:to>
          <xdr:col>7</xdr:col>
          <xdr:colOff>676275</xdr:colOff>
          <xdr:row>7</xdr:row>
          <xdr:rowOff>85725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45</xdr:row>
          <xdr:rowOff>0</xdr:rowOff>
        </xdr:from>
        <xdr:to>
          <xdr:col>7</xdr:col>
          <xdr:colOff>676275</xdr:colOff>
          <xdr:row>45</xdr:row>
          <xdr:rowOff>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95</xdr:row>
          <xdr:rowOff>95250</xdr:rowOff>
        </xdr:from>
        <xdr:to>
          <xdr:col>7</xdr:col>
          <xdr:colOff>676275</xdr:colOff>
          <xdr:row>97</xdr:row>
          <xdr:rowOff>85725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140</xdr:row>
          <xdr:rowOff>95250</xdr:rowOff>
        </xdr:from>
        <xdr:to>
          <xdr:col>7</xdr:col>
          <xdr:colOff>676275</xdr:colOff>
          <xdr:row>142</xdr:row>
          <xdr:rowOff>85725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140</xdr:row>
          <xdr:rowOff>95250</xdr:rowOff>
        </xdr:from>
        <xdr:to>
          <xdr:col>7</xdr:col>
          <xdr:colOff>676275</xdr:colOff>
          <xdr:row>142</xdr:row>
          <xdr:rowOff>85725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184</xdr:row>
          <xdr:rowOff>95250</xdr:rowOff>
        </xdr:from>
        <xdr:to>
          <xdr:col>7</xdr:col>
          <xdr:colOff>676275</xdr:colOff>
          <xdr:row>186</xdr:row>
          <xdr:rowOff>85725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229</xdr:row>
          <xdr:rowOff>95250</xdr:rowOff>
        </xdr:from>
        <xdr:to>
          <xdr:col>7</xdr:col>
          <xdr:colOff>676275</xdr:colOff>
          <xdr:row>232</xdr:row>
          <xdr:rowOff>85725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229</xdr:row>
          <xdr:rowOff>95250</xdr:rowOff>
        </xdr:from>
        <xdr:to>
          <xdr:col>7</xdr:col>
          <xdr:colOff>676275</xdr:colOff>
          <xdr:row>232</xdr:row>
          <xdr:rowOff>85725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274</xdr:row>
          <xdr:rowOff>95250</xdr:rowOff>
        </xdr:from>
        <xdr:to>
          <xdr:col>7</xdr:col>
          <xdr:colOff>676275</xdr:colOff>
          <xdr:row>276</xdr:row>
          <xdr:rowOff>85725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274</xdr:row>
          <xdr:rowOff>95250</xdr:rowOff>
        </xdr:from>
        <xdr:to>
          <xdr:col>7</xdr:col>
          <xdr:colOff>676275</xdr:colOff>
          <xdr:row>276</xdr:row>
          <xdr:rowOff>85725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319</xdr:row>
          <xdr:rowOff>95250</xdr:rowOff>
        </xdr:from>
        <xdr:to>
          <xdr:col>7</xdr:col>
          <xdr:colOff>676275</xdr:colOff>
          <xdr:row>321</xdr:row>
          <xdr:rowOff>85725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319</xdr:row>
          <xdr:rowOff>95250</xdr:rowOff>
        </xdr:from>
        <xdr:to>
          <xdr:col>7</xdr:col>
          <xdr:colOff>676275</xdr:colOff>
          <xdr:row>321</xdr:row>
          <xdr:rowOff>85725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364</xdr:row>
          <xdr:rowOff>95250</xdr:rowOff>
        </xdr:from>
        <xdr:to>
          <xdr:col>7</xdr:col>
          <xdr:colOff>676275</xdr:colOff>
          <xdr:row>366</xdr:row>
          <xdr:rowOff>85725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364</xdr:row>
          <xdr:rowOff>95250</xdr:rowOff>
        </xdr:from>
        <xdr:to>
          <xdr:col>7</xdr:col>
          <xdr:colOff>676275</xdr:colOff>
          <xdr:row>366</xdr:row>
          <xdr:rowOff>85725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409</xdr:row>
          <xdr:rowOff>95250</xdr:rowOff>
        </xdr:from>
        <xdr:to>
          <xdr:col>7</xdr:col>
          <xdr:colOff>676275</xdr:colOff>
          <xdr:row>411</xdr:row>
          <xdr:rowOff>85725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409</xdr:row>
          <xdr:rowOff>95250</xdr:rowOff>
        </xdr:from>
        <xdr:to>
          <xdr:col>7</xdr:col>
          <xdr:colOff>676275</xdr:colOff>
          <xdr:row>411</xdr:row>
          <xdr:rowOff>85725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454</xdr:row>
          <xdr:rowOff>95250</xdr:rowOff>
        </xdr:from>
        <xdr:to>
          <xdr:col>7</xdr:col>
          <xdr:colOff>676275</xdr:colOff>
          <xdr:row>456</xdr:row>
          <xdr:rowOff>85725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454</xdr:row>
          <xdr:rowOff>95250</xdr:rowOff>
        </xdr:from>
        <xdr:to>
          <xdr:col>7</xdr:col>
          <xdr:colOff>676275</xdr:colOff>
          <xdr:row>456</xdr:row>
          <xdr:rowOff>85725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499</xdr:row>
          <xdr:rowOff>95250</xdr:rowOff>
        </xdr:from>
        <xdr:to>
          <xdr:col>7</xdr:col>
          <xdr:colOff>676275</xdr:colOff>
          <xdr:row>501</xdr:row>
          <xdr:rowOff>85725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499</xdr:row>
          <xdr:rowOff>95250</xdr:rowOff>
        </xdr:from>
        <xdr:to>
          <xdr:col>7</xdr:col>
          <xdr:colOff>676275</xdr:colOff>
          <xdr:row>501</xdr:row>
          <xdr:rowOff>85725</xdr:rowOff>
        </xdr:to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544</xdr:row>
          <xdr:rowOff>95250</xdr:rowOff>
        </xdr:from>
        <xdr:to>
          <xdr:col>7</xdr:col>
          <xdr:colOff>676275</xdr:colOff>
          <xdr:row>546</xdr:row>
          <xdr:rowOff>85725</xdr:rowOff>
        </xdr:to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544</xdr:row>
          <xdr:rowOff>95250</xdr:rowOff>
        </xdr:from>
        <xdr:to>
          <xdr:col>7</xdr:col>
          <xdr:colOff>676275</xdr:colOff>
          <xdr:row>546</xdr:row>
          <xdr:rowOff>85725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589</xdr:row>
          <xdr:rowOff>95250</xdr:rowOff>
        </xdr:from>
        <xdr:to>
          <xdr:col>7</xdr:col>
          <xdr:colOff>676275</xdr:colOff>
          <xdr:row>591</xdr:row>
          <xdr:rowOff>85725</xdr:rowOff>
        </xdr:to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589</xdr:row>
          <xdr:rowOff>95250</xdr:rowOff>
        </xdr:from>
        <xdr:to>
          <xdr:col>7</xdr:col>
          <xdr:colOff>676275</xdr:colOff>
          <xdr:row>591</xdr:row>
          <xdr:rowOff>85725</xdr:rowOff>
        </xdr:to>
        <xdr:sp macro="" textlink="">
          <xdr:nvSpPr>
            <xdr:cNvPr id="1123" name="Button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634</xdr:row>
          <xdr:rowOff>95250</xdr:rowOff>
        </xdr:from>
        <xdr:to>
          <xdr:col>7</xdr:col>
          <xdr:colOff>676275</xdr:colOff>
          <xdr:row>636</xdr:row>
          <xdr:rowOff>85725</xdr:rowOff>
        </xdr:to>
        <xdr:sp macro="" textlink="">
          <xdr:nvSpPr>
            <xdr:cNvPr id="1126" name="Button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634</xdr:row>
          <xdr:rowOff>95250</xdr:rowOff>
        </xdr:from>
        <xdr:to>
          <xdr:col>7</xdr:col>
          <xdr:colOff>676275</xdr:colOff>
          <xdr:row>636</xdr:row>
          <xdr:rowOff>85725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679</xdr:row>
          <xdr:rowOff>95250</xdr:rowOff>
        </xdr:from>
        <xdr:to>
          <xdr:col>7</xdr:col>
          <xdr:colOff>676275</xdr:colOff>
          <xdr:row>681</xdr:row>
          <xdr:rowOff>85725</xdr:rowOff>
        </xdr:to>
        <xdr:sp macro="" textlink="">
          <xdr:nvSpPr>
            <xdr:cNvPr id="1132" name="Button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679</xdr:row>
          <xdr:rowOff>95250</xdr:rowOff>
        </xdr:from>
        <xdr:to>
          <xdr:col>7</xdr:col>
          <xdr:colOff>676275</xdr:colOff>
          <xdr:row>681</xdr:row>
          <xdr:rowOff>85725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724</xdr:row>
          <xdr:rowOff>95250</xdr:rowOff>
        </xdr:from>
        <xdr:to>
          <xdr:col>7</xdr:col>
          <xdr:colOff>676275</xdr:colOff>
          <xdr:row>726</xdr:row>
          <xdr:rowOff>85725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724</xdr:row>
          <xdr:rowOff>95250</xdr:rowOff>
        </xdr:from>
        <xdr:to>
          <xdr:col>7</xdr:col>
          <xdr:colOff>676275</xdr:colOff>
          <xdr:row>726</xdr:row>
          <xdr:rowOff>85725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769</xdr:row>
          <xdr:rowOff>95250</xdr:rowOff>
        </xdr:from>
        <xdr:to>
          <xdr:col>7</xdr:col>
          <xdr:colOff>676275</xdr:colOff>
          <xdr:row>771</xdr:row>
          <xdr:rowOff>85725</xdr:rowOff>
        </xdr:to>
        <xdr:sp macro="" textlink="">
          <xdr:nvSpPr>
            <xdr:cNvPr id="1144" name="Button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769</xdr:row>
          <xdr:rowOff>95250</xdr:rowOff>
        </xdr:from>
        <xdr:to>
          <xdr:col>7</xdr:col>
          <xdr:colOff>676275</xdr:colOff>
          <xdr:row>771</xdr:row>
          <xdr:rowOff>85725</xdr:rowOff>
        </xdr:to>
        <xdr:sp macro="" textlink="">
          <xdr:nvSpPr>
            <xdr:cNvPr id="1147" name="Button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814</xdr:row>
          <xdr:rowOff>95250</xdr:rowOff>
        </xdr:from>
        <xdr:to>
          <xdr:col>7</xdr:col>
          <xdr:colOff>676275</xdr:colOff>
          <xdr:row>816</xdr:row>
          <xdr:rowOff>85725</xdr:rowOff>
        </xdr:to>
        <xdr:sp macro="" textlink="">
          <xdr:nvSpPr>
            <xdr:cNvPr id="1150" name="Button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814</xdr:row>
          <xdr:rowOff>95250</xdr:rowOff>
        </xdr:from>
        <xdr:to>
          <xdr:col>7</xdr:col>
          <xdr:colOff>676275</xdr:colOff>
          <xdr:row>816</xdr:row>
          <xdr:rowOff>85725</xdr:rowOff>
        </xdr:to>
        <xdr:sp macro="" textlink="">
          <xdr:nvSpPr>
            <xdr:cNvPr id="1153" name="Button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859</xdr:row>
          <xdr:rowOff>95250</xdr:rowOff>
        </xdr:from>
        <xdr:to>
          <xdr:col>7</xdr:col>
          <xdr:colOff>676275</xdr:colOff>
          <xdr:row>861</xdr:row>
          <xdr:rowOff>85725</xdr:rowOff>
        </xdr:to>
        <xdr:sp macro="" textlink="">
          <xdr:nvSpPr>
            <xdr:cNvPr id="1156" name="Button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859</xdr:row>
          <xdr:rowOff>95250</xdr:rowOff>
        </xdr:from>
        <xdr:to>
          <xdr:col>7</xdr:col>
          <xdr:colOff>676275</xdr:colOff>
          <xdr:row>861</xdr:row>
          <xdr:rowOff>85725</xdr:rowOff>
        </xdr:to>
        <xdr:sp macro="" textlink="">
          <xdr:nvSpPr>
            <xdr:cNvPr id="1159" name="Button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904</xdr:row>
          <xdr:rowOff>95250</xdr:rowOff>
        </xdr:from>
        <xdr:to>
          <xdr:col>7</xdr:col>
          <xdr:colOff>676275</xdr:colOff>
          <xdr:row>906</xdr:row>
          <xdr:rowOff>85725</xdr:rowOff>
        </xdr:to>
        <xdr:sp macro="" textlink="">
          <xdr:nvSpPr>
            <xdr:cNvPr id="1162" name="Button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904</xdr:row>
          <xdr:rowOff>95250</xdr:rowOff>
        </xdr:from>
        <xdr:to>
          <xdr:col>7</xdr:col>
          <xdr:colOff>676275</xdr:colOff>
          <xdr:row>906</xdr:row>
          <xdr:rowOff>85725</xdr:rowOff>
        </xdr:to>
        <xdr:sp macro="" textlink="">
          <xdr:nvSpPr>
            <xdr:cNvPr id="1165" name="Button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949</xdr:row>
          <xdr:rowOff>95250</xdr:rowOff>
        </xdr:from>
        <xdr:to>
          <xdr:col>7</xdr:col>
          <xdr:colOff>676275</xdr:colOff>
          <xdr:row>951</xdr:row>
          <xdr:rowOff>85725</xdr:rowOff>
        </xdr:to>
        <xdr:sp macro="" textlink="">
          <xdr:nvSpPr>
            <xdr:cNvPr id="1168" name="Button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949</xdr:row>
          <xdr:rowOff>95250</xdr:rowOff>
        </xdr:from>
        <xdr:to>
          <xdr:col>7</xdr:col>
          <xdr:colOff>676275</xdr:colOff>
          <xdr:row>951</xdr:row>
          <xdr:rowOff>85725</xdr:rowOff>
        </xdr:to>
        <xdr:sp macro="" textlink="">
          <xdr:nvSpPr>
            <xdr:cNvPr id="1171" name="Button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994</xdr:row>
          <xdr:rowOff>95250</xdr:rowOff>
        </xdr:from>
        <xdr:to>
          <xdr:col>7</xdr:col>
          <xdr:colOff>676275</xdr:colOff>
          <xdr:row>996</xdr:row>
          <xdr:rowOff>85725</xdr:rowOff>
        </xdr:to>
        <xdr:sp macro="" textlink="">
          <xdr:nvSpPr>
            <xdr:cNvPr id="1174" name="Button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994</xdr:row>
          <xdr:rowOff>95250</xdr:rowOff>
        </xdr:from>
        <xdr:to>
          <xdr:col>7</xdr:col>
          <xdr:colOff>676275</xdr:colOff>
          <xdr:row>996</xdr:row>
          <xdr:rowOff>85725</xdr:rowOff>
        </xdr:to>
        <xdr:sp macro="" textlink="">
          <xdr:nvSpPr>
            <xdr:cNvPr id="1177" name="Button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1039</xdr:row>
          <xdr:rowOff>95250</xdr:rowOff>
        </xdr:from>
        <xdr:to>
          <xdr:col>7</xdr:col>
          <xdr:colOff>676275</xdr:colOff>
          <xdr:row>1041</xdr:row>
          <xdr:rowOff>85725</xdr:rowOff>
        </xdr:to>
        <xdr:sp macro="" textlink="">
          <xdr:nvSpPr>
            <xdr:cNvPr id="1180" name="Button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1039</xdr:row>
          <xdr:rowOff>95250</xdr:rowOff>
        </xdr:from>
        <xdr:to>
          <xdr:col>7</xdr:col>
          <xdr:colOff>676275</xdr:colOff>
          <xdr:row>1041</xdr:row>
          <xdr:rowOff>85725</xdr:rowOff>
        </xdr:to>
        <xdr:sp macro="" textlink="">
          <xdr:nvSpPr>
            <xdr:cNvPr id="1183" name="Button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1084</xdr:row>
          <xdr:rowOff>95250</xdr:rowOff>
        </xdr:from>
        <xdr:to>
          <xdr:col>7</xdr:col>
          <xdr:colOff>676275</xdr:colOff>
          <xdr:row>1086</xdr:row>
          <xdr:rowOff>85725</xdr:rowOff>
        </xdr:to>
        <xdr:sp macro="" textlink="">
          <xdr:nvSpPr>
            <xdr:cNvPr id="1186" name="Button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1084</xdr:row>
          <xdr:rowOff>95250</xdr:rowOff>
        </xdr:from>
        <xdr:to>
          <xdr:col>7</xdr:col>
          <xdr:colOff>676275</xdr:colOff>
          <xdr:row>1086</xdr:row>
          <xdr:rowOff>85725</xdr:rowOff>
        </xdr:to>
        <xdr:sp macro="" textlink="">
          <xdr:nvSpPr>
            <xdr:cNvPr id="1189" name="Butto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1129</xdr:row>
          <xdr:rowOff>95250</xdr:rowOff>
        </xdr:from>
        <xdr:to>
          <xdr:col>7</xdr:col>
          <xdr:colOff>676275</xdr:colOff>
          <xdr:row>1131</xdr:row>
          <xdr:rowOff>85725</xdr:rowOff>
        </xdr:to>
        <xdr:sp macro="" textlink="">
          <xdr:nvSpPr>
            <xdr:cNvPr id="1192" name="Button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1129</xdr:row>
          <xdr:rowOff>95250</xdr:rowOff>
        </xdr:from>
        <xdr:to>
          <xdr:col>7</xdr:col>
          <xdr:colOff>676275</xdr:colOff>
          <xdr:row>1131</xdr:row>
          <xdr:rowOff>85725</xdr:rowOff>
        </xdr:to>
        <xdr:sp macro="" textlink="">
          <xdr:nvSpPr>
            <xdr:cNvPr id="1195" name="Button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1174</xdr:row>
          <xdr:rowOff>95250</xdr:rowOff>
        </xdr:from>
        <xdr:to>
          <xdr:col>7</xdr:col>
          <xdr:colOff>676275</xdr:colOff>
          <xdr:row>1176</xdr:row>
          <xdr:rowOff>85725</xdr:rowOff>
        </xdr:to>
        <xdr:sp macro="" textlink="">
          <xdr:nvSpPr>
            <xdr:cNvPr id="1198" name="Button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1174</xdr:row>
          <xdr:rowOff>95250</xdr:rowOff>
        </xdr:from>
        <xdr:to>
          <xdr:col>7</xdr:col>
          <xdr:colOff>676275</xdr:colOff>
          <xdr:row>1176</xdr:row>
          <xdr:rowOff>85725</xdr:rowOff>
        </xdr:to>
        <xdr:sp macro="" textlink="">
          <xdr:nvSpPr>
            <xdr:cNvPr id="1201" name="Button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1219</xdr:row>
          <xdr:rowOff>95250</xdr:rowOff>
        </xdr:from>
        <xdr:to>
          <xdr:col>7</xdr:col>
          <xdr:colOff>676275</xdr:colOff>
          <xdr:row>1221</xdr:row>
          <xdr:rowOff>85725</xdr:rowOff>
        </xdr:to>
        <xdr:sp macro="" textlink="">
          <xdr:nvSpPr>
            <xdr:cNvPr id="1204" name="Button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1219</xdr:row>
          <xdr:rowOff>95250</xdr:rowOff>
        </xdr:from>
        <xdr:to>
          <xdr:col>7</xdr:col>
          <xdr:colOff>676275</xdr:colOff>
          <xdr:row>1221</xdr:row>
          <xdr:rowOff>85725</xdr:rowOff>
        </xdr:to>
        <xdr:sp macro="" textlink="">
          <xdr:nvSpPr>
            <xdr:cNvPr id="1207" name="Button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1264</xdr:row>
          <xdr:rowOff>95250</xdr:rowOff>
        </xdr:from>
        <xdr:to>
          <xdr:col>7</xdr:col>
          <xdr:colOff>676275</xdr:colOff>
          <xdr:row>1266</xdr:row>
          <xdr:rowOff>85725</xdr:rowOff>
        </xdr:to>
        <xdr:sp macro="" textlink="">
          <xdr:nvSpPr>
            <xdr:cNvPr id="1210" name="Button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1264</xdr:row>
          <xdr:rowOff>95250</xdr:rowOff>
        </xdr:from>
        <xdr:to>
          <xdr:col>7</xdr:col>
          <xdr:colOff>676275</xdr:colOff>
          <xdr:row>1266</xdr:row>
          <xdr:rowOff>85725</xdr:rowOff>
        </xdr:to>
        <xdr:sp macro="" textlink="">
          <xdr:nvSpPr>
            <xdr:cNvPr id="1213" name="Button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50</xdr:row>
          <xdr:rowOff>95250</xdr:rowOff>
        </xdr:from>
        <xdr:to>
          <xdr:col>7</xdr:col>
          <xdr:colOff>676275</xdr:colOff>
          <xdr:row>52</xdr:row>
          <xdr:rowOff>85725</xdr:rowOff>
        </xdr:to>
        <xdr:sp macro="" textlink="">
          <xdr:nvSpPr>
            <xdr:cNvPr id="1226" name="Button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105525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105525" y="72723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105525" y="72723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8343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2706" displayName="Tableau2706" ref="C7:H25" totalsRowShown="0" headerRowDxfId="2780" dataDxfId="2778" headerRowBorderDxfId="2779" tableBorderDxfId="2777" totalsRowBorderDxfId="2776">
  <tableColumns count="6">
    <tableColumn id="1" name="Type d'intervention" dataDxfId="2775"/>
    <tableColumn id="2" name="Entreprise" dataDxfId="2774"/>
    <tableColumn id="12" name="S" dataDxfId="2773"/>
    <tableColumn id="3" name="   Date" dataDxfId="2772"/>
    <tableColumn id="5" name="Avancement" dataDxfId="2771"/>
    <tableColumn id="4" name="Commentaires" dataDxfId="277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4707" displayName="Tableau4707" ref="C28:H44" totalsRowShown="0" headerRowDxfId="2769" dataDxfId="2767" headerRowBorderDxfId="2768" tableBorderDxfId="2766" totalsRowBorderDxfId="2765">
  <tableColumns count="6">
    <tableColumn id="1" name="Type d'intervention" dataDxfId="2764"/>
    <tableColumn id="2" name="Entreprise" dataDxfId="2763"/>
    <tableColumn id="6" name="S" dataDxfId="2762">
      <calculatedColumnFormula>IF(E24="","",MOD(E24+1,52))</calculatedColumnFormula>
    </tableColumn>
    <tableColumn id="3" name="Date" dataDxfId="2761"/>
    <tableColumn id="4" name="Avancement" dataDxfId="2760"/>
    <tableColumn id="5" name="Commentaires" dataDxfId="2759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5708" displayName="Tableau5708" ref="C47:H51" totalsRowShown="0" headerRowDxfId="2758" dataDxfId="2756" headerRowBorderDxfId="2757" tableBorderDxfId="2755" totalsRowBorderDxfId="2754">
  <tableColumns count="6">
    <tableColumn id="1" name="Type d'intervention" dataDxfId="2753"/>
    <tableColumn id="2" name="Entreprise" dataDxfId="2752">
      <calculatedColumnFormula>D10</calculatedColumnFormula>
    </tableColumn>
    <tableColumn id="6" name=" " dataDxfId="2751">
      <calculatedColumnFormula>IF(E30="","",MOD(E30+1,52))</calculatedColumnFormula>
    </tableColumn>
    <tableColumn id="3" name="Date" dataDxfId="2750"/>
    <tableColumn id="4" name="Avancement" dataDxfId="2749"/>
    <tableColumn id="5" name="Commentaires" dataDxfId="274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5712" displayName="Tableau25712" ref="C54:F58" totalsRowShown="0" headerRowDxfId="2747" dataDxfId="2745" headerRowBorderDxfId="2746" tableBorderDxfId="2744" totalsRowBorderDxfId="2743">
  <tableColumns count="4">
    <tableColumn id="1" name="réunion" dataDxfId="2742"/>
    <tableColumn id="2" name="date" dataDxfId="2741"/>
    <tableColumn id="4" name=" " dataDxfId="2740"/>
    <tableColumn id="3" name="état" dataDxfId="2739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81" name="Tableau81" displayName="Tableau81" ref="A9:F31" totalsRowShown="0" headerRowDxfId="2738" dataDxfId="2737">
  <autoFilter ref="A9:F31"/>
  <tableColumns count="6">
    <tableColumn id="1" name="CLIENTS" dataDxfId="2736"/>
    <tableColumn id="2" name="STADE D'AVANCEMENT" dataDxfId="2735"/>
    <tableColumn id="3" name="INTERVENTION DEMANDÉE" dataDxfId="2734"/>
    <tableColumn id="4" name="SEMAINE" dataDxfId="2733"/>
    <tableColumn id="5" name="PRÉVUE" dataDxfId="2732"/>
    <tableColumn id="6" name="OBSERVATIONS" dataDxfId="2731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86" name="Tableau8187" displayName="Tableau8187" ref="A99:F122" totalsRowShown="0" headerRowDxfId="2730" dataDxfId="2729">
  <autoFilter ref="A99:F122"/>
  <tableColumns count="6">
    <tableColumn id="1" name="CLIENTS" dataDxfId="2728"/>
    <tableColumn id="2" name="STADE D'AVANCEMENT" dataDxfId="2727">
      <calculatedColumnFormula>B10</calculatedColumnFormula>
    </tableColumn>
    <tableColumn id="3" name="INTERVENTION DEMANDÉE" dataDxfId="2726"/>
    <tableColumn id="4" name="SEMAINE" dataDxfId="2725"/>
    <tableColumn id="5" name="PRÉVUE" dataDxfId="2724"/>
    <tableColumn id="6" name="OBSERVATIONS" dataDxfId="272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88" name="Tableau818789" displayName="Tableau818789" ref="A144:F166" totalsRowShown="0" headerRowDxfId="2722" dataDxfId="2721">
  <autoFilter ref="A144:F166"/>
  <tableColumns count="6">
    <tableColumn id="1" name="CLIENTS" dataDxfId="2720"/>
    <tableColumn id="2" name="STADE D'AVANCEMENT" dataDxfId="2719">
      <calculatedColumnFormula>B10</calculatedColumnFormula>
    </tableColumn>
    <tableColumn id="3" name="INTERVENTION DEMANDÉE" dataDxfId="2718"/>
    <tableColumn id="4" name="SEMAINE" dataDxfId="2717"/>
    <tableColumn id="5" name="PRÉVUE" dataDxfId="2716"/>
    <tableColumn id="6" name="OBSERVATIONS" dataDxfId="2715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93" name="Tableau81878994" displayName="Tableau81878994" ref="A188:F210" totalsRowShown="0" headerRowDxfId="2714" dataDxfId="2713">
  <autoFilter ref="A188:F210"/>
  <tableColumns count="6">
    <tableColumn id="1" name="CLIENTS" dataDxfId="2712"/>
    <tableColumn id="2" name="STADE D'AVANCEMENT" dataDxfId="2711">
      <calculatedColumnFormula>B10</calculatedColumnFormula>
    </tableColumn>
    <tableColumn id="3" name="INTERVENTION DEMANDÉE" dataDxfId="2710"/>
    <tableColumn id="4" name="SEMAINE" dataDxfId="2709"/>
    <tableColumn id="5" name="PRÉVUE" dataDxfId="2708"/>
    <tableColumn id="6" name="OBSERVATIONS" dataDxfId="2707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4" name="Tableau8187899495" displayName="Tableau8187899495" ref="A233:F256" totalsRowShown="0" headerRowDxfId="2706" dataDxfId="2705">
  <autoFilter ref="A233:F256"/>
  <tableColumns count="6">
    <tableColumn id="1" name="CLIENTS" dataDxfId="2704"/>
    <tableColumn id="2" name="STADE D'AVANCEMENT" dataDxfId="2703">
      <calculatedColumnFormula>B189</calculatedColumnFormula>
    </tableColumn>
    <tableColumn id="3" name="INTERVENTION DEMANDÉE" dataDxfId="2702"/>
    <tableColumn id="4" name="SEMAINE" dataDxfId="2701"/>
    <tableColumn id="5" name="PRÉVUE" dataDxfId="2700"/>
    <tableColumn id="6" name="OBSERVATIONS" dataDxfId="2699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95" name="Tableau818789949596" displayName="Tableau818789949596" ref="A278:F301" totalsRowShown="0" headerRowDxfId="2698" dataDxfId="2697">
  <autoFilter ref="A278:F301"/>
  <tableColumns count="6">
    <tableColumn id="1" name="CLIENTS" dataDxfId="2696"/>
    <tableColumn id="2" name="STADE D'AVANCEMENT" dataDxfId="2695">
      <calculatedColumnFormula>B234</calculatedColumnFormula>
    </tableColumn>
    <tableColumn id="3" name="INTERVENTION DEMANDÉE" dataDxfId="2694"/>
    <tableColumn id="4" name="SEMAINE" dataDxfId="2693"/>
    <tableColumn id="5" name="PRÉVUE" dataDxfId="2692"/>
    <tableColumn id="6" name="OBSERVATIONS" dataDxfId="2691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96" name="Tableau81878994959697" displayName="Tableau81878994959697" ref="A323:F346" totalsRowShown="0" headerRowDxfId="2690" dataDxfId="2689">
  <autoFilter ref="A323:F346"/>
  <tableColumns count="6">
    <tableColumn id="1" name="CLIENTS" dataDxfId="2688"/>
    <tableColumn id="2" name="STADE D'AVANCEMENT" dataDxfId="2687">
      <calculatedColumnFormula>B279</calculatedColumnFormula>
    </tableColumn>
    <tableColumn id="3" name="INTERVENTION DEMANDÉE" dataDxfId="2686"/>
    <tableColumn id="4" name="SEMAINE" dataDxfId="2685"/>
    <tableColumn id="5" name="PRÉVUE" dataDxfId="2684"/>
    <tableColumn id="6" name="OBSERVATIONS" dataDxfId="2683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01" name="Tableau81878994959697102" displayName="Tableau81878994959697102" ref="A368:F391" totalsRowShown="0" headerRowDxfId="2682" dataDxfId="2681">
  <autoFilter ref="A368:F391"/>
  <tableColumns count="6">
    <tableColumn id="1" name="CLIENTS" dataDxfId="2680"/>
    <tableColumn id="2" name="STADE D'AVANCEMENT" dataDxfId="2679">
      <calculatedColumnFormula>B324</calculatedColumnFormula>
    </tableColumn>
    <tableColumn id="3" name="INTERVENTION DEMANDÉE" dataDxfId="2678"/>
    <tableColumn id="4" name="SEMAINE" dataDxfId="2677"/>
    <tableColumn id="5" name="PRÉVUE" dataDxfId="2676"/>
    <tableColumn id="6" name="OBSERVATIONS" dataDxfId="2675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02" name="Tableau81878994959697102103" displayName="Tableau81878994959697102103" ref="A413:F436" totalsRowShown="0" headerRowDxfId="2674" dataDxfId="2673">
  <autoFilter ref="A413:F436"/>
  <tableColumns count="6">
    <tableColumn id="1" name="CLIENTS" dataDxfId="2672"/>
    <tableColumn id="2" name="STADE D'AVANCEMENT" dataDxfId="2671">
      <calculatedColumnFormula>B369</calculatedColumnFormula>
    </tableColumn>
    <tableColumn id="3" name="INTERVENTION DEMANDÉE" dataDxfId="2670"/>
    <tableColumn id="4" name="SEMAINE" dataDxfId="2669"/>
    <tableColumn id="5" name="PRÉVUE" dataDxfId="2668"/>
    <tableColumn id="6" name="OBSERVATIONS" dataDxfId="2667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03" name="Tableau81878994959697102104" displayName="Tableau81878994959697102104" ref="A458:F481" totalsRowShown="0" headerRowDxfId="2666" dataDxfId="2665">
  <autoFilter ref="A458:F481"/>
  <tableColumns count="6">
    <tableColumn id="1" name="CLIENTS" dataDxfId="2664"/>
    <tableColumn id="2" name="STADE D'AVANCEMENT" dataDxfId="2663">
      <calculatedColumnFormula>B414</calculatedColumnFormula>
    </tableColumn>
    <tableColumn id="3" name="INTERVENTION DEMANDÉE" dataDxfId="2662"/>
    <tableColumn id="4" name="SEMAINE" dataDxfId="2661"/>
    <tableColumn id="5" name="PRÉVUE" dataDxfId="2660"/>
    <tableColumn id="6" name="OBSERVATIONS" dataDxfId="2659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04" name="Tableau81878994959697102105" displayName="Tableau81878994959697102105" ref="A503:F526" totalsRowShown="0" headerRowDxfId="2658" dataDxfId="2657">
  <autoFilter ref="A503:F526"/>
  <tableColumns count="6">
    <tableColumn id="1" name="CLIENTS" dataDxfId="2656"/>
    <tableColumn id="2" name="STADE D'AVANCEMENT" dataDxfId="2655">
      <calculatedColumnFormula>B459</calculatedColumnFormula>
    </tableColumn>
    <tableColumn id="3" name="INTERVENTION DEMANDÉE" dataDxfId="2654"/>
    <tableColumn id="4" name="SEMAINE" dataDxfId="2653"/>
    <tableColumn id="5" name="PRÉVUE" dataDxfId="2652"/>
    <tableColumn id="6" name="OBSERVATIONS" dataDxfId="2651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05" name="Tableau81878994959697102106" displayName="Tableau81878994959697102106" ref="A548:F571" totalsRowShown="0" headerRowDxfId="2650" dataDxfId="2649">
  <autoFilter ref="A548:F571"/>
  <tableColumns count="6">
    <tableColumn id="1" name="CLIENTS" dataDxfId="2648"/>
    <tableColumn id="2" name="STADE D'AVANCEMENT" dataDxfId="2647">
      <calculatedColumnFormula>B504</calculatedColumnFormula>
    </tableColumn>
    <tableColumn id="3" name="INTERVENTION DEMANDÉE" dataDxfId="2646"/>
    <tableColumn id="4" name="SEMAINE" dataDxfId="2645"/>
    <tableColumn id="5" name="PRÉVUE" dataDxfId="2644"/>
    <tableColumn id="6" name="OBSERVATIONS" dataDxfId="2643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106" name="Tableau81878994959697102107" displayName="Tableau81878994959697102107" ref="A593:F616" totalsRowShown="0" headerRowDxfId="2642" dataDxfId="2641">
  <autoFilter ref="A593:F616"/>
  <tableColumns count="6">
    <tableColumn id="1" name="CLIENTS" dataDxfId="2640"/>
    <tableColumn id="2" name="STADE D'AVANCEMENT" dataDxfId="2639">
      <calculatedColumnFormula>B549</calculatedColumnFormula>
    </tableColumn>
    <tableColumn id="3" name="INTERVENTION DEMANDÉE" dataDxfId="2638"/>
    <tableColumn id="4" name="SEMAINE" dataDxfId="2637"/>
    <tableColumn id="5" name="PRÉVUE" dataDxfId="2636"/>
    <tableColumn id="6" name="OBSERVATIONS" dataDxfId="2635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07" name="Tableau81878994959697102108" displayName="Tableau81878994959697102108" ref="A638:F661" totalsRowShown="0" headerRowDxfId="2634" dataDxfId="2633">
  <autoFilter ref="A638:F661"/>
  <tableColumns count="6">
    <tableColumn id="1" name="CLIENTS" dataDxfId="2632"/>
    <tableColumn id="2" name="STADE D'AVANCEMENT" dataDxfId="2631">
      <calculatedColumnFormula>B594</calculatedColumnFormula>
    </tableColumn>
    <tableColumn id="3" name="INTERVENTION DEMANDÉE" dataDxfId="2630"/>
    <tableColumn id="4" name="SEMAINE" dataDxfId="2629"/>
    <tableColumn id="5" name="PRÉVUE" dataDxfId="2628"/>
    <tableColumn id="6" name="OBSERVATIONS" dataDxfId="2627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108" name="Tableau81878994959697102109" displayName="Tableau81878994959697102109" ref="A683:F706" totalsRowShown="0" headerRowDxfId="2626" dataDxfId="2625">
  <autoFilter ref="A683:F706"/>
  <tableColumns count="6">
    <tableColumn id="1" name="CLIENTS" dataDxfId="2624"/>
    <tableColumn id="2" name="STADE D'AVANCEMENT" dataDxfId="2623">
      <calculatedColumnFormula>B639</calculatedColumnFormula>
    </tableColumn>
    <tableColumn id="3" name="INTERVENTION DEMANDÉE" dataDxfId="2622"/>
    <tableColumn id="4" name="SEMAINE" dataDxfId="2621"/>
    <tableColumn id="5" name="PRÉVUE" dataDxfId="2620"/>
    <tableColumn id="6" name="OBSERVATIONS" dataDxfId="2619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109" name="Tableau81878994959697102110" displayName="Tableau81878994959697102110" ref="A728:F751" totalsRowShown="0" headerRowDxfId="2618" dataDxfId="2617">
  <autoFilter ref="A728:F751"/>
  <tableColumns count="6">
    <tableColumn id="1" name="CLIENTS" dataDxfId="2616"/>
    <tableColumn id="2" name="STADE D'AVANCEMENT" dataDxfId="2615">
      <calculatedColumnFormula>B684</calculatedColumnFormula>
    </tableColumn>
    <tableColumn id="3" name="INTERVENTION DEMANDÉE" dataDxfId="2614"/>
    <tableColumn id="4" name="SEMAINE" dataDxfId="2613"/>
    <tableColumn id="5" name="PRÉVUE" dataDxfId="2612"/>
    <tableColumn id="6" name="OBSERVATIONS" dataDxfId="2611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id="110" name="Tableau81878994959697102111" displayName="Tableau81878994959697102111" ref="A773:F796" totalsRowShown="0" headerRowDxfId="2610" dataDxfId="2609">
  <autoFilter ref="A773:F796"/>
  <tableColumns count="6">
    <tableColumn id="1" name="CLIENTS" dataDxfId="2608"/>
    <tableColumn id="2" name="STADE D'AVANCEMENT" dataDxfId="2607">
      <calculatedColumnFormula>B729</calculatedColumnFormula>
    </tableColumn>
    <tableColumn id="3" name="INTERVENTION DEMANDÉE" dataDxfId="2606"/>
    <tableColumn id="4" name="SEMAINE" dataDxfId="2605"/>
    <tableColumn id="5" name="PRÉVUE" dataDxfId="2604"/>
    <tableColumn id="6" name="OBSERVATIONS" dataDxfId="2603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id="111" name="Tableau81878994959697102111112" displayName="Tableau81878994959697102111112" ref="A818:F841" totalsRowShown="0" headerRowDxfId="2602" dataDxfId="2601">
  <autoFilter ref="A818:F841"/>
  <tableColumns count="6">
    <tableColumn id="1" name="CLIENTS" dataDxfId="2600"/>
    <tableColumn id="2" name="STADE D'AVANCEMENT" dataDxfId="2599">
      <calculatedColumnFormula>B774</calculatedColumnFormula>
    </tableColumn>
    <tableColumn id="3" name="INTERVENTION DEMANDÉE" dataDxfId="2598"/>
    <tableColumn id="4" name="SEMAINE" dataDxfId="2597"/>
    <tableColumn id="5" name="PRÉVUE" dataDxfId="2596"/>
    <tableColumn id="6" name="OBSERVATIONS" dataDxfId="2595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id="112" name="Tableau81878994959697102111113" displayName="Tableau81878994959697102111113" ref="A863:F886" totalsRowShown="0" headerRowDxfId="2594">
  <autoFilter ref="A863:F886"/>
  <tableColumns count="6">
    <tableColumn id="1" name="CLIENTS" dataDxfId="2593"/>
    <tableColumn id="2" name="STADE D'AVANCEMENT" dataDxfId="2592">
      <calculatedColumnFormula>B819</calculatedColumnFormula>
    </tableColumn>
    <tableColumn id="3" name="INTERVENTION DEMANDÉE" dataDxfId="2591"/>
    <tableColumn id="4" name="SEMAINE" dataDxfId="2590"/>
    <tableColumn id="5" name="PRÉVUE" dataDxfId="2589"/>
    <tableColumn id="6" name="OBSERVATIONS" dataDxfId="2588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id="113" name="Tableau81878994959697102111114" displayName="Tableau81878994959697102111114" ref="A908:F931" totalsRowShown="0" headerRowDxfId="2587" dataDxfId="2586">
  <autoFilter ref="A908:F931"/>
  <tableColumns count="6">
    <tableColumn id="1" name="CLIENTS" dataDxfId="2585"/>
    <tableColumn id="2" name="STADE D'AVANCEMENT" dataDxfId="2584">
      <calculatedColumnFormula>B864</calculatedColumnFormula>
    </tableColumn>
    <tableColumn id="3" name="INTERVENTION DEMANDÉE" dataDxfId="2583"/>
    <tableColumn id="4" name="SEMAINE" dataDxfId="2582"/>
    <tableColumn id="5" name="PRÉVUE" dataDxfId="2581"/>
    <tableColumn id="6" name="OBSERVATIONS" dataDxfId="2580"/>
  </tableColumns>
  <tableStyleInfo name="TableStyleMedium9" showFirstColumn="0" showLastColumn="0" showRowStripes="1" showColumnStripes="0"/>
</table>
</file>

<file path=xl/tables/table25.xml><?xml version="1.0" encoding="utf-8"?>
<table xmlns="http://schemas.openxmlformats.org/spreadsheetml/2006/main" id="114" name="Tableau81878994959697102111115" displayName="Tableau81878994959697102111115" ref="A953:F976" totalsRowShown="0" headerRowDxfId="2579" dataDxfId="2578">
  <autoFilter ref="A953:F976"/>
  <tableColumns count="6">
    <tableColumn id="1" name="CLIENTS" dataDxfId="2577"/>
    <tableColumn id="2" name="STADE D'AVANCEMENT" dataDxfId="2576">
      <calculatedColumnFormula>B909</calculatedColumnFormula>
    </tableColumn>
    <tableColumn id="3" name="INTERVENTION DEMANDÉE" dataDxfId="2575"/>
    <tableColumn id="4" name="SEMAINE" dataDxfId="2574"/>
    <tableColumn id="5" name="PRÉVUE" dataDxfId="2573"/>
    <tableColumn id="6" name="OBSERVATIONS" dataDxfId="2572"/>
  </tableColumns>
  <tableStyleInfo name="TableStyleMedium9" showFirstColumn="0" showLastColumn="0" showRowStripes="1" showColumnStripes="0"/>
</table>
</file>

<file path=xl/tables/table26.xml><?xml version="1.0" encoding="utf-8"?>
<table xmlns="http://schemas.openxmlformats.org/spreadsheetml/2006/main" id="115" name="Tableau81878994959697102111116" displayName="Tableau81878994959697102111116" ref="A998:F1021" totalsRowShown="0" headerRowDxfId="2571" dataDxfId="2570">
  <autoFilter ref="A998:F1021"/>
  <tableColumns count="6">
    <tableColumn id="1" name="CLIENTS" dataDxfId="2569"/>
    <tableColumn id="2" name="STADE D'AVANCEMENT" dataDxfId="2568">
      <calculatedColumnFormula>B954</calculatedColumnFormula>
    </tableColumn>
    <tableColumn id="3" name="INTERVENTION DEMANDÉE" dataDxfId="2567"/>
    <tableColumn id="4" name="SEMAINE" dataDxfId="2566"/>
    <tableColumn id="5" name="PRÉVUE" dataDxfId="2565"/>
    <tableColumn id="6" name="OBSERVATIONS" dataDxfId="2564"/>
  </tableColumns>
  <tableStyleInfo name="TableStyleMedium9" showFirstColumn="0" showLastColumn="0" showRowStripes="1" showColumnStripes="0"/>
</table>
</file>

<file path=xl/tables/table27.xml><?xml version="1.0" encoding="utf-8"?>
<table xmlns="http://schemas.openxmlformats.org/spreadsheetml/2006/main" id="116" name="Tableau81878994959697102111117" displayName="Tableau81878994959697102111117" ref="A1043:F1066" totalsRowShown="0" headerRowDxfId="2563" dataDxfId="2562">
  <autoFilter ref="A1043:F1066"/>
  <tableColumns count="6">
    <tableColumn id="1" name="CLIENTS" dataDxfId="2561"/>
    <tableColumn id="2" name="STADE D'AVANCEMENT" dataDxfId="2560">
      <calculatedColumnFormula>B999</calculatedColumnFormula>
    </tableColumn>
    <tableColumn id="3" name="INTERVENTION DEMANDÉE" dataDxfId="2559"/>
    <tableColumn id="4" name="SEMAINE" dataDxfId="2558"/>
    <tableColumn id="5" name="PRÉVUE" dataDxfId="2557"/>
    <tableColumn id="6" name="OBSERVATIONS" dataDxfId="2556"/>
  </tableColumns>
  <tableStyleInfo name="TableStyleMedium9" showFirstColumn="0" showLastColumn="0" showRowStripes="1" showColumnStripes="0"/>
</table>
</file>

<file path=xl/tables/table28.xml><?xml version="1.0" encoding="utf-8"?>
<table xmlns="http://schemas.openxmlformats.org/spreadsheetml/2006/main" id="117" name="Tableau81878994959697102111117118" displayName="Tableau81878994959697102111117118" ref="A1088:F1111" totalsRowShown="0" headerRowDxfId="2555" dataDxfId="2554">
  <autoFilter ref="A1088:F1111"/>
  <tableColumns count="6">
    <tableColumn id="1" name="CLIENTS" dataDxfId="2553"/>
    <tableColumn id="2" name="STADE D'AVANCEMENT" dataDxfId="2552">
      <calculatedColumnFormula>B1044</calculatedColumnFormula>
    </tableColumn>
    <tableColumn id="3" name="INTERVENTION DEMANDÉE" dataDxfId="2551"/>
    <tableColumn id="4" name="SEMAINE" dataDxfId="2550"/>
    <tableColumn id="5" name="PRÉVUE" dataDxfId="2549"/>
    <tableColumn id="6" name="OBSERVATIONS" dataDxfId="2548"/>
  </tableColumns>
  <tableStyleInfo name="TableStyleMedium9" showFirstColumn="0" showLastColumn="0" showRowStripes="1" showColumnStripes="0"/>
</table>
</file>

<file path=xl/tables/table29.xml><?xml version="1.0" encoding="utf-8"?>
<table xmlns="http://schemas.openxmlformats.org/spreadsheetml/2006/main" id="118" name="Tableau81878994959697102111117119" displayName="Tableau81878994959697102111117119" ref="A1133:F1156" totalsRowShown="0" headerRowDxfId="2547" dataDxfId="2546">
  <autoFilter ref="A1133:F1156"/>
  <tableColumns count="6">
    <tableColumn id="1" name="CLIENTS" dataDxfId="2545"/>
    <tableColumn id="2" name="STADE D'AVANCEMENT" dataDxfId="2544">
      <calculatedColumnFormula>B1089</calculatedColumnFormula>
    </tableColumn>
    <tableColumn id="3" name="INTERVENTION DEMANDÉE" dataDxfId="2543"/>
    <tableColumn id="4" name="SEMAINE" dataDxfId="2542"/>
    <tableColumn id="5" name="PRÉVUE" dataDxfId="2541"/>
    <tableColumn id="6" name="OBSERVATIONS" dataDxfId="2540"/>
  </tableColumns>
  <tableStyleInfo name="TableStyleMedium9" showFirstColumn="0" showLastColumn="0" showRowStripes="1" showColumnStripes="0"/>
</table>
</file>

<file path=xl/tables/table30.xml><?xml version="1.0" encoding="utf-8"?>
<table xmlns="http://schemas.openxmlformats.org/spreadsheetml/2006/main" id="119" name="Tableau81878994959697102111117120" displayName="Tableau81878994959697102111117120" ref="A1178:F1201" totalsRowShown="0" headerRowDxfId="2539" dataDxfId="2538">
  <autoFilter ref="A1178:F1201"/>
  <tableColumns count="6">
    <tableColumn id="1" name="CLIENTS" dataDxfId="2537"/>
    <tableColumn id="2" name="STADE D'AVANCEMENT" dataDxfId="2536">
      <calculatedColumnFormula>B1134</calculatedColumnFormula>
    </tableColumn>
    <tableColumn id="3" name="INTERVENTION DEMANDÉE" dataDxfId="2535"/>
    <tableColumn id="4" name="SEMAINE" dataDxfId="2534"/>
    <tableColumn id="5" name="PRÉVUE" dataDxfId="2533"/>
    <tableColumn id="6" name="OBSERVATIONS" dataDxfId="2532"/>
  </tableColumns>
  <tableStyleInfo name="TableStyleMedium9" showFirstColumn="0" showLastColumn="0" showRowStripes="1" showColumnStripes="0"/>
</table>
</file>

<file path=xl/tables/table31.xml><?xml version="1.0" encoding="utf-8"?>
<table xmlns="http://schemas.openxmlformats.org/spreadsheetml/2006/main" id="120" name="Tableau81878994959697102111117121" displayName="Tableau81878994959697102111117121" ref="A1223:F1246" totalsRowShown="0" headerRowDxfId="2531" dataDxfId="2530">
  <autoFilter ref="A1223:F1246"/>
  <tableColumns count="6">
    <tableColumn id="1" name="CLIENTS" dataDxfId="2529"/>
    <tableColumn id="2" name="STADE D'AVANCEMENT" dataDxfId="2528">
      <calculatedColumnFormula>B1179</calculatedColumnFormula>
    </tableColumn>
    <tableColumn id="3" name="INTERVENTION DEMANDÉE" dataDxfId="2527"/>
    <tableColumn id="4" name="SEMAINE" dataDxfId="2526"/>
    <tableColumn id="5" name="PRÉVUE" dataDxfId="2525"/>
    <tableColumn id="6" name="OBSERVATIONS" dataDxfId="2524"/>
  </tableColumns>
  <tableStyleInfo name="TableStyleMedium9" showFirstColumn="0" showLastColumn="0" showRowStripes="1" showColumnStripes="0"/>
</table>
</file>

<file path=xl/tables/table32.xml><?xml version="1.0" encoding="utf-8"?>
<table xmlns="http://schemas.openxmlformats.org/spreadsheetml/2006/main" id="121" name="Tableau81878994959697102111117122" displayName="Tableau81878994959697102111117122" ref="A1268:F1291" totalsRowShown="0" headerRowDxfId="2523" dataDxfId="2522">
  <autoFilter ref="A1268:F1291"/>
  <tableColumns count="6">
    <tableColumn id="1" name="CLIENTS" dataDxfId="2521"/>
    <tableColumn id="2" name="STADE D'AVANCEMENT" dataDxfId="2520">
      <calculatedColumnFormula>B1224</calculatedColumnFormula>
    </tableColumn>
    <tableColumn id="3" name="INTERVENTION DEMANDÉE" dataDxfId="2519"/>
    <tableColumn id="4" name="SEMAINE" dataDxfId="2518"/>
    <tableColumn id="5" name="PRÉVUE" dataDxfId="2517"/>
    <tableColumn id="6" name="OBSERVATIONS" dataDxfId="2516"/>
  </tableColumns>
  <tableStyleInfo name="TableStyleMedium9" showFirstColumn="0" showLastColumn="0" showRowStripes="1" showColumnStripes="0"/>
</table>
</file>

<file path=xl/tables/table33.xml><?xml version="1.0" encoding="utf-8"?>
<table xmlns="http://schemas.openxmlformats.org/spreadsheetml/2006/main" id="77" name="Tableau8178" displayName="Tableau8178" ref="A54:F77" totalsRowShown="0" headerRowDxfId="2515" dataDxfId="2514">
  <autoFilter ref="A54:F77"/>
  <tableColumns count="6">
    <tableColumn id="1" name="CLIENTS" dataDxfId="2513"/>
    <tableColumn id="2" name="STADE D'AVANCEMENT" dataDxfId="2512">
      <calculatedColumnFormula>B10</calculatedColumnFormula>
    </tableColumn>
    <tableColumn id="3" name="INTERVENTION DEMANDÉE" dataDxfId="2511"/>
    <tableColumn id="4" name="SEMAINE" dataDxfId="2510"/>
    <tableColumn id="5" name="PRÉVUE" dataDxfId="2509"/>
    <tableColumn id="6" name="OBSERVATIONS" dataDxfId="2508"/>
  </tableColumns>
  <tableStyleInfo name="TableStyleMedium9" showFirstColumn="0" showLastColumn="0" showRowStripes="1" showColumnStripes="0"/>
</table>
</file>

<file path=xl/tables/table34.xml><?xml version="1.0" encoding="utf-8"?>
<table xmlns="http://schemas.openxmlformats.org/spreadsheetml/2006/main" id="89" name="Tableau270690" displayName="Tableau270690" ref="C7:H21" totalsRowShown="0" headerRowDxfId="2435" dataDxfId="2433" headerRowBorderDxfId="2434" tableBorderDxfId="2432" totalsRowBorderDxfId="2431">
  <tableColumns count="6">
    <tableColumn id="1" name="Type d'intervention" dataDxfId="2430"/>
    <tableColumn id="2" name="Entreprise" dataDxfId="2429"/>
    <tableColumn id="12" name="S" dataDxfId="2428"/>
    <tableColumn id="3" name="   Date" dataDxfId="2427"/>
    <tableColumn id="5" name="Avancement" dataDxfId="2426"/>
    <tableColumn id="4" name="Commentaires" dataDxfId="2425"/>
  </tableColumns>
  <tableStyleInfo name="TableStyleLight1" showFirstColumn="0" showLastColumn="0" showRowStripes="1" showColumnStripes="0"/>
</table>
</file>

<file path=xl/tables/table35.xml><?xml version="1.0" encoding="utf-8"?>
<table xmlns="http://schemas.openxmlformats.org/spreadsheetml/2006/main" id="90" name="Tableau470791" displayName="Tableau470791" ref="C24:H39" totalsRowShown="0" headerRowDxfId="2424" dataDxfId="2422" headerRowBorderDxfId="2423" tableBorderDxfId="2421" totalsRowBorderDxfId="2420">
  <tableColumns count="6">
    <tableColumn id="1" name="Type d'intervention" dataDxfId="2419"/>
    <tableColumn id="2" name="Entreprise" dataDxfId="2418"/>
    <tableColumn id="6" name="S" dataDxfId="2417">
      <calculatedColumnFormula>IF(E20="","",MOD(E20+1,52))</calculatedColumnFormula>
    </tableColumn>
    <tableColumn id="3" name="Date" dataDxfId="2416"/>
    <tableColumn id="4" name="Avancement" dataDxfId="2415"/>
    <tableColumn id="5" name="Commentaires" dataDxfId="2414"/>
  </tableColumns>
  <tableStyleInfo name="TableStyleLight1" showFirstColumn="0" showLastColumn="0" showRowStripes="1" showColumnStripes="0"/>
</table>
</file>

<file path=xl/tables/table36.xml><?xml version="1.0" encoding="utf-8"?>
<table xmlns="http://schemas.openxmlformats.org/spreadsheetml/2006/main" id="91" name="Tableau570892" displayName="Tableau570892" ref="C42:H46" totalsRowShown="0" headerRowDxfId="2413" dataDxfId="2411" headerRowBorderDxfId="2412" tableBorderDxfId="2410" totalsRowBorderDxfId="2409">
  <tableColumns count="6">
    <tableColumn id="1" name="Type d'intervention" dataDxfId="2408"/>
    <tableColumn id="2" name="Entreprise" dataDxfId="2407">
      <calculatedColumnFormula>D10</calculatedColumnFormula>
    </tableColumn>
    <tableColumn id="6" name=" " dataDxfId="2406">
      <calculatedColumnFormula>IF(E26="","",MOD(E26+1,52))</calculatedColumnFormula>
    </tableColumn>
    <tableColumn id="3" name="Date" dataDxfId="2405"/>
    <tableColumn id="4" name="Avancement" dataDxfId="2404"/>
    <tableColumn id="5" name="Commentaires" dataDxfId="2403"/>
  </tableColumns>
  <tableStyleInfo name="TableStyleLight1" showFirstColumn="0" showLastColumn="0" showRowStripes="1" showColumnStripes="0"/>
</table>
</file>

<file path=xl/tables/table37.xml><?xml version="1.0" encoding="utf-8"?>
<table xmlns="http://schemas.openxmlformats.org/spreadsheetml/2006/main" id="92" name="Tableau2571293" displayName="Tableau2571293" ref="C49:F53" totalsRowShown="0" headerRowDxfId="2402" dataDxfId="2400" headerRowBorderDxfId="2401" tableBorderDxfId="2399" totalsRowBorderDxfId="2398">
  <tableColumns count="4">
    <tableColumn id="1" name="réunion" dataDxfId="2397"/>
    <tableColumn id="2" name="date" dataDxfId="2396"/>
    <tableColumn id="4" name=" " dataDxfId="2395"/>
    <tableColumn id="3" name="état" dataDxfId="2394"/>
  </tableColumns>
  <tableStyleInfo name="TableStyleLight1" showFirstColumn="0" showLastColumn="0" showRowStripes="1" showColumnStripes="0"/>
</table>
</file>

<file path=xl/tables/table38.xml><?xml version="1.0" encoding="utf-8"?>
<table xmlns="http://schemas.openxmlformats.org/spreadsheetml/2006/main" id="122" name="Tableau2706123" displayName="Tableau2706123" ref="C7:H21" totalsRowShown="0" headerRowDxfId="2321" dataDxfId="2319" headerRowBorderDxfId="2320" tableBorderDxfId="2318" totalsRowBorderDxfId="2317">
  <tableColumns count="6">
    <tableColumn id="1" name="Type d'intervention" dataDxfId="2316"/>
    <tableColumn id="2" name="Entreprise" dataDxfId="2315"/>
    <tableColumn id="12" name="S" dataDxfId="2314"/>
    <tableColumn id="3" name="   Date" dataDxfId="2313"/>
    <tableColumn id="5" name="Avancement" dataDxfId="2312"/>
    <tableColumn id="4" name="Commentaires" dataDxfId="2311"/>
  </tableColumns>
  <tableStyleInfo name="TableStyleLight1" showFirstColumn="0" showLastColumn="0" showRowStripes="1" showColumnStripes="0"/>
</table>
</file>

<file path=xl/tables/table39.xml><?xml version="1.0" encoding="utf-8"?>
<table xmlns="http://schemas.openxmlformats.org/spreadsheetml/2006/main" id="123" name="Tableau4707124" displayName="Tableau4707124" ref="C24:H39" totalsRowShown="0" headerRowDxfId="2310" dataDxfId="2308" headerRowBorderDxfId="2309" tableBorderDxfId="2307" totalsRowBorderDxfId="2306">
  <tableColumns count="6">
    <tableColumn id="1" name="Type d'intervention" dataDxfId="2305"/>
    <tableColumn id="2" name="Entreprise" dataDxfId="2304"/>
    <tableColumn id="6" name="S" dataDxfId="2303">
      <calculatedColumnFormula>IF(E20="","",MOD(E20+1,52))</calculatedColumnFormula>
    </tableColumn>
    <tableColumn id="3" name="Date" dataDxfId="2302"/>
    <tableColumn id="4" name="Avancement" dataDxfId="2301"/>
    <tableColumn id="5" name="Commentaires" dataDxfId="2300"/>
  </tableColumns>
  <tableStyleInfo name="TableStyleLight1" showFirstColumn="0" showLastColumn="0" showRowStripes="1" showColumnStripes="0"/>
</table>
</file>

<file path=xl/tables/table40.xml><?xml version="1.0" encoding="utf-8"?>
<table xmlns="http://schemas.openxmlformats.org/spreadsheetml/2006/main" id="124" name="Tableau5708125" displayName="Tableau5708125" ref="C42:H46" totalsRowShown="0" headerRowDxfId="2299" dataDxfId="2297" headerRowBorderDxfId="2298" tableBorderDxfId="2296" totalsRowBorderDxfId="2295">
  <tableColumns count="6">
    <tableColumn id="1" name="Type d'intervention" dataDxfId="2294"/>
    <tableColumn id="2" name="Entreprise" dataDxfId="2293">
      <calculatedColumnFormula>D10</calculatedColumnFormula>
    </tableColumn>
    <tableColumn id="6" name=" " dataDxfId="2292">
      <calculatedColumnFormula>IF(E26="","",MOD(E26+1,52))</calculatedColumnFormula>
    </tableColumn>
    <tableColumn id="3" name="Date" dataDxfId="2291"/>
    <tableColumn id="4" name="Avancement" dataDxfId="2290"/>
    <tableColumn id="5" name="Commentaires" dataDxfId="2289"/>
  </tableColumns>
  <tableStyleInfo name="TableStyleLight1" showFirstColumn="0" showLastColumn="0" showRowStripes="1" showColumnStripes="0"/>
</table>
</file>

<file path=xl/tables/table41.xml><?xml version="1.0" encoding="utf-8"?>
<table xmlns="http://schemas.openxmlformats.org/spreadsheetml/2006/main" id="125" name="Tableau25712126" displayName="Tableau25712126" ref="C49:F53" totalsRowShown="0" headerRowDxfId="2288" dataDxfId="2286" headerRowBorderDxfId="2287" tableBorderDxfId="2285" totalsRowBorderDxfId="2284">
  <tableColumns count="4">
    <tableColumn id="1" name="réunion" dataDxfId="2283"/>
    <tableColumn id="2" name="date" dataDxfId="2282"/>
    <tableColumn id="4" name=" " dataDxfId="2281"/>
    <tableColumn id="3" name="état" dataDxfId="2280"/>
  </tableColumns>
  <tableStyleInfo name="TableStyleLight1" showFirstColumn="0" showLastColumn="0" showRowStripes="1" showColumnStripes="0"/>
</table>
</file>

<file path=xl/tables/table42.xml><?xml version="1.0" encoding="utf-8"?>
<table xmlns="http://schemas.openxmlformats.org/spreadsheetml/2006/main" id="21" name="Tableau270622" displayName="Tableau270622" ref="C7:H21" totalsRowShown="0" headerRowDxfId="2208" dataDxfId="2206" headerRowBorderDxfId="2207" tableBorderDxfId="2205" totalsRowBorderDxfId="2204">
  <tableColumns count="6">
    <tableColumn id="1" name="Type d'intervention" dataDxfId="2203"/>
    <tableColumn id="2" name="Entreprise" dataDxfId="2202"/>
    <tableColumn id="12" name="S" dataDxfId="2201"/>
    <tableColumn id="3" name="   Date" dataDxfId="2200"/>
    <tableColumn id="5" name="Avancment" dataDxfId="2199"/>
    <tableColumn id="4" name="Commentaires" dataDxfId="2198"/>
  </tableColumns>
  <tableStyleInfo name="TableStyleLight1" showFirstColumn="0" showLastColumn="0" showRowStripes="1" showColumnStripes="0"/>
</table>
</file>

<file path=xl/tables/table43.xml><?xml version="1.0" encoding="utf-8"?>
<table xmlns="http://schemas.openxmlformats.org/spreadsheetml/2006/main" id="22" name="Tableau470723" displayName="Tableau470723" ref="C24:H39" totalsRowShown="0" headerRowDxfId="2197" dataDxfId="2195" headerRowBorderDxfId="2196" tableBorderDxfId="2194" totalsRowBorderDxfId="2193">
  <tableColumns count="6">
    <tableColumn id="1" name="Type d'intervention" dataDxfId="2192"/>
    <tableColumn id="2" name="Entreprise" dataDxfId="2191"/>
    <tableColumn id="6" name="S" dataDxfId="2190">
      <calculatedColumnFormula>IF(E20="","",MOD(E20+1,52))</calculatedColumnFormula>
    </tableColumn>
    <tableColumn id="3" name="Date" dataDxfId="2189"/>
    <tableColumn id="4" name="Avancement" dataDxfId="2188"/>
    <tableColumn id="5" name="Commentaires" dataDxfId="2187"/>
  </tableColumns>
  <tableStyleInfo name="TableStyleLight1" showFirstColumn="0" showLastColumn="0" showRowStripes="1" showColumnStripes="0"/>
</table>
</file>

<file path=xl/tables/table44.xml><?xml version="1.0" encoding="utf-8"?>
<table xmlns="http://schemas.openxmlformats.org/spreadsheetml/2006/main" id="23" name="Tableau570824" displayName="Tableau570824" ref="C42:H46" totalsRowShown="0" headerRowDxfId="2186" dataDxfId="2184" headerRowBorderDxfId="2185" tableBorderDxfId="2183" totalsRowBorderDxfId="2182">
  <tableColumns count="6">
    <tableColumn id="1" name="Type d'intervention" dataDxfId="2181"/>
    <tableColumn id="2" name="Entreprise" dataDxfId="2180">
      <calculatedColumnFormula>D10</calculatedColumnFormula>
    </tableColumn>
    <tableColumn id="6" name=" " dataDxfId="2179">
      <calculatedColumnFormula>IF(E26="","",MOD(E26+1,52))</calculatedColumnFormula>
    </tableColumn>
    <tableColumn id="3" name="Date" dataDxfId="2178"/>
    <tableColumn id="4" name="Avancement" dataDxfId="2177"/>
    <tableColumn id="5" name="Commentaires" dataDxfId="2176"/>
  </tableColumns>
  <tableStyleInfo name="TableStyleLight1" showFirstColumn="0" showLastColumn="0" showRowStripes="1" showColumnStripes="0"/>
</table>
</file>

<file path=xl/tables/table45.xml><?xml version="1.0" encoding="utf-8"?>
<table xmlns="http://schemas.openxmlformats.org/spreadsheetml/2006/main" id="24" name="Tableau2571225" displayName="Tableau2571225" ref="C49:F53" totalsRowShown="0" headerRowDxfId="2175" dataDxfId="2173" headerRowBorderDxfId="2174" tableBorderDxfId="2172" totalsRowBorderDxfId="2171">
  <tableColumns count="4">
    <tableColumn id="1" name="réunion" dataDxfId="2170"/>
    <tableColumn id="2" name="date" dataDxfId="2169"/>
    <tableColumn id="4" name=" " dataDxfId="2168"/>
    <tableColumn id="3" name="état" dataDxfId="2167"/>
  </tableColumns>
  <tableStyleInfo name="TableStyleLight1" showFirstColumn="0" showLastColumn="0" showRowStripes="1" showColumnStripes="0"/>
</table>
</file>

<file path=xl/tables/table46.xml><?xml version="1.0" encoding="utf-8"?>
<table xmlns="http://schemas.openxmlformats.org/spreadsheetml/2006/main" id="146" name="Tableau2706147" displayName="Tableau2706147" ref="C7:H21" totalsRowShown="0" headerRowDxfId="2094" dataDxfId="2092" headerRowBorderDxfId="2093" tableBorderDxfId="2091" totalsRowBorderDxfId="2090">
  <tableColumns count="6">
    <tableColumn id="1" name="Type d'intervention" dataDxfId="2089"/>
    <tableColumn id="2" name="Entreprise" dataDxfId="2088"/>
    <tableColumn id="12" name="S" dataDxfId="2087"/>
    <tableColumn id="3" name="   Date" dataDxfId="2086"/>
    <tableColumn id="5" name="Avancement" dataDxfId="2085"/>
    <tableColumn id="4" name="Commentaires" dataDxfId="2084"/>
  </tableColumns>
  <tableStyleInfo name="TableStyleLight1" showFirstColumn="0" showLastColumn="0" showRowStripes="1" showColumnStripes="0"/>
</table>
</file>

<file path=xl/tables/table47.xml><?xml version="1.0" encoding="utf-8"?>
<table xmlns="http://schemas.openxmlformats.org/spreadsheetml/2006/main" id="147" name="Tableau4707148" displayName="Tableau4707148" ref="C24:H39" totalsRowShown="0" headerRowDxfId="2083" dataDxfId="2081" headerRowBorderDxfId="2082" tableBorderDxfId="2080" totalsRowBorderDxfId="2079">
  <tableColumns count="6">
    <tableColumn id="1" name="Type d'intervention" dataDxfId="2078"/>
    <tableColumn id="2" name="Entreprise" dataDxfId="2077"/>
    <tableColumn id="6" name="S" dataDxfId="2076">
      <calculatedColumnFormula>IF(E20="","",MOD(E20+1,52))</calculatedColumnFormula>
    </tableColumn>
    <tableColumn id="3" name="Date" dataDxfId="2075"/>
    <tableColumn id="4" name="Avancement" dataDxfId="2074"/>
    <tableColumn id="5" name="Commentaires" dataDxfId="2073"/>
  </tableColumns>
  <tableStyleInfo name="TableStyleLight1" showFirstColumn="0" showLastColumn="0" showRowStripes="1" showColumnStripes="0"/>
</table>
</file>

<file path=xl/tables/table48.xml><?xml version="1.0" encoding="utf-8"?>
<table xmlns="http://schemas.openxmlformats.org/spreadsheetml/2006/main" id="148" name="Tableau5708149" displayName="Tableau5708149" ref="C42:H46" totalsRowShown="0" headerRowDxfId="2072" dataDxfId="2070" headerRowBorderDxfId="2071" tableBorderDxfId="2069" totalsRowBorderDxfId="2068">
  <tableColumns count="6">
    <tableColumn id="1" name="Type d'intervention" dataDxfId="2067"/>
    <tableColumn id="2" name="Entreprise" dataDxfId="2066">
      <calculatedColumnFormula>D10</calculatedColumnFormula>
    </tableColumn>
    <tableColumn id="6" name=" " dataDxfId="2065">
      <calculatedColumnFormula>IF(E26="","",MOD(E26+1,52))</calculatedColumnFormula>
    </tableColumn>
    <tableColumn id="3" name="Date" dataDxfId="2064"/>
    <tableColumn id="4" name="Avancement" dataDxfId="2063"/>
    <tableColumn id="5" name="Commentaires" dataDxfId="2062"/>
  </tableColumns>
  <tableStyleInfo name="TableStyleLight1" showFirstColumn="0" showLastColumn="0" showRowStripes="1" showColumnStripes="0"/>
</table>
</file>

<file path=xl/tables/table49.xml><?xml version="1.0" encoding="utf-8"?>
<table xmlns="http://schemas.openxmlformats.org/spreadsheetml/2006/main" id="149" name="Tableau25712150" displayName="Tableau25712150" ref="C49:F53" totalsRowShown="0" headerRowDxfId="2061" dataDxfId="2059" headerRowBorderDxfId="2060" tableBorderDxfId="2058" totalsRowBorderDxfId="2057">
  <tableColumns count="4">
    <tableColumn id="1" name="réunion" dataDxfId="2056"/>
    <tableColumn id="2" name="date" dataDxfId="2055"/>
    <tableColumn id="4" name=" " dataDxfId="2054"/>
    <tableColumn id="3" name="état" dataDxfId="2053"/>
  </tableColumns>
  <tableStyleInfo name="TableStyleLight1" showFirstColumn="0" showLastColumn="0" showRowStripes="1" showColumnStripes="0"/>
</table>
</file>

<file path=xl/tables/table50.xml><?xml version="1.0" encoding="utf-8"?>
<table xmlns="http://schemas.openxmlformats.org/spreadsheetml/2006/main" id="134" name="Tableau2706135" displayName="Tableau2706135" ref="C7:H21" totalsRowShown="0" headerRowDxfId="1980" dataDxfId="1978" headerRowBorderDxfId="1979" tableBorderDxfId="1977" totalsRowBorderDxfId="1976">
  <tableColumns count="6">
    <tableColumn id="1" name="Type d'intervention" dataDxfId="1975"/>
    <tableColumn id="2" name="Entreprise" dataDxfId="1974"/>
    <tableColumn id="12" name="S" dataDxfId="1973"/>
    <tableColumn id="3" name="   Date" dataDxfId="1972"/>
    <tableColumn id="5" name="Avancement" dataDxfId="1971"/>
    <tableColumn id="4" name="Commentaires" dataDxfId="1970"/>
  </tableColumns>
  <tableStyleInfo name="TableStyleLight1" showFirstColumn="0" showLastColumn="0" showRowStripes="1" showColumnStripes="0"/>
</table>
</file>

<file path=xl/tables/table51.xml><?xml version="1.0" encoding="utf-8"?>
<table xmlns="http://schemas.openxmlformats.org/spreadsheetml/2006/main" id="135" name="Tableau4707136" displayName="Tableau4707136" ref="C24:H39" totalsRowShown="0" headerRowDxfId="1969" dataDxfId="1967" headerRowBorderDxfId="1968" tableBorderDxfId="1966" totalsRowBorderDxfId="1965">
  <tableColumns count="6">
    <tableColumn id="1" name="Type d'intervention" dataDxfId="1964"/>
    <tableColumn id="2" name="Entreprise" dataDxfId="1963"/>
    <tableColumn id="6" name="S" dataDxfId="1962">
      <calculatedColumnFormula>IF(E20="","",MOD(E20+1,52))</calculatedColumnFormula>
    </tableColumn>
    <tableColumn id="3" name="Date" dataDxfId="1961"/>
    <tableColumn id="4" name="Avancement" dataDxfId="1960"/>
    <tableColumn id="5" name="Commentaires" dataDxfId="1959"/>
  </tableColumns>
  <tableStyleInfo name="TableStyleLight1" showFirstColumn="0" showLastColumn="0" showRowStripes="1" showColumnStripes="0"/>
</table>
</file>

<file path=xl/tables/table52.xml><?xml version="1.0" encoding="utf-8"?>
<table xmlns="http://schemas.openxmlformats.org/spreadsheetml/2006/main" id="136" name="Tableau5708137" displayName="Tableau5708137" ref="C42:H46" totalsRowShown="0" headerRowDxfId="1958" dataDxfId="1956" headerRowBorderDxfId="1957" tableBorderDxfId="1955" totalsRowBorderDxfId="1954">
  <tableColumns count="6">
    <tableColumn id="1" name="Type d'intervention" dataDxfId="1953"/>
    <tableColumn id="2" name="Entreprise" dataDxfId="1952">
      <calculatedColumnFormula>D10</calculatedColumnFormula>
    </tableColumn>
    <tableColumn id="6" name=" " dataDxfId="1951">
      <calculatedColumnFormula>IF(E26="","",MOD(E26+1,52))</calculatedColumnFormula>
    </tableColumn>
    <tableColumn id="3" name="Date" dataDxfId="1950"/>
    <tableColumn id="4" name="Avancement" dataDxfId="1949"/>
    <tableColumn id="5" name="Commentaires" dataDxfId="1948"/>
  </tableColumns>
  <tableStyleInfo name="TableStyleLight1" showFirstColumn="0" showLastColumn="0" showRowStripes="1" showColumnStripes="0"/>
</table>
</file>

<file path=xl/tables/table53.xml><?xml version="1.0" encoding="utf-8"?>
<table xmlns="http://schemas.openxmlformats.org/spreadsheetml/2006/main" id="137" name="Tableau25712138" displayName="Tableau25712138" ref="C49:F53" totalsRowShown="0" headerRowDxfId="1947" dataDxfId="1945" headerRowBorderDxfId="1946" tableBorderDxfId="1944" totalsRowBorderDxfId="1943">
  <tableColumns count="4">
    <tableColumn id="1" name="réunion" dataDxfId="1942"/>
    <tableColumn id="2" name="date" dataDxfId="1941"/>
    <tableColumn id="4" name=" " dataDxfId="1940"/>
    <tableColumn id="3" name="état" dataDxfId="1939"/>
  </tableColumns>
  <tableStyleInfo name="TableStyleLight1" showFirstColumn="0" showLastColumn="0" showRowStripes="1" showColumnStripes="0"/>
</table>
</file>

<file path=xl/tables/table54.xml><?xml version="1.0" encoding="utf-8"?>
<table xmlns="http://schemas.openxmlformats.org/spreadsheetml/2006/main" id="5" name="Tableau27066" displayName="Tableau27066" ref="C7:H21" totalsRowShown="0" headerRowDxfId="1866" dataDxfId="1864" headerRowBorderDxfId="1865" tableBorderDxfId="1863" totalsRowBorderDxfId="1862">
  <tableColumns count="6">
    <tableColumn id="1" name="Type d'intervention" dataDxfId="1861"/>
    <tableColumn id="2" name="Entreprise" dataDxfId="1860"/>
    <tableColumn id="12" name="S" dataDxfId="1859"/>
    <tableColumn id="3" name="   Date" dataDxfId="1858"/>
    <tableColumn id="5" name="Avancement" dataDxfId="1857"/>
    <tableColumn id="4" name="Commentaires" dataDxfId="1856"/>
  </tableColumns>
  <tableStyleInfo name="TableStyleLight1" showFirstColumn="0" showLastColumn="0" showRowStripes="1" showColumnStripes="0"/>
</table>
</file>

<file path=xl/tables/table55.xml><?xml version="1.0" encoding="utf-8"?>
<table xmlns="http://schemas.openxmlformats.org/spreadsheetml/2006/main" id="6" name="Tableau47077" displayName="Tableau47077" ref="C24:H39" totalsRowShown="0" headerRowDxfId="1855" dataDxfId="1853" headerRowBorderDxfId="1854" tableBorderDxfId="1852" totalsRowBorderDxfId="1851">
  <tableColumns count="6">
    <tableColumn id="1" name="Type d'intervention" dataDxfId="1850"/>
    <tableColumn id="2" name="Entreprise" dataDxfId="1849"/>
    <tableColumn id="6" name="S" dataDxfId="1848">
      <calculatedColumnFormula>IF(E20="","",MOD(E20+1,52))</calculatedColumnFormula>
    </tableColumn>
    <tableColumn id="3" name="Date" dataDxfId="1847"/>
    <tableColumn id="4" name="Avancement" dataDxfId="1846"/>
    <tableColumn id="5" name="Commentaires" dataDxfId="1845"/>
  </tableColumns>
  <tableStyleInfo name="TableStyleLight1" showFirstColumn="0" showLastColumn="0" showRowStripes="1" showColumnStripes="0"/>
</table>
</file>

<file path=xl/tables/table56.xml><?xml version="1.0" encoding="utf-8"?>
<table xmlns="http://schemas.openxmlformats.org/spreadsheetml/2006/main" id="7" name="Tableau57088" displayName="Tableau57088" ref="C42:H46" totalsRowShown="0" headerRowDxfId="1844" dataDxfId="1842" headerRowBorderDxfId="1843" tableBorderDxfId="1841" totalsRowBorderDxfId="1840">
  <tableColumns count="6">
    <tableColumn id="1" name="Type d'intervention" dataDxfId="1839"/>
    <tableColumn id="2" name="Entreprise" dataDxfId="1838">
      <calculatedColumnFormula>D10</calculatedColumnFormula>
    </tableColumn>
    <tableColumn id="6" name=" " dataDxfId="1837">
      <calculatedColumnFormula>IF(E26="","",MOD(E26+1,52))</calculatedColumnFormula>
    </tableColumn>
    <tableColumn id="3" name="Date" dataDxfId="1836"/>
    <tableColumn id="4" name="Avancement" dataDxfId="1835"/>
    <tableColumn id="5" name="Commentaires" dataDxfId="1834"/>
  </tableColumns>
  <tableStyleInfo name="TableStyleLight1" showFirstColumn="0" showLastColumn="0" showRowStripes="1" showColumnStripes="0"/>
</table>
</file>

<file path=xl/tables/table57.xml><?xml version="1.0" encoding="utf-8"?>
<table xmlns="http://schemas.openxmlformats.org/spreadsheetml/2006/main" id="8" name="Tableau257129" displayName="Tableau257129" ref="C49:F53" totalsRowShown="0" headerRowDxfId="1833" dataDxfId="1831" headerRowBorderDxfId="1832" tableBorderDxfId="1830" totalsRowBorderDxfId="1829">
  <tableColumns count="4">
    <tableColumn id="1" name="réunion" dataDxfId="1828"/>
    <tableColumn id="2" name="date" dataDxfId="1827"/>
    <tableColumn id="4" name=" " dataDxfId="1826"/>
    <tableColumn id="3" name="état" dataDxfId="1825"/>
  </tableColumns>
  <tableStyleInfo name="TableStyleLight1" showFirstColumn="0" showLastColumn="0" showRowStripes="1" showColumnStripes="0"/>
</table>
</file>

<file path=xl/tables/table58.xml><?xml version="1.0" encoding="utf-8"?>
<table xmlns="http://schemas.openxmlformats.org/spreadsheetml/2006/main" id="83" name="Tableau270684" displayName="Tableau270684" ref="C7:H21" totalsRowShown="0" headerRowDxfId="1752" dataDxfId="1750" headerRowBorderDxfId="1751" tableBorderDxfId="1749" totalsRowBorderDxfId="1748">
  <tableColumns count="6">
    <tableColumn id="1" name="Type d'intervention" dataDxfId="1747"/>
    <tableColumn id="2" name="Entreprise" dataDxfId="1746"/>
    <tableColumn id="12" name="S" dataDxfId="1745"/>
    <tableColumn id="3" name="   Date" dataDxfId="1744"/>
    <tableColumn id="5" name="Avancement" dataDxfId="1743"/>
    <tableColumn id="4" name="Commentaires" dataDxfId="1742"/>
  </tableColumns>
  <tableStyleInfo name="TableStyleLight1" showFirstColumn="0" showLastColumn="0" showRowStripes="1" showColumnStripes="0"/>
</table>
</file>

<file path=xl/tables/table59.xml><?xml version="1.0" encoding="utf-8"?>
<table xmlns="http://schemas.openxmlformats.org/spreadsheetml/2006/main" id="84" name="Tableau470785" displayName="Tableau470785" ref="C24:H39" totalsRowShown="0" headerRowDxfId="1741" dataDxfId="1739" headerRowBorderDxfId="1740" tableBorderDxfId="1738" totalsRowBorderDxfId="1737">
  <tableColumns count="6">
    <tableColumn id="1" name="Type d'intervention" dataDxfId="1736"/>
    <tableColumn id="2" name="Entreprise" dataDxfId="1735"/>
    <tableColumn id="6" name="S" dataDxfId="1734">
      <calculatedColumnFormula>IF(E20="","",MOD(E20+1,52))</calculatedColumnFormula>
    </tableColumn>
    <tableColumn id="3" name="Date" dataDxfId="1733"/>
    <tableColumn id="4" name="Avancement" dataDxfId="1732"/>
    <tableColumn id="5" name="Commentaires" dataDxfId="1731"/>
  </tableColumns>
  <tableStyleInfo name="TableStyleLight1" showFirstColumn="0" showLastColumn="0" showRowStripes="1" showColumnStripes="0"/>
</table>
</file>

<file path=xl/tables/table60.xml><?xml version="1.0" encoding="utf-8"?>
<table xmlns="http://schemas.openxmlformats.org/spreadsheetml/2006/main" id="85" name="Tableau570886" displayName="Tableau570886" ref="C42:H46" totalsRowShown="0" headerRowDxfId="1730" dataDxfId="1728" headerRowBorderDxfId="1729" tableBorderDxfId="1727" totalsRowBorderDxfId="1726">
  <tableColumns count="6">
    <tableColumn id="1" name="Type d'intervention" dataDxfId="1725"/>
    <tableColumn id="2" name="Entreprise" dataDxfId="1724">
      <calculatedColumnFormula>D10</calculatedColumnFormula>
    </tableColumn>
    <tableColumn id="6" name=" " dataDxfId="1723">
      <calculatedColumnFormula>IF(E26="","",MOD(E26+1,52))</calculatedColumnFormula>
    </tableColumn>
    <tableColumn id="3" name="Date" dataDxfId="1722"/>
    <tableColumn id="4" name="Avancement" dataDxfId="1721"/>
    <tableColumn id="5" name="Commentaires" dataDxfId="1720"/>
  </tableColumns>
  <tableStyleInfo name="TableStyleLight1" showFirstColumn="0" showLastColumn="0" showRowStripes="1" showColumnStripes="0"/>
</table>
</file>

<file path=xl/tables/table61.xml><?xml version="1.0" encoding="utf-8"?>
<table xmlns="http://schemas.openxmlformats.org/spreadsheetml/2006/main" id="87" name="Tableau2571288" displayName="Tableau2571288" ref="C49:F53" totalsRowShown="0" headerRowDxfId="1719" dataDxfId="1717" headerRowBorderDxfId="1718" tableBorderDxfId="1716" totalsRowBorderDxfId="1715">
  <tableColumns count="4">
    <tableColumn id="1" name="réunion" dataDxfId="1714"/>
    <tableColumn id="2" name="date" dataDxfId="1713"/>
    <tableColumn id="4" name=" " dataDxfId="1712"/>
    <tableColumn id="3" name="état" dataDxfId="1711"/>
  </tableColumns>
  <tableStyleInfo name="TableStyleLight1" showFirstColumn="0" showLastColumn="0" showRowStripes="1" showColumnStripes="0"/>
</table>
</file>

<file path=xl/tables/table62.xml><?xml version="1.0" encoding="utf-8"?>
<table xmlns="http://schemas.openxmlformats.org/spreadsheetml/2006/main" id="17" name="Tableau270618" displayName="Tableau270618" ref="C7:H21" totalsRowShown="0" headerRowDxfId="1638" dataDxfId="1636" headerRowBorderDxfId="1637" tableBorderDxfId="1635" totalsRowBorderDxfId="1634">
  <tableColumns count="6">
    <tableColumn id="1" name="Type d'intervention" dataDxfId="1633"/>
    <tableColumn id="2" name="Entreprise" dataDxfId="1632"/>
    <tableColumn id="12" name="S" dataDxfId="1631"/>
    <tableColumn id="3" name="   Date" dataDxfId="1630"/>
    <tableColumn id="5" name="Avancement" dataDxfId="1629"/>
    <tableColumn id="4" name="Commentaires" dataDxfId="1628"/>
  </tableColumns>
  <tableStyleInfo name="TableStyleLight1" showFirstColumn="0" showLastColumn="0" showRowStripes="1" showColumnStripes="0"/>
</table>
</file>

<file path=xl/tables/table63.xml><?xml version="1.0" encoding="utf-8"?>
<table xmlns="http://schemas.openxmlformats.org/spreadsheetml/2006/main" id="18" name="Tableau470719" displayName="Tableau470719" ref="C24:H39" totalsRowShown="0" headerRowDxfId="1627" dataDxfId="1625" headerRowBorderDxfId="1626" tableBorderDxfId="1624" totalsRowBorderDxfId="1623">
  <tableColumns count="6">
    <tableColumn id="1" name="Type d'intervention" dataDxfId="1622"/>
    <tableColumn id="2" name="Entreprise" dataDxfId="1621"/>
    <tableColumn id="6" name="S" dataDxfId="1620">
      <calculatedColumnFormula>IF(E20="","",MOD(E20+1,52))</calculatedColumnFormula>
    </tableColumn>
    <tableColumn id="3" name="Date" dataDxfId="1619"/>
    <tableColumn id="4" name="Avancement" dataDxfId="1618"/>
    <tableColumn id="5" name="Commentaires" dataDxfId="1617"/>
  </tableColumns>
  <tableStyleInfo name="TableStyleLight1" showFirstColumn="0" showLastColumn="0" showRowStripes="1" showColumnStripes="0"/>
</table>
</file>

<file path=xl/tables/table64.xml><?xml version="1.0" encoding="utf-8"?>
<table xmlns="http://schemas.openxmlformats.org/spreadsheetml/2006/main" id="19" name="Tableau570820" displayName="Tableau570820" ref="C42:H46" totalsRowShown="0" headerRowDxfId="1616" dataDxfId="1614" headerRowBorderDxfId="1615" tableBorderDxfId="1613" totalsRowBorderDxfId="1612">
  <tableColumns count="6">
    <tableColumn id="1" name="Type d'intervention" dataDxfId="1611"/>
    <tableColumn id="2" name="Entreprise" dataDxfId="1610">
      <calculatedColumnFormula>D10</calculatedColumnFormula>
    </tableColumn>
    <tableColumn id="6" name=" " dataDxfId="1609">
      <calculatedColumnFormula>IF(E26="","",MOD(E26+1,52))</calculatedColumnFormula>
    </tableColumn>
    <tableColumn id="3" name="Date" dataDxfId="1608"/>
    <tableColumn id="4" name="Avancement" dataDxfId="1607"/>
    <tableColumn id="5" name="Commentaires" dataDxfId="1606"/>
  </tableColumns>
  <tableStyleInfo name="TableStyleLight1" showFirstColumn="0" showLastColumn="0" showRowStripes="1" showColumnStripes="0"/>
</table>
</file>

<file path=xl/tables/table65.xml><?xml version="1.0" encoding="utf-8"?>
<table xmlns="http://schemas.openxmlformats.org/spreadsheetml/2006/main" id="20" name="Tableau2571221" displayName="Tableau2571221" ref="C49:F53" totalsRowShown="0" headerRowDxfId="1605" dataDxfId="1603" headerRowBorderDxfId="1604" tableBorderDxfId="1602" totalsRowBorderDxfId="1601">
  <tableColumns count="4">
    <tableColumn id="1" name="réunion" dataDxfId="1600"/>
    <tableColumn id="2" name="date" dataDxfId="1599"/>
    <tableColumn id="4" name=" " dataDxfId="1598"/>
    <tableColumn id="3" name="état" dataDxfId="1597"/>
  </tableColumns>
  <tableStyleInfo name="TableStyleLight1" showFirstColumn="0" showLastColumn="0" showRowStripes="1" showColumnStripes="0"/>
</table>
</file>

<file path=xl/tables/table66.xml><?xml version="1.0" encoding="utf-8"?>
<table xmlns="http://schemas.openxmlformats.org/spreadsheetml/2006/main" id="41" name="Tableau270642" displayName="Tableau270642" ref="C7:H21" totalsRowShown="0" headerRowDxfId="1525" dataDxfId="1523" headerRowBorderDxfId="1524" tableBorderDxfId="1522" totalsRowBorderDxfId="1521">
  <tableColumns count="6">
    <tableColumn id="1" name="Type d'intervention" dataDxfId="1520"/>
    <tableColumn id="2" name="Entreprise" dataDxfId="1519"/>
    <tableColumn id="12" name="S" dataDxfId="1518"/>
    <tableColumn id="3" name="   Date" dataDxfId="1517"/>
    <tableColumn id="5" name="Avancment" dataDxfId="1516"/>
    <tableColumn id="4" name="Commentaires" dataDxfId="1515"/>
  </tableColumns>
  <tableStyleInfo name="TableStyleLight1" showFirstColumn="0" showLastColumn="0" showRowStripes="1" showColumnStripes="0"/>
</table>
</file>

<file path=xl/tables/table67.xml><?xml version="1.0" encoding="utf-8"?>
<table xmlns="http://schemas.openxmlformats.org/spreadsheetml/2006/main" id="42" name="Tableau470743" displayName="Tableau470743" ref="C24:H39" totalsRowShown="0" headerRowDxfId="1514" dataDxfId="1512" headerRowBorderDxfId="1513" tableBorderDxfId="1511" totalsRowBorderDxfId="1510">
  <tableColumns count="6">
    <tableColumn id="1" name="Type d'intervention" dataDxfId="1509"/>
    <tableColumn id="2" name="Entreprise" dataDxfId="1508"/>
    <tableColumn id="6" name="S" dataDxfId="1507">
      <calculatedColumnFormula>IF(E20="","",MOD(E20+1,52))</calculatedColumnFormula>
    </tableColumn>
    <tableColumn id="3" name="Date" dataDxfId="1506"/>
    <tableColumn id="4" name="Avancement" dataDxfId="1505"/>
    <tableColumn id="5" name="Commentaires" dataDxfId="1504"/>
  </tableColumns>
  <tableStyleInfo name="TableStyleLight1" showFirstColumn="0" showLastColumn="0" showRowStripes="1" showColumnStripes="0"/>
</table>
</file>

<file path=xl/tables/table68.xml><?xml version="1.0" encoding="utf-8"?>
<table xmlns="http://schemas.openxmlformats.org/spreadsheetml/2006/main" id="43" name="Tableau570844" displayName="Tableau570844" ref="C42:H46" totalsRowShown="0" headerRowDxfId="1503" dataDxfId="1501" headerRowBorderDxfId="1502" tableBorderDxfId="1500" totalsRowBorderDxfId="1499">
  <tableColumns count="6">
    <tableColumn id="1" name="Type d'intervention" dataDxfId="1498"/>
    <tableColumn id="2" name="Entreprise" dataDxfId="1497">
      <calculatedColumnFormula>D10</calculatedColumnFormula>
    </tableColumn>
    <tableColumn id="6" name=" " dataDxfId="1496">
      <calculatedColumnFormula>IF(E26="","",MOD(E26+1,52))</calculatedColumnFormula>
    </tableColumn>
    <tableColumn id="3" name="Date" dataDxfId="1495"/>
    <tableColumn id="4" name="Avancement" dataDxfId="1494"/>
    <tableColumn id="5" name="Commentaires" dataDxfId="1493"/>
  </tableColumns>
  <tableStyleInfo name="TableStyleLight1" showFirstColumn="0" showLastColumn="0" showRowStripes="1" showColumnStripes="0"/>
</table>
</file>

<file path=xl/tables/table69.xml><?xml version="1.0" encoding="utf-8"?>
<table xmlns="http://schemas.openxmlformats.org/spreadsheetml/2006/main" id="44" name="Tableau2571245" displayName="Tableau2571245" ref="C49:F53" totalsRowShown="0" headerRowDxfId="1492" dataDxfId="1490" headerRowBorderDxfId="1491" tableBorderDxfId="1489" totalsRowBorderDxfId="1488">
  <tableColumns count="4">
    <tableColumn id="1" name="réunion" dataDxfId="1487"/>
    <tableColumn id="2" name="date" dataDxfId="1486"/>
    <tableColumn id="4" name=" " dataDxfId="1485"/>
    <tableColumn id="3" name="état" dataDxfId="1484"/>
  </tableColumns>
  <tableStyleInfo name="TableStyleLight1" showFirstColumn="0" showLastColumn="0" showRowStripes="1" showColumnStripes="0"/>
</table>
</file>

<file path=xl/tables/table70.xml><?xml version="1.0" encoding="utf-8"?>
<table xmlns="http://schemas.openxmlformats.org/spreadsheetml/2006/main" id="25" name="Tableau270626" displayName="Tableau270626" ref="C7:H21" totalsRowShown="0" headerRowDxfId="1411" dataDxfId="1409" headerRowBorderDxfId="1410" tableBorderDxfId="1408" totalsRowBorderDxfId="1407">
  <tableColumns count="6">
    <tableColumn id="1" name="Type d'intervention" dataDxfId="1406"/>
    <tableColumn id="2" name="Entreprise" dataDxfId="1405"/>
    <tableColumn id="12" name="S" dataDxfId="1404"/>
    <tableColumn id="3" name="   Date" dataDxfId="1403"/>
    <tableColumn id="5" name="Avancement" dataDxfId="1402"/>
    <tableColumn id="4" name="Commentaires" dataDxfId="1401"/>
  </tableColumns>
  <tableStyleInfo name="TableStyleLight1" showFirstColumn="0" showLastColumn="0" showRowStripes="1" showColumnStripes="0"/>
</table>
</file>

<file path=xl/tables/table71.xml><?xml version="1.0" encoding="utf-8"?>
<table xmlns="http://schemas.openxmlformats.org/spreadsheetml/2006/main" id="26" name="Tableau470727" displayName="Tableau470727" ref="C24:H39" totalsRowShown="0" headerRowDxfId="1400" dataDxfId="1398" headerRowBorderDxfId="1399" tableBorderDxfId="1397" totalsRowBorderDxfId="1396">
  <tableColumns count="6">
    <tableColumn id="1" name="Type d'intervention" dataDxfId="1395"/>
    <tableColumn id="2" name="Entreprise" dataDxfId="1394"/>
    <tableColumn id="6" name="S" dataDxfId="1393">
      <calculatedColumnFormula>IF(E20="","",MOD(E20+1,52))</calculatedColumnFormula>
    </tableColumn>
    <tableColumn id="3" name="Date" dataDxfId="1392"/>
    <tableColumn id="4" name="Avancement" dataDxfId="1391"/>
    <tableColumn id="5" name="Commentaires" dataDxfId="1390"/>
  </tableColumns>
  <tableStyleInfo name="TableStyleLight1" showFirstColumn="0" showLastColumn="0" showRowStripes="1" showColumnStripes="0"/>
</table>
</file>

<file path=xl/tables/table72.xml><?xml version="1.0" encoding="utf-8"?>
<table xmlns="http://schemas.openxmlformats.org/spreadsheetml/2006/main" id="27" name="Tableau570828" displayName="Tableau570828" ref="C42:H46" totalsRowShown="0" headerRowDxfId="1389" dataDxfId="1387" headerRowBorderDxfId="1388" tableBorderDxfId="1386" totalsRowBorderDxfId="1385">
  <tableColumns count="6">
    <tableColumn id="1" name="Type d'intervention" dataDxfId="1384"/>
    <tableColumn id="2" name="Entreprise" dataDxfId="1383">
      <calculatedColumnFormula>D10</calculatedColumnFormula>
    </tableColumn>
    <tableColumn id="6" name=" " dataDxfId="1382">
      <calculatedColumnFormula>IF(E26="","",MOD(E26+1,52))</calculatedColumnFormula>
    </tableColumn>
    <tableColumn id="3" name="Date" dataDxfId="1381"/>
    <tableColumn id="4" name="Avancement" dataDxfId="1380"/>
    <tableColumn id="5" name="Commentaires" dataDxfId="1379"/>
  </tableColumns>
  <tableStyleInfo name="TableStyleLight1" showFirstColumn="0" showLastColumn="0" showRowStripes="1" showColumnStripes="0"/>
</table>
</file>

<file path=xl/tables/table73.xml><?xml version="1.0" encoding="utf-8"?>
<table xmlns="http://schemas.openxmlformats.org/spreadsheetml/2006/main" id="28" name="Tableau2571229" displayName="Tableau2571229" ref="C49:F53" totalsRowShown="0" headerRowDxfId="1378" dataDxfId="1376" headerRowBorderDxfId="1377" tableBorderDxfId="1375" totalsRowBorderDxfId="1374">
  <tableColumns count="4">
    <tableColumn id="1" name="réunion" dataDxfId="1373"/>
    <tableColumn id="2" name="date" dataDxfId="1372"/>
    <tableColumn id="4" name=" " dataDxfId="1371"/>
    <tableColumn id="3" name="état" dataDxfId="1370"/>
  </tableColumns>
  <tableStyleInfo name="TableStyleLight1" showFirstColumn="0" showLastColumn="0" showRowStripes="1" showColumnStripes="0"/>
</table>
</file>

<file path=xl/tables/table74.xml><?xml version="1.0" encoding="utf-8"?>
<table xmlns="http://schemas.openxmlformats.org/spreadsheetml/2006/main" id="78" name="Tableau270679" displayName="Tableau270679" ref="C7:H21" totalsRowShown="0" headerRowDxfId="1297" dataDxfId="1295" headerRowBorderDxfId="1296" tableBorderDxfId="1294" totalsRowBorderDxfId="1293">
  <tableColumns count="6">
    <tableColumn id="1" name="Type d'intervention" dataDxfId="1292"/>
    <tableColumn id="2" name="Entreprise" dataDxfId="1291"/>
    <tableColumn id="12" name="S" dataDxfId="1290"/>
    <tableColumn id="3" name="   Date" dataDxfId="1289"/>
    <tableColumn id="5" name="Avancement" dataDxfId="1288"/>
    <tableColumn id="4" name="Commentaires" dataDxfId="1287"/>
  </tableColumns>
  <tableStyleInfo name="TableStyleLight1" showFirstColumn="0" showLastColumn="0" showRowStripes="1" showColumnStripes="0"/>
</table>
</file>

<file path=xl/tables/table75.xml><?xml version="1.0" encoding="utf-8"?>
<table xmlns="http://schemas.openxmlformats.org/spreadsheetml/2006/main" id="79" name="Tableau470780" displayName="Tableau470780" ref="C24:H39" totalsRowShown="0" headerRowDxfId="1286" dataDxfId="1284" headerRowBorderDxfId="1285" tableBorderDxfId="1283" totalsRowBorderDxfId="1282">
  <tableColumns count="6">
    <tableColumn id="1" name="Type d'intervention" dataDxfId="1281"/>
    <tableColumn id="2" name="Entreprise" dataDxfId="1280"/>
    <tableColumn id="6" name="S" dataDxfId="1279">
      <calculatedColumnFormula>IF(E20="","",MOD(E20+1,52))</calculatedColumnFormula>
    </tableColumn>
    <tableColumn id="3" name="Date" dataDxfId="1278"/>
    <tableColumn id="4" name="Avancement" dataDxfId="1277"/>
    <tableColumn id="5" name="Commentaires" dataDxfId="1276"/>
  </tableColumns>
  <tableStyleInfo name="TableStyleLight1" showFirstColumn="0" showLastColumn="0" showRowStripes="1" showColumnStripes="0"/>
</table>
</file>

<file path=xl/tables/table76.xml><?xml version="1.0" encoding="utf-8"?>
<table xmlns="http://schemas.openxmlformats.org/spreadsheetml/2006/main" id="80" name="Tableau570881" displayName="Tableau570881" ref="C42:H46" totalsRowShown="0" headerRowDxfId="1275" dataDxfId="1273" headerRowBorderDxfId="1274" tableBorderDxfId="1272" totalsRowBorderDxfId="1271">
  <tableColumns count="6">
    <tableColumn id="1" name="Type d'intervention" dataDxfId="1270"/>
    <tableColumn id="2" name="Entreprise" dataDxfId="1269">
      <calculatedColumnFormula>D10</calculatedColumnFormula>
    </tableColumn>
    <tableColumn id="6" name=" " dataDxfId="1268">
      <calculatedColumnFormula>IF(E26="","",MOD(E26+1,52))</calculatedColumnFormula>
    </tableColumn>
    <tableColumn id="3" name="Date" dataDxfId="1267"/>
    <tableColumn id="4" name="Avancement" dataDxfId="1266"/>
    <tableColumn id="5" name="Commentaires" dataDxfId="1265"/>
  </tableColumns>
  <tableStyleInfo name="TableStyleLight1" showFirstColumn="0" showLastColumn="0" showRowStripes="1" showColumnStripes="0"/>
</table>
</file>

<file path=xl/tables/table77.xml><?xml version="1.0" encoding="utf-8"?>
<table xmlns="http://schemas.openxmlformats.org/spreadsheetml/2006/main" id="82" name="Tableau2571283" displayName="Tableau2571283" ref="C49:F53" totalsRowShown="0" headerRowDxfId="1264" dataDxfId="1262" headerRowBorderDxfId="1263" tableBorderDxfId="1261" totalsRowBorderDxfId="1260">
  <tableColumns count="4">
    <tableColumn id="1" name="réunion" dataDxfId="1259"/>
    <tableColumn id="2" name="date" dataDxfId="1258"/>
    <tableColumn id="4" name=" " dataDxfId="1257"/>
    <tableColumn id="3" name="état" dataDxfId="1256"/>
  </tableColumns>
  <tableStyleInfo name="TableStyleLight1" showFirstColumn="0" showLastColumn="0" showRowStripes="1" showColumnStripes="0"/>
</table>
</file>

<file path=xl/tables/table78.xml><?xml version="1.0" encoding="utf-8"?>
<table xmlns="http://schemas.openxmlformats.org/spreadsheetml/2006/main" id="9" name="Tableau270610" displayName="Tableau270610" ref="C7:H21" totalsRowShown="0" headerRowDxfId="1183" dataDxfId="1181" headerRowBorderDxfId="1182" tableBorderDxfId="1180" totalsRowBorderDxfId="1179">
  <tableColumns count="6">
    <tableColumn id="1" name="Type d'intervention" dataDxfId="1178"/>
    <tableColumn id="2" name="Entreprise" dataDxfId="1177"/>
    <tableColumn id="12" name="S" dataDxfId="1176"/>
    <tableColumn id="3" name="   Date" dataDxfId="1175"/>
    <tableColumn id="5" name="Avancement" dataDxfId="1174"/>
    <tableColumn id="4" name="Commentaires" dataDxfId="1173"/>
  </tableColumns>
  <tableStyleInfo name="TableStyleLight1" showFirstColumn="0" showLastColumn="0" showRowStripes="1" showColumnStripes="0"/>
</table>
</file>

<file path=xl/tables/table79.xml><?xml version="1.0" encoding="utf-8"?>
<table xmlns="http://schemas.openxmlformats.org/spreadsheetml/2006/main" id="10" name="Tableau470711" displayName="Tableau470711" ref="C24:H39" totalsRowShown="0" headerRowDxfId="1172" dataDxfId="1170" headerRowBorderDxfId="1171" tableBorderDxfId="1169" totalsRowBorderDxfId="1168">
  <tableColumns count="6">
    <tableColumn id="1" name="Type d'intervention" dataDxfId="1167"/>
    <tableColumn id="2" name="Entreprise" dataDxfId="1166"/>
    <tableColumn id="6" name="S" dataDxfId="1165">
      <calculatedColumnFormula>IF(E20="","",MOD(E20+1,52))</calculatedColumnFormula>
    </tableColumn>
    <tableColumn id="3" name="Date" dataDxfId="1164"/>
    <tableColumn id="4" name="Avancement" dataDxfId="1163"/>
    <tableColumn id="5" name="Commentaires" dataDxfId="1162"/>
  </tableColumns>
  <tableStyleInfo name="TableStyleLight1" showFirstColumn="0" showLastColumn="0" showRowStripes="1" showColumnStripes="0"/>
</table>
</file>

<file path=xl/tables/table80.xml><?xml version="1.0" encoding="utf-8"?>
<table xmlns="http://schemas.openxmlformats.org/spreadsheetml/2006/main" id="11" name="Tableau570812" displayName="Tableau570812" ref="C42:H46" totalsRowShown="0" headerRowDxfId="1161" dataDxfId="1159" headerRowBorderDxfId="1160" tableBorderDxfId="1158" totalsRowBorderDxfId="1157">
  <tableColumns count="6">
    <tableColumn id="1" name="Type d'intervention" dataDxfId="1156"/>
    <tableColumn id="2" name="Entreprise" dataDxfId="1155">
      <calculatedColumnFormula>D10</calculatedColumnFormula>
    </tableColumn>
    <tableColumn id="6" name=" " dataDxfId="1154">
      <calculatedColumnFormula>IF(E26="","",MOD(E26+1,52))</calculatedColumnFormula>
    </tableColumn>
    <tableColumn id="3" name="Date" dataDxfId="1153"/>
    <tableColumn id="4" name="Avancement" dataDxfId="1152"/>
    <tableColumn id="5" name="Commentaires" dataDxfId="1151"/>
  </tableColumns>
  <tableStyleInfo name="TableStyleLight1" showFirstColumn="0" showLastColumn="0" showRowStripes="1" showColumnStripes="0"/>
</table>
</file>

<file path=xl/tables/table81.xml><?xml version="1.0" encoding="utf-8"?>
<table xmlns="http://schemas.openxmlformats.org/spreadsheetml/2006/main" id="12" name="Tableau2571213" displayName="Tableau2571213" ref="C49:F53" totalsRowShown="0" headerRowDxfId="1150" dataDxfId="1148" headerRowBorderDxfId="1149" tableBorderDxfId="1147" totalsRowBorderDxfId="1146">
  <tableColumns count="4">
    <tableColumn id="1" name="réunion" dataDxfId="1145"/>
    <tableColumn id="2" name="date" dataDxfId="1144"/>
    <tableColumn id="4" name=" " dataDxfId="1143"/>
    <tableColumn id="3" name="état" dataDxfId="1142"/>
  </tableColumns>
  <tableStyleInfo name="TableStyleLight1" showFirstColumn="0" showLastColumn="0" showRowStripes="1" showColumnStripes="0"/>
</table>
</file>

<file path=xl/tables/table82.xml><?xml version="1.0" encoding="utf-8"?>
<table xmlns="http://schemas.openxmlformats.org/spreadsheetml/2006/main" id="49" name="Tableau270650" displayName="Tableau270650" ref="C7:H21" totalsRowShown="0" headerRowDxfId="1069" dataDxfId="1067" headerRowBorderDxfId="1068" tableBorderDxfId="1066" totalsRowBorderDxfId="1065">
  <tableColumns count="6">
    <tableColumn id="1" name="Type d'intervention" dataDxfId="1064"/>
    <tableColumn id="2" name="Entreprise" dataDxfId="1063"/>
    <tableColumn id="12" name="S" dataDxfId="1062"/>
    <tableColumn id="3" name="   Date" dataDxfId="1061"/>
    <tableColumn id="5" name="Avancement" dataDxfId="1060"/>
    <tableColumn id="4" name="Commentaires" dataDxfId="1059"/>
  </tableColumns>
  <tableStyleInfo name="TableStyleLight1" showFirstColumn="0" showLastColumn="0" showRowStripes="1" showColumnStripes="0"/>
</table>
</file>

<file path=xl/tables/table83.xml><?xml version="1.0" encoding="utf-8"?>
<table xmlns="http://schemas.openxmlformats.org/spreadsheetml/2006/main" id="50" name="Tableau470751" displayName="Tableau470751" ref="C24:H39" totalsRowShown="0" headerRowDxfId="1058" dataDxfId="1056" headerRowBorderDxfId="1057" tableBorderDxfId="1055" totalsRowBorderDxfId="1054">
  <tableColumns count="6">
    <tableColumn id="1" name="Type d'intervention" dataDxfId="1053"/>
    <tableColumn id="2" name="Entreprise" dataDxfId="1052"/>
    <tableColumn id="6" name="S" dataDxfId="1051">
      <calculatedColumnFormula>IF(E20="","",MOD(E20+1,52))</calculatedColumnFormula>
    </tableColumn>
    <tableColumn id="3" name="Date" dataDxfId="1050"/>
    <tableColumn id="4" name="Avancement" dataDxfId="1049"/>
    <tableColumn id="5" name="Commentaires" dataDxfId="1048"/>
  </tableColumns>
  <tableStyleInfo name="TableStyleLight1" showFirstColumn="0" showLastColumn="0" showRowStripes="1" showColumnStripes="0"/>
</table>
</file>

<file path=xl/tables/table84.xml><?xml version="1.0" encoding="utf-8"?>
<table xmlns="http://schemas.openxmlformats.org/spreadsheetml/2006/main" id="51" name="Tableau570852" displayName="Tableau570852" ref="C42:H46" totalsRowShown="0" headerRowDxfId="1047" dataDxfId="1045" headerRowBorderDxfId="1046" tableBorderDxfId="1044" totalsRowBorderDxfId="1043">
  <tableColumns count="6">
    <tableColumn id="1" name="Type d'intervention" dataDxfId="1042"/>
    <tableColumn id="2" name="Entreprise" dataDxfId="1041">
      <calculatedColumnFormula>D10</calculatedColumnFormula>
    </tableColumn>
    <tableColumn id="6" name=" " dataDxfId="1040">
      <calculatedColumnFormula>IF(E26="","",MOD(E26+1,52))</calculatedColumnFormula>
    </tableColumn>
    <tableColumn id="3" name="Date" dataDxfId="1039"/>
    <tableColumn id="4" name="Avancement" dataDxfId="1038"/>
    <tableColumn id="5" name="Commentaires" dataDxfId="1037"/>
  </tableColumns>
  <tableStyleInfo name="TableStyleLight1" showFirstColumn="0" showLastColumn="0" showRowStripes="1" showColumnStripes="0"/>
</table>
</file>

<file path=xl/tables/table85.xml><?xml version="1.0" encoding="utf-8"?>
<table xmlns="http://schemas.openxmlformats.org/spreadsheetml/2006/main" id="52" name="Tableau2571253" displayName="Tableau2571253" ref="C49:F53" totalsRowShown="0" headerRowDxfId="1036" dataDxfId="1034" headerRowBorderDxfId="1035" tableBorderDxfId="1033" totalsRowBorderDxfId="1032">
  <tableColumns count="4">
    <tableColumn id="1" name="réunion" dataDxfId="1031"/>
    <tableColumn id="2" name="date" dataDxfId="1030"/>
    <tableColumn id="4" name=" " dataDxfId="1029"/>
    <tableColumn id="3" name="état" dataDxfId="1028"/>
  </tableColumns>
  <tableStyleInfo name="TableStyleLight1" showFirstColumn="0" showLastColumn="0" showRowStripes="1" showColumnStripes="0"/>
</table>
</file>

<file path=xl/tables/table86.xml><?xml version="1.0" encoding="utf-8"?>
<table xmlns="http://schemas.openxmlformats.org/spreadsheetml/2006/main" id="45" name="Tableau270646" displayName="Tableau270646" ref="C7:H21" totalsRowShown="0" headerRowDxfId="952" dataDxfId="950" headerRowBorderDxfId="951" tableBorderDxfId="949" totalsRowBorderDxfId="948">
  <tableColumns count="6">
    <tableColumn id="1" name="Type d'intervention" dataDxfId="947"/>
    <tableColumn id="2" name="Entreprise" dataDxfId="946"/>
    <tableColumn id="12" name="S" dataDxfId="945"/>
    <tableColumn id="3" name="   Date" dataDxfId="944"/>
    <tableColumn id="5" name="Avancement" dataDxfId="943"/>
    <tableColumn id="4" name="Commentaires" dataDxfId="942"/>
  </tableColumns>
  <tableStyleInfo name="TableStyleLight1" showFirstColumn="0" showLastColumn="0" showRowStripes="1" showColumnStripes="0"/>
</table>
</file>

<file path=xl/tables/table87.xml><?xml version="1.0" encoding="utf-8"?>
<table xmlns="http://schemas.openxmlformats.org/spreadsheetml/2006/main" id="46" name="Tableau470747" displayName="Tableau470747" ref="C24:H39" totalsRowShown="0" headerRowDxfId="941" dataDxfId="939" headerRowBorderDxfId="940" tableBorderDxfId="938" totalsRowBorderDxfId="937">
  <tableColumns count="6">
    <tableColumn id="1" name="Type d'intervention" dataDxfId="936"/>
    <tableColumn id="2" name="Entreprise" dataDxfId="935"/>
    <tableColumn id="6" name="S" dataDxfId="934">
      <calculatedColumnFormula>IF(E20="","",MOD(E20+1,52))</calculatedColumnFormula>
    </tableColumn>
    <tableColumn id="3" name="Date" dataDxfId="933"/>
    <tableColumn id="4" name="Avancement" dataDxfId="932"/>
    <tableColumn id="5" name="Commentaires" dataDxfId="931"/>
  </tableColumns>
  <tableStyleInfo name="TableStyleLight1" showFirstColumn="0" showLastColumn="0" showRowStripes="1" showColumnStripes="0"/>
</table>
</file>

<file path=xl/tables/table88.xml><?xml version="1.0" encoding="utf-8"?>
<table xmlns="http://schemas.openxmlformats.org/spreadsheetml/2006/main" id="47" name="Tableau570848" displayName="Tableau570848" ref="C42:H46" totalsRowShown="0" headerRowDxfId="930" dataDxfId="928" headerRowBorderDxfId="929" tableBorderDxfId="927" totalsRowBorderDxfId="926">
  <tableColumns count="6">
    <tableColumn id="1" name="Type d'intervention" dataDxfId="925"/>
    <tableColumn id="2" name="Entreprise" dataDxfId="924">
      <calculatedColumnFormula>D10</calculatedColumnFormula>
    </tableColumn>
    <tableColumn id="6" name=" " dataDxfId="923">
      <calculatedColumnFormula>IF(E26="","",MOD(E26+1,52))</calculatedColumnFormula>
    </tableColumn>
    <tableColumn id="3" name="Date" dataDxfId="922"/>
    <tableColumn id="4" name="Avancement" dataDxfId="921"/>
    <tableColumn id="5" name="Commentaires" dataDxfId="920"/>
  </tableColumns>
  <tableStyleInfo name="TableStyleLight1" showFirstColumn="0" showLastColumn="0" showRowStripes="1" showColumnStripes="0"/>
</table>
</file>

<file path=xl/tables/table89.xml><?xml version="1.0" encoding="utf-8"?>
<table xmlns="http://schemas.openxmlformats.org/spreadsheetml/2006/main" id="48" name="Tableau2571249" displayName="Tableau2571249" ref="C49:F53" totalsRowShown="0" headerRowDxfId="919" dataDxfId="917" headerRowBorderDxfId="918" tableBorderDxfId="916" totalsRowBorderDxfId="915">
  <tableColumns count="4">
    <tableColumn id="1" name="réunion" dataDxfId="914"/>
    <tableColumn id="2" name="date" dataDxfId="913"/>
    <tableColumn id="4" name=" " dataDxfId="912"/>
    <tableColumn id="3" name="état" dataDxfId="911"/>
  </tableColumns>
  <tableStyleInfo name="TableStyleLight1" showFirstColumn="0" showLastColumn="0" showRowStripes="1" showColumnStripes="0"/>
</table>
</file>

<file path=xl/tables/table90.xml><?xml version="1.0" encoding="utf-8"?>
<table xmlns="http://schemas.openxmlformats.org/spreadsheetml/2006/main" id="29" name="Tableau270630" displayName="Tableau270630" ref="C7:H25" totalsRowShown="0" headerRowDxfId="839" dataDxfId="837" headerRowBorderDxfId="838" tableBorderDxfId="836" totalsRowBorderDxfId="835">
  <tableColumns count="6">
    <tableColumn id="1" name="Type d'intervention" dataDxfId="834"/>
    <tableColumn id="2" name="Entreprise" dataDxfId="833"/>
    <tableColumn id="12" name="S" dataDxfId="832"/>
    <tableColumn id="3" name="   Date" dataDxfId="831"/>
    <tableColumn id="5" name="Avancement" dataDxfId="830"/>
    <tableColumn id="4" name="Commentaires" dataDxfId="829"/>
  </tableColumns>
  <tableStyleInfo name="TableStyleLight1" showFirstColumn="0" showLastColumn="0" showRowStripes="1" showColumnStripes="0"/>
</table>
</file>

<file path=xl/tables/table91.xml><?xml version="1.0" encoding="utf-8"?>
<table xmlns="http://schemas.openxmlformats.org/spreadsheetml/2006/main" id="30" name="Tableau470731" displayName="Tableau470731" ref="C28:H43" totalsRowShown="0" headerRowDxfId="828" dataDxfId="826" headerRowBorderDxfId="827" tableBorderDxfId="825" totalsRowBorderDxfId="824">
  <tableColumns count="6">
    <tableColumn id="1" name="Type d'intervention" dataDxfId="823"/>
    <tableColumn id="2" name="Entreprise" dataDxfId="822"/>
    <tableColumn id="6" name="S" dataDxfId="821">
      <calculatedColumnFormula>IF(E24="","",MOD(E24+1,52))</calculatedColumnFormula>
    </tableColumn>
    <tableColumn id="3" name="Date" dataDxfId="820"/>
    <tableColumn id="4" name="Avancement" dataDxfId="819"/>
    <tableColumn id="5" name="Commentaires" dataDxfId="818"/>
  </tableColumns>
  <tableStyleInfo name="TableStyleLight1" showFirstColumn="0" showLastColumn="0" showRowStripes="1" showColumnStripes="0"/>
</table>
</file>

<file path=xl/tables/table92.xml><?xml version="1.0" encoding="utf-8"?>
<table xmlns="http://schemas.openxmlformats.org/spreadsheetml/2006/main" id="31" name="Tableau570832" displayName="Tableau570832" ref="C46:H50" totalsRowShown="0" headerRowDxfId="817" dataDxfId="815" headerRowBorderDxfId="816" tableBorderDxfId="814" totalsRowBorderDxfId="813">
  <tableColumns count="6">
    <tableColumn id="1" name="Type d'intervention" dataDxfId="812"/>
    <tableColumn id="2" name="Entreprise" dataDxfId="811">
      <calculatedColumnFormula>D10</calculatedColumnFormula>
    </tableColumn>
    <tableColumn id="6" name=" " dataDxfId="810">
      <calculatedColumnFormula>IF(E30="","",MOD(E30+1,52))</calculatedColumnFormula>
    </tableColumn>
    <tableColumn id="3" name="Date" dataDxfId="809"/>
    <tableColumn id="4" name="Avancement" dataDxfId="808"/>
    <tableColumn id="5" name="Commentaires" dataDxfId="807"/>
  </tableColumns>
  <tableStyleInfo name="TableStyleLight1" showFirstColumn="0" showLastColumn="0" showRowStripes="1" showColumnStripes="0"/>
</table>
</file>

<file path=xl/tables/table93.xml><?xml version="1.0" encoding="utf-8"?>
<table xmlns="http://schemas.openxmlformats.org/spreadsheetml/2006/main" id="32" name="Tableau2571233" displayName="Tableau2571233" ref="C52:F56" totalsRowShown="0" headerRowDxfId="806" dataDxfId="804" headerRowBorderDxfId="805" tableBorderDxfId="803" totalsRowBorderDxfId="802">
  <tableColumns count="4">
    <tableColumn id="1" name="réunion" dataDxfId="801"/>
    <tableColumn id="2" name="date" dataDxfId="800"/>
    <tableColumn id="4" name=" " dataDxfId="799"/>
    <tableColumn id="3" name="état" dataDxfId="798"/>
  </tableColumns>
  <tableStyleInfo name="TableStyleLight1" showFirstColumn="0" showLastColumn="0" showRowStripes="1" showColumnStripes="0"/>
</table>
</file>

<file path=xl/tables/table94.xml><?xml version="1.0" encoding="utf-8"?>
<table xmlns="http://schemas.openxmlformats.org/spreadsheetml/2006/main" id="13" name="Tableau270614" displayName="Tableau270614" ref="C7:H21" totalsRowShown="0" headerRowDxfId="725" dataDxfId="723" headerRowBorderDxfId="724" tableBorderDxfId="722" totalsRowBorderDxfId="721">
  <tableColumns count="6">
    <tableColumn id="1" name="Type d'intervention" dataDxfId="720"/>
    <tableColumn id="2" name="Entreprise" dataDxfId="719"/>
    <tableColumn id="12" name="S" dataDxfId="718"/>
    <tableColumn id="3" name="   Date" dataDxfId="717"/>
    <tableColumn id="5" name="Avancement" dataDxfId="716"/>
    <tableColumn id="4" name="Commentaires" dataDxfId="715"/>
  </tableColumns>
  <tableStyleInfo name="TableStyleLight1" showFirstColumn="0" showLastColumn="0" showRowStripes="1" showColumnStripes="0"/>
</table>
</file>

<file path=xl/tables/table95.xml><?xml version="1.0" encoding="utf-8"?>
<table xmlns="http://schemas.openxmlformats.org/spreadsheetml/2006/main" id="14" name="Tableau470715" displayName="Tableau470715" ref="C24:H39" totalsRowShown="0" headerRowDxfId="714" dataDxfId="712" headerRowBorderDxfId="713" tableBorderDxfId="711" totalsRowBorderDxfId="710">
  <tableColumns count="6">
    <tableColumn id="1" name="Type d'intervention" dataDxfId="709"/>
    <tableColumn id="2" name="Entreprise" dataDxfId="708"/>
    <tableColumn id="6" name="S" dataDxfId="707">
      <calculatedColumnFormula>IF(E20="","",MOD(E20+1,52))</calculatedColumnFormula>
    </tableColumn>
    <tableColumn id="3" name="Date" dataDxfId="706"/>
    <tableColumn id="4" name="Avancement" dataDxfId="705"/>
    <tableColumn id="5" name="Commentaires" dataDxfId="704"/>
  </tableColumns>
  <tableStyleInfo name="TableStyleLight1" showFirstColumn="0" showLastColumn="0" showRowStripes="1" showColumnStripes="0"/>
</table>
</file>

<file path=xl/tables/table96.xml><?xml version="1.0" encoding="utf-8"?>
<table xmlns="http://schemas.openxmlformats.org/spreadsheetml/2006/main" id="15" name="Tableau570816" displayName="Tableau570816" ref="C42:H46" totalsRowShown="0" headerRowDxfId="703" dataDxfId="701" headerRowBorderDxfId="702" tableBorderDxfId="700" totalsRowBorderDxfId="699">
  <tableColumns count="6">
    <tableColumn id="1" name="Type d'intervention" dataDxfId="698"/>
    <tableColumn id="2" name="Entreprise" dataDxfId="697">
      <calculatedColumnFormula>D10</calculatedColumnFormula>
    </tableColumn>
    <tableColumn id="6" name=" " dataDxfId="696">
      <calculatedColumnFormula>IF(E26="","",MOD(E26+1,52))</calculatedColumnFormula>
    </tableColumn>
    <tableColumn id="3" name="Date" dataDxfId="695"/>
    <tableColumn id="4" name="Avancement" dataDxfId="694"/>
    <tableColumn id="5" name="Commentaires" dataDxfId="693"/>
  </tableColumns>
  <tableStyleInfo name="TableStyleLight1" showFirstColumn="0" showLastColumn="0" showRowStripes="1" showColumnStripes="0"/>
</table>
</file>

<file path=xl/tables/table97.xml><?xml version="1.0" encoding="utf-8"?>
<table xmlns="http://schemas.openxmlformats.org/spreadsheetml/2006/main" id="16" name="Tableau2571217" displayName="Tableau2571217" ref="C49:F53" totalsRowShown="0" headerRowDxfId="692" dataDxfId="690" headerRowBorderDxfId="691" tableBorderDxfId="689" totalsRowBorderDxfId="688">
  <tableColumns count="4">
    <tableColumn id="1" name="réunion" dataDxfId="687"/>
    <tableColumn id="2" name="date" dataDxfId="686"/>
    <tableColumn id="4" name=" " dataDxfId="685"/>
    <tableColumn id="3" name="état" dataDxfId="684"/>
  </tableColumns>
  <tableStyleInfo name="TableStyleLight1" showFirstColumn="0" showLastColumn="0" showRowStripes="1" showColumnStripes="0"/>
</table>
</file>

<file path=xl/tables/table98.xml><?xml version="1.0" encoding="utf-8"?>
<table xmlns="http://schemas.openxmlformats.org/spreadsheetml/2006/main" id="57" name="Tableau270658" displayName="Tableau270658" ref="C7:H21" totalsRowShown="0" headerRowDxfId="611" dataDxfId="609" headerRowBorderDxfId="610" tableBorderDxfId="608" totalsRowBorderDxfId="607">
  <tableColumns count="6">
    <tableColumn id="1" name="Type d'intervention" dataDxfId="606"/>
    <tableColumn id="2" name="Entreprise" dataDxfId="605"/>
    <tableColumn id="12" name="S" dataDxfId="604"/>
    <tableColumn id="3" name="   Date" dataDxfId="603"/>
    <tableColumn id="5" name="Avancement" dataDxfId="602"/>
    <tableColumn id="4" name="Commentaires" dataDxfId="601"/>
  </tableColumns>
  <tableStyleInfo name="TableStyleLight1" showFirstColumn="0" showLastColumn="0" showRowStripes="1" showColumnStripes="0"/>
</table>
</file>

<file path=xl/tables/table99.xml><?xml version="1.0" encoding="utf-8"?>
<table xmlns="http://schemas.openxmlformats.org/spreadsheetml/2006/main" id="58" name="Tableau470759" displayName="Tableau470759" ref="C24:H39" totalsRowShown="0" headerRowDxfId="600" dataDxfId="598" headerRowBorderDxfId="599" tableBorderDxfId="597" totalsRowBorderDxfId="596">
  <tableColumns count="6">
    <tableColumn id="1" name="Type d'intervention" dataDxfId="595"/>
    <tableColumn id="2" name="Entreprise" dataDxfId="594"/>
    <tableColumn id="6" name="S" dataDxfId="593">
      <calculatedColumnFormula>IF(E20="","",MOD(E20+1,52))</calculatedColumnFormula>
    </tableColumn>
    <tableColumn id="3" name="Date" dataDxfId="592"/>
    <tableColumn id="4" name="Avancement" dataDxfId="591"/>
    <tableColumn id="5" name="Commentaires" dataDxfId="590"/>
  </tableColumns>
  <tableStyleInfo name="TableStyleLight1" showFirstColumn="0" showLastColumn="0" showRowStripes="1" showColumnStripes="0"/>
</table>
</file>

<file path=xl/tables/table100.xml><?xml version="1.0" encoding="utf-8"?>
<table xmlns="http://schemas.openxmlformats.org/spreadsheetml/2006/main" id="59" name="Tableau570860" displayName="Tableau570860" ref="C42:H46" totalsRowShown="0" headerRowDxfId="589" dataDxfId="587" headerRowBorderDxfId="588" tableBorderDxfId="586" totalsRowBorderDxfId="585">
  <tableColumns count="6">
    <tableColumn id="1" name="Type d'intervention" dataDxfId="584"/>
    <tableColumn id="2" name="Entreprise" dataDxfId="583">
      <calculatedColumnFormula>D10</calculatedColumnFormula>
    </tableColumn>
    <tableColumn id="6" name=" " dataDxfId="582">
      <calculatedColumnFormula>IF(E26="","",MOD(E26+1,52))</calculatedColumnFormula>
    </tableColumn>
    <tableColumn id="3" name="Date" dataDxfId="581"/>
    <tableColumn id="4" name="Avancement" dataDxfId="580"/>
    <tableColumn id="5" name="Commentaires" dataDxfId="579"/>
  </tableColumns>
  <tableStyleInfo name="TableStyleLight1" showFirstColumn="0" showLastColumn="0" showRowStripes="1" showColumnStripes="0"/>
</table>
</file>

<file path=xl/tables/table101.xml><?xml version="1.0" encoding="utf-8"?>
<table xmlns="http://schemas.openxmlformats.org/spreadsheetml/2006/main" id="60" name="Tableau2571261" displayName="Tableau2571261" ref="C49:F53" totalsRowShown="0" headerRowDxfId="578" dataDxfId="576" headerRowBorderDxfId="577" tableBorderDxfId="575" totalsRowBorderDxfId="574">
  <tableColumns count="4">
    <tableColumn id="1" name="réunion" dataDxfId="573"/>
    <tableColumn id="2" name="date" dataDxfId="572"/>
    <tableColumn id="4" name=" " dataDxfId="571"/>
    <tableColumn id="3" name="état" dataDxfId="570"/>
  </tableColumns>
  <tableStyleInfo name="TableStyleLight1" showFirstColumn="0" showLastColumn="0" showRowStripes="1" showColumnStripes="0"/>
</table>
</file>

<file path=xl/tables/table102.xml><?xml version="1.0" encoding="utf-8"?>
<table xmlns="http://schemas.openxmlformats.org/spreadsheetml/2006/main" id="65" name="Tableau270666" displayName="Tableau270666" ref="C7:H21" totalsRowShown="0" headerRowDxfId="497" dataDxfId="495" headerRowBorderDxfId="496" tableBorderDxfId="494" totalsRowBorderDxfId="493">
  <tableColumns count="6">
    <tableColumn id="1" name="Type d'intervention" dataDxfId="492"/>
    <tableColumn id="2" name="Entreprise" dataDxfId="491"/>
    <tableColumn id="12" name="S" dataDxfId="490"/>
    <tableColumn id="3" name="   Date" dataDxfId="489"/>
    <tableColumn id="5" name="Avancement" dataDxfId="488"/>
    <tableColumn id="4" name="Commentaires" dataDxfId="487"/>
  </tableColumns>
  <tableStyleInfo name="TableStyleLight1" showFirstColumn="0" showLastColumn="0" showRowStripes="1" showColumnStripes="0"/>
</table>
</file>

<file path=xl/tables/table103.xml><?xml version="1.0" encoding="utf-8"?>
<table xmlns="http://schemas.openxmlformats.org/spreadsheetml/2006/main" id="66" name="Tableau470767" displayName="Tableau470767" ref="C24:H39" totalsRowShown="0" headerRowDxfId="486" dataDxfId="484" headerRowBorderDxfId="485" tableBorderDxfId="483" totalsRowBorderDxfId="482">
  <tableColumns count="6">
    <tableColumn id="1" name="Type d'intervention" dataDxfId="481"/>
    <tableColumn id="2" name="Entreprise" dataDxfId="480"/>
    <tableColumn id="6" name="S" dataDxfId="479">
      <calculatedColumnFormula>IF(E20="","",MOD(E20+1,52))</calculatedColumnFormula>
    </tableColumn>
    <tableColumn id="3" name="Date" dataDxfId="478"/>
    <tableColumn id="4" name="Avancement" dataDxfId="477"/>
    <tableColumn id="5" name="Commentaires" dataDxfId="476"/>
  </tableColumns>
  <tableStyleInfo name="TableStyleLight1" showFirstColumn="0" showLastColumn="0" showRowStripes="1" showColumnStripes="0"/>
</table>
</file>

<file path=xl/tables/table104.xml><?xml version="1.0" encoding="utf-8"?>
<table xmlns="http://schemas.openxmlformats.org/spreadsheetml/2006/main" id="67" name="Tableau570868" displayName="Tableau570868" ref="C42:H46" totalsRowShown="0" headerRowDxfId="475" dataDxfId="473" headerRowBorderDxfId="474" tableBorderDxfId="472" totalsRowBorderDxfId="471">
  <tableColumns count="6">
    <tableColumn id="1" name="Type d'intervention" dataDxfId="470"/>
    <tableColumn id="2" name="Entreprise" dataDxfId="469">
      <calculatedColumnFormula>D10</calculatedColumnFormula>
    </tableColumn>
    <tableColumn id="6" name=" " dataDxfId="468">
      <calculatedColumnFormula>IF(E26="","",MOD(E26+1,52))</calculatedColumnFormula>
    </tableColumn>
    <tableColumn id="3" name="Date" dataDxfId="467"/>
    <tableColumn id="4" name="Avancement" dataDxfId="466"/>
    <tableColumn id="5" name="Commentaires" dataDxfId="465"/>
  </tableColumns>
  <tableStyleInfo name="TableStyleLight1" showFirstColumn="0" showLastColumn="0" showRowStripes="1" showColumnStripes="0"/>
</table>
</file>

<file path=xl/tables/table105.xml><?xml version="1.0" encoding="utf-8"?>
<table xmlns="http://schemas.openxmlformats.org/spreadsheetml/2006/main" id="68" name="Tableau2571269" displayName="Tableau2571269" ref="C49:F53" totalsRowShown="0" headerRowDxfId="464" dataDxfId="462" headerRowBorderDxfId="463" tableBorderDxfId="461" totalsRowBorderDxfId="460">
  <tableColumns count="4">
    <tableColumn id="1" name="réunion" dataDxfId="459"/>
    <tableColumn id="2" name="date" dataDxfId="458"/>
    <tableColumn id="4" name=" " dataDxfId="457"/>
    <tableColumn id="3" name="état" dataDxfId="456"/>
  </tableColumns>
  <tableStyleInfo name="TableStyleLight1" showFirstColumn="0" showLastColumn="0" showRowStripes="1" showColumnStripes="0"/>
</table>
</file>

<file path=xl/tables/table106.xml><?xml version="1.0" encoding="utf-8"?>
<table xmlns="http://schemas.openxmlformats.org/spreadsheetml/2006/main" id="142" name="Tableau2706143" displayName="Tableau2706143" ref="C7:H21" totalsRowShown="0" headerRowDxfId="383" dataDxfId="381" headerRowBorderDxfId="382" tableBorderDxfId="380" totalsRowBorderDxfId="379">
  <tableColumns count="6">
    <tableColumn id="1" name="Type d'intervention" dataDxfId="378"/>
    <tableColumn id="2" name="Entreprise" dataDxfId="377"/>
    <tableColumn id="12" name="S" dataDxfId="376"/>
    <tableColumn id="3" name="   Date" dataDxfId="375"/>
    <tableColumn id="5" name="Avancement" dataDxfId="374"/>
    <tableColumn id="4" name="Commentaires" dataDxfId="373"/>
  </tableColumns>
  <tableStyleInfo name="TableStyleLight1" showFirstColumn="0" showLastColumn="0" showRowStripes="1" showColumnStripes="0"/>
</table>
</file>

<file path=xl/tables/table107.xml><?xml version="1.0" encoding="utf-8"?>
<table xmlns="http://schemas.openxmlformats.org/spreadsheetml/2006/main" id="143" name="Tableau4707144" displayName="Tableau4707144" ref="C24:H39" totalsRowShown="0" headerRowDxfId="372" dataDxfId="370" headerRowBorderDxfId="371" tableBorderDxfId="369" totalsRowBorderDxfId="368">
  <tableColumns count="6">
    <tableColumn id="1" name="Type d'intervention" dataDxfId="367"/>
    <tableColumn id="2" name="Entreprise" dataDxfId="366"/>
    <tableColumn id="6" name="S" dataDxfId="365">
      <calculatedColumnFormula>IF(E20="","",MOD(E20+1,52))</calculatedColumnFormula>
    </tableColumn>
    <tableColumn id="3" name="Date" dataDxfId="364"/>
    <tableColumn id="4" name="Avancement" dataDxfId="363"/>
    <tableColumn id="5" name="Commentaires" dataDxfId="362"/>
  </tableColumns>
  <tableStyleInfo name="TableStyleLight1" showFirstColumn="0" showLastColumn="0" showRowStripes="1" showColumnStripes="0"/>
</table>
</file>

<file path=xl/tables/table108.xml><?xml version="1.0" encoding="utf-8"?>
<table xmlns="http://schemas.openxmlformats.org/spreadsheetml/2006/main" id="144" name="Tableau5708145" displayName="Tableau5708145" ref="C42:H46" totalsRowShown="0" headerRowDxfId="361" dataDxfId="359" headerRowBorderDxfId="360" tableBorderDxfId="358" totalsRowBorderDxfId="357">
  <tableColumns count="6">
    <tableColumn id="1" name="Type d'intervention" dataDxfId="356"/>
    <tableColumn id="2" name="Entreprise" dataDxfId="355">
      <calculatedColumnFormula>D10</calculatedColumnFormula>
    </tableColumn>
    <tableColumn id="6" name=" " dataDxfId="354">
      <calculatedColumnFormula>IF(E26="","",MOD(E26+1,52))</calculatedColumnFormula>
    </tableColumn>
    <tableColumn id="3" name="Date" dataDxfId="353"/>
    <tableColumn id="4" name="Avancement" dataDxfId="352"/>
    <tableColumn id="5" name="Commentaires" dataDxfId="351"/>
  </tableColumns>
  <tableStyleInfo name="TableStyleLight1" showFirstColumn="0" showLastColumn="0" showRowStripes="1" showColumnStripes="0"/>
</table>
</file>

<file path=xl/tables/table109.xml><?xml version="1.0" encoding="utf-8"?>
<table xmlns="http://schemas.openxmlformats.org/spreadsheetml/2006/main" id="145" name="Tableau25712146" displayName="Tableau25712146" ref="C49:F53" totalsRowShown="0" headerRowDxfId="350" dataDxfId="348" headerRowBorderDxfId="349" tableBorderDxfId="347" totalsRowBorderDxfId="346">
  <tableColumns count="4">
    <tableColumn id="1" name="réunion" dataDxfId="345"/>
    <tableColumn id="2" name="date" dataDxfId="344"/>
    <tableColumn id="4" name=" " dataDxfId="343"/>
    <tableColumn id="3" name="état" dataDxfId="342"/>
  </tableColumns>
  <tableStyleInfo name="TableStyleLight1" showFirstColumn="0" showLastColumn="0" showRowStripes="1" showColumnStripes="0"/>
</table>
</file>

<file path=xl/tables/table110.xml><?xml version="1.0" encoding="utf-8"?>
<table xmlns="http://schemas.openxmlformats.org/spreadsheetml/2006/main" id="33" name="Tableau270634" displayName="Tableau270634" ref="C7:H21" totalsRowShown="0" headerRowDxfId="269" dataDxfId="267" headerRowBorderDxfId="268" tableBorderDxfId="266" totalsRowBorderDxfId="265">
  <tableColumns count="6">
    <tableColumn id="1" name="Type d'intervention" dataDxfId="264"/>
    <tableColumn id="2" name="Entreprise" dataDxfId="263"/>
    <tableColumn id="12" name="S" dataDxfId="262"/>
    <tableColumn id="3" name="   Date" dataDxfId="261"/>
    <tableColumn id="5" name="Avancement" dataDxfId="260"/>
    <tableColumn id="4" name="Commentaires" dataDxfId="259"/>
  </tableColumns>
  <tableStyleInfo name="TableStyleLight1" showFirstColumn="0" showLastColumn="0" showRowStripes="1" showColumnStripes="0"/>
</table>
</file>

<file path=xl/tables/table111.xml><?xml version="1.0" encoding="utf-8"?>
<table xmlns="http://schemas.openxmlformats.org/spreadsheetml/2006/main" id="34" name="Tableau470735" displayName="Tableau470735" ref="C24:H39" totalsRowShown="0" headerRowDxfId="258" dataDxfId="256" headerRowBorderDxfId="257" tableBorderDxfId="255" totalsRowBorderDxfId="254">
  <tableColumns count="6">
    <tableColumn id="1" name="Type d'intervention" dataDxfId="253"/>
    <tableColumn id="2" name="Entreprise" dataDxfId="252"/>
    <tableColumn id="6" name="S" dataDxfId="251">
      <calculatedColumnFormula>IF(E20="","",MOD(E20+1,52))</calculatedColumnFormula>
    </tableColumn>
    <tableColumn id="3" name="Date" dataDxfId="250"/>
    <tableColumn id="4" name="Avancement" dataDxfId="249"/>
    <tableColumn id="5" name="Commentaires" dataDxfId="248"/>
  </tableColumns>
  <tableStyleInfo name="TableStyleLight1" showFirstColumn="0" showLastColumn="0" showRowStripes="1" showColumnStripes="0"/>
</table>
</file>

<file path=xl/tables/table112.xml><?xml version="1.0" encoding="utf-8"?>
<table xmlns="http://schemas.openxmlformats.org/spreadsheetml/2006/main" id="35" name="Tableau570836" displayName="Tableau570836" ref="C42:H46" totalsRowShown="0" headerRowDxfId="247" dataDxfId="245" headerRowBorderDxfId="246" tableBorderDxfId="244" totalsRowBorderDxfId="243">
  <tableColumns count="6">
    <tableColumn id="1" name="Type d'intervention" dataDxfId="242"/>
    <tableColumn id="2" name="Entreprise" dataDxfId="241">
      <calculatedColumnFormula>D10</calculatedColumnFormula>
    </tableColumn>
    <tableColumn id="6" name=" " dataDxfId="240">
      <calculatedColumnFormula>IF(E26="","",MOD(E26+1,52))</calculatedColumnFormula>
    </tableColumn>
    <tableColumn id="3" name="Date" dataDxfId="239"/>
    <tableColumn id="4" name="Avancement" dataDxfId="238"/>
    <tableColumn id="5" name="Commentaires" dataDxfId="237"/>
  </tableColumns>
  <tableStyleInfo name="TableStyleLight1" showFirstColumn="0" showLastColumn="0" showRowStripes="1" showColumnStripes="0"/>
</table>
</file>

<file path=xl/tables/table113.xml><?xml version="1.0" encoding="utf-8"?>
<table xmlns="http://schemas.openxmlformats.org/spreadsheetml/2006/main" id="36" name="Tableau2571237" displayName="Tableau2571237" ref="C49:F53" totalsRowShown="0" headerRowDxfId="236" dataDxfId="234" headerRowBorderDxfId="235" tableBorderDxfId="233" totalsRowBorderDxfId="232">
  <tableColumns count="4">
    <tableColumn id="1" name="réunion" dataDxfId="231"/>
    <tableColumn id="2" name="date" dataDxfId="230"/>
    <tableColumn id="4" name=" " dataDxfId="229"/>
    <tableColumn id="3" name="état" dataDxfId="228"/>
  </tableColumns>
  <tableStyleInfo name="TableStyleLight1" showFirstColumn="0" showLastColumn="0" showRowStripes="1" showColumnStripes="0"/>
</table>
</file>

<file path=xl/tables/table114.xml><?xml version="1.0" encoding="utf-8"?>
<table xmlns="http://schemas.openxmlformats.org/spreadsheetml/2006/main" id="130" name="Tableau2706131" displayName="Tableau2706131" ref="C7:H21" totalsRowShown="0" headerRowDxfId="155" dataDxfId="153" headerRowBorderDxfId="154" tableBorderDxfId="152" totalsRowBorderDxfId="151">
  <tableColumns count="6">
    <tableColumn id="1" name="Type d'intervention" dataDxfId="150"/>
    <tableColumn id="2" name="Entreprise" dataDxfId="149"/>
    <tableColumn id="12" name="S" dataDxfId="148"/>
    <tableColumn id="3" name="   Date" dataDxfId="147"/>
    <tableColumn id="5" name="Avancement" dataDxfId="146"/>
    <tableColumn id="4" name="Commentaires" dataDxfId="145"/>
  </tableColumns>
  <tableStyleInfo name="TableStyleLight1" showFirstColumn="0" showLastColumn="0" showRowStripes="1" showColumnStripes="0"/>
</table>
</file>

<file path=xl/tables/table115.xml><?xml version="1.0" encoding="utf-8"?>
<table xmlns="http://schemas.openxmlformats.org/spreadsheetml/2006/main" id="131" name="Tableau4707132" displayName="Tableau4707132" ref="C24:H40" totalsRowShown="0" headerRowDxfId="144" dataDxfId="142" headerRowBorderDxfId="143" tableBorderDxfId="141" totalsRowBorderDxfId="140">
  <tableColumns count="6">
    <tableColumn id="1" name="Type d'intervention" dataDxfId="139"/>
    <tableColumn id="2" name="Entreprise" dataDxfId="138"/>
    <tableColumn id="6" name="S" dataDxfId="137">
      <calculatedColumnFormula>IF(E20="","",MOD(E20+1,52))</calculatedColumnFormula>
    </tableColumn>
    <tableColumn id="3" name="Date" dataDxfId="136"/>
    <tableColumn id="4" name="Avancement" dataDxfId="135"/>
    <tableColumn id="5" name="Commentaires" dataDxfId="134"/>
  </tableColumns>
  <tableStyleInfo name="TableStyleLight1" showFirstColumn="0" showLastColumn="0" showRowStripes="1" showColumnStripes="0"/>
</table>
</file>

<file path=xl/tables/table116.xml><?xml version="1.0" encoding="utf-8"?>
<table xmlns="http://schemas.openxmlformats.org/spreadsheetml/2006/main" id="132" name="Tableau5708133" displayName="Tableau5708133" ref="C42:H46" totalsRowShown="0" headerRowDxfId="133" dataDxfId="131" headerRowBorderDxfId="132" tableBorderDxfId="130" totalsRowBorderDxfId="129">
  <tableColumns count="6">
    <tableColumn id="1" name="Type d'intervention" dataDxfId="128"/>
    <tableColumn id="2" name="Entreprise" dataDxfId="127">
      <calculatedColumnFormula>D10</calculatedColumnFormula>
    </tableColumn>
    <tableColumn id="6" name=" " dataDxfId="126">
      <calculatedColumnFormula>IF(E26="","",MOD(E26+1,52))</calculatedColumnFormula>
    </tableColumn>
    <tableColumn id="3" name="Date" dataDxfId="125"/>
    <tableColumn id="4" name="Avancement" dataDxfId="124"/>
    <tableColumn id="5" name="Commentaires" dataDxfId="123"/>
  </tableColumns>
  <tableStyleInfo name="TableStyleLight1" showFirstColumn="0" showLastColumn="0" showRowStripes="1" showColumnStripes="0"/>
</table>
</file>

<file path=xl/tables/table117.xml><?xml version="1.0" encoding="utf-8"?>
<table xmlns="http://schemas.openxmlformats.org/spreadsheetml/2006/main" id="133" name="Tableau25712134" displayName="Tableau25712134" ref="C49:F53" totalsRowShown="0" headerRowDxfId="122" dataDxfId="120" headerRowBorderDxfId="121" tableBorderDxfId="119" totalsRowBorderDxfId="118">
  <tableColumns count="4">
    <tableColumn id="1" name="réunion" dataDxfId="117"/>
    <tableColumn id="2" name="date" dataDxfId="116"/>
    <tableColumn id="4" name=" " dataDxfId="115"/>
    <tableColumn id="3" name="état" dataDxfId="114"/>
  </tableColumns>
  <tableStyleInfo name="TableStyleLight1" showFirstColumn="0" showLastColumn="0" showRowStripes="1" showColumnStripes="0"/>
</table>
</file>

<file path=xl/tables/table118.xml><?xml version="1.0" encoding="utf-8"?>
<table xmlns="http://schemas.openxmlformats.org/spreadsheetml/2006/main" id="126" name="Tableau2706127" displayName="Tableau2706127" ref="C7:H21" totalsRowShown="0" headerRowDxfId="41" dataDxfId="39" headerRowBorderDxfId="40" tableBorderDxfId="38" totalsRowBorderDxfId="37">
  <tableColumns count="6">
    <tableColumn id="1" name="Type d'intervention" dataDxfId="36"/>
    <tableColumn id="2" name="Entreprise" dataDxfId="35"/>
    <tableColumn id="12" name="S" dataDxfId="34"/>
    <tableColumn id="3" name="   Date" dataDxfId="33"/>
    <tableColumn id="5" name="Avancement" dataDxfId="32"/>
    <tableColumn id="4" name="Commentaires" dataDxfId="31"/>
  </tableColumns>
  <tableStyleInfo name="TableStyleLight1" showFirstColumn="0" showLastColumn="0" showRowStripes="1" showColumnStripes="0"/>
</table>
</file>

<file path=xl/tables/table119.xml><?xml version="1.0" encoding="utf-8"?>
<table xmlns="http://schemas.openxmlformats.org/spreadsheetml/2006/main" id="127" name="Tableau4707128" displayName="Tableau4707128" ref="C24:H39" totalsRowShown="0" headerRowDxfId="30" dataDxfId="28" headerRowBorderDxfId="29" tableBorderDxfId="27" totalsRowBorderDxfId="26">
  <tableColumns count="6">
    <tableColumn id="1" name="Type d'intervention" dataDxfId="25"/>
    <tableColumn id="2" name="Entreprise" dataDxfId="24"/>
    <tableColumn id="6" name="S" dataDxfId="23">
      <calculatedColumnFormula>IF(E20="","",MOD(E20+1,52))</calculatedColumnFormula>
    </tableColumn>
    <tableColumn id="3" name="Date" dataDxfId="22"/>
    <tableColumn id="4" name="Avancement" dataDxfId="21"/>
    <tableColumn id="5" name="Commentaires" dataDxfId="20"/>
  </tableColumns>
  <tableStyleInfo name="TableStyleLight1" showFirstColumn="0" showLastColumn="0" showRowStripes="1" showColumnStripes="0"/>
</table>
</file>

<file path=xl/tables/table120.xml><?xml version="1.0" encoding="utf-8"?>
<table xmlns="http://schemas.openxmlformats.org/spreadsheetml/2006/main" id="128" name="Tableau5708129" displayName="Tableau5708129" ref="C42:H46" totalsRowShown="0" headerRowDxfId="19" dataDxfId="17" headerRowBorderDxfId="18" tableBorderDxfId="16" totalsRowBorderDxfId="15">
  <tableColumns count="6">
    <tableColumn id="1" name="Type d'intervention" dataDxfId="14"/>
    <tableColumn id="2" name="Entreprise" dataDxfId="13">
      <calculatedColumnFormula>D10</calculatedColumnFormula>
    </tableColumn>
    <tableColumn id="6" name=" " dataDxfId="12">
      <calculatedColumnFormula>IF(E26="","",MOD(E26+1,52))</calculatedColumnFormula>
    </tableColumn>
    <tableColumn id="3" name="Date" dataDxfId="11"/>
    <tableColumn id="4" name="Avancement" dataDxfId="10"/>
    <tableColumn id="5" name="Commentaires" dataDxfId="9"/>
  </tableColumns>
  <tableStyleInfo name="TableStyleLight1" showFirstColumn="0" showLastColumn="0" showRowStripes="1" showColumnStripes="0"/>
</table>
</file>

<file path=xl/tables/table121.xml><?xml version="1.0" encoding="utf-8"?>
<table xmlns="http://schemas.openxmlformats.org/spreadsheetml/2006/main" id="129" name="Tableau25712130" displayName="Tableau25712130" ref="C49:F53" totalsRowShown="0" headerRowDxfId="8" dataDxfId="6" headerRowBorderDxfId="7" tableBorderDxfId="5" totalsRowBorderDxfId="4">
  <tableColumns count="4">
    <tableColumn id="1" name="réunion" dataDxfId="3"/>
    <tableColumn id="2" name="date" dataDxfId="2"/>
    <tableColumn id="4" name=" " dataDxfId="1"/>
    <tableColumn id="3" name="éta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63" Type="http://schemas.openxmlformats.org/officeDocument/2006/relationships/table" Target="../tables/table5.xml"/><Relationship Id="rId68" Type="http://schemas.openxmlformats.org/officeDocument/2006/relationships/table" Target="../tables/table10.xml"/><Relationship Id="rId76" Type="http://schemas.openxmlformats.org/officeDocument/2006/relationships/table" Target="../tables/table18.xml"/><Relationship Id="rId84" Type="http://schemas.openxmlformats.org/officeDocument/2006/relationships/table" Target="../tables/table26.xml"/><Relationship Id="rId89" Type="http://schemas.openxmlformats.org/officeDocument/2006/relationships/table" Target="../tables/table31.xml"/><Relationship Id="rId7" Type="http://schemas.openxmlformats.org/officeDocument/2006/relationships/ctrlProp" Target="../ctrlProps/ctrlProp2.xml"/><Relationship Id="rId71" Type="http://schemas.openxmlformats.org/officeDocument/2006/relationships/table" Target="../tables/table13.xml"/><Relationship Id="rId2" Type="http://schemas.openxmlformats.org/officeDocument/2006/relationships/hyperlink" Target="mailto:contact@sarlnordisolation.fr" TargetMode="Externa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66" Type="http://schemas.openxmlformats.org/officeDocument/2006/relationships/table" Target="../tables/table8.xml"/><Relationship Id="rId74" Type="http://schemas.openxmlformats.org/officeDocument/2006/relationships/table" Target="../tables/table16.xml"/><Relationship Id="rId79" Type="http://schemas.openxmlformats.org/officeDocument/2006/relationships/table" Target="../tables/table21.xml"/><Relationship Id="rId87" Type="http://schemas.openxmlformats.org/officeDocument/2006/relationships/table" Target="../tables/table29.xml"/><Relationship Id="rId5" Type="http://schemas.openxmlformats.org/officeDocument/2006/relationships/vmlDrawing" Target="../drawings/vmlDrawing1.vml"/><Relationship Id="rId61" Type="http://schemas.openxmlformats.org/officeDocument/2006/relationships/ctrlProp" Target="../ctrlProps/ctrlProp56.xml"/><Relationship Id="rId82" Type="http://schemas.openxmlformats.org/officeDocument/2006/relationships/table" Target="../tables/table24.xml"/><Relationship Id="rId90" Type="http://schemas.openxmlformats.org/officeDocument/2006/relationships/table" Target="../tables/table32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table" Target="../tables/table6.xml"/><Relationship Id="rId69" Type="http://schemas.openxmlformats.org/officeDocument/2006/relationships/table" Target="../tables/table11.xml"/><Relationship Id="rId77" Type="http://schemas.openxmlformats.org/officeDocument/2006/relationships/table" Target="../tables/table19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table" Target="../tables/table14.xml"/><Relationship Id="rId80" Type="http://schemas.openxmlformats.org/officeDocument/2006/relationships/table" Target="../tables/table22.xml"/><Relationship Id="rId85" Type="http://schemas.openxmlformats.org/officeDocument/2006/relationships/table" Target="../tables/table27.xml"/><Relationship Id="rId3" Type="http://schemas.openxmlformats.org/officeDocument/2006/relationships/printerSettings" Target="../printerSettings/printerSettings2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table" Target="../tables/table9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table" Target="../tables/table12.xml"/><Relationship Id="rId75" Type="http://schemas.openxmlformats.org/officeDocument/2006/relationships/table" Target="../tables/table17.xml"/><Relationship Id="rId83" Type="http://schemas.openxmlformats.org/officeDocument/2006/relationships/table" Target="../tables/table25.xml"/><Relationship Id="rId88" Type="http://schemas.openxmlformats.org/officeDocument/2006/relationships/table" Target="../tables/table30.xml"/><Relationship Id="rId91" Type="http://schemas.openxmlformats.org/officeDocument/2006/relationships/table" Target="../tables/table33.xml"/><Relationship Id="rId1" Type="http://schemas.openxmlformats.org/officeDocument/2006/relationships/hyperlink" Target="mailto:kovacic.pose@orange.fr" TargetMode="External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table" Target="../tables/table7.xml"/><Relationship Id="rId73" Type="http://schemas.openxmlformats.org/officeDocument/2006/relationships/table" Target="../tables/table15.xml"/><Relationship Id="rId78" Type="http://schemas.openxmlformats.org/officeDocument/2006/relationships/table" Target="../tables/table20.xml"/><Relationship Id="rId81" Type="http://schemas.openxmlformats.org/officeDocument/2006/relationships/table" Target="../tables/table23.xml"/><Relationship Id="rId86" Type="http://schemas.openxmlformats.org/officeDocument/2006/relationships/table" Target="../tables/table28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7.xml"/><Relationship Id="rId5" Type="http://schemas.openxmlformats.org/officeDocument/2006/relationships/table" Target="../tables/table36.xml"/><Relationship Id="rId4" Type="http://schemas.openxmlformats.org/officeDocument/2006/relationships/table" Target="../tables/table3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1.xml"/><Relationship Id="rId5" Type="http://schemas.openxmlformats.org/officeDocument/2006/relationships/table" Target="../tables/table40.xml"/><Relationship Id="rId4" Type="http://schemas.openxmlformats.org/officeDocument/2006/relationships/table" Target="../tables/table3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5.xml"/><Relationship Id="rId5" Type="http://schemas.openxmlformats.org/officeDocument/2006/relationships/table" Target="../tables/table44.xml"/><Relationship Id="rId4" Type="http://schemas.openxmlformats.org/officeDocument/2006/relationships/table" Target="../tables/table4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9.xml"/><Relationship Id="rId5" Type="http://schemas.openxmlformats.org/officeDocument/2006/relationships/table" Target="../tables/table48.xml"/><Relationship Id="rId4" Type="http://schemas.openxmlformats.org/officeDocument/2006/relationships/table" Target="../tables/table4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3.xml"/><Relationship Id="rId5" Type="http://schemas.openxmlformats.org/officeDocument/2006/relationships/table" Target="../tables/table52.xml"/><Relationship Id="rId4" Type="http://schemas.openxmlformats.org/officeDocument/2006/relationships/table" Target="../tables/table5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4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57.xml"/><Relationship Id="rId5" Type="http://schemas.openxmlformats.org/officeDocument/2006/relationships/table" Target="../tables/table56.xml"/><Relationship Id="rId4" Type="http://schemas.openxmlformats.org/officeDocument/2006/relationships/table" Target="../tables/table5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61.xml"/><Relationship Id="rId5" Type="http://schemas.openxmlformats.org/officeDocument/2006/relationships/table" Target="../tables/table60.xml"/><Relationship Id="rId4" Type="http://schemas.openxmlformats.org/officeDocument/2006/relationships/table" Target="../tables/table5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2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65.xml"/><Relationship Id="rId5" Type="http://schemas.openxmlformats.org/officeDocument/2006/relationships/table" Target="../tables/table64.xml"/><Relationship Id="rId4" Type="http://schemas.openxmlformats.org/officeDocument/2006/relationships/table" Target="../tables/table6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6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69.xml"/><Relationship Id="rId5" Type="http://schemas.openxmlformats.org/officeDocument/2006/relationships/table" Target="../tables/table68.xml"/><Relationship Id="rId4" Type="http://schemas.openxmlformats.org/officeDocument/2006/relationships/table" Target="../tables/table6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0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73.xml"/><Relationship Id="rId5" Type="http://schemas.openxmlformats.org/officeDocument/2006/relationships/table" Target="../tables/table72.xml"/><Relationship Id="rId4" Type="http://schemas.openxmlformats.org/officeDocument/2006/relationships/table" Target="../tables/table7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4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77.xml"/><Relationship Id="rId5" Type="http://schemas.openxmlformats.org/officeDocument/2006/relationships/table" Target="../tables/table76.xml"/><Relationship Id="rId4" Type="http://schemas.openxmlformats.org/officeDocument/2006/relationships/table" Target="../tables/table75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8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81.xml"/><Relationship Id="rId5" Type="http://schemas.openxmlformats.org/officeDocument/2006/relationships/table" Target="../tables/table80.xml"/><Relationship Id="rId4" Type="http://schemas.openxmlformats.org/officeDocument/2006/relationships/table" Target="../tables/table79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2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table" Target="../tables/table85.xml"/><Relationship Id="rId5" Type="http://schemas.openxmlformats.org/officeDocument/2006/relationships/table" Target="../tables/table84.xml"/><Relationship Id="rId4" Type="http://schemas.openxmlformats.org/officeDocument/2006/relationships/table" Target="../tables/table8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6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table" Target="../tables/table89.xml"/><Relationship Id="rId5" Type="http://schemas.openxmlformats.org/officeDocument/2006/relationships/table" Target="../tables/table88.xml"/><Relationship Id="rId4" Type="http://schemas.openxmlformats.org/officeDocument/2006/relationships/table" Target="../tables/table87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0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table" Target="../tables/table93.xml"/><Relationship Id="rId5" Type="http://schemas.openxmlformats.org/officeDocument/2006/relationships/table" Target="../tables/table92.xml"/><Relationship Id="rId4" Type="http://schemas.openxmlformats.org/officeDocument/2006/relationships/table" Target="../tables/table91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4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table" Target="../tables/table97.xml"/><Relationship Id="rId5" Type="http://schemas.openxmlformats.org/officeDocument/2006/relationships/table" Target="../tables/table96.xml"/><Relationship Id="rId4" Type="http://schemas.openxmlformats.org/officeDocument/2006/relationships/table" Target="../tables/table95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8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table" Target="../tables/table101.xml"/><Relationship Id="rId5" Type="http://schemas.openxmlformats.org/officeDocument/2006/relationships/table" Target="../tables/table100.xml"/><Relationship Id="rId4" Type="http://schemas.openxmlformats.org/officeDocument/2006/relationships/table" Target="../tables/table9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2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table" Target="../tables/table105.xml"/><Relationship Id="rId5" Type="http://schemas.openxmlformats.org/officeDocument/2006/relationships/table" Target="../tables/table104.xml"/><Relationship Id="rId4" Type="http://schemas.openxmlformats.org/officeDocument/2006/relationships/table" Target="../tables/table103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6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table" Target="../tables/table109.xml"/><Relationship Id="rId5" Type="http://schemas.openxmlformats.org/officeDocument/2006/relationships/table" Target="../tables/table108.xml"/><Relationship Id="rId4" Type="http://schemas.openxmlformats.org/officeDocument/2006/relationships/table" Target="../tables/table107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0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6" Type="http://schemas.openxmlformats.org/officeDocument/2006/relationships/table" Target="../tables/table113.xml"/><Relationship Id="rId5" Type="http://schemas.openxmlformats.org/officeDocument/2006/relationships/table" Target="../tables/table112.xml"/><Relationship Id="rId4" Type="http://schemas.openxmlformats.org/officeDocument/2006/relationships/table" Target="../tables/table11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4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table" Target="../tables/table117.xml"/><Relationship Id="rId5" Type="http://schemas.openxmlformats.org/officeDocument/2006/relationships/table" Target="../tables/table116.xml"/><Relationship Id="rId4" Type="http://schemas.openxmlformats.org/officeDocument/2006/relationships/table" Target="../tables/table115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8.x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6" Type="http://schemas.openxmlformats.org/officeDocument/2006/relationships/table" Target="../tables/table121.xml"/><Relationship Id="rId5" Type="http://schemas.openxmlformats.org/officeDocument/2006/relationships/table" Target="../tables/table120.xml"/><Relationship Id="rId4" Type="http://schemas.openxmlformats.org/officeDocument/2006/relationships/table" Target="../tables/table119.xm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hyperlink" Target="mailto:charpente.gabel@wanadoo.fr" TargetMode="External"/><Relationship Id="rId13" Type="http://schemas.openxmlformats.org/officeDocument/2006/relationships/hyperlink" Target="mailto:kbr.fermetures@gmail.com" TargetMode="External"/><Relationship Id="rId18" Type="http://schemas.openxmlformats.org/officeDocument/2006/relationships/hyperlink" Target="mailto:denis.ott@wanadoo.fr" TargetMode="External"/><Relationship Id="rId26" Type="http://schemas.openxmlformats.org/officeDocument/2006/relationships/hyperlink" Target="mailto:sobatra2@wanadoo.fr" TargetMode="External"/><Relationship Id="rId3" Type="http://schemas.openxmlformats.org/officeDocument/2006/relationships/hyperlink" Target="mailto:ch.bayard@wanadoo.fr" TargetMode="External"/><Relationship Id="rId21" Type="http://schemas.openxmlformats.org/officeDocument/2006/relationships/hyperlink" Target="mailto:tasteper.sas@live.fr" TargetMode="External"/><Relationship Id="rId7" Type="http://schemas.openxmlformats.org/officeDocument/2006/relationships/hyperlink" Target="mailto:carrelagedelest@hotmail.fr" TargetMode="External"/><Relationship Id="rId12" Type="http://schemas.openxmlformats.org/officeDocument/2006/relationships/hyperlink" Target="mailto:eko63@hotmail.fr" TargetMode="External"/><Relationship Id="rId17" Type="http://schemas.openxmlformats.org/officeDocument/2006/relationships/hyperlink" Target="mailto:kovacic.contact@orange.fr" TargetMode="External"/><Relationship Id="rId25" Type="http://schemas.openxmlformats.org/officeDocument/2006/relationships/hyperlink" Target="mailto:jeanmichel.h@fm-s.eu" TargetMode="External"/><Relationship Id="rId2" Type="http://schemas.openxmlformats.org/officeDocument/2006/relationships/hyperlink" Target="mailto:aucoindufeualsace@orange.fr" TargetMode="External"/><Relationship Id="rId16" Type="http://schemas.openxmlformats.org/officeDocument/2006/relationships/hyperlink" Target="mailto:kovacic.pose@orange.fr" TargetMode="External"/><Relationship Id="rId20" Type="http://schemas.openxmlformats.org/officeDocument/2006/relationships/hyperlink" Target="mailto:owurth@soprema.fr" TargetMode="External"/><Relationship Id="rId29" Type="http://schemas.openxmlformats.org/officeDocument/2006/relationships/hyperlink" Target="mailto:entr.neumeyer@orange.fr" TargetMode="External"/><Relationship Id="rId1" Type="http://schemas.openxmlformats.org/officeDocument/2006/relationships/hyperlink" Target="mailto:abc.aktas@gmail.com" TargetMode="External"/><Relationship Id="rId6" Type="http://schemas.openxmlformats.org/officeDocument/2006/relationships/hyperlink" Target="mailto:benelec@orange.fr" TargetMode="External"/><Relationship Id="rId11" Type="http://schemas.openxmlformats.org/officeDocument/2006/relationships/hyperlink" Target="mailto:electro.hecker@gmail.com" TargetMode="External"/><Relationship Id="rId24" Type="http://schemas.openxmlformats.org/officeDocument/2006/relationships/hyperlink" Target="mailto:vincent-padowicz@beral.fr" TargetMode="External"/><Relationship Id="rId5" Type="http://schemas.openxmlformats.org/officeDocument/2006/relationships/hyperlink" Target="mailto:contact@beckchape.fr" TargetMode="External"/><Relationship Id="rId15" Type="http://schemas.openxmlformats.org/officeDocument/2006/relationships/hyperlink" Target="mailto:graff@hilzinger.fr" TargetMode="External"/><Relationship Id="rId23" Type="http://schemas.openxmlformats.org/officeDocument/2006/relationships/hyperlink" Target="mailto:wagner.fils@free.fr" TargetMode="External"/><Relationship Id="rId28" Type="http://schemas.openxmlformats.org/officeDocument/2006/relationships/hyperlink" Target="mailto:borgerdecoration@yahoo.fr" TargetMode="External"/><Relationship Id="rId10" Type="http://schemas.openxmlformats.org/officeDocument/2006/relationships/hyperlink" Target="mailto:hda-platrier@live.fr" TargetMode="External"/><Relationship Id="rId19" Type="http://schemas.openxmlformats.org/officeDocument/2006/relationships/hyperlink" Target="mailto:carlos.soares74@sfr.fr" TargetMode="External"/><Relationship Id="rId31" Type="http://schemas.openxmlformats.org/officeDocument/2006/relationships/printerSettings" Target="../printerSettings/printerSettings25.bin"/><Relationship Id="rId4" Type="http://schemas.openxmlformats.org/officeDocument/2006/relationships/hyperlink" Target="mailto:yves.bechtel@orange.fr" TargetMode="External"/><Relationship Id="rId9" Type="http://schemas.openxmlformats.org/officeDocument/2006/relationships/hyperlink" Target="mailto:jacky.gross2@wanadoo.fr" TargetMode="External"/><Relationship Id="rId14" Type="http://schemas.openxmlformats.org/officeDocument/2006/relationships/hyperlink" Target="mailto:didier.hertfelder@wanadoo.fr" TargetMode="External"/><Relationship Id="rId22" Type="http://schemas.openxmlformats.org/officeDocument/2006/relationships/hyperlink" Target="mailto:tema67100@hotmail.fr" TargetMode="External"/><Relationship Id="rId27" Type="http://schemas.openxmlformats.org/officeDocument/2006/relationships/hyperlink" Target="mailto:contact@sarlnordisolation.com" TargetMode="External"/><Relationship Id="rId30" Type="http://schemas.openxmlformats.org/officeDocument/2006/relationships/hyperlink" Target="mailto:meyer.energies6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I74"/>
  <sheetViews>
    <sheetView zoomScaleNormal="100" workbookViewId="0">
      <selection activeCell="H3" sqref="H3:I3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AAA</v>
      </c>
      <c r="D2" s="5" t="s">
        <v>98</v>
      </c>
      <c r="E2" s="522"/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/>
      <c r="D3" s="8" t="s">
        <v>3</v>
      </c>
      <c r="E3" s="525"/>
      <c r="F3" s="526"/>
      <c r="G3" s="9"/>
      <c r="H3" s="527" t="str">
        <f ca="1">DATEDIF(E3,TODAY(),"m")&amp;"mois"&amp;-DATEDIF(E3,TODAY(),"md")&amp;"jours"</f>
        <v>1411mois-23jours</v>
      </c>
      <c r="I3" s="528"/>
    </row>
    <row r="4" spans="1:9" ht="18.75" x14ac:dyDescent="0.25">
      <c r="A4" s="127" t="s">
        <v>222</v>
      </c>
      <c r="B4" s="215"/>
      <c r="C4" s="11"/>
      <c r="D4" s="12" t="s">
        <v>4</v>
      </c>
      <c r="E4" s="529">
        <f>E3+60</f>
        <v>60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30" t="s">
        <v>307</v>
      </c>
      <c r="D6" s="531"/>
      <c r="E6" s="531"/>
      <c r="F6" s="531"/>
      <c r="G6" s="531"/>
      <c r="H6" s="532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492"/>
      <c r="B8" s="494">
        <f>A8</f>
        <v>0</v>
      </c>
      <c r="C8" s="32" t="s">
        <v>238</v>
      </c>
      <c r="D8" s="89" t="s">
        <v>91</v>
      </c>
      <c r="E8" s="490">
        <f ca="1">I1</f>
        <v>34</v>
      </c>
      <c r="F8" s="29"/>
      <c r="G8" s="30" t="s">
        <v>11</v>
      </c>
      <c r="H8" s="31"/>
      <c r="I8" s="21"/>
    </row>
    <row r="9" spans="1:9" x14ac:dyDescent="0.25">
      <c r="A9" s="201"/>
      <c r="B9" s="216"/>
      <c r="C9" s="32" t="s">
        <v>293</v>
      </c>
      <c r="D9" s="90" t="str">
        <f>D8</f>
        <v>_</v>
      </c>
      <c r="E9" s="491">
        <f ca="1">E8+1</f>
        <v>35</v>
      </c>
      <c r="F9" s="34"/>
      <c r="G9" s="35" t="s">
        <v>11</v>
      </c>
      <c r="H9" s="31"/>
      <c r="I9" s="21"/>
    </row>
    <row r="10" spans="1:9" ht="15" customHeight="1" x14ac:dyDescent="0.25">
      <c r="A10" s="240"/>
      <c r="B10" s="493"/>
      <c r="C10" s="32" t="s">
        <v>294</v>
      </c>
      <c r="D10" s="89" t="str">
        <f>D9</f>
        <v>_</v>
      </c>
      <c r="E10" s="490">
        <f ca="1">E9</f>
        <v>35</v>
      </c>
      <c r="F10" s="36"/>
      <c r="G10" s="35" t="s">
        <v>11</v>
      </c>
      <c r="H10" s="31"/>
      <c r="I10" s="21"/>
    </row>
    <row r="11" spans="1:9" ht="15" customHeight="1" x14ac:dyDescent="0.25">
      <c r="A11" s="240"/>
      <c r="B11" s="241"/>
      <c r="C11" s="32" t="s">
        <v>295</v>
      </c>
      <c r="D11" s="91" t="str">
        <f>D8</f>
        <v>_</v>
      </c>
      <c r="E11" s="490">
        <f ca="1">E10+1</f>
        <v>36</v>
      </c>
      <c r="F11" s="36"/>
      <c r="G11" s="35" t="s">
        <v>11</v>
      </c>
      <c r="H11" s="31"/>
      <c r="I11" s="21"/>
    </row>
    <row r="12" spans="1:9" ht="15" customHeight="1" x14ac:dyDescent="0.25">
      <c r="A12" s="240"/>
      <c r="B12" s="241"/>
      <c r="C12" s="32" t="s">
        <v>296</v>
      </c>
      <c r="D12" s="91" t="str">
        <f t="shared" ref="D12:D14" si="0">D9</f>
        <v>_</v>
      </c>
      <c r="E12" s="490">
        <f ca="1">E11+2</f>
        <v>38</v>
      </c>
      <c r="F12" s="36"/>
      <c r="G12" s="35" t="s">
        <v>11</v>
      </c>
      <c r="H12" s="31"/>
      <c r="I12" s="21"/>
    </row>
    <row r="13" spans="1:9" ht="15" customHeight="1" x14ac:dyDescent="0.25">
      <c r="A13" s="240"/>
      <c r="B13" s="241"/>
      <c r="C13" s="32" t="s">
        <v>297</v>
      </c>
      <c r="D13" s="91" t="str">
        <f t="shared" si="0"/>
        <v>_</v>
      </c>
      <c r="E13" s="490">
        <f ca="1">E12+1</f>
        <v>39</v>
      </c>
      <c r="F13" s="36"/>
      <c r="G13" s="35" t="s">
        <v>11</v>
      </c>
      <c r="H13" s="31"/>
      <c r="I13" s="21"/>
    </row>
    <row r="14" spans="1:9" ht="15" customHeight="1" x14ac:dyDescent="0.25">
      <c r="A14" s="240"/>
      <c r="B14" s="241"/>
      <c r="C14" s="32" t="s">
        <v>298</v>
      </c>
      <c r="D14" s="91" t="str">
        <f t="shared" si="0"/>
        <v>_</v>
      </c>
      <c r="E14" s="490">
        <f ca="1">E13</f>
        <v>39</v>
      </c>
      <c r="F14" s="36"/>
      <c r="G14" s="35" t="s">
        <v>11</v>
      </c>
      <c r="H14" s="31"/>
      <c r="I14" s="21"/>
    </row>
    <row r="15" spans="1:9" x14ac:dyDescent="0.25">
      <c r="A15" s="240"/>
      <c r="B15" s="241"/>
      <c r="C15" s="32" t="s">
        <v>88</v>
      </c>
      <c r="D15" s="90" t="s">
        <v>90</v>
      </c>
      <c r="E15" s="28">
        <f ca="1">E10+4</f>
        <v>39</v>
      </c>
      <c r="F15" s="34"/>
      <c r="G15" s="35" t="s">
        <v>96</v>
      </c>
      <c r="H15" s="31"/>
      <c r="I15" s="21"/>
    </row>
    <row r="16" spans="1:9" x14ac:dyDescent="0.25">
      <c r="A16" s="240"/>
      <c r="B16" s="241"/>
      <c r="C16" s="32" t="s">
        <v>14</v>
      </c>
      <c r="D16" s="89" t="s">
        <v>90</v>
      </c>
      <c r="E16" s="28">
        <f ca="1">E10+1</f>
        <v>36</v>
      </c>
      <c r="F16" s="34"/>
      <c r="G16" s="35" t="s">
        <v>96</v>
      </c>
      <c r="H16" s="31"/>
      <c r="I16" s="21"/>
    </row>
    <row r="17" spans="1:9" x14ac:dyDescent="0.25">
      <c r="A17" s="240"/>
      <c r="B17" s="241"/>
      <c r="C17" s="32" t="s">
        <v>15</v>
      </c>
      <c r="D17" s="90" t="s">
        <v>91</v>
      </c>
      <c r="E17" s="28">
        <f ca="1">E16+1</f>
        <v>37</v>
      </c>
      <c r="F17" s="34"/>
      <c r="G17" s="35" t="s">
        <v>11</v>
      </c>
      <c r="H17" s="31"/>
      <c r="I17" s="21"/>
    </row>
    <row r="18" spans="1:9" x14ac:dyDescent="0.25">
      <c r="A18" s="294"/>
      <c r="B18" s="294">
        <f>A18</f>
        <v>0</v>
      </c>
      <c r="C18" s="32" t="s">
        <v>16</v>
      </c>
      <c r="D18" s="89" t="s">
        <v>91</v>
      </c>
      <c r="E18" s="490">
        <f ca="1">IF(E13="","",MOD(E17+1,52))</f>
        <v>38</v>
      </c>
      <c r="F18" s="34"/>
      <c r="G18" s="35" t="s">
        <v>11</v>
      </c>
      <c r="H18" s="31"/>
      <c r="I18" s="21"/>
    </row>
    <row r="19" spans="1:9" x14ac:dyDescent="0.25">
      <c r="A19" s="240"/>
      <c r="B19" s="241"/>
      <c r="C19" s="32" t="s">
        <v>100</v>
      </c>
      <c r="D19" s="90" t="str">
        <f>D10</f>
        <v>_</v>
      </c>
      <c r="E19" s="28">
        <f ca="1">IF(E18="","",MOD(E18+1,52))</f>
        <v>39</v>
      </c>
      <c r="F19" s="34"/>
      <c r="G19" s="35" t="s">
        <v>11</v>
      </c>
      <c r="H19" s="31"/>
      <c r="I19" s="21"/>
    </row>
    <row r="20" spans="1:9" x14ac:dyDescent="0.25">
      <c r="A20" s="293"/>
      <c r="B20" s="294">
        <f>A20</f>
        <v>0</v>
      </c>
      <c r="C20" s="32" t="s">
        <v>85</v>
      </c>
      <c r="D20" s="89" t="s">
        <v>91</v>
      </c>
      <c r="E20" s="28">
        <f ca="1">IF(E19="","",MOD(E19+1,52))</f>
        <v>40</v>
      </c>
      <c r="F20" s="34"/>
      <c r="G20" s="35" t="s">
        <v>11</v>
      </c>
      <c r="H20" s="31"/>
      <c r="I20" s="21"/>
    </row>
    <row r="21" spans="1:9" x14ac:dyDescent="0.25">
      <c r="A21" s="293"/>
      <c r="B21" s="294">
        <f>A21</f>
        <v>0</v>
      </c>
      <c r="C21" s="32" t="s">
        <v>86</v>
      </c>
      <c r="D21" s="91" t="s">
        <v>91</v>
      </c>
      <c r="E21" s="28">
        <f ca="1">E20</f>
        <v>40</v>
      </c>
      <c r="F21" s="34"/>
      <c r="G21" s="35" t="s">
        <v>11</v>
      </c>
      <c r="H21" s="86"/>
      <c r="I21" s="21"/>
    </row>
    <row r="22" spans="1:9" x14ac:dyDescent="0.25">
      <c r="A22" s="240"/>
      <c r="B22" s="241"/>
      <c r="C22" s="446" t="s">
        <v>17</v>
      </c>
      <c r="D22" s="447" t="s">
        <v>91</v>
      </c>
      <c r="E22" s="448">
        <f ca="1">E20</f>
        <v>40</v>
      </c>
      <c r="F22" s="449"/>
      <c r="G22" s="450" t="s">
        <v>11</v>
      </c>
      <c r="H22" s="451"/>
      <c r="I22" s="21"/>
    </row>
    <row r="23" spans="1:9" x14ac:dyDescent="0.25">
      <c r="A23" s="294"/>
      <c r="B23" s="294">
        <f>A23</f>
        <v>0</v>
      </c>
      <c r="C23" s="37" t="s">
        <v>300</v>
      </c>
      <c r="D23" s="89" t="s">
        <v>91</v>
      </c>
      <c r="E23" s="28">
        <f ca="1">IF(E20="","",MOD(E20+2,52))</f>
        <v>42</v>
      </c>
      <c r="F23" s="34"/>
      <c r="G23" s="35" t="s">
        <v>11</v>
      </c>
      <c r="H23" s="31"/>
      <c r="I23" s="21"/>
    </row>
    <row r="24" spans="1:9" x14ac:dyDescent="0.25">
      <c r="A24" s="240"/>
      <c r="B24" s="241"/>
      <c r="C24" s="32" t="s">
        <v>19</v>
      </c>
      <c r="D24" s="90" t="str">
        <f>D17</f>
        <v>_</v>
      </c>
      <c r="E24" s="28">
        <f ca="1">IF(E20="","",MOD(E20+2,52))</f>
        <v>42</v>
      </c>
      <c r="F24" s="34"/>
      <c r="G24" s="35" t="s">
        <v>11</v>
      </c>
      <c r="H24" s="31"/>
      <c r="I24" s="21"/>
    </row>
    <row r="25" spans="1:9" x14ac:dyDescent="0.25">
      <c r="A25" s="294"/>
      <c r="B25" s="294">
        <f>A25</f>
        <v>0</v>
      </c>
      <c r="C25" s="495" t="s">
        <v>299</v>
      </c>
      <c r="D25" s="90" t="s">
        <v>91</v>
      </c>
      <c r="E25" s="28">
        <f ca="1">E23</f>
        <v>42</v>
      </c>
      <c r="F25" s="34"/>
      <c r="G25" s="133" t="s">
        <v>11</v>
      </c>
      <c r="H25" s="31"/>
      <c r="I25" s="21"/>
    </row>
    <row r="26" spans="1:9" x14ac:dyDescent="0.25">
      <c r="A26" s="240"/>
      <c r="B26" s="241"/>
      <c r="C26" s="503"/>
      <c r="D26" s="351"/>
      <c r="E26" s="504"/>
      <c r="F26" s="134"/>
      <c r="G26" s="134"/>
      <c r="H26" s="352"/>
      <c r="I26" s="21"/>
    </row>
    <row r="27" spans="1:9" ht="18.75" x14ac:dyDescent="0.3">
      <c r="A27" s="306"/>
      <c r="B27" s="307"/>
      <c r="C27" s="530" t="s">
        <v>306</v>
      </c>
      <c r="D27" s="531"/>
      <c r="E27" s="531"/>
      <c r="F27" s="531"/>
      <c r="G27" s="531"/>
      <c r="H27" s="532"/>
      <c r="I27" s="21"/>
    </row>
    <row r="28" spans="1:9" ht="15.75" thickBot="1" x14ac:dyDescent="0.3">
      <c r="A28" s="240"/>
      <c r="B28" s="241"/>
      <c r="C28" s="137" t="s">
        <v>5</v>
      </c>
      <c r="D28" s="152" t="s">
        <v>6</v>
      </c>
      <c r="E28" s="139" t="s">
        <v>7</v>
      </c>
      <c r="F28" s="137" t="s">
        <v>56</v>
      </c>
      <c r="G28" s="138" t="s">
        <v>53</v>
      </c>
      <c r="H28" s="140" t="s">
        <v>89</v>
      </c>
      <c r="I28" s="21"/>
    </row>
    <row r="29" spans="1:9" x14ac:dyDescent="0.25">
      <c r="A29" s="294"/>
      <c r="B29" s="294">
        <f>A29</f>
        <v>0</v>
      </c>
      <c r="C29" s="141" t="s">
        <v>92</v>
      </c>
      <c r="D29" s="89" t="s">
        <v>91</v>
      </c>
      <c r="E29" s="142">
        <f ca="1">IF(E24="","",MOD(E24+1,52))</f>
        <v>43</v>
      </c>
      <c r="F29" s="29"/>
      <c r="G29" s="30" t="s">
        <v>11</v>
      </c>
      <c r="H29" s="31"/>
      <c r="I29" s="21"/>
    </row>
    <row r="30" spans="1:9" x14ac:dyDescent="0.25">
      <c r="A30" s="294"/>
      <c r="B30" s="294">
        <f>A30</f>
        <v>0</v>
      </c>
      <c r="C30" s="32" t="s">
        <v>93</v>
      </c>
      <c r="D30" s="90" t="s">
        <v>91</v>
      </c>
      <c r="E30" s="28">
        <f ca="1">IF(E29="","",MOD(E29+1,52))</f>
        <v>44</v>
      </c>
      <c r="F30" s="34"/>
      <c r="G30" s="35"/>
      <c r="H30" s="31"/>
      <c r="I30" s="21"/>
    </row>
    <row r="31" spans="1:9" x14ac:dyDescent="0.25">
      <c r="A31" s="240"/>
      <c r="B31" s="241"/>
      <c r="C31" s="102" t="s">
        <v>22</v>
      </c>
      <c r="D31" s="89" t="str">
        <f>D29</f>
        <v>_</v>
      </c>
      <c r="E31" s="28">
        <f ca="1">IF(E30="","",MOD(E30+2,52))</f>
        <v>46</v>
      </c>
      <c r="F31" s="34"/>
      <c r="G31" s="35"/>
      <c r="H31" s="31"/>
      <c r="I31" s="21"/>
    </row>
    <row r="32" spans="1:9" x14ac:dyDescent="0.25">
      <c r="A32" s="294"/>
      <c r="B32" s="294">
        <f>A32</f>
        <v>0</v>
      </c>
      <c r="C32" s="143" t="s">
        <v>23</v>
      </c>
      <c r="D32" s="90" t="s">
        <v>91</v>
      </c>
      <c r="E32" s="28">
        <f ca="1">IF(E30="","",MOD(E30+2,52))</f>
        <v>46</v>
      </c>
      <c r="F32" s="34"/>
      <c r="G32" s="35"/>
      <c r="H32" s="31"/>
      <c r="I32" s="21"/>
    </row>
    <row r="33" spans="1:9" x14ac:dyDescent="0.25">
      <c r="A33" s="294"/>
      <c r="B33" s="294"/>
      <c r="C33" s="102" t="s">
        <v>302</v>
      </c>
      <c r="D33" s="89" t="s">
        <v>91</v>
      </c>
      <c r="E33" s="28">
        <f ca="1">IF(E32="","",MOD(E32+1,52))</f>
        <v>47</v>
      </c>
      <c r="F33" s="34"/>
      <c r="G33" s="35"/>
      <c r="H33" s="31"/>
      <c r="I33" s="21"/>
    </row>
    <row r="34" spans="1:9" x14ac:dyDescent="0.25">
      <c r="A34" s="294"/>
      <c r="B34" s="294">
        <f>A34</f>
        <v>0</v>
      </c>
      <c r="C34" s="32" t="s">
        <v>303</v>
      </c>
      <c r="D34" s="90" t="s">
        <v>91</v>
      </c>
      <c r="E34" s="28">
        <f ca="1">IF(E32="","",MOD(E32+1,52))</f>
        <v>47</v>
      </c>
      <c r="F34" s="34"/>
      <c r="G34" s="35"/>
      <c r="H34" s="31"/>
      <c r="I34" s="21"/>
    </row>
    <row r="35" spans="1:9" x14ac:dyDescent="0.25">
      <c r="A35" s="240"/>
      <c r="B35" s="241"/>
      <c r="C35" s="157" t="s">
        <v>26</v>
      </c>
      <c r="D35" s="158" t="s">
        <v>94</v>
      </c>
      <c r="E35" s="159"/>
      <c r="F35" s="160"/>
      <c r="G35" s="161"/>
      <c r="H35" s="162"/>
      <c r="I35" s="21"/>
    </row>
    <row r="36" spans="1:9" x14ac:dyDescent="0.25">
      <c r="A36" s="294"/>
      <c r="B36" s="294">
        <f>A36</f>
        <v>0</v>
      </c>
      <c r="C36" s="32" t="s">
        <v>27</v>
      </c>
      <c r="D36" s="90" t="s">
        <v>91</v>
      </c>
      <c r="E36" s="28">
        <f ca="1">IF(E34="","",MOD(E34+1,52))</f>
        <v>48</v>
      </c>
      <c r="F36" s="34"/>
      <c r="G36" s="35"/>
      <c r="H36" s="31"/>
      <c r="I36" s="21"/>
    </row>
    <row r="37" spans="1:9" x14ac:dyDescent="0.25">
      <c r="A37" s="240"/>
      <c r="B37" s="241"/>
      <c r="C37" s="32" t="s">
        <v>28</v>
      </c>
      <c r="D37" s="89" t="str">
        <f>D30</f>
        <v>_</v>
      </c>
      <c r="E37" s="28">
        <f ca="1">IF(E36="","",MOD(E36+1,52))</f>
        <v>49</v>
      </c>
      <c r="F37" s="34"/>
      <c r="G37" s="35"/>
      <c r="H37" s="31"/>
      <c r="I37" s="21"/>
    </row>
    <row r="38" spans="1:9" x14ac:dyDescent="0.25">
      <c r="A38" s="240"/>
      <c r="B38" s="241"/>
      <c r="C38" s="32" t="s">
        <v>29</v>
      </c>
      <c r="D38" s="90" t="str">
        <f>D29</f>
        <v>_</v>
      </c>
      <c r="E38" s="28">
        <f ca="1">IF(E37="","",MOD(E37+1,52))</f>
        <v>50</v>
      </c>
      <c r="F38" s="34"/>
      <c r="G38" s="35" t="s">
        <v>11</v>
      </c>
      <c r="H38" s="31"/>
      <c r="I38" s="21"/>
    </row>
    <row r="39" spans="1:9" x14ac:dyDescent="0.25">
      <c r="A39" s="240"/>
      <c r="B39" s="241"/>
      <c r="C39" s="32" t="s">
        <v>30</v>
      </c>
      <c r="D39" s="89" t="str">
        <f>D32</f>
        <v>_</v>
      </c>
      <c r="E39" s="28">
        <f ca="1">IF(E37="","",MOD(E37+1,52))</f>
        <v>50</v>
      </c>
      <c r="F39" s="34"/>
      <c r="G39" s="35"/>
      <c r="H39" s="31"/>
      <c r="I39" s="21"/>
    </row>
    <row r="40" spans="1:9" x14ac:dyDescent="0.25">
      <c r="A40" s="240"/>
      <c r="B40" s="241"/>
      <c r="C40" s="32" t="s">
        <v>31</v>
      </c>
      <c r="D40" s="90" t="s">
        <v>90</v>
      </c>
      <c r="E40" s="28">
        <f ca="1">E36+4</f>
        <v>52</v>
      </c>
      <c r="F40" s="34"/>
      <c r="G40" s="35" t="s">
        <v>96</v>
      </c>
      <c r="H40" s="31"/>
      <c r="I40" s="21"/>
    </row>
    <row r="41" spans="1:9" x14ac:dyDescent="0.25">
      <c r="A41" s="240"/>
      <c r="B41" s="241"/>
      <c r="C41" s="32" t="s">
        <v>32</v>
      </c>
      <c r="D41" s="89" t="s">
        <v>90</v>
      </c>
      <c r="E41" s="28">
        <f ca="1">E39+1</f>
        <v>51</v>
      </c>
      <c r="F41" s="34"/>
      <c r="G41" s="35" t="s">
        <v>96</v>
      </c>
      <c r="H41" s="31"/>
      <c r="I41" s="21"/>
    </row>
    <row r="42" spans="1:9" x14ac:dyDescent="0.25">
      <c r="A42" s="240"/>
      <c r="B42" s="241"/>
      <c r="C42" s="32" t="s">
        <v>33</v>
      </c>
      <c r="D42" s="90" t="str">
        <f>D34</f>
        <v>_</v>
      </c>
      <c r="E42" s="28">
        <f ca="1">IF(E40="","",MOD(E40+2,52))</f>
        <v>2</v>
      </c>
      <c r="F42" s="34"/>
      <c r="G42" s="35"/>
      <c r="H42" s="31"/>
      <c r="I42" s="21"/>
    </row>
    <row r="43" spans="1:9" x14ac:dyDescent="0.25">
      <c r="A43" s="294"/>
      <c r="B43" s="294">
        <f>A43</f>
        <v>0</v>
      </c>
      <c r="C43" s="144" t="s">
        <v>309</v>
      </c>
      <c r="D43" s="89" t="str">
        <f>D44</f>
        <v>_</v>
      </c>
      <c r="E43" s="145">
        <f ca="1">E44</f>
        <v>2</v>
      </c>
      <c r="F43" s="146"/>
      <c r="G43" s="133"/>
      <c r="H43" s="31"/>
      <c r="I43" s="21"/>
    </row>
    <row r="44" spans="1:9" x14ac:dyDescent="0.25">
      <c r="A44" s="294"/>
      <c r="B44" s="294">
        <f>A44</f>
        <v>0</v>
      </c>
      <c r="C44" s="144" t="s">
        <v>301</v>
      </c>
      <c r="D44" s="505" t="s">
        <v>91</v>
      </c>
      <c r="E44" s="145">
        <f ca="1">IF(E40="","",MOD(E40+2,52))</f>
        <v>2</v>
      </c>
      <c r="F44" s="146"/>
      <c r="G44" s="133"/>
      <c r="H44" s="506"/>
      <c r="I44" s="21"/>
    </row>
    <row r="45" spans="1:9" x14ac:dyDescent="0.25">
      <c r="A45" s="240"/>
      <c r="B45" s="241"/>
      <c r="C45" s="507"/>
      <c r="D45" s="351"/>
      <c r="E45" s="508"/>
      <c r="F45" s="509"/>
      <c r="G45" s="509"/>
      <c r="H45" s="352"/>
      <c r="I45" s="21"/>
    </row>
    <row r="46" spans="1:9" ht="18.75" x14ac:dyDescent="0.3">
      <c r="A46" s="306"/>
      <c r="B46" s="307"/>
      <c r="C46" s="530" t="s">
        <v>308</v>
      </c>
      <c r="D46" s="531"/>
      <c r="E46" s="531"/>
      <c r="F46" s="531"/>
      <c r="G46" s="531"/>
      <c r="H46" s="532"/>
      <c r="I46" s="21"/>
    </row>
    <row r="47" spans="1:9" ht="15.75" thickBot="1" x14ac:dyDescent="0.3">
      <c r="A47" s="240"/>
      <c r="B47" s="474"/>
      <c r="C47" s="149" t="s">
        <v>5</v>
      </c>
      <c r="D47" s="152" t="s">
        <v>6</v>
      </c>
      <c r="E47" s="150" t="s">
        <v>11</v>
      </c>
      <c r="F47" s="151" t="s">
        <v>56</v>
      </c>
      <c r="G47" s="149" t="s">
        <v>53</v>
      </c>
      <c r="H47" s="152" t="s">
        <v>89</v>
      </c>
      <c r="I47" s="21"/>
    </row>
    <row r="48" spans="1:9" x14ac:dyDescent="0.25">
      <c r="A48" s="294"/>
      <c r="B48" s="294">
        <f>A48</f>
        <v>0</v>
      </c>
      <c r="C48" s="153" t="s">
        <v>35</v>
      </c>
      <c r="D48" s="89" t="s">
        <v>91</v>
      </c>
      <c r="E48" s="154">
        <f ca="1">E32+1</f>
        <v>47</v>
      </c>
      <c r="F48" s="29"/>
      <c r="G48" s="30"/>
      <c r="H48" s="31"/>
      <c r="I48" s="21"/>
    </row>
    <row r="49" spans="1:9" x14ac:dyDescent="0.25">
      <c r="A49" s="256"/>
      <c r="B49" s="459"/>
      <c r="C49" s="167" t="s">
        <v>95</v>
      </c>
      <c r="D49" s="168" t="s">
        <v>90</v>
      </c>
      <c r="E49" s="169">
        <f ca="1">E48</f>
        <v>47</v>
      </c>
      <c r="F49" s="170"/>
      <c r="G49" s="171" t="s">
        <v>96</v>
      </c>
      <c r="H49" s="31"/>
      <c r="I49" s="21"/>
    </row>
    <row r="50" spans="1:9" x14ac:dyDescent="0.25">
      <c r="A50" s="256"/>
      <c r="B50" s="459"/>
      <c r="C50" s="157" t="s">
        <v>87</v>
      </c>
      <c r="D50" s="164" t="s">
        <v>94</v>
      </c>
      <c r="E50" s="166">
        <f ca="1">E48+1</f>
        <v>48</v>
      </c>
      <c r="F50" s="160"/>
      <c r="G50" s="161" t="s">
        <v>11</v>
      </c>
      <c r="H50" s="162"/>
      <c r="I50" s="21"/>
    </row>
    <row r="51" spans="1:9" x14ac:dyDescent="0.25">
      <c r="A51" s="256"/>
      <c r="B51" s="459"/>
      <c r="C51" s="156" t="s">
        <v>36</v>
      </c>
      <c r="D51" s="89" t="str">
        <f>D48</f>
        <v>_</v>
      </c>
      <c r="E51" s="155">
        <f ca="1">E48+3</f>
        <v>50</v>
      </c>
      <c r="F51" s="34"/>
      <c r="G51" s="133"/>
      <c r="H51" s="31"/>
      <c r="I51" s="21"/>
    </row>
    <row r="52" spans="1:9" x14ac:dyDescent="0.25">
      <c r="A52" s="44"/>
      <c r="B52" s="20"/>
      <c r="C52" s="66"/>
      <c r="D52" s="59"/>
      <c r="E52" s="20"/>
      <c r="F52" s="20"/>
      <c r="G52" s="20"/>
      <c r="H52" s="20"/>
      <c r="I52" s="21"/>
    </row>
    <row r="53" spans="1:9" ht="15.75" thickBot="1" x14ac:dyDescent="0.3">
      <c r="A53" s="67" t="s">
        <v>37</v>
      </c>
      <c r="B53" s="204"/>
      <c r="C53" s="20"/>
      <c r="D53" s="20"/>
      <c r="E53" s="20"/>
      <c r="F53" s="20"/>
      <c r="G53" s="20"/>
      <c r="H53" s="20"/>
      <c r="I53" s="21"/>
    </row>
    <row r="54" spans="1:9" ht="15.75" thickBot="1" x14ac:dyDescent="0.3">
      <c r="A54" s="44"/>
      <c r="B54" s="20"/>
      <c r="C54" s="68" t="s">
        <v>38</v>
      </c>
      <c r="D54" s="69" t="s">
        <v>21</v>
      </c>
      <c r="E54" s="70" t="s">
        <v>11</v>
      </c>
      <c r="F54" s="71" t="s">
        <v>39</v>
      </c>
      <c r="G54" s="20"/>
      <c r="H54" s="540" t="s">
        <v>304</v>
      </c>
      <c r="I54" s="21"/>
    </row>
    <row r="55" spans="1:9" x14ac:dyDescent="0.25">
      <c r="A55" s="72"/>
      <c r="B55" s="205"/>
      <c r="C55" s="73" t="s">
        <v>229</v>
      </c>
      <c r="D55" s="475"/>
      <c r="E55" s="74"/>
      <c r="F55" s="75"/>
      <c r="G55" s="20"/>
      <c r="H55" s="541"/>
      <c r="I55" s="21"/>
    </row>
    <row r="56" spans="1:9" x14ac:dyDescent="0.25">
      <c r="A56" s="72"/>
      <c r="B56" s="205"/>
      <c r="C56" s="40" t="s">
        <v>230</v>
      </c>
      <c r="D56" s="476"/>
      <c r="E56" s="76"/>
      <c r="F56" s="2"/>
      <c r="G56" s="20"/>
      <c r="H56" s="542" t="str">
        <f>DATEDIF(E3,D58,"m")&amp;"mois"&amp;DATEDIF(E3,D58,"md")&amp;"jours"</f>
        <v>0mois0jours</v>
      </c>
      <c r="I56" s="21"/>
    </row>
    <row r="57" spans="1:9" ht="15.75" thickBot="1" x14ac:dyDescent="0.3">
      <c r="A57" s="72"/>
      <c r="B57" s="205"/>
      <c r="C57" s="40" t="s">
        <v>42</v>
      </c>
      <c r="D57" s="476"/>
      <c r="E57" s="76"/>
      <c r="F57" s="2"/>
      <c r="G57" s="20"/>
      <c r="H57" s="543"/>
      <c r="I57" s="21"/>
    </row>
    <row r="58" spans="1:9" x14ac:dyDescent="0.25">
      <c r="A58" s="72"/>
      <c r="B58" s="205"/>
      <c r="C58" s="77" t="s">
        <v>43</v>
      </c>
      <c r="D58" s="496"/>
      <c r="E58" s="16"/>
      <c r="F58" s="17"/>
      <c r="G58" s="20"/>
      <c r="H58" s="20"/>
      <c r="I58" s="21"/>
    </row>
    <row r="59" spans="1:9" x14ac:dyDescent="0.25">
      <c r="A59" s="44"/>
      <c r="B59" s="20"/>
      <c r="C59" s="20"/>
      <c r="D59" s="20"/>
      <c r="E59" s="20"/>
      <c r="F59" s="20"/>
      <c r="G59" s="20"/>
      <c r="H59" s="20"/>
      <c r="I59" s="21"/>
    </row>
    <row r="60" spans="1:9" x14ac:dyDescent="0.25">
      <c r="A60" s="78" t="s">
        <v>44</v>
      </c>
      <c r="B60" s="206"/>
      <c r="C60" s="514"/>
      <c r="D60" s="514"/>
      <c r="E60" s="514"/>
      <c r="F60" s="514"/>
      <c r="G60" s="514"/>
      <c r="H60" s="514"/>
      <c r="I60" s="515"/>
    </row>
    <row r="61" spans="1:9" x14ac:dyDescent="0.25">
      <c r="A61" s="44"/>
      <c r="B61" s="20"/>
      <c r="C61" s="516"/>
      <c r="D61" s="516"/>
      <c r="E61" s="516"/>
      <c r="F61" s="516"/>
      <c r="G61" s="516"/>
      <c r="H61" s="516"/>
      <c r="I61" s="517"/>
    </row>
    <row r="62" spans="1:9" x14ac:dyDescent="0.25">
      <c r="A62" s="44"/>
      <c r="B62" s="20"/>
      <c r="C62" s="516"/>
      <c r="D62" s="516"/>
      <c r="E62" s="516"/>
      <c r="F62" s="516"/>
      <c r="G62" s="516"/>
      <c r="H62" s="516"/>
      <c r="I62" s="517"/>
    </row>
    <row r="63" spans="1:9" x14ac:dyDescent="0.25">
      <c r="A63" s="44"/>
      <c r="B63" s="20"/>
      <c r="C63" s="516"/>
      <c r="D63" s="516"/>
      <c r="E63" s="516"/>
      <c r="F63" s="516"/>
      <c r="G63" s="516"/>
      <c r="H63" s="516"/>
      <c r="I63" s="517"/>
    </row>
    <row r="64" spans="1:9" x14ac:dyDescent="0.25">
      <c r="A64" s="44"/>
      <c r="B64" s="20"/>
      <c r="C64" s="516"/>
      <c r="D64" s="516"/>
      <c r="E64" s="516"/>
      <c r="F64" s="516"/>
      <c r="G64" s="516"/>
      <c r="H64" s="516"/>
      <c r="I64" s="517"/>
    </row>
    <row r="65" spans="1:9" x14ac:dyDescent="0.25">
      <c r="A65" s="74"/>
      <c r="B65" s="75"/>
      <c r="C65" s="518"/>
      <c r="D65" s="518"/>
      <c r="E65" s="518"/>
      <c r="F65" s="518"/>
      <c r="G65" s="518"/>
      <c r="H65" s="518"/>
      <c r="I65" s="519"/>
    </row>
    <row r="66" spans="1:9" x14ac:dyDescent="0.25">
      <c r="A66" s="19"/>
      <c r="B66" s="19"/>
      <c r="C66" s="19"/>
      <c r="D66" s="19"/>
      <c r="E66" s="19"/>
      <c r="F66" s="19"/>
      <c r="G66" s="19"/>
      <c r="H66" s="19"/>
      <c r="I66" s="19"/>
    </row>
    <row r="67" spans="1:9" s="415" customFormat="1" x14ac:dyDescent="0.25">
      <c r="A67" s="382"/>
      <c r="B67" s="382"/>
      <c r="C67" s="66"/>
      <c r="D67" s="66"/>
      <c r="E67" s="66"/>
      <c r="F67" s="66"/>
      <c r="G67" s="66"/>
      <c r="H67" s="66"/>
      <c r="I67" s="66"/>
    </row>
    <row r="68" spans="1:9" s="415" customFormat="1" x14ac:dyDescent="0.25">
      <c r="A68" s="66"/>
      <c r="B68" s="66"/>
      <c r="C68" s="382"/>
      <c r="D68" s="416"/>
      <c r="E68" s="66"/>
      <c r="F68" s="416"/>
      <c r="G68" s="66"/>
      <c r="H68" s="66"/>
      <c r="I68" s="66"/>
    </row>
    <row r="69" spans="1:9" s="415" customFormat="1" x14ac:dyDescent="0.25">
      <c r="A69" s="66"/>
      <c r="B69" s="66"/>
      <c r="C69" s="382"/>
      <c r="D69" s="416"/>
      <c r="E69" s="66"/>
      <c r="F69" s="416"/>
      <c r="G69" s="66"/>
      <c r="H69" s="66"/>
      <c r="I69" s="66"/>
    </row>
    <row r="70" spans="1:9" s="415" customFormat="1" x14ac:dyDescent="0.25">
      <c r="A70" s="66"/>
      <c r="B70" s="66"/>
      <c r="C70" s="382"/>
      <c r="D70" s="66"/>
      <c r="E70" s="66"/>
      <c r="F70" s="66"/>
      <c r="G70" s="66"/>
      <c r="H70" s="66"/>
      <c r="I70" s="66"/>
    </row>
    <row r="71" spans="1:9" s="415" customFormat="1" x14ac:dyDescent="0.25">
      <c r="A71" s="66"/>
      <c r="B71" s="66"/>
      <c r="C71" s="382"/>
      <c r="D71" s="66"/>
      <c r="E71" s="66"/>
      <c r="F71" s="66"/>
      <c r="G71" s="66"/>
      <c r="H71" s="66"/>
      <c r="I71" s="66"/>
    </row>
    <row r="72" spans="1:9" s="415" customFormat="1" x14ac:dyDescent="0.25">
      <c r="A72" s="66"/>
      <c r="B72" s="66"/>
      <c r="C72" s="382"/>
      <c r="D72" s="66"/>
      <c r="E72" s="66"/>
      <c r="F72" s="66"/>
      <c r="G72" s="66"/>
      <c r="H72" s="66"/>
      <c r="I72" s="66"/>
    </row>
    <row r="73" spans="1:9" s="415" customFormat="1" x14ac:dyDescent="0.25">
      <c r="A73" s="66"/>
      <c r="B73" s="66"/>
      <c r="C73" s="382"/>
      <c r="D73" s="417"/>
      <c r="E73" s="66"/>
      <c r="F73" s="66"/>
      <c r="G73" s="66"/>
      <c r="H73" s="66"/>
      <c r="I73" s="66"/>
    </row>
    <row r="74" spans="1:9" s="415" customFormat="1" x14ac:dyDescent="0.25"/>
  </sheetData>
  <sheetProtection selectLockedCells="1" selectUnlockedCells="1"/>
  <dataConsolidate/>
  <mergeCells count="16">
    <mergeCell ref="C60:I65"/>
    <mergeCell ref="A1:G1"/>
    <mergeCell ref="E2:F2"/>
    <mergeCell ref="H2:I2"/>
    <mergeCell ref="E3:F3"/>
    <mergeCell ref="H3:I3"/>
    <mergeCell ref="E4:F4"/>
    <mergeCell ref="C6:H6"/>
    <mergeCell ref="A2:B2"/>
    <mergeCell ref="A3:B3"/>
    <mergeCell ref="A5:B5"/>
    <mergeCell ref="A6:B6"/>
    <mergeCell ref="H54:H55"/>
    <mergeCell ref="H56:H57"/>
    <mergeCell ref="C27:H27"/>
    <mergeCell ref="C46:H46"/>
  </mergeCells>
  <conditionalFormatting sqref="C52:G52">
    <cfRule type="expression" dxfId="2850" priority="81">
      <formula>$F52="réalisé"</formula>
    </cfRule>
  </conditionalFormatting>
  <conditionalFormatting sqref="C48:C51 E48:H51 E29:H45 C8:H26">
    <cfRule type="expression" dxfId="2849" priority="78">
      <formula>$G8="réalisé"</formula>
    </cfRule>
    <cfRule type="expression" dxfId="2848" priority="79">
      <formula>$G8="en cours"</formula>
    </cfRule>
    <cfRule type="expression" dxfId="2847" priority="80">
      <formula>$G8="non compris"</formula>
    </cfRule>
  </conditionalFormatting>
  <conditionalFormatting sqref="C29:C45">
    <cfRule type="expression" dxfId="2846" priority="73">
      <formula>$G29="réalisé"</formula>
    </cfRule>
    <cfRule type="expression" dxfId="2845" priority="74">
      <formula>$G29="en cours"</formula>
    </cfRule>
    <cfRule type="expression" dxfId="2844" priority="75">
      <formula>$G29="non compris"</formula>
    </cfRule>
  </conditionalFormatting>
  <conditionalFormatting sqref="C55:F58">
    <cfRule type="expression" dxfId="2843" priority="69">
      <formula>$F55="réalisé"</formula>
    </cfRule>
  </conditionalFormatting>
  <conditionalFormatting sqref="G9">
    <cfRule type="expression" dxfId="2842" priority="68">
      <formula>$G$10="réalisé"</formula>
    </cfRule>
  </conditionalFormatting>
  <conditionalFormatting sqref="G10:G14">
    <cfRule type="expression" dxfId="2841" priority="67">
      <formula>$G$15="réalisé"</formula>
    </cfRule>
  </conditionalFormatting>
  <conditionalFormatting sqref="G20:G21">
    <cfRule type="expression" dxfId="2840" priority="66">
      <formula>$G$22="réalisé"</formula>
    </cfRule>
  </conditionalFormatting>
  <conditionalFormatting sqref="G30">
    <cfRule type="expression" dxfId="2839" priority="65">
      <formula>$G$31="réalisé"</formula>
    </cfRule>
  </conditionalFormatting>
  <conditionalFormatting sqref="D29">
    <cfRule type="expression" dxfId="2838" priority="62">
      <formula>$G29="réalisé"</formula>
    </cfRule>
    <cfRule type="expression" dxfId="2837" priority="63">
      <formula>$G29="en cours"</formula>
    </cfRule>
    <cfRule type="expression" dxfId="2836" priority="64">
      <formula>$G29="non compris"</formula>
    </cfRule>
  </conditionalFormatting>
  <conditionalFormatting sqref="D31">
    <cfRule type="expression" dxfId="2835" priority="59">
      <formula>$G31="réalisé"</formula>
    </cfRule>
    <cfRule type="expression" dxfId="2834" priority="60">
      <formula>$G31="en cours"</formula>
    </cfRule>
    <cfRule type="expression" dxfId="2833" priority="61">
      <formula>$G31="non compris"</formula>
    </cfRule>
  </conditionalFormatting>
  <conditionalFormatting sqref="D33">
    <cfRule type="expression" dxfId="2832" priority="56">
      <formula>$G33="réalisé"</formula>
    </cfRule>
    <cfRule type="expression" dxfId="2831" priority="57">
      <formula>$G33="en cours"</formula>
    </cfRule>
    <cfRule type="expression" dxfId="2830" priority="58">
      <formula>$G33="non compris"</formula>
    </cfRule>
  </conditionalFormatting>
  <conditionalFormatting sqref="D35">
    <cfRule type="expression" dxfId="2829" priority="53">
      <formula>$G35="réalisé"</formula>
    </cfRule>
    <cfRule type="expression" dxfId="2828" priority="54">
      <formula>$G35="en cours"</formula>
    </cfRule>
    <cfRule type="expression" dxfId="2827" priority="55">
      <formula>$G35="non compris"</formula>
    </cfRule>
  </conditionalFormatting>
  <conditionalFormatting sqref="D37">
    <cfRule type="expression" dxfId="2826" priority="50">
      <formula>$G37="réalisé"</formula>
    </cfRule>
    <cfRule type="expression" dxfId="2825" priority="51">
      <formula>$G37="en cours"</formula>
    </cfRule>
    <cfRule type="expression" dxfId="2824" priority="52">
      <formula>$G37="non compris"</formula>
    </cfRule>
  </conditionalFormatting>
  <conditionalFormatting sqref="D39">
    <cfRule type="expression" dxfId="2823" priority="47">
      <formula>$G39="réalisé"</formula>
    </cfRule>
    <cfRule type="expression" dxfId="2822" priority="48">
      <formula>$G39="en cours"</formula>
    </cfRule>
    <cfRule type="expression" dxfId="2821" priority="49">
      <formula>$G39="non compris"</formula>
    </cfRule>
  </conditionalFormatting>
  <conditionalFormatting sqref="D41">
    <cfRule type="expression" dxfId="2820" priority="44">
      <formula>$G41="réalisé"</formula>
    </cfRule>
    <cfRule type="expression" dxfId="2819" priority="45">
      <formula>$G41="en cours"</formula>
    </cfRule>
    <cfRule type="expression" dxfId="2818" priority="46">
      <formula>$G41="non compris"</formula>
    </cfRule>
  </conditionalFormatting>
  <conditionalFormatting sqref="D44:D45">
    <cfRule type="expression" dxfId="2817" priority="41">
      <formula>$G44="réalisé"</formula>
    </cfRule>
    <cfRule type="expression" dxfId="2816" priority="42">
      <formula>$G44="en cours"</formula>
    </cfRule>
    <cfRule type="expression" dxfId="2815" priority="43">
      <formula>$G44="non compris"</formula>
    </cfRule>
  </conditionalFormatting>
  <conditionalFormatting sqref="D30">
    <cfRule type="expression" dxfId="2814" priority="38">
      <formula>$G30="réalisé"</formula>
    </cfRule>
    <cfRule type="expression" dxfId="2813" priority="39">
      <formula>$G30="en cours"</formula>
    </cfRule>
    <cfRule type="expression" dxfId="2812" priority="40">
      <formula>$G30="non compris"</formula>
    </cfRule>
  </conditionalFormatting>
  <conditionalFormatting sqref="D32">
    <cfRule type="expression" dxfId="2811" priority="35">
      <formula>$G32="réalisé"</formula>
    </cfRule>
    <cfRule type="expression" dxfId="2810" priority="36">
      <formula>$G32="en cours"</formula>
    </cfRule>
    <cfRule type="expression" dxfId="2809" priority="37">
      <formula>$G32="non compris"</formula>
    </cfRule>
  </conditionalFormatting>
  <conditionalFormatting sqref="D34">
    <cfRule type="expression" dxfId="2808" priority="32">
      <formula>$G34="réalisé"</formula>
    </cfRule>
    <cfRule type="expression" dxfId="2807" priority="33">
      <formula>$G34="en cours"</formula>
    </cfRule>
    <cfRule type="expression" dxfId="2806" priority="34">
      <formula>$G34="non compris"</formula>
    </cfRule>
  </conditionalFormatting>
  <conditionalFormatting sqref="D36">
    <cfRule type="expression" dxfId="2805" priority="29">
      <formula>$G36="réalisé"</formula>
    </cfRule>
    <cfRule type="expression" dxfId="2804" priority="30">
      <formula>$G36="en cours"</formula>
    </cfRule>
    <cfRule type="expression" dxfId="2803" priority="31">
      <formula>$G36="non compris"</formula>
    </cfRule>
  </conditionalFormatting>
  <conditionalFormatting sqref="D38">
    <cfRule type="expression" dxfId="2802" priority="26">
      <formula>$G38="réalisé"</formula>
    </cfRule>
    <cfRule type="expression" dxfId="2801" priority="27">
      <formula>$G38="en cours"</formula>
    </cfRule>
    <cfRule type="expression" dxfId="2800" priority="28">
      <formula>$G38="non compris"</formula>
    </cfRule>
  </conditionalFormatting>
  <conditionalFormatting sqref="D40">
    <cfRule type="expression" dxfId="2799" priority="23">
      <formula>$G40="réalisé"</formula>
    </cfRule>
    <cfRule type="expression" dxfId="2798" priority="24">
      <formula>$G40="en cours"</formula>
    </cfRule>
    <cfRule type="expression" dxfId="2797" priority="25">
      <formula>$G40="non compris"</formula>
    </cfRule>
  </conditionalFormatting>
  <conditionalFormatting sqref="D42:D43">
    <cfRule type="expression" dxfId="2796" priority="20">
      <formula>$G42="réalisé"</formula>
    </cfRule>
    <cfRule type="expression" dxfId="2795" priority="21">
      <formula>$G42="en cours"</formula>
    </cfRule>
    <cfRule type="expression" dxfId="2794" priority="22">
      <formula>$G42="non compris"</formula>
    </cfRule>
  </conditionalFormatting>
  <conditionalFormatting sqref="D50">
    <cfRule type="expression" dxfId="2793" priority="14">
      <formula>$G50="réalisé"</formula>
    </cfRule>
    <cfRule type="expression" dxfId="2792" priority="15">
      <formula>$G50="en cours"</formula>
    </cfRule>
    <cfRule type="expression" dxfId="2791" priority="16">
      <formula>$G50="non compris"</formula>
    </cfRule>
  </conditionalFormatting>
  <conditionalFormatting sqref="D49">
    <cfRule type="expression" dxfId="2790" priority="11">
      <formula>$G49="réalisé"</formula>
    </cfRule>
    <cfRule type="expression" dxfId="2789" priority="12">
      <formula>$G49="en cours"</formula>
    </cfRule>
    <cfRule type="expression" dxfId="2788" priority="13">
      <formula>$G49="non compris"</formula>
    </cfRule>
  </conditionalFormatting>
  <conditionalFormatting sqref="D48">
    <cfRule type="expression" dxfId="2787" priority="8">
      <formula>$G48="réalisé"</formula>
    </cfRule>
    <cfRule type="expression" dxfId="2786" priority="9">
      <formula>$G48="en cours"</formula>
    </cfRule>
    <cfRule type="expression" dxfId="2785" priority="10">
      <formula>$G48="non compris"</formula>
    </cfRule>
  </conditionalFormatting>
  <conditionalFormatting sqref="D51">
    <cfRule type="expression" dxfId="2784" priority="5">
      <formula>$G51="réalisé"</formula>
    </cfRule>
    <cfRule type="expression" dxfId="2783" priority="6">
      <formula>$G51="en cours"</formula>
    </cfRule>
    <cfRule type="expression" dxfId="2782" priority="7">
      <formula>$G51="non compris"</formula>
    </cfRule>
  </conditionalFormatting>
  <conditionalFormatting sqref="D8:D26">
    <cfRule type="expression" dxfId="2781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ignoredErrors>
    <ignoredError sqref="E17 E25 E19:E24" unlockedFormula="1"/>
    <ignoredError sqref="E10:E12" formula="1"/>
  </ignoredErrors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H1304"/>
  <sheetViews>
    <sheetView showWhiteSpace="0" topLeftCell="A135" zoomScale="90" zoomScaleNormal="90" zoomScaleSheetLayoutView="100" zoomScalePageLayoutView="75" workbookViewId="0">
      <selection activeCell="B217" sqref="B217"/>
    </sheetView>
  </sheetViews>
  <sheetFormatPr baseColWidth="10" defaultRowHeight="15" x14ac:dyDescent="0.25"/>
  <cols>
    <col min="1" max="1" width="25.7109375" style="181" customWidth="1"/>
    <col min="2" max="2" width="39.28515625" style="177" customWidth="1"/>
    <col min="3" max="3" width="52.42578125" customWidth="1"/>
    <col min="4" max="4" width="13.85546875" customWidth="1"/>
    <col min="5" max="5" width="13.28515625" style="181" customWidth="1"/>
    <col min="6" max="6" width="25.140625" customWidth="1"/>
  </cols>
  <sheetData>
    <row r="1" spans="1:8" x14ac:dyDescent="0.25">
      <c r="C1" s="544" t="s">
        <v>118</v>
      </c>
    </row>
    <row r="2" spans="1:8" ht="6.75" customHeight="1" x14ac:dyDescent="0.25">
      <c r="C2" s="545"/>
    </row>
    <row r="3" spans="1:8" ht="27" customHeight="1" thickBot="1" x14ac:dyDescent="0.3">
      <c r="C3" s="546"/>
    </row>
    <row r="4" spans="1:8" ht="27" customHeight="1" thickBot="1" x14ac:dyDescent="0.3">
      <c r="C4" s="175" t="s">
        <v>1</v>
      </c>
      <c r="D4" s="185">
        <f ca="1">INT(MOD(INT((LISTE!D1-2)/7)+0.6,52+5/28))+1</f>
        <v>34</v>
      </c>
    </row>
    <row r="5" spans="1:8" ht="15" customHeight="1" x14ac:dyDescent="0.25">
      <c r="C5" s="175"/>
      <c r="G5" s="174"/>
      <c r="H5" s="174"/>
    </row>
    <row r="6" spans="1:8" ht="10.5" customHeight="1" x14ac:dyDescent="0.25">
      <c r="C6" s="177"/>
      <c r="D6" s="177"/>
      <c r="E6" s="184"/>
      <c r="F6" s="177"/>
    </row>
    <row r="7" spans="1:8" ht="21.75" customHeight="1" x14ac:dyDescent="0.4">
      <c r="B7" s="186" t="s">
        <v>212</v>
      </c>
      <c r="C7" s="186"/>
      <c r="D7" s="547" t="s">
        <v>141</v>
      </c>
      <c r="E7" s="547"/>
      <c r="F7" s="177"/>
    </row>
    <row r="8" spans="1:8" ht="16.5" customHeight="1" x14ac:dyDescent="0.3">
      <c r="C8" s="178"/>
      <c r="D8" s="177"/>
      <c r="E8" s="184"/>
      <c r="F8" s="177"/>
    </row>
    <row r="9" spans="1:8" ht="16.5" customHeight="1" x14ac:dyDescent="0.25">
      <c r="A9" s="176" t="s">
        <v>114</v>
      </c>
      <c r="B9" s="356" t="s">
        <v>115</v>
      </c>
      <c r="C9" s="182" t="s">
        <v>116</v>
      </c>
      <c r="D9" s="179" t="s">
        <v>1</v>
      </c>
      <c r="E9" s="184" t="s">
        <v>117</v>
      </c>
      <c r="F9" s="179" t="s">
        <v>245</v>
      </c>
    </row>
    <row r="10" spans="1:8" ht="16.5" customHeight="1" x14ac:dyDescent="0.25">
      <c r="A10" s="181" t="s">
        <v>147</v>
      </c>
      <c r="B10" s="361" t="s">
        <v>271</v>
      </c>
      <c r="C10" s="190"/>
      <c r="D10" s="183"/>
      <c r="E10" s="184"/>
      <c r="F10" s="177"/>
    </row>
    <row r="11" spans="1:8" x14ac:dyDescent="0.25">
      <c r="A11" s="192" t="s">
        <v>177</v>
      </c>
      <c r="B11" s="358" t="s">
        <v>271</v>
      </c>
      <c r="C11" s="193"/>
      <c r="D11" s="189"/>
      <c r="E11" s="191"/>
      <c r="F11" s="180"/>
    </row>
    <row r="12" spans="1:8" x14ac:dyDescent="0.25">
      <c r="A12" s="192" t="s">
        <v>101</v>
      </c>
      <c r="B12" s="323" t="s">
        <v>315</v>
      </c>
      <c r="C12" s="193"/>
      <c r="D12" s="189"/>
      <c r="E12" s="191"/>
      <c r="F12" s="180"/>
    </row>
    <row r="13" spans="1:8" x14ac:dyDescent="0.25">
      <c r="A13" s="192" t="s">
        <v>242</v>
      </c>
      <c r="B13" s="323" t="s">
        <v>310</v>
      </c>
      <c r="C13" s="193"/>
      <c r="D13" s="189"/>
      <c r="E13" s="191"/>
      <c r="F13" s="180"/>
    </row>
    <row r="14" spans="1:8" x14ac:dyDescent="0.25">
      <c r="A14" s="192" t="s">
        <v>231</v>
      </c>
      <c r="B14" s="323" t="s">
        <v>282</v>
      </c>
      <c r="C14" s="193"/>
      <c r="D14" s="189"/>
      <c r="E14" s="191"/>
      <c r="F14" s="180"/>
    </row>
    <row r="15" spans="1:8" x14ac:dyDescent="0.25">
      <c r="A15" s="192" t="s">
        <v>269</v>
      </c>
      <c r="B15" s="323" t="s">
        <v>314</v>
      </c>
      <c r="C15" s="193"/>
      <c r="D15" s="189"/>
      <c r="E15" s="191"/>
      <c r="F15" s="180"/>
    </row>
    <row r="16" spans="1:8" x14ac:dyDescent="0.25">
      <c r="A16" s="192" t="s">
        <v>166</v>
      </c>
      <c r="B16" s="323" t="s">
        <v>244</v>
      </c>
      <c r="C16" s="193"/>
      <c r="D16" s="189"/>
      <c r="E16" s="191"/>
      <c r="F16" s="180"/>
    </row>
    <row r="17" spans="1:6" x14ac:dyDescent="0.25">
      <c r="A17" s="192" t="s">
        <v>189</v>
      </c>
      <c r="B17" s="323" t="s">
        <v>244</v>
      </c>
      <c r="C17" s="193"/>
      <c r="D17" s="189"/>
      <c r="E17" s="191"/>
      <c r="F17" s="180"/>
    </row>
    <row r="18" spans="1:6" x14ac:dyDescent="0.25">
      <c r="A18" s="192" t="s">
        <v>104</v>
      </c>
      <c r="B18" s="323" t="s">
        <v>315</v>
      </c>
      <c r="C18" s="193"/>
      <c r="D18" s="189"/>
      <c r="E18" s="191"/>
      <c r="F18" s="180"/>
    </row>
    <row r="19" spans="1:6" x14ac:dyDescent="0.25">
      <c r="A19" s="192" t="s">
        <v>312</v>
      </c>
      <c r="B19" s="323" t="s">
        <v>316</v>
      </c>
      <c r="C19" s="193"/>
      <c r="D19" s="189"/>
      <c r="E19" s="191"/>
      <c r="F19" s="180"/>
    </row>
    <row r="20" spans="1:6" x14ac:dyDescent="0.25">
      <c r="A20" s="192" t="s">
        <v>167</v>
      </c>
      <c r="B20" s="323" t="s">
        <v>152</v>
      </c>
      <c r="C20" s="193"/>
      <c r="D20" s="189"/>
      <c r="E20" s="191"/>
      <c r="F20" s="180"/>
    </row>
    <row r="21" spans="1:6" x14ac:dyDescent="0.25">
      <c r="A21" s="192" t="s">
        <v>205</v>
      </c>
      <c r="B21" s="323" t="s">
        <v>317</v>
      </c>
      <c r="C21" s="193"/>
      <c r="D21" s="189"/>
      <c r="E21" s="191"/>
      <c r="F21" s="180"/>
    </row>
    <row r="22" spans="1:6" x14ac:dyDescent="0.25">
      <c r="A22" s="192" t="s">
        <v>190</v>
      </c>
      <c r="B22" s="323" t="s">
        <v>179</v>
      </c>
      <c r="C22" s="193"/>
      <c r="D22" s="189"/>
      <c r="E22" s="191"/>
      <c r="F22" s="180"/>
    </row>
    <row r="23" spans="1:6" x14ac:dyDescent="0.25">
      <c r="A23" s="192" t="s">
        <v>232</v>
      </c>
      <c r="B23" s="323" t="s">
        <v>317</v>
      </c>
      <c r="C23" s="193"/>
      <c r="D23" s="189"/>
      <c r="E23" s="191"/>
      <c r="F23" s="180"/>
    </row>
    <row r="24" spans="1:6" x14ac:dyDescent="0.25">
      <c r="A24" s="192" t="s">
        <v>313</v>
      </c>
      <c r="B24" s="323" t="s">
        <v>314</v>
      </c>
      <c r="C24" s="193"/>
      <c r="D24" s="189"/>
      <c r="E24" s="191"/>
      <c r="F24" s="180"/>
    </row>
    <row r="25" spans="1:6" x14ac:dyDescent="0.25">
      <c r="A25" s="192" t="s">
        <v>270</v>
      </c>
      <c r="B25" s="323" t="s">
        <v>314</v>
      </c>
      <c r="C25" s="193"/>
      <c r="D25" s="189"/>
      <c r="E25" s="191"/>
      <c r="F25" s="180"/>
    </row>
    <row r="26" spans="1:6" x14ac:dyDescent="0.25">
      <c r="A26" s="192" t="s">
        <v>233</v>
      </c>
      <c r="B26" s="323" t="s">
        <v>282</v>
      </c>
      <c r="C26" s="193"/>
      <c r="D26" s="189"/>
      <c r="E26" s="191"/>
      <c r="F26" s="180"/>
    </row>
    <row r="27" spans="1:6" x14ac:dyDescent="0.25">
      <c r="A27" s="192" t="s">
        <v>206</v>
      </c>
      <c r="B27" s="323" t="s">
        <v>318</v>
      </c>
      <c r="C27" s="193"/>
      <c r="D27" s="189"/>
      <c r="E27" s="191"/>
      <c r="F27" s="180"/>
    </row>
    <row r="28" spans="1:6" x14ac:dyDescent="0.25">
      <c r="A28" s="192" t="s">
        <v>243</v>
      </c>
      <c r="B28" s="323" t="s">
        <v>317</v>
      </c>
      <c r="C28" s="193"/>
      <c r="D28" s="189"/>
      <c r="E28" s="191"/>
      <c r="F28" s="180"/>
    </row>
    <row r="29" spans="1:6" x14ac:dyDescent="0.25">
      <c r="A29" s="268" t="s">
        <v>234</v>
      </c>
      <c r="B29" s="324" t="s">
        <v>311</v>
      </c>
      <c r="C29" s="193"/>
      <c r="D29" s="189"/>
      <c r="E29" s="191"/>
      <c r="F29" s="180"/>
    </row>
    <row r="30" spans="1:6" x14ac:dyDescent="0.25">
      <c r="A30" s="268" t="s">
        <v>193</v>
      </c>
      <c r="B30" s="324" t="s">
        <v>317</v>
      </c>
      <c r="C30" s="269"/>
      <c r="D30" s="189"/>
      <c r="E30" s="191"/>
      <c r="F30" s="180"/>
    </row>
    <row r="31" spans="1:6" x14ac:dyDescent="0.25">
      <c r="A31" s="268" t="s">
        <v>178</v>
      </c>
      <c r="B31" s="193" t="s">
        <v>271</v>
      </c>
      <c r="C31" s="269"/>
      <c r="D31" s="189"/>
      <c r="E31" s="191"/>
      <c r="F31" s="180"/>
    </row>
    <row r="32" spans="1:6" x14ac:dyDescent="0.25">
      <c r="A32" s="268"/>
      <c r="B32" s="269"/>
      <c r="C32" s="269"/>
      <c r="D32" s="189"/>
      <c r="E32" s="191"/>
      <c r="F32" s="180"/>
    </row>
    <row r="33" spans="1:6" x14ac:dyDescent="0.25">
      <c r="A33" s="268"/>
      <c r="B33" s="269"/>
      <c r="C33" s="269"/>
      <c r="D33" s="189"/>
      <c r="E33" s="191"/>
      <c r="F33" s="180"/>
    </row>
    <row r="34" spans="1:6" x14ac:dyDescent="0.25">
      <c r="A34" s="268"/>
      <c r="B34" s="269"/>
      <c r="C34" s="269"/>
      <c r="D34" s="189"/>
      <c r="E34" s="191"/>
      <c r="F34" s="180"/>
    </row>
    <row r="35" spans="1:6" x14ac:dyDescent="0.25">
      <c r="A35" s="420"/>
      <c r="B35" s="325"/>
      <c r="C35" s="325"/>
      <c r="D35" s="326"/>
      <c r="E35" s="327"/>
      <c r="F35" s="328"/>
    </row>
    <row r="36" spans="1:6" x14ac:dyDescent="0.25">
      <c r="A36" s="420"/>
      <c r="B36" s="325"/>
      <c r="C36" s="325"/>
      <c r="D36" s="326"/>
      <c r="E36" s="327"/>
      <c r="F36" s="328"/>
    </row>
    <row r="39" spans="1:6" x14ac:dyDescent="0.25">
      <c r="A39" s="548"/>
      <c r="B39" s="548"/>
      <c r="C39" s="548"/>
      <c r="D39" s="548"/>
      <c r="E39" s="548"/>
      <c r="F39" s="548"/>
    </row>
    <row r="40" spans="1:6" x14ac:dyDescent="0.25">
      <c r="A40" s="548"/>
      <c r="B40" s="548"/>
      <c r="C40" s="548"/>
      <c r="D40" s="548"/>
      <c r="E40" s="548"/>
      <c r="F40" s="548"/>
    </row>
    <row r="44" spans="1:6" x14ac:dyDescent="0.25">
      <c r="A44" s="548" t="s">
        <v>158</v>
      </c>
      <c r="B44" s="548"/>
      <c r="C44" s="548"/>
      <c r="D44" s="548"/>
      <c r="E44" s="548"/>
      <c r="F44" s="548"/>
    </row>
    <row r="45" spans="1:6" ht="15.75" thickBot="1" x14ac:dyDescent="0.3">
      <c r="A45" s="548" t="s">
        <v>142</v>
      </c>
      <c r="B45" s="548"/>
      <c r="C45" s="548"/>
      <c r="D45" s="548"/>
      <c r="E45" s="548"/>
      <c r="F45" s="548"/>
    </row>
    <row r="46" spans="1:6" x14ac:dyDescent="0.25">
      <c r="C46" s="544" t="s">
        <v>118</v>
      </c>
    </row>
    <row r="47" spans="1:6" ht="6.75" customHeight="1" x14ac:dyDescent="0.25">
      <c r="C47" s="545"/>
    </row>
    <row r="48" spans="1:6" ht="27" customHeight="1" thickBot="1" x14ac:dyDescent="0.3">
      <c r="C48" s="546"/>
    </row>
    <row r="49" spans="1:8" ht="27" customHeight="1" thickBot="1" x14ac:dyDescent="0.3">
      <c r="C49" s="199" t="s">
        <v>1</v>
      </c>
      <c r="D49" s="185">
        <f ca="1">D4</f>
        <v>34</v>
      </c>
    </row>
    <row r="50" spans="1:8" ht="15" customHeight="1" x14ac:dyDescent="0.25">
      <c r="C50" s="199"/>
      <c r="G50" s="198"/>
      <c r="H50" s="198"/>
    </row>
    <row r="51" spans="1:8" ht="10.5" customHeight="1" x14ac:dyDescent="0.25">
      <c r="C51" s="177"/>
      <c r="D51" s="177"/>
      <c r="E51" s="184"/>
      <c r="F51" s="177"/>
    </row>
    <row r="52" spans="1:8" ht="21.75" customHeight="1" x14ac:dyDescent="0.4">
      <c r="B52" s="186" t="s">
        <v>113</v>
      </c>
      <c r="C52" s="186" t="s">
        <v>84</v>
      </c>
      <c r="D52" s="547" t="s">
        <v>121</v>
      </c>
      <c r="E52" s="547"/>
      <c r="F52" s="177"/>
    </row>
    <row r="53" spans="1:8" ht="16.5" customHeight="1" x14ac:dyDescent="0.3">
      <c r="C53" s="178"/>
      <c r="D53" s="177"/>
      <c r="E53" s="184"/>
      <c r="F53" s="177"/>
    </row>
    <row r="54" spans="1:8" ht="16.5" customHeight="1" x14ac:dyDescent="0.25">
      <c r="A54" s="198" t="s">
        <v>114</v>
      </c>
      <c r="B54" s="356" t="s">
        <v>115</v>
      </c>
      <c r="C54" s="182" t="s">
        <v>116</v>
      </c>
      <c r="D54" s="200" t="s">
        <v>1</v>
      </c>
      <c r="E54" s="184" t="s">
        <v>117</v>
      </c>
      <c r="F54" s="445" t="s">
        <v>245</v>
      </c>
    </row>
    <row r="55" spans="1:8" ht="16.5" customHeight="1" x14ac:dyDescent="0.25">
      <c r="A55" s="181" t="s">
        <v>147</v>
      </c>
      <c r="B55" s="356"/>
      <c r="C55" s="272"/>
      <c r="D55" s="183"/>
      <c r="E55" s="184"/>
      <c r="F55" s="363"/>
    </row>
    <row r="56" spans="1:8" hidden="1" x14ac:dyDescent="0.25">
      <c r="A56" s="192" t="s">
        <v>177</v>
      </c>
      <c r="B56" s="361" t="str">
        <f t="shared" ref="B56:B76" si="0">B11</f>
        <v>finitions en cours</v>
      </c>
      <c r="C56" s="193"/>
      <c r="D56" s="189"/>
      <c r="E56" s="191"/>
      <c r="F56" s="422"/>
    </row>
    <row r="57" spans="1:8" hidden="1" x14ac:dyDescent="0.25">
      <c r="A57" s="192" t="s">
        <v>101</v>
      </c>
      <c r="B57" s="361" t="str">
        <f t="shared" si="0"/>
        <v>à receptionner</v>
      </c>
      <c r="C57" s="193"/>
      <c r="D57" s="189"/>
      <c r="E57" s="191"/>
      <c r="F57" s="180"/>
    </row>
    <row r="58" spans="1:8" hidden="1" x14ac:dyDescent="0.25">
      <c r="A58" s="192" t="s">
        <v>242</v>
      </c>
      <c r="B58" s="361" t="str">
        <f t="shared" si="0"/>
        <v>démarrage S35</v>
      </c>
      <c r="C58" s="193"/>
      <c r="D58" s="189"/>
      <c r="E58" s="191"/>
      <c r="F58" s="180"/>
    </row>
    <row r="59" spans="1:8" hidden="1" x14ac:dyDescent="0.25">
      <c r="A59" s="192" t="s">
        <v>231</v>
      </c>
      <c r="B59" s="361" t="str">
        <f t="shared" si="0"/>
        <v>couvert</v>
      </c>
      <c r="C59" s="193"/>
      <c r="D59" s="189"/>
      <c r="E59" s="191"/>
      <c r="F59" s="180"/>
    </row>
    <row r="60" spans="1:8" hidden="1" x14ac:dyDescent="0.25">
      <c r="A60" s="192" t="s">
        <v>269</v>
      </c>
      <c r="B60" s="361" t="str">
        <f t="shared" si="0"/>
        <v>pignons</v>
      </c>
      <c r="C60" s="193"/>
      <c r="D60" s="189"/>
      <c r="E60" s="191"/>
      <c r="F60" s="180"/>
    </row>
    <row r="61" spans="1:8" hidden="1" x14ac:dyDescent="0.25">
      <c r="A61" s="192" t="s">
        <v>166</v>
      </c>
      <c r="B61" s="361" t="str">
        <f t="shared" si="0"/>
        <v>plâtrerie en cours</v>
      </c>
      <c r="C61" s="193"/>
      <c r="D61" s="189"/>
      <c r="E61" s="191"/>
      <c r="F61" s="180"/>
    </row>
    <row r="62" spans="1:8" hidden="1" x14ac:dyDescent="0.25">
      <c r="A62" s="192" t="s">
        <v>189</v>
      </c>
      <c r="B62" s="361" t="str">
        <f t="shared" si="0"/>
        <v>plâtrerie en cours</v>
      </c>
      <c r="C62" s="193"/>
      <c r="D62" s="189"/>
      <c r="E62" s="191"/>
      <c r="F62" s="180"/>
    </row>
    <row r="63" spans="1:8" hidden="1" x14ac:dyDescent="0.25">
      <c r="A63" s="192" t="s">
        <v>104</v>
      </c>
      <c r="B63" s="361" t="str">
        <f t="shared" si="0"/>
        <v>à receptionner</v>
      </c>
      <c r="C63" s="193"/>
      <c r="D63" s="189"/>
      <c r="E63" s="191"/>
      <c r="F63" s="180"/>
    </row>
    <row r="64" spans="1:8" hidden="1" x14ac:dyDescent="0.25">
      <c r="A64" s="192" t="s">
        <v>312</v>
      </c>
      <c r="B64" s="361" t="str">
        <f t="shared" si="0"/>
        <v>démarrage S40</v>
      </c>
      <c r="C64" s="193"/>
      <c r="D64" s="189"/>
      <c r="E64" s="191"/>
      <c r="F64" s="180"/>
    </row>
    <row r="65" spans="1:6" hidden="1" x14ac:dyDescent="0.25">
      <c r="A65" s="192" t="s">
        <v>167</v>
      </c>
      <c r="B65" s="361" t="str">
        <f t="shared" si="0"/>
        <v>chape</v>
      </c>
      <c r="C65" s="193"/>
      <c r="D65" s="189"/>
      <c r="E65" s="191"/>
      <c r="F65" s="180"/>
    </row>
    <row r="66" spans="1:6" hidden="1" x14ac:dyDescent="0.25">
      <c r="A66" s="192" t="s">
        <v>205</v>
      </c>
      <c r="B66" s="361" t="str">
        <f t="shared" si="0"/>
        <v>attente men. Ext</v>
      </c>
      <c r="C66" s="193"/>
      <c r="D66" s="189"/>
      <c r="E66" s="191"/>
      <c r="F66" s="180"/>
    </row>
    <row r="67" spans="1:6" hidden="1" x14ac:dyDescent="0.25">
      <c r="A67" s="192" t="s">
        <v>190</v>
      </c>
      <c r="B67" s="361" t="str">
        <f t="shared" si="0"/>
        <v>carrelage</v>
      </c>
      <c r="C67" s="193"/>
      <c r="D67" s="189"/>
      <c r="E67" s="191"/>
      <c r="F67" s="180"/>
    </row>
    <row r="68" spans="1:6" hidden="1" x14ac:dyDescent="0.25">
      <c r="A68" s="192" t="s">
        <v>232</v>
      </c>
      <c r="B68" s="361" t="str">
        <f t="shared" si="0"/>
        <v>attente men. Ext</v>
      </c>
      <c r="C68" s="193"/>
      <c r="D68" s="189"/>
      <c r="E68" s="191"/>
      <c r="F68" s="180"/>
    </row>
    <row r="69" spans="1:6" hidden="1" x14ac:dyDescent="0.25">
      <c r="A69" s="192" t="s">
        <v>313</v>
      </c>
      <c r="B69" s="361" t="str">
        <f t="shared" si="0"/>
        <v>pignons</v>
      </c>
      <c r="C69" s="193"/>
      <c r="D69" s="189"/>
      <c r="E69" s="191"/>
      <c r="F69" s="180"/>
    </row>
    <row r="70" spans="1:6" hidden="1" x14ac:dyDescent="0.25">
      <c r="A70" s="192" t="s">
        <v>270</v>
      </c>
      <c r="B70" s="361" t="str">
        <f t="shared" si="0"/>
        <v>pignons</v>
      </c>
      <c r="C70" s="193"/>
      <c r="D70" s="189"/>
      <c r="E70" s="191"/>
      <c r="F70" s="180"/>
    </row>
    <row r="71" spans="1:6" hidden="1" x14ac:dyDescent="0.25">
      <c r="A71" s="192" t="s">
        <v>233</v>
      </c>
      <c r="B71" s="361" t="str">
        <f t="shared" si="0"/>
        <v>couvert</v>
      </c>
      <c r="C71" s="193"/>
      <c r="D71" s="189"/>
      <c r="E71" s="191"/>
      <c r="F71" s="180"/>
    </row>
    <row r="72" spans="1:6" hidden="1" x14ac:dyDescent="0.25">
      <c r="A72" s="192" t="s">
        <v>206</v>
      </c>
      <c r="B72" s="361" t="str">
        <f t="shared" si="0"/>
        <v>second œuvre</v>
      </c>
      <c r="C72" s="193"/>
      <c r="D72" s="189"/>
      <c r="E72" s="191"/>
      <c r="F72" s="180"/>
    </row>
    <row r="73" spans="1:6" hidden="1" x14ac:dyDescent="0.25">
      <c r="A73" s="192" t="s">
        <v>243</v>
      </c>
      <c r="B73" s="361" t="str">
        <f t="shared" si="0"/>
        <v>attente men. Ext</v>
      </c>
      <c r="C73" s="193"/>
      <c r="D73" s="189"/>
      <c r="E73" s="191"/>
      <c r="F73" s="180"/>
    </row>
    <row r="74" spans="1:6" hidden="1" x14ac:dyDescent="0.25">
      <c r="A74" s="192" t="s">
        <v>234</v>
      </c>
      <c r="B74" s="361" t="str">
        <f t="shared" si="0"/>
        <v>clos couvert</v>
      </c>
      <c r="C74" s="193"/>
      <c r="D74" s="189"/>
      <c r="E74" s="191"/>
      <c r="F74" s="180"/>
    </row>
    <row r="75" spans="1:6" hidden="1" x14ac:dyDescent="0.25">
      <c r="A75" s="192" t="s">
        <v>193</v>
      </c>
      <c r="B75" s="361" t="str">
        <f t="shared" si="0"/>
        <v>attente men. Ext</v>
      </c>
      <c r="C75" s="193"/>
      <c r="D75" s="189"/>
      <c r="E75" s="191"/>
      <c r="F75" s="180"/>
    </row>
    <row r="76" spans="1:6" hidden="1" x14ac:dyDescent="0.25">
      <c r="A76" s="271" t="s">
        <v>178</v>
      </c>
      <c r="B76" s="361" t="str">
        <f t="shared" si="0"/>
        <v>finitions en cours</v>
      </c>
      <c r="C76" s="269"/>
      <c r="D76" s="189"/>
      <c r="E76" s="191"/>
      <c r="F76" s="180"/>
    </row>
    <row r="77" spans="1:6" hidden="1" x14ac:dyDescent="0.25">
      <c r="A77" s="271" t="s">
        <v>178</v>
      </c>
      <c r="B77" s="269">
        <f>B32</f>
        <v>0</v>
      </c>
      <c r="C77" s="269"/>
      <c r="D77" s="189"/>
      <c r="E77" s="191"/>
      <c r="F77" s="180"/>
    </row>
    <row r="78" spans="1:6" x14ac:dyDescent="0.25">
      <c r="A78" s="421"/>
      <c r="B78" s="325"/>
      <c r="C78" s="325"/>
      <c r="D78" s="326"/>
      <c r="E78" s="327"/>
      <c r="F78" s="328"/>
    </row>
    <row r="79" spans="1:6" x14ac:dyDescent="0.25">
      <c r="A79" s="421"/>
      <c r="B79" s="325"/>
      <c r="C79" s="325"/>
      <c r="D79" s="326"/>
      <c r="E79" s="327"/>
      <c r="F79" s="328"/>
    </row>
    <row r="80" spans="1:6" x14ac:dyDescent="0.25">
      <c r="A80" s="421"/>
      <c r="B80" s="325"/>
      <c r="C80" s="325"/>
      <c r="D80" s="326"/>
      <c r="E80" s="327"/>
      <c r="F80" s="328"/>
    </row>
    <row r="81" spans="1:8" x14ac:dyDescent="0.25">
      <c r="A81" s="421"/>
      <c r="B81" s="325"/>
      <c r="C81" s="325"/>
      <c r="D81" s="326"/>
      <c r="E81" s="327"/>
      <c r="F81" s="328"/>
    </row>
    <row r="84" spans="1:8" x14ac:dyDescent="0.25">
      <c r="A84" s="548"/>
      <c r="B84" s="548"/>
      <c r="C84" s="548"/>
      <c r="D84" s="548"/>
      <c r="E84" s="548"/>
      <c r="F84" s="548"/>
    </row>
    <row r="85" spans="1:8" x14ac:dyDescent="0.25">
      <c r="A85" s="548"/>
      <c r="B85" s="548"/>
      <c r="C85" s="548"/>
      <c r="D85" s="548"/>
      <c r="E85" s="548"/>
      <c r="F85" s="548"/>
    </row>
    <row r="89" spans="1:8" x14ac:dyDescent="0.25">
      <c r="A89" s="548" t="s">
        <v>158</v>
      </c>
      <c r="B89" s="548"/>
      <c r="C89" s="548"/>
      <c r="D89" s="548"/>
      <c r="E89" s="548"/>
      <c r="F89" s="548"/>
    </row>
    <row r="90" spans="1:8" ht="15.75" thickBot="1" x14ac:dyDescent="0.3">
      <c r="A90" s="548" t="s">
        <v>142</v>
      </c>
      <c r="B90" s="548"/>
      <c r="C90" s="548"/>
      <c r="D90" s="548"/>
      <c r="E90" s="548"/>
      <c r="F90" s="548"/>
    </row>
    <row r="91" spans="1:8" x14ac:dyDescent="0.25">
      <c r="C91" s="544" t="s">
        <v>118</v>
      </c>
    </row>
    <row r="92" spans="1:8" ht="6.75" customHeight="1" x14ac:dyDescent="0.25">
      <c r="C92" s="545"/>
    </row>
    <row r="93" spans="1:8" ht="27" customHeight="1" thickBot="1" x14ac:dyDescent="0.3">
      <c r="C93" s="546"/>
    </row>
    <row r="94" spans="1:8" ht="27" customHeight="1" thickBot="1" x14ac:dyDescent="0.3">
      <c r="C94" s="197" t="s">
        <v>1</v>
      </c>
      <c r="D94" s="185">
        <f ca="1">D4</f>
        <v>34</v>
      </c>
    </row>
    <row r="95" spans="1:8" ht="15" customHeight="1" x14ac:dyDescent="0.25">
      <c r="C95" s="197"/>
      <c r="G95" s="195"/>
      <c r="H95" s="195"/>
    </row>
    <row r="96" spans="1:8" ht="10.5" customHeight="1" x14ac:dyDescent="0.25">
      <c r="C96" s="177"/>
      <c r="D96" s="177"/>
      <c r="E96" s="184"/>
      <c r="F96" s="177"/>
    </row>
    <row r="97" spans="1:6" ht="21.75" customHeight="1" x14ac:dyDescent="0.4">
      <c r="B97" s="186" t="s">
        <v>113</v>
      </c>
      <c r="C97" s="186" t="s">
        <v>60</v>
      </c>
      <c r="D97" s="547" t="s">
        <v>122</v>
      </c>
      <c r="E97" s="547"/>
      <c r="F97" s="177"/>
    </row>
    <row r="98" spans="1:6" ht="16.5" customHeight="1" x14ac:dyDescent="0.3">
      <c r="C98" s="178"/>
      <c r="D98" s="177"/>
      <c r="E98" s="184"/>
      <c r="F98" s="177"/>
    </row>
    <row r="99" spans="1:6" ht="16.5" customHeight="1" x14ac:dyDescent="0.25">
      <c r="A99" s="195" t="s">
        <v>114</v>
      </c>
      <c r="B99" s="356" t="s">
        <v>115</v>
      </c>
      <c r="C99" s="182" t="s">
        <v>116</v>
      </c>
      <c r="D99" s="196" t="s">
        <v>1</v>
      </c>
      <c r="E99" s="184" t="s">
        <v>117</v>
      </c>
      <c r="F99" s="445" t="s">
        <v>245</v>
      </c>
    </row>
    <row r="100" spans="1:6" ht="16.5" hidden="1" customHeight="1" x14ac:dyDescent="0.25">
      <c r="A100" s="181" t="s">
        <v>147</v>
      </c>
      <c r="B100" s="361" t="str">
        <f t="shared" ref="B100:B121" si="1">B10</f>
        <v>finitions en cours</v>
      </c>
      <c r="C100" s="190"/>
      <c r="D100" s="183"/>
      <c r="E100" s="184"/>
      <c r="F100" s="177"/>
    </row>
    <row r="101" spans="1:6" hidden="1" x14ac:dyDescent="0.25">
      <c r="A101" s="192" t="s">
        <v>177</v>
      </c>
      <c r="B101" s="361" t="str">
        <f t="shared" si="1"/>
        <v>finitions en cours</v>
      </c>
      <c r="C101" s="193"/>
      <c r="D101" s="189"/>
      <c r="E101" s="191"/>
      <c r="F101" s="180"/>
    </row>
    <row r="102" spans="1:6" hidden="1" x14ac:dyDescent="0.25">
      <c r="A102" s="192" t="s">
        <v>101</v>
      </c>
      <c r="B102" s="361" t="str">
        <f t="shared" si="1"/>
        <v>à receptionner</v>
      </c>
      <c r="C102" s="193"/>
      <c r="D102" s="189"/>
      <c r="E102" s="191"/>
      <c r="F102" s="180"/>
    </row>
    <row r="103" spans="1:6" x14ac:dyDescent="0.25">
      <c r="A103" s="192" t="s">
        <v>242</v>
      </c>
      <c r="B103" s="361" t="str">
        <f t="shared" si="1"/>
        <v>démarrage S35</v>
      </c>
      <c r="C103" s="193" t="s">
        <v>155</v>
      </c>
      <c r="D103" s="189" t="s">
        <v>7</v>
      </c>
      <c r="E103" s="191">
        <v>40</v>
      </c>
      <c r="F103" s="453"/>
    </row>
    <row r="104" spans="1:6" hidden="1" x14ac:dyDescent="0.25">
      <c r="A104" s="192" t="s">
        <v>231</v>
      </c>
      <c r="B104" s="361" t="str">
        <f t="shared" si="1"/>
        <v>couvert</v>
      </c>
      <c r="C104" s="193"/>
      <c r="D104" s="189"/>
      <c r="E104" s="191"/>
      <c r="F104" s="180"/>
    </row>
    <row r="105" spans="1:6" hidden="1" x14ac:dyDescent="0.25">
      <c r="A105" s="192" t="s">
        <v>269</v>
      </c>
      <c r="B105" s="361" t="str">
        <f t="shared" si="1"/>
        <v>pignons</v>
      </c>
      <c r="C105" s="193"/>
      <c r="D105" s="189"/>
      <c r="E105" s="191"/>
      <c r="F105" s="180"/>
    </row>
    <row r="106" spans="1:6" hidden="1" x14ac:dyDescent="0.25">
      <c r="A106" s="192" t="s">
        <v>166</v>
      </c>
      <c r="B106" s="361" t="str">
        <f t="shared" si="1"/>
        <v>plâtrerie en cours</v>
      </c>
      <c r="C106" s="193"/>
      <c r="D106" s="189"/>
      <c r="E106" s="191"/>
      <c r="F106" s="180"/>
    </row>
    <row r="107" spans="1:6" hidden="1" x14ac:dyDescent="0.25">
      <c r="A107" s="192" t="s">
        <v>189</v>
      </c>
      <c r="B107" s="361" t="str">
        <f t="shared" si="1"/>
        <v>plâtrerie en cours</v>
      </c>
      <c r="C107" s="193"/>
      <c r="D107" s="189"/>
      <c r="E107" s="191"/>
      <c r="F107" s="180"/>
    </row>
    <row r="108" spans="1:6" hidden="1" x14ac:dyDescent="0.25">
      <c r="A108" s="192" t="s">
        <v>104</v>
      </c>
      <c r="B108" s="361" t="str">
        <f t="shared" si="1"/>
        <v>à receptionner</v>
      </c>
      <c r="C108" s="193"/>
      <c r="D108" s="189"/>
      <c r="E108" s="191"/>
      <c r="F108" s="180"/>
    </row>
    <row r="109" spans="1:6" hidden="1" x14ac:dyDescent="0.25">
      <c r="A109" s="192" t="s">
        <v>312</v>
      </c>
      <c r="B109" s="361" t="str">
        <f t="shared" si="1"/>
        <v>démarrage S40</v>
      </c>
      <c r="C109" s="193"/>
      <c r="D109" s="189"/>
      <c r="E109" s="191"/>
      <c r="F109" s="180"/>
    </row>
    <row r="110" spans="1:6" hidden="1" x14ac:dyDescent="0.25">
      <c r="A110" s="192" t="s">
        <v>167</v>
      </c>
      <c r="B110" s="361" t="str">
        <f t="shared" si="1"/>
        <v>chape</v>
      </c>
      <c r="C110" s="193"/>
      <c r="D110" s="189"/>
      <c r="E110" s="191"/>
      <c r="F110" s="180"/>
    </row>
    <row r="111" spans="1:6" hidden="1" x14ac:dyDescent="0.25">
      <c r="A111" s="192" t="s">
        <v>205</v>
      </c>
      <c r="B111" s="361" t="str">
        <f t="shared" si="1"/>
        <v>attente men. Ext</v>
      </c>
      <c r="C111" s="193"/>
      <c r="D111" s="189"/>
      <c r="E111" s="191"/>
      <c r="F111" s="180"/>
    </row>
    <row r="112" spans="1:6" hidden="1" x14ac:dyDescent="0.25">
      <c r="A112" s="192" t="s">
        <v>190</v>
      </c>
      <c r="B112" s="361" t="str">
        <f t="shared" si="1"/>
        <v>carrelage</v>
      </c>
      <c r="C112" s="193"/>
      <c r="D112" s="189"/>
      <c r="E112" s="191"/>
      <c r="F112" s="180"/>
    </row>
    <row r="113" spans="1:6" hidden="1" x14ac:dyDescent="0.25">
      <c r="A113" s="192" t="s">
        <v>232</v>
      </c>
      <c r="B113" s="361" t="str">
        <f t="shared" si="1"/>
        <v>attente men. Ext</v>
      </c>
      <c r="C113" s="193"/>
      <c r="D113" s="189"/>
      <c r="E113" s="191"/>
      <c r="F113" s="180"/>
    </row>
    <row r="114" spans="1:6" hidden="1" x14ac:dyDescent="0.25">
      <c r="A114" s="192" t="s">
        <v>313</v>
      </c>
      <c r="B114" s="361" t="str">
        <f t="shared" si="1"/>
        <v>pignons</v>
      </c>
      <c r="C114" s="193"/>
      <c r="D114" s="189"/>
      <c r="E114" s="191"/>
      <c r="F114" s="180"/>
    </row>
    <row r="115" spans="1:6" hidden="1" x14ac:dyDescent="0.25">
      <c r="A115" s="192" t="s">
        <v>270</v>
      </c>
      <c r="B115" s="361" t="str">
        <f t="shared" si="1"/>
        <v>pignons</v>
      </c>
      <c r="C115" s="193"/>
      <c r="D115" s="189"/>
      <c r="E115" s="191"/>
      <c r="F115" s="180"/>
    </row>
    <row r="116" spans="1:6" hidden="1" x14ac:dyDescent="0.25">
      <c r="A116" s="192" t="s">
        <v>233</v>
      </c>
      <c r="B116" s="361" t="str">
        <f t="shared" si="1"/>
        <v>couvert</v>
      </c>
      <c r="C116" s="193"/>
      <c r="D116" s="189"/>
      <c r="E116" s="191"/>
      <c r="F116" s="180"/>
    </row>
    <row r="117" spans="1:6" hidden="1" x14ac:dyDescent="0.25">
      <c r="A117" s="192" t="s">
        <v>206</v>
      </c>
      <c r="B117" s="361" t="str">
        <f t="shared" si="1"/>
        <v>second œuvre</v>
      </c>
      <c r="C117" s="193"/>
      <c r="D117" s="189"/>
      <c r="E117" s="191"/>
      <c r="F117" s="180"/>
    </row>
    <row r="118" spans="1:6" hidden="1" x14ac:dyDescent="0.25">
      <c r="A118" s="192" t="s">
        <v>243</v>
      </c>
      <c r="B118" s="361" t="str">
        <f t="shared" si="1"/>
        <v>attente men. Ext</v>
      </c>
      <c r="C118" s="193"/>
      <c r="D118" s="189"/>
      <c r="E118" s="191"/>
      <c r="F118" s="180"/>
    </row>
    <row r="119" spans="1:6" hidden="1" x14ac:dyDescent="0.25">
      <c r="A119" s="192" t="s">
        <v>234</v>
      </c>
      <c r="B119" s="361" t="str">
        <f t="shared" si="1"/>
        <v>clos couvert</v>
      </c>
      <c r="C119" s="193"/>
      <c r="D119" s="189"/>
      <c r="E119" s="191"/>
      <c r="F119" s="180"/>
    </row>
    <row r="120" spans="1:6" hidden="1" x14ac:dyDescent="0.25">
      <c r="A120" s="192" t="s">
        <v>193</v>
      </c>
      <c r="B120" s="361" t="str">
        <f t="shared" si="1"/>
        <v>attente men. Ext</v>
      </c>
      <c r="C120" s="193"/>
      <c r="D120" s="189"/>
      <c r="E120" s="191"/>
      <c r="F120" s="180"/>
    </row>
    <row r="121" spans="1:6" hidden="1" x14ac:dyDescent="0.25">
      <c r="A121" s="268" t="s">
        <v>178</v>
      </c>
      <c r="B121" s="361" t="str">
        <f t="shared" si="1"/>
        <v>finitions en cours</v>
      </c>
      <c r="C121" s="269"/>
      <c r="D121" s="189"/>
      <c r="E121" s="191"/>
      <c r="F121" s="180"/>
    </row>
    <row r="122" spans="1:6" hidden="1" x14ac:dyDescent="0.25">
      <c r="A122" s="268" t="s">
        <v>178</v>
      </c>
      <c r="B122" s="478">
        <f>B32</f>
        <v>0</v>
      </c>
      <c r="C122" s="269"/>
      <c r="D122" s="189"/>
      <c r="E122" s="191"/>
      <c r="F122" s="180"/>
    </row>
    <row r="123" spans="1:6" x14ac:dyDescent="0.25">
      <c r="A123" s="420"/>
      <c r="B123" s="325"/>
      <c r="C123" s="325"/>
      <c r="D123" s="326"/>
      <c r="E123" s="327"/>
      <c r="F123" s="328"/>
    </row>
    <row r="124" spans="1:6" x14ac:dyDescent="0.25">
      <c r="A124" s="420"/>
      <c r="B124" s="325"/>
      <c r="C124" s="325"/>
      <c r="D124" s="326"/>
      <c r="E124" s="327"/>
      <c r="F124" s="328"/>
    </row>
    <row r="125" spans="1:6" x14ac:dyDescent="0.25">
      <c r="A125" s="420"/>
      <c r="B125" s="325"/>
      <c r="C125" s="325"/>
      <c r="D125" s="326"/>
      <c r="E125" s="327"/>
      <c r="F125" s="328"/>
    </row>
    <row r="126" spans="1:6" x14ac:dyDescent="0.25">
      <c r="A126" s="420"/>
      <c r="B126" s="325"/>
      <c r="C126" s="325"/>
      <c r="D126" s="326"/>
      <c r="E126" s="327"/>
      <c r="F126" s="328"/>
    </row>
    <row r="129" spans="1:8" x14ac:dyDescent="0.25">
      <c r="A129" s="548"/>
      <c r="B129" s="548"/>
      <c r="C129" s="548"/>
      <c r="D129" s="548"/>
      <c r="E129" s="548"/>
      <c r="F129" s="548"/>
    </row>
    <row r="130" spans="1:8" x14ac:dyDescent="0.25">
      <c r="A130" s="548"/>
      <c r="B130" s="548"/>
      <c r="C130" s="548"/>
      <c r="D130" s="548"/>
      <c r="E130" s="548"/>
      <c r="F130" s="548"/>
    </row>
    <row r="134" spans="1:8" x14ac:dyDescent="0.25">
      <c r="A134" s="548" t="s">
        <v>158</v>
      </c>
      <c r="B134" s="548"/>
      <c r="C134" s="548"/>
      <c r="D134" s="548"/>
      <c r="E134" s="548"/>
      <c r="F134" s="548"/>
    </row>
    <row r="135" spans="1:8" ht="15.75" thickBot="1" x14ac:dyDescent="0.3">
      <c r="A135" s="548" t="s">
        <v>142</v>
      </c>
      <c r="B135" s="548"/>
      <c r="C135" s="548"/>
      <c r="D135" s="548"/>
      <c r="E135" s="548"/>
      <c r="F135" s="548"/>
    </row>
    <row r="136" spans="1:8" x14ac:dyDescent="0.25">
      <c r="C136" s="544" t="s">
        <v>118</v>
      </c>
    </row>
    <row r="137" spans="1:8" ht="6.75" customHeight="1" x14ac:dyDescent="0.25">
      <c r="C137" s="545"/>
    </row>
    <row r="138" spans="1:8" ht="27" customHeight="1" thickBot="1" x14ac:dyDescent="0.3">
      <c r="C138" s="546"/>
    </row>
    <row r="139" spans="1:8" ht="27" customHeight="1" thickBot="1" x14ac:dyDescent="0.3">
      <c r="C139" s="197" t="s">
        <v>1</v>
      </c>
      <c r="D139" s="185">
        <f ca="1">D4</f>
        <v>34</v>
      </c>
    </row>
    <row r="140" spans="1:8" ht="15" customHeight="1" x14ac:dyDescent="0.25">
      <c r="C140" s="197"/>
      <c r="G140" s="195"/>
      <c r="H140" s="195"/>
    </row>
    <row r="141" spans="1:8" ht="10.5" customHeight="1" x14ac:dyDescent="0.25">
      <c r="C141" s="177"/>
      <c r="D141" s="177"/>
      <c r="E141" s="184"/>
      <c r="F141" s="177"/>
    </row>
    <row r="142" spans="1:8" ht="21.75" customHeight="1" x14ac:dyDescent="0.4">
      <c r="B142" s="186" t="s">
        <v>113</v>
      </c>
      <c r="C142" s="186" t="s">
        <v>79</v>
      </c>
      <c r="D142" s="547" t="s">
        <v>123</v>
      </c>
      <c r="E142" s="547"/>
      <c r="F142" s="177"/>
    </row>
    <row r="143" spans="1:8" ht="16.5" customHeight="1" x14ac:dyDescent="0.3">
      <c r="C143" s="178"/>
      <c r="D143" s="177"/>
      <c r="E143" s="184"/>
      <c r="F143" s="177"/>
    </row>
    <row r="144" spans="1:8" ht="16.5" customHeight="1" x14ac:dyDescent="0.25">
      <c r="A144" s="195" t="s">
        <v>114</v>
      </c>
      <c r="B144" s="356" t="s">
        <v>115</v>
      </c>
      <c r="C144" s="182" t="s">
        <v>116</v>
      </c>
      <c r="D144" s="196" t="s">
        <v>1</v>
      </c>
      <c r="E144" s="184" t="s">
        <v>117</v>
      </c>
      <c r="F144" s="445" t="s">
        <v>245</v>
      </c>
    </row>
    <row r="145" spans="1:6" ht="16.5" hidden="1" customHeight="1" x14ac:dyDescent="0.25">
      <c r="A145" s="181" t="s">
        <v>147</v>
      </c>
      <c r="B145" s="361" t="str">
        <f t="shared" ref="B145:B156" si="2">B10</f>
        <v>finitions en cours</v>
      </c>
      <c r="C145" s="290"/>
      <c r="D145" s="183"/>
      <c r="E145" s="184"/>
      <c r="F145" s="177"/>
    </row>
    <row r="146" spans="1:6" hidden="1" x14ac:dyDescent="0.25">
      <c r="A146" s="192" t="s">
        <v>177</v>
      </c>
      <c r="B146" s="361" t="str">
        <f t="shared" si="2"/>
        <v>finitions en cours</v>
      </c>
      <c r="C146" s="193"/>
      <c r="D146" s="183"/>
      <c r="E146" s="191"/>
      <c r="F146" s="180"/>
    </row>
    <row r="147" spans="1:6" x14ac:dyDescent="0.25">
      <c r="A147" s="192" t="s">
        <v>101</v>
      </c>
      <c r="B147" s="361" t="str">
        <f t="shared" si="2"/>
        <v>à receptionner</v>
      </c>
      <c r="C147" s="193" t="s">
        <v>247</v>
      </c>
      <c r="D147" s="183" t="s">
        <v>7</v>
      </c>
      <c r="E147" s="191">
        <v>35</v>
      </c>
      <c r="F147" s="180" t="s">
        <v>272</v>
      </c>
    </row>
    <row r="148" spans="1:6" x14ac:dyDescent="0.25">
      <c r="A148" s="192" t="s">
        <v>242</v>
      </c>
      <c r="B148" s="361" t="str">
        <f t="shared" si="2"/>
        <v>démarrage S35</v>
      </c>
      <c r="C148" s="193" t="s">
        <v>248</v>
      </c>
      <c r="D148" s="183" t="s">
        <v>7</v>
      </c>
      <c r="E148" s="191">
        <v>50</v>
      </c>
      <c r="F148" s="180"/>
    </row>
    <row r="149" spans="1:6" x14ac:dyDescent="0.25">
      <c r="A149" s="192" t="s">
        <v>231</v>
      </c>
      <c r="B149" s="361" t="str">
        <f t="shared" si="2"/>
        <v>couvert</v>
      </c>
      <c r="C149" s="193" t="s">
        <v>248</v>
      </c>
      <c r="D149" s="183" t="s">
        <v>7</v>
      </c>
      <c r="E149" s="191">
        <v>38</v>
      </c>
      <c r="F149" s="180"/>
    </row>
    <row r="150" spans="1:6" x14ac:dyDescent="0.25">
      <c r="A150" s="192" t="s">
        <v>269</v>
      </c>
      <c r="B150" s="361" t="str">
        <f t="shared" si="2"/>
        <v>pignons</v>
      </c>
      <c r="C150" s="193" t="s">
        <v>248</v>
      </c>
      <c r="D150" s="183" t="s">
        <v>7</v>
      </c>
      <c r="E150" s="191">
        <v>44</v>
      </c>
      <c r="F150" s="180"/>
    </row>
    <row r="151" spans="1:6" hidden="1" x14ac:dyDescent="0.25">
      <c r="A151" s="192" t="s">
        <v>166</v>
      </c>
      <c r="B151" s="361" t="str">
        <f t="shared" si="2"/>
        <v>plâtrerie en cours</v>
      </c>
      <c r="C151" s="193"/>
      <c r="D151" s="183" t="s">
        <v>7</v>
      </c>
      <c r="E151" s="191"/>
      <c r="F151" s="180"/>
    </row>
    <row r="152" spans="1:6" x14ac:dyDescent="0.25">
      <c r="A152" s="192" t="s">
        <v>189</v>
      </c>
      <c r="B152" s="361" t="str">
        <f t="shared" si="2"/>
        <v>plâtrerie en cours</v>
      </c>
      <c r="C152" s="193" t="s">
        <v>248</v>
      </c>
      <c r="D152" s="183" t="s">
        <v>7</v>
      </c>
      <c r="E152" s="191">
        <v>40</v>
      </c>
      <c r="F152" s="180"/>
    </row>
    <row r="153" spans="1:6" hidden="1" x14ac:dyDescent="0.25">
      <c r="A153" s="192" t="s">
        <v>104</v>
      </c>
      <c r="B153" s="361" t="str">
        <f t="shared" si="2"/>
        <v>à receptionner</v>
      </c>
      <c r="C153" s="193"/>
      <c r="D153" s="183" t="s">
        <v>7</v>
      </c>
      <c r="E153" s="191"/>
      <c r="F153" s="180"/>
    </row>
    <row r="154" spans="1:6" x14ac:dyDescent="0.25">
      <c r="A154" s="192" t="s">
        <v>312</v>
      </c>
      <c r="B154" s="361" t="str">
        <f t="shared" si="2"/>
        <v>démarrage S40</v>
      </c>
      <c r="C154" s="193" t="s">
        <v>248</v>
      </c>
      <c r="D154" s="183" t="s">
        <v>7</v>
      </c>
      <c r="E154" s="191">
        <v>4</v>
      </c>
      <c r="F154" s="180"/>
    </row>
    <row r="155" spans="1:6" x14ac:dyDescent="0.25">
      <c r="A155" s="192" t="s">
        <v>167</v>
      </c>
      <c r="B155" s="361" t="str">
        <f t="shared" si="2"/>
        <v>chape</v>
      </c>
      <c r="C155" s="193" t="s">
        <v>248</v>
      </c>
      <c r="D155" s="183" t="s">
        <v>7</v>
      </c>
      <c r="E155" s="191">
        <v>35</v>
      </c>
      <c r="F155" s="180"/>
    </row>
    <row r="156" spans="1:6" x14ac:dyDescent="0.25">
      <c r="A156" s="192" t="s">
        <v>205</v>
      </c>
      <c r="B156" s="361" t="str">
        <f t="shared" si="2"/>
        <v>attente men. Ext</v>
      </c>
      <c r="C156" s="193" t="s">
        <v>248</v>
      </c>
      <c r="D156" s="183" t="s">
        <v>7</v>
      </c>
      <c r="E156" s="191">
        <v>35</v>
      </c>
      <c r="F156" s="180"/>
    </row>
    <row r="157" spans="1:6" x14ac:dyDescent="0.25">
      <c r="A157" s="202" t="s">
        <v>190</v>
      </c>
      <c r="B157" s="361" t="str">
        <f>B22</f>
        <v>carrelage</v>
      </c>
      <c r="C157" s="193" t="s">
        <v>247</v>
      </c>
      <c r="D157" s="183" t="s">
        <v>7</v>
      </c>
      <c r="E157" s="191">
        <v>37</v>
      </c>
      <c r="F157" s="180"/>
    </row>
    <row r="158" spans="1:6" hidden="1" x14ac:dyDescent="0.25">
      <c r="A158" s="192" t="s">
        <v>232</v>
      </c>
      <c r="B158" s="445" t="str">
        <f t="shared" ref="B158:B166" si="3">B23</f>
        <v>attente men. Ext</v>
      </c>
      <c r="C158" s="193"/>
      <c r="D158" s="183" t="s">
        <v>7</v>
      </c>
      <c r="E158" s="191"/>
      <c r="F158" s="180"/>
    </row>
    <row r="159" spans="1:6" x14ac:dyDescent="0.25">
      <c r="A159" s="192" t="s">
        <v>313</v>
      </c>
      <c r="B159" s="445" t="str">
        <f t="shared" si="3"/>
        <v>pignons</v>
      </c>
      <c r="C159" s="193" t="s">
        <v>248</v>
      </c>
      <c r="D159" s="183" t="s">
        <v>7</v>
      </c>
      <c r="E159" s="191">
        <v>45</v>
      </c>
      <c r="F159" s="180"/>
    </row>
    <row r="160" spans="1:6" ht="15" hidden="1" customHeight="1" x14ac:dyDescent="0.25">
      <c r="A160" s="192" t="s">
        <v>270</v>
      </c>
      <c r="B160" s="445" t="str">
        <f t="shared" si="3"/>
        <v>pignons</v>
      </c>
      <c r="C160" s="193"/>
      <c r="D160" s="183" t="s">
        <v>7</v>
      </c>
      <c r="E160" s="191"/>
      <c r="F160" s="180"/>
    </row>
    <row r="161" spans="1:6" x14ac:dyDescent="0.25">
      <c r="A161" s="192" t="s">
        <v>233</v>
      </c>
      <c r="B161" s="445" t="str">
        <f t="shared" si="3"/>
        <v>couvert</v>
      </c>
      <c r="C161" s="193" t="s">
        <v>248</v>
      </c>
      <c r="D161" s="183" t="s">
        <v>7</v>
      </c>
      <c r="E161" s="191">
        <v>43</v>
      </c>
      <c r="F161" s="180"/>
    </row>
    <row r="162" spans="1:6" hidden="1" x14ac:dyDescent="0.25">
      <c r="A162" s="192" t="s">
        <v>206</v>
      </c>
      <c r="B162" s="445" t="str">
        <f t="shared" si="3"/>
        <v>second œuvre</v>
      </c>
      <c r="C162" s="193"/>
      <c r="D162" s="183" t="s">
        <v>7</v>
      </c>
      <c r="E162" s="191"/>
      <c r="F162" s="180"/>
    </row>
    <row r="163" spans="1:6" x14ac:dyDescent="0.25">
      <c r="A163" s="192" t="s">
        <v>243</v>
      </c>
      <c r="B163" s="445" t="str">
        <f t="shared" si="3"/>
        <v>attente men. Ext</v>
      </c>
      <c r="C163" s="193" t="s">
        <v>248</v>
      </c>
      <c r="D163" s="183" t="s">
        <v>7</v>
      </c>
      <c r="E163" s="191">
        <v>41</v>
      </c>
      <c r="F163" s="180"/>
    </row>
    <row r="164" spans="1:6" x14ac:dyDescent="0.25">
      <c r="A164" s="192" t="s">
        <v>234</v>
      </c>
      <c r="B164" s="445" t="str">
        <f t="shared" si="3"/>
        <v>clos couvert</v>
      </c>
      <c r="C164" s="193" t="s">
        <v>248</v>
      </c>
      <c r="D164" s="183" t="s">
        <v>7</v>
      </c>
      <c r="E164" s="191">
        <v>36</v>
      </c>
      <c r="F164" s="180"/>
    </row>
    <row r="165" spans="1:6" x14ac:dyDescent="0.25">
      <c r="A165" s="268" t="s">
        <v>193</v>
      </c>
      <c r="B165" s="445" t="str">
        <f t="shared" si="3"/>
        <v>attente men. Ext</v>
      </c>
      <c r="C165" s="193" t="s">
        <v>248</v>
      </c>
      <c r="D165" s="189" t="s">
        <v>7</v>
      </c>
      <c r="E165" s="191">
        <v>35</v>
      </c>
      <c r="F165" s="180"/>
    </row>
    <row r="166" spans="1:6" x14ac:dyDescent="0.25">
      <c r="A166" s="268" t="s">
        <v>178</v>
      </c>
      <c r="B166" s="445" t="str">
        <f t="shared" si="3"/>
        <v>finitions en cours</v>
      </c>
      <c r="C166" s="269"/>
      <c r="D166" s="189"/>
      <c r="E166" s="191"/>
      <c r="F166" s="180"/>
    </row>
    <row r="167" spans="1:6" x14ac:dyDescent="0.25">
      <c r="A167" s="420"/>
      <c r="B167" s="479"/>
      <c r="C167" s="325"/>
      <c r="D167" s="326"/>
      <c r="E167" s="327"/>
      <c r="F167" s="328"/>
    </row>
    <row r="168" spans="1:6" x14ac:dyDescent="0.25">
      <c r="A168" s="420"/>
      <c r="B168" s="325"/>
      <c r="C168" s="325"/>
      <c r="D168" s="326"/>
      <c r="E168" s="327"/>
      <c r="F168" s="328"/>
    </row>
    <row r="169" spans="1:6" x14ac:dyDescent="0.25">
      <c r="A169" s="420"/>
      <c r="B169" s="325"/>
      <c r="C169" s="325"/>
      <c r="D169" s="326"/>
      <c r="E169" s="327"/>
      <c r="F169" s="328"/>
    </row>
    <row r="170" spans="1:6" x14ac:dyDescent="0.25">
      <c r="A170" s="420"/>
      <c r="B170" s="325"/>
      <c r="C170" s="325"/>
      <c r="D170" s="326"/>
      <c r="E170" s="327"/>
      <c r="F170" s="328"/>
    </row>
    <row r="178" spans="1:8" x14ac:dyDescent="0.25">
      <c r="A178" s="548" t="s">
        <v>158</v>
      </c>
      <c r="B178" s="548"/>
      <c r="C178" s="548"/>
      <c r="D178" s="548"/>
      <c r="E178" s="548"/>
      <c r="F178" s="548"/>
    </row>
    <row r="179" spans="1:8" ht="15.75" thickBot="1" x14ac:dyDescent="0.3">
      <c r="A179" s="548" t="s">
        <v>142</v>
      </c>
      <c r="B179" s="548"/>
      <c r="C179" s="548"/>
      <c r="D179" s="548"/>
      <c r="E179" s="548"/>
      <c r="F179" s="548"/>
    </row>
    <row r="180" spans="1:8" x14ac:dyDescent="0.25">
      <c r="C180" s="544" t="s">
        <v>118</v>
      </c>
    </row>
    <row r="181" spans="1:8" ht="6.75" customHeight="1" x14ac:dyDescent="0.25">
      <c r="C181" s="545"/>
    </row>
    <row r="182" spans="1:8" ht="27" customHeight="1" thickBot="1" x14ac:dyDescent="0.3">
      <c r="C182" s="546"/>
    </row>
    <row r="183" spans="1:8" ht="27" customHeight="1" thickBot="1" x14ac:dyDescent="0.3">
      <c r="C183" s="197" t="s">
        <v>1</v>
      </c>
      <c r="D183" s="185">
        <f ca="1">D4</f>
        <v>34</v>
      </c>
    </row>
    <row r="184" spans="1:8" ht="15" customHeight="1" x14ac:dyDescent="0.25">
      <c r="C184" s="197"/>
      <c r="G184" s="195"/>
      <c r="H184" s="195"/>
    </row>
    <row r="185" spans="1:8" ht="10.5" customHeight="1" x14ac:dyDescent="0.25">
      <c r="C185" s="177"/>
      <c r="D185" s="177"/>
      <c r="E185" s="184"/>
      <c r="F185" s="177"/>
    </row>
    <row r="186" spans="1:8" ht="21.75" customHeight="1" x14ac:dyDescent="0.4">
      <c r="B186" s="186" t="s">
        <v>113</v>
      </c>
      <c r="C186" s="186" t="s">
        <v>76</v>
      </c>
      <c r="D186" s="547" t="s">
        <v>124</v>
      </c>
      <c r="E186" s="547"/>
      <c r="F186" s="177"/>
    </row>
    <row r="187" spans="1:8" ht="16.5" customHeight="1" x14ac:dyDescent="0.3">
      <c r="C187" s="178"/>
      <c r="D187" s="177"/>
      <c r="E187" s="184"/>
      <c r="F187" s="177"/>
    </row>
    <row r="188" spans="1:8" ht="16.5" customHeight="1" x14ac:dyDescent="0.25">
      <c r="A188" s="195" t="s">
        <v>114</v>
      </c>
      <c r="B188" s="356" t="s">
        <v>115</v>
      </c>
      <c r="C188" s="182" t="s">
        <v>116</v>
      </c>
      <c r="D188" s="196" t="s">
        <v>1</v>
      </c>
      <c r="E188" s="184" t="s">
        <v>117</v>
      </c>
      <c r="F188" s="445" t="s">
        <v>245</v>
      </c>
    </row>
    <row r="189" spans="1:8" ht="16.5" hidden="1" customHeight="1" x14ac:dyDescent="0.25">
      <c r="A189" s="181" t="s">
        <v>147</v>
      </c>
      <c r="B189" s="361" t="str">
        <f>B10</f>
        <v>finitions en cours</v>
      </c>
      <c r="C189" s="193" t="s">
        <v>152</v>
      </c>
      <c r="D189" s="189" t="s">
        <v>7</v>
      </c>
      <c r="E189" s="184"/>
      <c r="F189" s="177"/>
    </row>
    <row r="190" spans="1:8" hidden="1" x14ac:dyDescent="0.25">
      <c r="A190" s="192" t="s">
        <v>177</v>
      </c>
      <c r="B190" s="445" t="str">
        <f t="shared" ref="B190:B210" si="4">B11</f>
        <v>finitions en cours</v>
      </c>
      <c r="C190" s="193" t="s">
        <v>152</v>
      </c>
      <c r="D190" s="189" t="s">
        <v>7</v>
      </c>
      <c r="E190" s="191"/>
      <c r="F190" s="180"/>
    </row>
    <row r="191" spans="1:8" hidden="1" x14ac:dyDescent="0.25">
      <c r="A191" s="192" t="s">
        <v>101</v>
      </c>
      <c r="B191" s="445" t="str">
        <f t="shared" si="4"/>
        <v>à receptionner</v>
      </c>
      <c r="C191" s="193" t="s">
        <v>152</v>
      </c>
      <c r="D191" s="189" t="s">
        <v>7</v>
      </c>
      <c r="E191" s="191"/>
      <c r="F191" s="180"/>
    </row>
    <row r="192" spans="1:8" hidden="1" x14ac:dyDescent="0.25">
      <c r="A192" s="192" t="s">
        <v>242</v>
      </c>
      <c r="B192" s="445" t="str">
        <f t="shared" si="4"/>
        <v>démarrage S35</v>
      </c>
      <c r="C192" s="193" t="s">
        <v>152</v>
      </c>
      <c r="D192" s="189" t="s">
        <v>7</v>
      </c>
      <c r="E192" s="191"/>
      <c r="F192" s="180"/>
    </row>
    <row r="193" spans="1:6" x14ac:dyDescent="0.25">
      <c r="A193" s="192" t="s">
        <v>231</v>
      </c>
      <c r="B193" s="445" t="str">
        <f t="shared" si="4"/>
        <v>couvert</v>
      </c>
      <c r="C193" s="193" t="s">
        <v>152</v>
      </c>
      <c r="D193" s="189" t="s">
        <v>7</v>
      </c>
      <c r="E193" s="191">
        <v>37</v>
      </c>
      <c r="F193" s="180"/>
    </row>
    <row r="194" spans="1:6" x14ac:dyDescent="0.25">
      <c r="A194" s="192" t="s">
        <v>269</v>
      </c>
      <c r="B194" s="445" t="str">
        <f t="shared" si="4"/>
        <v>pignons</v>
      </c>
      <c r="C194" s="193" t="s">
        <v>152</v>
      </c>
      <c r="D194" s="189" t="s">
        <v>7</v>
      </c>
      <c r="E194" s="191">
        <v>43</v>
      </c>
      <c r="F194" s="180"/>
    </row>
    <row r="195" spans="1:6" x14ac:dyDescent="0.25">
      <c r="A195" s="192" t="s">
        <v>166</v>
      </c>
      <c r="B195" s="445" t="str">
        <f t="shared" si="4"/>
        <v>plâtrerie en cours</v>
      </c>
      <c r="C195" s="193" t="s">
        <v>152</v>
      </c>
      <c r="D195" s="189" t="s">
        <v>7</v>
      </c>
      <c r="E195" s="191">
        <v>35</v>
      </c>
      <c r="F195" s="180"/>
    </row>
    <row r="196" spans="1:6" x14ac:dyDescent="0.25">
      <c r="A196" s="192" t="s">
        <v>189</v>
      </c>
      <c r="B196" s="445" t="str">
        <f t="shared" si="4"/>
        <v>plâtrerie en cours</v>
      </c>
      <c r="C196" s="193" t="s">
        <v>152</v>
      </c>
      <c r="D196" s="189" t="s">
        <v>7</v>
      </c>
      <c r="E196" s="191">
        <v>36</v>
      </c>
      <c r="F196" s="180"/>
    </row>
    <row r="197" spans="1:6" ht="15" hidden="1" customHeight="1" x14ac:dyDescent="0.25">
      <c r="A197" s="192" t="s">
        <v>104</v>
      </c>
      <c r="B197" s="445" t="str">
        <f t="shared" si="4"/>
        <v>à receptionner</v>
      </c>
      <c r="C197" s="193" t="s">
        <v>152</v>
      </c>
      <c r="D197" s="189" t="s">
        <v>7</v>
      </c>
      <c r="E197" s="191"/>
      <c r="F197" s="368"/>
    </row>
    <row r="198" spans="1:6" hidden="1" x14ac:dyDescent="0.25">
      <c r="A198" s="192" t="s">
        <v>312</v>
      </c>
      <c r="B198" s="445" t="str">
        <f t="shared" si="4"/>
        <v>démarrage S40</v>
      </c>
      <c r="C198" s="193" t="s">
        <v>152</v>
      </c>
      <c r="D198" s="189" t="s">
        <v>7</v>
      </c>
      <c r="E198" s="191"/>
      <c r="F198" s="180"/>
    </row>
    <row r="199" spans="1:6" hidden="1" x14ac:dyDescent="0.25">
      <c r="A199" s="192" t="s">
        <v>167</v>
      </c>
      <c r="B199" s="445" t="str">
        <f t="shared" si="4"/>
        <v>chape</v>
      </c>
      <c r="C199" s="193" t="s">
        <v>152</v>
      </c>
      <c r="D199" s="189" t="s">
        <v>7</v>
      </c>
      <c r="E199" s="191"/>
      <c r="F199" s="180"/>
    </row>
    <row r="200" spans="1:6" hidden="1" x14ac:dyDescent="0.25">
      <c r="A200" s="192" t="s">
        <v>205</v>
      </c>
      <c r="B200" s="445" t="str">
        <f t="shared" si="4"/>
        <v>attente men. Ext</v>
      </c>
      <c r="C200" s="193" t="s">
        <v>152</v>
      </c>
      <c r="D200" s="189" t="s">
        <v>7</v>
      </c>
      <c r="E200" s="191"/>
      <c r="F200" s="180"/>
    </row>
    <row r="201" spans="1:6" hidden="1" x14ac:dyDescent="0.25">
      <c r="A201" s="192" t="s">
        <v>190</v>
      </c>
      <c r="B201" s="445" t="str">
        <f t="shared" si="4"/>
        <v>carrelage</v>
      </c>
      <c r="C201" s="193" t="s">
        <v>152</v>
      </c>
      <c r="D201" s="189" t="s">
        <v>7</v>
      </c>
      <c r="E201" s="191"/>
      <c r="F201" s="180"/>
    </row>
    <row r="202" spans="1:6" x14ac:dyDescent="0.25">
      <c r="A202" s="192" t="s">
        <v>232</v>
      </c>
      <c r="B202" s="445" t="str">
        <f t="shared" si="4"/>
        <v>attente men. Ext</v>
      </c>
      <c r="C202" s="193" t="s">
        <v>152</v>
      </c>
      <c r="D202" s="189" t="s">
        <v>7</v>
      </c>
      <c r="E202" s="191">
        <v>41</v>
      </c>
      <c r="F202" s="180"/>
    </row>
    <row r="203" spans="1:6" x14ac:dyDescent="0.25">
      <c r="A203" s="192" t="s">
        <v>313</v>
      </c>
      <c r="B203" s="445" t="str">
        <f t="shared" si="4"/>
        <v>pignons</v>
      </c>
      <c r="C203" s="193" t="s">
        <v>152</v>
      </c>
      <c r="D203" s="189" t="s">
        <v>7</v>
      </c>
      <c r="E203" s="191">
        <v>45</v>
      </c>
      <c r="F203" s="180"/>
    </row>
    <row r="204" spans="1:6" x14ac:dyDescent="0.25">
      <c r="A204" s="192" t="s">
        <v>270</v>
      </c>
      <c r="B204" s="445" t="str">
        <f t="shared" si="4"/>
        <v>pignons</v>
      </c>
      <c r="C204" s="193" t="s">
        <v>152</v>
      </c>
      <c r="D204" s="189" t="s">
        <v>7</v>
      </c>
      <c r="E204" s="191">
        <v>43</v>
      </c>
      <c r="F204" s="180"/>
    </row>
    <row r="205" spans="1:6" hidden="1" x14ac:dyDescent="0.25">
      <c r="A205" s="192" t="s">
        <v>233</v>
      </c>
      <c r="B205" s="445" t="str">
        <f t="shared" si="4"/>
        <v>couvert</v>
      </c>
      <c r="C205" s="193" t="s">
        <v>152</v>
      </c>
      <c r="D205" s="189" t="s">
        <v>7</v>
      </c>
      <c r="E205" s="191"/>
      <c r="F205" s="180"/>
    </row>
    <row r="206" spans="1:6" hidden="1" x14ac:dyDescent="0.25">
      <c r="A206" s="192" t="s">
        <v>206</v>
      </c>
      <c r="B206" s="445" t="str">
        <f t="shared" si="4"/>
        <v>second œuvre</v>
      </c>
      <c r="C206" s="193" t="s">
        <v>152</v>
      </c>
      <c r="D206" s="189" t="s">
        <v>7</v>
      </c>
      <c r="E206" s="191"/>
      <c r="F206" s="180"/>
    </row>
    <row r="207" spans="1:6" hidden="1" x14ac:dyDescent="0.25">
      <c r="A207" s="192" t="s">
        <v>243</v>
      </c>
      <c r="B207" s="445" t="str">
        <f t="shared" si="4"/>
        <v>attente men. Ext</v>
      </c>
      <c r="C207" s="193" t="s">
        <v>152</v>
      </c>
      <c r="D207" s="189" t="s">
        <v>7</v>
      </c>
      <c r="E207" s="191"/>
      <c r="F207" s="180"/>
    </row>
    <row r="208" spans="1:6" hidden="1" x14ac:dyDescent="0.25">
      <c r="A208" s="192" t="s">
        <v>234</v>
      </c>
      <c r="B208" s="445" t="str">
        <f t="shared" si="4"/>
        <v>clos couvert</v>
      </c>
      <c r="C208" s="193" t="s">
        <v>152</v>
      </c>
      <c r="D208" s="189" t="s">
        <v>7</v>
      </c>
      <c r="E208" s="191"/>
      <c r="F208" s="180"/>
    </row>
    <row r="209" spans="1:6" x14ac:dyDescent="0.25">
      <c r="A209" s="192" t="s">
        <v>193</v>
      </c>
      <c r="B209" s="445" t="str">
        <f t="shared" si="4"/>
        <v>attente men. Ext</v>
      </c>
      <c r="C209" s="193" t="s">
        <v>152</v>
      </c>
      <c r="D209" s="189" t="s">
        <v>7</v>
      </c>
      <c r="E209" s="191">
        <v>41</v>
      </c>
      <c r="F209" s="180"/>
    </row>
    <row r="210" spans="1:6" hidden="1" x14ac:dyDescent="0.25">
      <c r="A210" s="268" t="s">
        <v>178</v>
      </c>
      <c r="B210" s="445" t="str">
        <f t="shared" si="4"/>
        <v>finitions en cours</v>
      </c>
      <c r="C210" s="193" t="s">
        <v>152</v>
      </c>
      <c r="D210" s="189" t="s">
        <v>7</v>
      </c>
      <c r="E210" s="191"/>
      <c r="F210" s="180"/>
    </row>
    <row r="211" spans="1:6" x14ac:dyDescent="0.25">
      <c r="A211" s="268"/>
      <c r="B211" s="325"/>
      <c r="C211" s="193"/>
      <c r="D211" s="189"/>
      <c r="E211" s="191"/>
      <c r="F211" s="180"/>
    </row>
    <row r="212" spans="1:6" x14ac:dyDescent="0.25">
      <c r="A212" s="420"/>
      <c r="B212" s="445"/>
      <c r="C212" s="325"/>
      <c r="D212" s="326"/>
      <c r="E212" s="327"/>
      <c r="F212" s="328"/>
    </row>
    <row r="213" spans="1:6" x14ac:dyDescent="0.25">
      <c r="A213" s="420"/>
      <c r="B213" s="445"/>
      <c r="C213" s="325"/>
      <c r="D213" s="326"/>
      <c r="E213" s="327"/>
      <c r="F213" s="328"/>
    </row>
    <row r="214" spans="1:6" x14ac:dyDescent="0.25">
      <c r="A214" s="420"/>
      <c r="B214" s="445"/>
      <c r="C214" s="325"/>
      <c r="D214" s="326"/>
      <c r="E214" s="327"/>
      <c r="F214" s="328"/>
    </row>
    <row r="215" spans="1:6" x14ac:dyDescent="0.25">
      <c r="A215" s="420"/>
      <c r="B215" s="445"/>
      <c r="C215" s="325"/>
      <c r="D215" s="430"/>
      <c r="E215" s="431"/>
      <c r="F215" s="432"/>
    </row>
    <row r="216" spans="1:6" x14ac:dyDescent="0.25">
      <c r="A216" s="550"/>
      <c r="B216" s="550"/>
      <c r="C216" s="550"/>
      <c r="D216" s="550"/>
      <c r="E216" s="550"/>
      <c r="F216" s="550"/>
    </row>
    <row r="223" spans="1:6" x14ac:dyDescent="0.25">
      <c r="A223" s="548" t="s">
        <v>158</v>
      </c>
      <c r="B223" s="548"/>
      <c r="C223" s="548"/>
      <c r="D223" s="548"/>
      <c r="E223" s="548"/>
      <c r="F223" s="548"/>
    </row>
    <row r="224" spans="1:6" ht="15.75" thickBot="1" x14ac:dyDescent="0.3">
      <c r="A224" s="548" t="s">
        <v>142</v>
      </c>
      <c r="B224" s="548"/>
      <c r="C224" s="548"/>
      <c r="D224" s="548"/>
      <c r="E224" s="548"/>
      <c r="F224" s="548"/>
    </row>
    <row r="225" spans="1:8" x14ac:dyDescent="0.25">
      <c r="C225" s="544" t="s">
        <v>118</v>
      </c>
    </row>
    <row r="226" spans="1:8" ht="6.75" customHeight="1" x14ac:dyDescent="0.25">
      <c r="C226" s="545"/>
    </row>
    <row r="227" spans="1:8" ht="27" customHeight="1" thickBot="1" x14ac:dyDescent="0.3">
      <c r="C227" s="546"/>
    </row>
    <row r="228" spans="1:8" ht="27" customHeight="1" thickBot="1" x14ac:dyDescent="0.3">
      <c r="C228" s="197" t="s">
        <v>1</v>
      </c>
      <c r="D228" s="185">
        <f ca="1">D4</f>
        <v>34</v>
      </c>
    </row>
    <row r="229" spans="1:8" ht="15" customHeight="1" x14ac:dyDescent="0.25">
      <c r="C229" s="197"/>
      <c r="G229" s="195"/>
      <c r="H229" s="195"/>
    </row>
    <row r="230" spans="1:8" ht="10.5" customHeight="1" x14ac:dyDescent="0.25">
      <c r="C230" s="177"/>
      <c r="D230" s="177"/>
      <c r="E230" s="184"/>
      <c r="F230" s="177"/>
    </row>
    <row r="231" spans="1:8" ht="21.75" customHeight="1" x14ac:dyDescent="0.4">
      <c r="B231" s="186" t="s">
        <v>113</v>
      </c>
      <c r="C231" s="186" t="s">
        <v>71</v>
      </c>
      <c r="D231" s="547" t="s">
        <v>125</v>
      </c>
      <c r="E231" s="547"/>
      <c r="F231" s="177"/>
    </row>
    <row r="232" spans="1:8" ht="21.75" customHeight="1" x14ac:dyDescent="0.4">
      <c r="B232" s="186"/>
      <c r="C232" s="186"/>
      <c r="D232" s="361"/>
      <c r="E232" s="361"/>
      <c r="F232" s="177"/>
    </row>
    <row r="233" spans="1:8" ht="16.5" customHeight="1" x14ac:dyDescent="0.25">
      <c r="A233" s="195" t="s">
        <v>114</v>
      </c>
      <c r="B233" s="356" t="s">
        <v>115</v>
      </c>
      <c r="C233" s="182" t="s">
        <v>116</v>
      </c>
      <c r="D233" s="196" t="s">
        <v>1</v>
      </c>
      <c r="E233" s="184" t="s">
        <v>117</v>
      </c>
      <c r="F233" s="445" t="s">
        <v>245</v>
      </c>
    </row>
    <row r="234" spans="1:8" ht="16.5" customHeight="1" x14ac:dyDescent="0.25">
      <c r="A234" s="268" t="s">
        <v>147</v>
      </c>
      <c r="B234" s="361" t="str">
        <f>B189</f>
        <v>finitions en cours</v>
      </c>
      <c r="C234" s="193" t="s">
        <v>149</v>
      </c>
      <c r="D234" s="189" t="s">
        <v>7</v>
      </c>
      <c r="E234" s="191">
        <v>28</v>
      </c>
      <c r="F234" s="180"/>
    </row>
    <row r="235" spans="1:8" x14ac:dyDescent="0.25">
      <c r="A235" s="268" t="s">
        <v>177</v>
      </c>
      <c r="B235" s="361" t="str">
        <f t="shared" ref="B235:B255" si="5">B190</f>
        <v>finitions en cours</v>
      </c>
      <c r="C235" s="193" t="s">
        <v>149</v>
      </c>
      <c r="D235" s="189" t="s">
        <v>7</v>
      </c>
      <c r="E235" s="191">
        <v>32</v>
      </c>
      <c r="F235" s="345"/>
    </row>
    <row r="236" spans="1:8" hidden="1" x14ac:dyDescent="0.25">
      <c r="A236" s="268" t="s">
        <v>101</v>
      </c>
      <c r="B236" s="361" t="str">
        <f t="shared" si="5"/>
        <v>à receptionner</v>
      </c>
      <c r="C236" s="193"/>
      <c r="D236" s="189"/>
      <c r="E236" s="191"/>
      <c r="F236" s="345"/>
    </row>
    <row r="237" spans="1:8" hidden="1" x14ac:dyDescent="0.25">
      <c r="A237" s="268" t="s">
        <v>242</v>
      </c>
      <c r="B237" s="361" t="str">
        <f t="shared" si="5"/>
        <v>démarrage S35</v>
      </c>
      <c r="C237" s="193"/>
      <c r="D237" s="189"/>
      <c r="E237" s="191"/>
      <c r="F237" s="180"/>
    </row>
    <row r="238" spans="1:8" x14ac:dyDescent="0.25">
      <c r="A238" s="268" t="s">
        <v>231</v>
      </c>
      <c r="B238" s="361" t="str">
        <f t="shared" si="5"/>
        <v>couvert</v>
      </c>
      <c r="C238" s="269" t="s">
        <v>153</v>
      </c>
      <c r="D238" s="189" t="s">
        <v>7</v>
      </c>
      <c r="E238" s="191">
        <v>32</v>
      </c>
      <c r="F238" s="180"/>
    </row>
    <row r="239" spans="1:8" hidden="1" x14ac:dyDescent="0.25">
      <c r="A239" s="268" t="s">
        <v>269</v>
      </c>
      <c r="B239" s="361" t="str">
        <f t="shared" si="5"/>
        <v>pignons</v>
      </c>
      <c r="C239" s="193"/>
      <c r="D239" s="189" t="s">
        <v>7</v>
      </c>
      <c r="E239" s="191"/>
      <c r="F239" s="180"/>
    </row>
    <row r="240" spans="1:8" x14ac:dyDescent="0.25">
      <c r="A240" s="268" t="s">
        <v>166</v>
      </c>
      <c r="B240" s="361" t="str">
        <f t="shared" si="5"/>
        <v>plâtrerie en cours</v>
      </c>
      <c r="C240" s="193" t="s">
        <v>250</v>
      </c>
      <c r="D240" s="189" t="s">
        <v>7</v>
      </c>
      <c r="E240" s="191">
        <v>32</v>
      </c>
      <c r="F240" s="180"/>
    </row>
    <row r="241" spans="1:6" hidden="1" x14ac:dyDescent="0.25">
      <c r="A241" s="268" t="s">
        <v>189</v>
      </c>
      <c r="B241" s="361" t="str">
        <f t="shared" si="5"/>
        <v>plâtrerie en cours</v>
      </c>
      <c r="C241" s="269"/>
      <c r="D241" s="189"/>
      <c r="E241" s="191"/>
      <c r="F241" s="180"/>
    </row>
    <row r="242" spans="1:6" hidden="1" x14ac:dyDescent="0.25">
      <c r="A242" s="268" t="s">
        <v>104</v>
      </c>
      <c r="B242" s="361" t="str">
        <f t="shared" si="5"/>
        <v>à receptionner</v>
      </c>
      <c r="C242" s="269"/>
      <c r="D242" s="189"/>
      <c r="E242" s="191"/>
      <c r="F242" s="180"/>
    </row>
    <row r="243" spans="1:6" hidden="1" x14ac:dyDescent="0.25">
      <c r="A243" s="268" t="s">
        <v>312</v>
      </c>
      <c r="B243" s="361" t="str">
        <f t="shared" si="5"/>
        <v>démarrage S40</v>
      </c>
      <c r="C243" s="269"/>
      <c r="D243" s="189"/>
      <c r="E243" s="191"/>
      <c r="F243" s="180"/>
    </row>
    <row r="244" spans="1:6" hidden="1" x14ac:dyDescent="0.25">
      <c r="A244" s="268" t="s">
        <v>167</v>
      </c>
      <c r="B244" s="361" t="str">
        <f t="shared" si="5"/>
        <v>chape</v>
      </c>
      <c r="C244" s="269"/>
      <c r="D244" s="189"/>
      <c r="E244" s="191"/>
      <c r="F244" s="180"/>
    </row>
    <row r="245" spans="1:6" hidden="1" x14ac:dyDescent="0.25">
      <c r="A245" s="268" t="s">
        <v>205</v>
      </c>
      <c r="B245" s="361" t="str">
        <f t="shared" si="5"/>
        <v>attente men. Ext</v>
      </c>
      <c r="C245" s="193"/>
      <c r="D245" s="189"/>
      <c r="E245" s="191"/>
      <c r="F245" s="180"/>
    </row>
    <row r="246" spans="1:6" hidden="1" x14ac:dyDescent="0.25">
      <c r="A246" s="268" t="s">
        <v>190</v>
      </c>
      <c r="B246" s="361" t="str">
        <f t="shared" si="5"/>
        <v>carrelage</v>
      </c>
      <c r="C246" s="193"/>
      <c r="D246" s="189"/>
      <c r="E246" s="191"/>
      <c r="F246" s="180"/>
    </row>
    <row r="247" spans="1:6" hidden="1" x14ac:dyDescent="0.25">
      <c r="A247" s="268" t="s">
        <v>232</v>
      </c>
      <c r="B247" s="361" t="str">
        <f t="shared" si="5"/>
        <v>attente men. Ext</v>
      </c>
      <c r="C247" s="269"/>
      <c r="D247" s="189"/>
      <c r="E247" s="191"/>
      <c r="F247" s="180"/>
    </row>
    <row r="248" spans="1:6" hidden="1" x14ac:dyDescent="0.25">
      <c r="A248" s="268" t="s">
        <v>313</v>
      </c>
      <c r="B248" s="361" t="str">
        <f t="shared" si="5"/>
        <v>pignons</v>
      </c>
      <c r="C248" s="193"/>
      <c r="D248" s="189"/>
      <c r="E248" s="191"/>
      <c r="F248" s="180"/>
    </row>
    <row r="249" spans="1:6" hidden="1" x14ac:dyDescent="0.25">
      <c r="A249" s="268" t="s">
        <v>270</v>
      </c>
      <c r="B249" s="361" t="str">
        <f t="shared" si="5"/>
        <v>pignons</v>
      </c>
      <c r="C249" s="193"/>
      <c r="D249" s="189"/>
      <c r="E249" s="191"/>
      <c r="F249" s="180"/>
    </row>
    <row r="250" spans="1:6" x14ac:dyDescent="0.25">
      <c r="A250" s="268" t="s">
        <v>233</v>
      </c>
      <c r="B250" s="361" t="str">
        <f t="shared" si="5"/>
        <v>couvert</v>
      </c>
      <c r="C250" s="269" t="s">
        <v>249</v>
      </c>
      <c r="D250" s="189" t="s">
        <v>170</v>
      </c>
      <c r="E250" s="191" t="s">
        <v>171</v>
      </c>
      <c r="F250" s="180"/>
    </row>
    <row r="251" spans="1:6" x14ac:dyDescent="0.25">
      <c r="A251" s="268" t="s">
        <v>206</v>
      </c>
      <c r="B251" s="361" t="str">
        <f t="shared" si="5"/>
        <v>second œuvre</v>
      </c>
      <c r="C251" s="269" t="s">
        <v>153</v>
      </c>
      <c r="D251" s="189" t="s">
        <v>7</v>
      </c>
      <c r="E251" s="191">
        <v>36</v>
      </c>
      <c r="F251" s="180"/>
    </row>
    <row r="252" spans="1:6" hidden="1" x14ac:dyDescent="0.25">
      <c r="A252" s="268" t="s">
        <v>243</v>
      </c>
      <c r="B252" s="361" t="str">
        <f t="shared" si="5"/>
        <v>attente men. Ext</v>
      </c>
      <c r="C252" s="193"/>
      <c r="D252" s="189"/>
      <c r="E252" s="191"/>
      <c r="F252" s="180"/>
    </row>
    <row r="253" spans="1:6" hidden="1" x14ac:dyDescent="0.25">
      <c r="A253" s="268" t="s">
        <v>234</v>
      </c>
      <c r="B253" s="361" t="str">
        <f t="shared" si="5"/>
        <v>clos couvert</v>
      </c>
      <c r="C253" s="269"/>
      <c r="D253" s="189"/>
      <c r="E253" s="191"/>
      <c r="F253" s="180"/>
    </row>
    <row r="254" spans="1:6" hidden="1" x14ac:dyDescent="0.25">
      <c r="A254" s="268" t="s">
        <v>193</v>
      </c>
      <c r="B254" s="361" t="str">
        <f t="shared" si="5"/>
        <v>attente men. Ext</v>
      </c>
      <c r="C254" s="269"/>
      <c r="D254" s="189"/>
      <c r="E254" s="191"/>
      <c r="F254" s="180"/>
    </row>
    <row r="255" spans="1:6" hidden="1" x14ac:dyDescent="0.25">
      <c r="A255" s="268" t="s">
        <v>178</v>
      </c>
      <c r="B255" s="361" t="str">
        <f t="shared" si="5"/>
        <v>finitions en cours</v>
      </c>
      <c r="C255" s="269"/>
      <c r="D255" s="189"/>
      <c r="E255" s="191"/>
      <c r="F255" s="180"/>
    </row>
    <row r="256" spans="1:6" hidden="1" x14ac:dyDescent="0.25">
      <c r="A256" s="268" t="s">
        <v>178</v>
      </c>
      <c r="B256" s="269">
        <f>B211</f>
        <v>0</v>
      </c>
      <c r="C256" s="269"/>
      <c r="D256" s="189"/>
      <c r="E256" s="191"/>
      <c r="F256" s="180"/>
    </row>
    <row r="257" spans="1:6" x14ac:dyDescent="0.25">
      <c r="A257" s="420"/>
      <c r="B257" s="325"/>
      <c r="C257" s="325"/>
      <c r="D257" s="326"/>
      <c r="E257" s="327"/>
      <c r="F257" s="328"/>
    </row>
    <row r="258" spans="1:6" x14ac:dyDescent="0.25">
      <c r="A258" s="420"/>
      <c r="B258" s="325"/>
      <c r="C258" s="325"/>
      <c r="D258" s="326"/>
      <c r="E258" s="327"/>
      <c r="F258" s="328"/>
    </row>
    <row r="259" spans="1:6" x14ac:dyDescent="0.25">
      <c r="A259" s="420"/>
      <c r="B259" s="325"/>
      <c r="C259" s="325"/>
      <c r="D259" s="326"/>
      <c r="E259" s="327"/>
      <c r="F259" s="328"/>
    </row>
    <row r="260" spans="1:6" x14ac:dyDescent="0.25">
      <c r="A260" s="420"/>
      <c r="B260" s="325"/>
      <c r="C260" s="325"/>
      <c r="D260" s="326"/>
      <c r="E260" s="327"/>
      <c r="F260" s="328"/>
    </row>
    <row r="268" spans="1:6" x14ac:dyDescent="0.25">
      <c r="A268" s="548" t="s">
        <v>158</v>
      </c>
      <c r="B268" s="548"/>
      <c r="C268" s="548"/>
      <c r="D268" s="548"/>
      <c r="E268" s="548"/>
      <c r="F268" s="548"/>
    </row>
    <row r="269" spans="1:6" ht="15.75" thickBot="1" x14ac:dyDescent="0.3">
      <c r="A269" s="548" t="s">
        <v>142</v>
      </c>
      <c r="B269" s="548"/>
      <c r="C269" s="548"/>
      <c r="D269" s="548"/>
      <c r="E269" s="548"/>
      <c r="F269" s="548"/>
    </row>
    <row r="270" spans="1:6" x14ac:dyDescent="0.25">
      <c r="C270" s="544" t="s">
        <v>118</v>
      </c>
    </row>
    <row r="271" spans="1:6" ht="6.75" customHeight="1" x14ac:dyDescent="0.25">
      <c r="C271" s="545"/>
    </row>
    <row r="272" spans="1:6" ht="27" customHeight="1" thickBot="1" x14ac:dyDescent="0.3">
      <c r="C272" s="546"/>
    </row>
    <row r="273" spans="1:8" ht="27" customHeight="1" thickBot="1" x14ac:dyDescent="0.3">
      <c r="C273" s="197" t="s">
        <v>1</v>
      </c>
      <c r="D273" s="185">
        <f ca="1">D94</f>
        <v>34</v>
      </c>
    </row>
    <row r="274" spans="1:8" ht="15" customHeight="1" x14ac:dyDescent="0.25">
      <c r="C274" s="197"/>
      <c r="G274" s="195"/>
      <c r="H274" s="195"/>
    </row>
    <row r="275" spans="1:8" ht="10.5" customHeight="1" x14ac:dyDescent="0.25">
      <c r="C275" s="177"/>
      <c r="D275" s="177"/>
      <c r="E275" s="184"/>
      <c r="F275" s="177"/>
    </row>
    <row r="276" spans="1:8" ht="21.75" customHeight="1" x14ac:dyDescent="0.4">
      <c r="B276" s="186" t="s">
        <v>113</v>
      </c>
      <c r="C276" s="186" t="s">
        <v>78</v>
      </c>
      <c r="D276" s="547" t="s">
        <v>126</v>
      </c>
      <c r="E276" s="547"/>
      <c r="F276" s="177"/>
    </row>
    <row r="277" spans="1:8" ht="16.5" customHeight="1" x14ac:dyDescent="0.3">
      <c r="C277" s="178"/>
      <c r="D277" s="177"/>
      <c r="E277" s="184"/>
      <c r="F277" s="177"/>
    </row>
    <row r="278" spans="1:8" ht="16.5" customHeight="1" x14ac:dyDescent="0.25">
      <c r="A278" s="195" t="s">
        <v>114</v>
      </c>
      <c r="B278" s="356" t="s">
        <v>115</v>
      </c>
      <c r="C278" s="182" t="s">
        <v>116</v>
      </c>
      <c r="D278" s="196" t="s">
        <v>1</v>
      </c>
      <c r="E278" s="184" t="s">
        <v>117</v>
      </c>
      <c r="F278" s="445" t="s">
        <v>245</v>
      </c>
    </row>
    <row r="279" spans="1:8" ht="16.5" customHeight="1" x14ac:dyDescent="0.25">
      <c r="A279" s="181" t="s">
        <v>147</v>
      </c>
      <c r="B279" s="361" t="str">
        <f>B234</f>
        <v>finitions en cours</v>
      </c>
      <c r="C279" s="290" t="s">
        <v>179</v>
      </c>
      <c r="D279" s="183" t="s">
        <v>7</v>
      </c>
      <c r="E279" s="184">
        <v>27</v>
      </c>
      <c r="F279" s="177"/>
    </row>
    <row r="280" spans="1:8" hidden="1" x14ac:dyDescent="0.25">
      <c r="A280" s="192" t="s">
        <v>177</v>
      </c>
      <c r="B280" s="361" t="str">
        <f t="shared" ref="B280:B300" si="6">B235</f>
        <v>finitions en cours</v>
      </c>
      <c r="C280" s="193"/>
      <c r="D280" s="183" t="s">
        <v>7</v>
      </c>
      <c r="E280" s="191"/>
      <c r="F280" s="180"/>
    </row>
    <row r="281" spans="1:8" hidden="1" x14ac:dyDescent="0.25">
      <c r="A281" s="192" t="s">
        <v>101</v>
      </c>
      <c r="B281" s="361" t="str">
        <f t="shared" si="6"/>
        <v>à receptionner</v>
      </c>
      <c r="C281" s="193"/>
      <c r="D281" s="183" t="s">
        <v>7</v>
      </c>
      <c r="E281" s="191"/>
      <c r="F281" s="180"/>
    </row>
    <row r="282" spans="1:8" x14ac:dyDescent="0.25">
      <c r="A282" s="192" t="s">
        <v>242</v>
      </c>
      <c r="B282" s="361" t="str">
        <f t="shared" si="6"/>
        <v>démarrage S35</v>
      </c>
      <c r="C282" s="193" t="s">
        <v>152</v>
      </c>
      <c r="D282" s="183" t="s">
        <v>7</v>
      </c>
      <c r="E282" s="191">
        <v>45</v>
      </c>
      <c r="F282" s="180"/>
    </row>
    <row r="283" spans="1:8" hidden="1" x14ac:dyDescent="0.25">
      <c r="A283" s="192" t="s">
        <v>231</v>
      </c>
      <c r="B283" s="361" t="str">
        <f t="shared" si="6"/>
        <v>couvert</v>
      </c>
      <c r="C283" s="193"/>
      <c r="D283" s="183" t="s">
        <v>7</v>
      </c>
      <c r="E283" s="191"/>
      <c r="F283" s="180"/>
    </row>
    <row r="284" spans="1:8" hidden="1" x14ac:dyDescent="0.25">
      <c r="A284" s="192" t="s">
        <v>269</v>
      </c>
      <c r="B284" s="361" t="str">
        <f t="shared" si="6"/>
        <v>pignons</v>
      </c>
      <c r="C284" s="193"/>
      <c r="D284" s="183" t="s">
        <v>7</v>
      </c>
      <c r="E284" s="191"/>
      <c r="F284" s="180"/>
    </row>
    <row r="285" spans="1:8" hidden="1" x14ac:dyDescent="0.25">
      <c r="A285" s="192" t="s">
        <v>166</v>
      </c>
      <c r="B285" s="361" t="str">
        <f t="shared" si="6"/>
        <v>plâtrerie en cours</v>
      </c>
      <c r="C285" s="193"/>
      <c r="D285" s="183" t="s">
        <v>7</v>
      </c>
      <c r="E285" s="191"/>
      <c r="F285" s="180"/>
    </row>
    <row r="286" spans="1:8" hidden="1" x14ac:dyDescent="0.25">
      <c r="A286" s="192" t="s">
        <v>189</v>
      </c>
      <c r="B286" s="361" t="str">
        <f t="shared" si="6"/>
        <v>plâtrerie en cours</v>
      </c>
      <c r="C286" s="193"/>
      <c r="D286" s="183" t="s">
        <v>7</v>
      </c>
      <c r="E286" s="191"/>
      <c r="F286" s="180"/>
    </row>
    <row r="287" spans="1:8" hidden="1" x14ac:dyDescent="0.25">
      <c r="A287" s="192" t="s">
        <v>104</v>
      </c>
      <c r="B287" s="361" t="str">
        <f t="shared" si="6"/>
        <v>à receptionner</v>
      </c>
      <c r="C287" s="193"/>
      <c r="D287" s="183" t="s">
        <v>7</v>
      </c>
      <c r="E287" s="191"/>
      <c r="F287" s="180"/>
    </row>
    <row r="288" spans="1:8" x14ac:dyDescent="0.25">
      <c r="A288" s="364" t="s">
        <v>312</v>
      </c>
      <c r="B288" s="365" t="str">
        <f t="shared" si="6"/>
        <v>démarrage S40</v>
      </c>
      <c r="C288" s="366" t="s">
        <v>273</v>
      </c>
      <c r="D288" s="482" t="s">
        <v>7</v>
      </c>
      <c r="E288" s="483">
        <v>33</v>
      </c>
      <c r="F288" s="368" t="s">
        <v>274</v>
      </c>
    </row>
    <row r="289" spans="1:6" hidden="1" x14ac:dyDescent="0.25">
      <c r="A289" s="192" t="s">
        <v>167</v>
      </c>
      <c r="B289" s="361" t="str">
        <f t="shared" si="6"/>
        <v>chape</v>
      </c>
      <c r="C289" s="193"/>
      <c r="D289" s="183"/>
      <c r="E289" s="191"/>
      <c r="F289" s="180"/>
    </row>
    <row r="290" spans="1:6" x14ac:dyDescent="0.25">
      <c r="A290" s="192" t="s">
        <v>205</v>
      </c>
      <c r="B290" s="361" t="str">
        <f t="shared" si="6"/>
        <v>attente men. Ext</v>
      </c>
      <c r="C290" s="193" t="s">
        <v>179</v>
      </c>
      <c r="D290" s="183" t="s">
        <v>7</v>
      </c>
      <c r="E290" s="191">
        <v>29</v>
      </c>
      <c r="F290" s="180"/>
    </row>
    <row r="291" spans="1:6" hidden="1" x14ac:dyDescent="0.25">
      <c r="A291" s="192" t="s">
        <v>190</v>
      </c>
      <c r="B291" s="361" t="str">
        <f t="shared" si="6"/>
        <v>carrelage</v>
      </c>
      <c r="C291" s="193"/>
      <c r="D291" s="183" t="s">
        <v>7</v>
      </c>
      <c r="E291" s="191"/>
      <c r="F291" s="180"/>
    </row>
    <row r="292" spans="1:6" hidden="1" x14ac:dyDescent="0.25">
      <c r="A292" s="192" t="s">
        <v>232</v>
      </c>
      <c r="B292" s="361" t="str">
        <f t="shared" si="6"/>
        <v>attente men. Ext</v>
      </c>
      <c r="C292" s="193"/>
      <c r="D292" s="183" t="s">
        <v>7</v>
      </c>
      <c r="E292" s="191"/>
      <c r="F292" s="180"/>
    </row>
    <row r="293" spans="1:6" hidden="1" x14ac:dyDescent="0.25">
      <c r="A293" s="192" t="s">
        <v>313</v>
      </c>
      <c r="B293" s="361" t="str">
        <f t="shared" si="6"/>
        <v>pignons</v>
      </c>
      <c r="C293" s="193"/>
      <c r="D293" s="183" t="s">
        <v>7</v>
      </c>
      <c r="E293" s="191"/>
      <c r="F293" s="180"/>
    </row>
    <row r="294" spans="1:6" hidden="1" x14ac:dyDescent="0.25">
      <c r="A294" s="192" t="s">
        <v>270</v>
      </c>
      <c r="B294" s="361" t="str">
        <f t="shared" si="6"/>
        <v>pignons</v>
      </c>
      <c r="C294" s="193"/>
      <c r="D294" s="183" t="s">
        <v>7</v>
      </c>
      <c r="E294" s="191"/>
      <c r="F294" s="180"/>
    </row>
    <row r="295" spans="1:6" hidden="1" x14ac:dyDescent="0.25">
      <c r="A295" s="192" t="s">
        <v>233</v>
      </c>
      <c r="B295" s="361" t="str">
        <f t="shared" si="6"/>
        <v>couvert</v>
      </c>
      <c r="C295" s="193"/>
      <c r="D295" s="183" t="s">
        <v>7</v>
      </c>
      <c r="E295" s="191"/>
      <c r="F295" s="180"/>
    </row>
    <row r="296" spans="1:6" hidden="1" x14ac:dyDescent="0.25">
      <c r="A296" s="192" t="s">
        <v>206</v>
      </c>
      <c r="B296" s="361" t="str">
        <f t="shared" si="6"/>
        <v>second œuvre</v>
      </c>
      <c r="C296" s="193"/>
      <c r="D296" s="183" t="s">
        <v>7</v>
      </c>
      <c r="E296" s="191"/>
      <c r="F296" s="180"/>
    </row>
    <row r="297" spans="1:6" hidden="1" x14ac:dyDescent="0.25">
      <c r="A297" s="192" t="s">
        <v>243</v>
      </c>
      <c r="B297" s="361" t="str">
        <f t="shared" si="6"/>
        <v>attente men. Ext</v>
      </c>
      <c r="C297" s="193"/>
      <c r="D297" s="183"/>
      <c r="E297" s="191"/>
      <c r="F297" s="180"/>
    </row>
    <row r="298" spans="1:6" x14ac:dyDescent="0.25">
      <c r="A298" s="192" t="s">
        <v>234</v>
      </c>
      <c r="B298" s="361" t="str">
        <f t="shared" si="6"/>
        <v>clos couvert</v>
      </c>
      <c r="C298" s="193" t="s">
        <v>152</v>
      </c>
      <c r="D298" s="183" t="s">
        <v>7</v>
      </c>
      <c r="E298" s="191">
        <v>41</v>
      </c>
      <c r="F298" s="180"/>
    </row>
    <row r="299" spans="1:6" x14ac:dyDescent="0.25">
      <c r="A299" s="192" t="s">
        <v>193</v>
      </c>
      <c r="B299" s="361" t="str">
        <f t="shared" si="6"/>
        <v>attente men. Ext</v>
      </c>
      <c r="C299" s="193" t="s">
        <v>152</v>
      </c>
      <c r="D299" s="183" t="s">
        <v>7</v>
      </c>
      <c r="E299" s="191">
        <v>35</v>
      </c>
      <c r="F299" s="180"/>
    </row>
    <row r="300" spans="1:6" hidden="1" x14ac:dyDescent="0.25">
      <c r="A300" s="268" t="s">
        <v>178</v>
      </c>
      <c r="B300" s="361" t="str">
        <f t="shared" si="6"/>
        <v>finitions en cours</v>
      </c>
      <c r="C300" s="193"/>
      <c r="D300" s="183" t="s">
        <v>7</v>
      </c>
      <c r="E300" s="191"/>
      <c r="F300" s="180"/>
    </row>
    <row r="301" spans="1:6" hidden="1" x14ac:dyDescent="0.25">
      <c r="A301" s="268" t="s">
        <v>178</v>
      </c>
      <c r="B301" s="269">
        <f>B256</f>
        <v>0</v>
      </c>
      <c r="C301" s="269"/>
      <c r="D301" s="189"/>
      <c r="E301" s="191"/>
      <c r="F301" s="180"/>
    </row>
    <row r="302" spans="1:6" x14ac:dyDescent="0.25">
      <c r="A302" s="420"/>
      <c r="B302" s="325"/>
      <c r="C302" s="325"/>
      <c r="D302" s="326"/>
      <c r="E302" s="327"/>
      <c r="F302" s="328"/>
    </row>
    <row r="303" spans="1:6" x14ac:dyDescent="0.25">
      <c r="A303" s="420"/>
      <c r="B303" s="325"/>
      <c r="C303" s="325"/>
      <c r="D303" s="326"/>
      <c r="E303" s="327"/>
      <c r="F303" s="328"/>
    </row>
    <row r="304" spans="1:6" x14ac:dyDescent="0.25">
      <c r="A304" s="420"/>
      <c r="B304" s="325"/>
      <c r="C304" s="325"/>
      <c r="D304" s="326"/>
      <c r="E304" s="327"/>
      <c r="F304" s="328"/>
    </row>
    <row r="305" spans="1:8" x14ac:dyDescent="0.25">
      <c r="A305" s="420"/>
      <c r="B305" s="325"/>
      <c r="C305" s="325"/>
      <c r="D305" s="326"/>
      <c r="E305" s="327"/>
      <c r="F305" s="328"/>
    </row>
    <row r="313" spans="1:8" x14ac:dyDescent="0.25">
      <c r="A313" s="548" t="s">
        <v>158</v>
      </c>
      <c r="B313" s="548"/>
      <c r="C313" s="548"/>
      <c r="D313" s="548"/>
      <c r="E313" s="548"/>
      <c r="F313" s="548"/>
    </row>
    <row r="314" spans="1:8" ht="15.75" thickBot="1" x14ac:dyDescent="0.3">
      <c r="A314" s="548" t="s">
        <v>142</v>
      </c>
      <c r="B314" s="548"/>
      <c r="C314" s="548"/>
      <c r="D314" s="548"/>
      <c r="E314" s="548"/>
      <c r="F314" s="548"/>
    </row>
    <row r="315" spans="1:8" x14ac:dyDescent="0.25">
      <c r="C315" s="544" t="s">
        <v>118</v>
      </c>
    </row>
    <row r="316" spans="1:8" ht="6.75" customHeight="1" x14ac:dyDescent="0.25">
      <c r="C316" s="545"/>
    </row>
    <row r="317" spans="1:8" ht="27" customHeight="1" thickBot="1" x14ac:dyDescent="0.3">
      <c r="C317" s="546"/>
    </row>
    <row r="318" spans="1:8" ht="27" customHeight="1" thickBot="1" x14ac:dyDescent="0.3">
      <c r="C318" s="197" t="s">
        <v>1</v>
      </c>
      <c r="D318" s="185">
        <f ca="1">D139</f>
        <v>34</v>
      </c>
    </row>
    <row r="319" spans="1:8" ht="15" customHeight="1" x14ac:dyDescent="0.25">
      <c r="C319" s="197"/>
      <c r="G319" s="195"/>
      <c r="H319" s="195"/>
    </row>
    <row r="320" spans="1:8" ht="10.5" customHeight="1" x14ac:dyDescent="0.25">
      <c r="C320" s="177"/>
      <c r="D320" s="177"/>
      <c r="E320" s="184"/>
      <c r="F320" s="177"/>
    </row>
    <row r="321" spans="1:6" ht="21.75" customHeight="1" x14ac:dyDescent="0.4">
      <c r="B321" s="186" t="s">
        <v>113</v>
      </c>
      <c r="C321" s="186" t="s">
        <v>67</v>
      </c>
      <c r="D321" s="547" t="s">
        <v>157</v>
      </c>
      <c r="E321" s="547"/>
      <c r="F321" s="177"/>
    </row>
    <row r="322" spans="1:6" ht="16.5" customHeight="1" x14ac:dyDescent="0.3">
      <c r="C322" s="178"/>
      <c r="D322" s="177"/>
      <c r="E322" s="184"/>
      <c r="F322" s="177"/>
    </row>
    <row r="323" spans="1:6" ht="16.5" customHeight="1" x14ac:dyDescent="0.25">
      <c r="A323" s="195" t="s">
        <v>114</v>
      </c>
      <c r="B323" s="356" t="s">
        <v>115</v>
      </c>
      <c r="C323" s="182" t="s">
        <v>116</v>
      </c>
      <c r="D323" s="196" t="s">
        <v>1</v>
      </c>
      <c r="E323" s="184" t="s">
        <v>117</v>
      </c>
      <c r="F323" s="445" t="s">
        <v>245</v>
      </c>
    </row>
    <row r="324" spans="1:6" ht="16.5" hidden="1" customHeight="1" x14ac:dyDescent="0.25">
      <c r="A324" s="181" t="s">
        <v>147</v>
      </c>
      <c r="B324" s="361" t="str">
        <f>B279</f>
        <v>finitions en cours</v>
      </c>
      <c r="C324" s="190"/>
      <c r="D324" s="183"/>
      <c r="E324" s="184"/>
      <c r="F324" s="177"/>
    </row>
    <row r="325" spans="1:6" hidden="1" x14ac:dyDescent="0.25">
      <c r="A325" s="192" t="s">
        <v>177</v>
      </c>
      <c r="B325" s="361" t="str">
        <f t="shared" ref="B325:B345" si="7">B280</f>
        <v>finitions en cours</v>
      </c>
      <c r="C325" s="193"/>
      <c r="D325" s="189"/>
      <c r="E325" s="191"/>
      <c r="F325" s="180"/>
    </row>
    <row r="326" spans="1:6" hidden="1" x14ac:dyDescent="0.25">
      <c r="A326" s="192" t="s">
        <v>101</v>
      </c>
      <c r="B326" s="361" t="str">
        <f t="shared" si="7"/>
        <v>à receptionner</v>
      </c>
      <c r="C326" s="193"/>
      <c r="D326" s="189"/>
      <c r="E326" s="191"/>
      <c r="F326" s="180"/>
    </row>
    <row r="327" spans="1:6" hidden="1" x14ac:dyDescent="0.25">
      <c r="A327" s="192" t="s">
        <v>242</v>
      </c>
      <c r="B327" s="361" t="str">
        <f t="shared" si="7"/>
        <v>démarrage S35</v>
      </c>
      <c r="C327" s="193"/>
      <c r="D327" s="189"/>
      <c r="E327" s="191"/>
      <c r="F327" s="180"/>
    </row>
    <row r="328" spans="1:6" hidden="1" x14ac:dyDescent="0.25">
      <c r="A328" s="192" t="s">
        <v>231</v>
      </c>
      <c r="B328" s="361" t="str">
        <f t="shared" si="7"/>
        <v>couvert</v>
      </c>
      <c r="C328" s="193"/>
      <c r="D328" s="189"/>
      <c r="E328" s="191"/>
      <c r="F328" s="180"/>
    </row>
    <row r="329" spans="1:6" hidden="1" x14ac:dyDescent="0.25">
      <c r="A329" s="192" t="s">
        <v>269</v>
      </c>
      <c r="B329" s="361" t="str">
        <f t="shared" si="7"/>
        <v>pignons</v>
      </c>
      <c r="C329" s="193"/>
      <c r="D329" s="189"/>
      <c r="E329" s="191"/>
      <c r="F329" s="180"/>
    </row>
    <row r="330" spans="1:6" hidden="1" x14ac:dyDescent="0.25">
      <c r="A330" s="192" t="s">
        <v>166</v>
      </c>
      <c r="B330" s="361" t="str">
        <f t="shared" si="7"/>
        <v>plâtrerie en cours</v>
      </c>
      <c r="C330" s="193"/>
      <c r="D330" s="189"/>
      <c r="E330" s="191"/>
      <c r="F330" s="180"/>
    </row>
    <row r="331" spans="1:6" hidden="1" x14ac:dyDescent="0.25">
      <c r="A331" s="192" t="s">
        <v>189</v>
      </c>
      <c r="B331" s="361" t="str">
        <f t="shared" si="7"/>
        <v>plâtrerie en cours</v>
      </c>
      <c r="C331" s="193"/>
      <c r="D331" s="189"/>
      <c r="E331" s="191"/>
      <c r="F331" s="180"/>
    </row>
    <row r="332" spans="1:6" hidden="1" x14ac:dyDescent="0.25">
      <c r="A332" s="192" t="s">
        <v>104</v>
      </c>
      <c r="B332" s="361" t="str">
        <f t="shared" si="7"/>
        <v>à receptionner</v>
      </c>
      <c r="C332" s="193"/>
      <c r="D332" s="189"/>
      <c r="E332" s="191"/>
      <c r="F332" s="180"/>
    </row>
    <row r="333" spans="1:6" hidden="1" x14ac:dyDescent="0.25">
      <c r="A333" s="192" t="s">
        <v>312</v>
      </c>
      <c r="B333" s="361" t="str">
        <f t="shared" si="7"/>
        <v>démarrage S40</v>
      </c>
      <c r="C333" s="193"/>
      <c r="D333" s="189"/>
      <c r="E333" s="191"/>
      <c r="F333" s="180"/>
    </row>
    <row r="334" spans="1:6" x14ac:dyDescent="0.25">
      <c r="A334" s="192" t="s">
        <v>167</v>
      </c>
      <c r="B334" s="361" t="str">
        <f t="shared" si="7"/>
        <v>chape</v>
      </c>
      <c r="C334" s="193" t="s">
        <v>151</v>
      </c>
      <c r="D334" s="189" t="s">
        <v>7</v>
      </c>
      <c r="E334" s="191">
        <v>29</v>
      </c>
      <c r="F334" s="180"/>
    </row>
    <row r="335" spans="1:6" hidden="1" x14ac:dyDescent="0.25">
      <c r="A335" s="192" t="s">
        <v>205</v>
      </c>
      <c r="B335" s="361" t="str">
        <f t="shared" si="7"/>
        <v>attente men. Ext</v>
      </c>
      <c r="C335" s="193"/>
      <c r="D335" s="189"/>
      <c r="E335" s="191"/>
      <c r="F335" s="180"/>
    </row>
    <row r="336" spans="1:6" hidden="1" x14ac:dyDescent="0.25">
      <c r="A336" s="192" t="s">
        <v>190</v>
      </c>
      <c r="B336" s="361" t="str">
        <f t="shared" si="7"/>
        <v>carrelage</v>
      </c>
      <c r="C336" s="193"/>
      <c r="D336" s="189"/>
      <c r="E336" s="191"/>
      <c r="F336" s="180"/>
    </row>
    <row r="337" spans="1:6" hidden="1" x14ac:dyDescent="0.25">
      <c r="A337" s="192" t="s">
        <v>232</v>
      </c>
      <c r="B337" s="361" t="str">
        <f t="shared" si="7"/>
        <v>attente men. Ext</v>
      </c>
      <c r="C337" s="193"/>
      <c r="D337" s="189"/>
      <c r="E337" s="191"/>
      <c r="F337" s="180"/>
    </row>
    <row r="338" spans="1:6" hidden="1" x14ac:dyDescent="0.25">
      <c r="A338" s="192" t="s">
        <v>313</v>
      </c>
      <c r="B338" s="361" t="str">
        <f t="shared" si="7"/>
        <v>pignons</v>
      </c>
      <c r="C338" s="193"/>
      <c r="D338" s="189"/>
      <c r="E338" s="191"/>
      <c r="F338" s="180"/>
    </row>
    <row r="339" spans="1:6" hidden="1" x14ac:dyDescent="0.25">
      <c r="A339" s="192" t="s">
        <v>270</v>
      </c>
      <c r="B339" s="361" t="str">
        <f t="shared" si="7"/>
        <v>pignons</v>
      </c>
      <c r="C339" s="193"/>
      <c r="D339" s="189"/>
      <c r="E339" s="191"/>
      <c r="F339" s="180"/>
    </row>
    <row r="340" spans="1:6" hidden="1" x14ac:dyDescent="0.25">
      <c r="A340" s="192" t="s">
        <v>233</v>
      </c>
      <c r="B340" s="361" t="str">
        <f t="shared" si="7"/>
        <v>couvert</v>
      </c>
      <c r="C340" s="193"/>
      <c r="D340" s="189"/>
      <c r="E340" s="191"/>
      <c r="F340" s="180"/>
    </row>
    <row r="341" spans="1:6" hidden="1" x14ac:dyDescent="0.25">
      <c r="A341" s="192" t="s">
        <v>206</v>
      </c>
      <c r="B341" s="361" t="str">
        <f t="shared" si="7"/>
        <v>second œuvre</v>
      </c>
      <c r="C341" s="193"/>
      <c r="D341" s="189"/>
      <c r="E341" s="191"/>
      <c r="F341" s="180"/>
    </row>
    <row r="342" spans="1:6" hidden="1" x14ac:dyDescent="0.25">
      <c r="A342" s="192" t="s">
        <v>243</v>
      </c>
      <c r="B342" s="361" t="str">
        <f t="shared" si="7"/>
        <v>attente men. Ext</v>
      </c>
      <c r="C342" s="193"/>
      <c r="D342" s="189"/>
      <c r="E342" s="191"/>
      <c r="F342" s="180"/>
    </row>
    <row r="343" spans="1:6" hidden="1" x14ac:dyDescent="0.25">
      <c r="A343" s="192" t="s">
        <v>234</v>
      </c>
      <c r="B343" s="361" t="str">
        <f t="shared" si="7"/>
        <v>clos couvert</v>
      </c>
      <c r="C343" s="193"/>
      <c r="D343" s="189"/>
      <c r="E343" s="191"/>
      <c r="F343" s="180"/>
    </row>
    <row r="344" spans="1:6" hidden="1" x14ac:dyDescent="0.25">
      <c r="A344" s="192" t="s">
        <v>193</v>
      </c>
      <c r="B344" s="361" t="str">
        <f t="shared" si="7"/>
        <v>attente men. Ext</v>
      </c>
      <c r="C344" s="193"/>
      <c r="D344" s="189"/>
      <c r="E344" s="191"/>
      <c r="F344" s="180"/>
    </row>
    <row r="345" spans="1:6" x14ac:dyDescent="0.25">
      <c r="A345" s="268" t="s">
        <v>178</v>
      </c>
      <c r="B345" s="361" t="str">
        <f t="shared" si="7"/>
        <v>finitions en cours</v>
      </c>
      <c r="C345" s="269" t="s">
        <v>151</v>
      </c>
      <c r="D345" s="189" t="s">
        <v>7</v>
      </c>
      <c r="E345" s="191">
        <v>29</v>
      </c>
      <c r="F345" s="180" t="s">
        <v>275</v>
      </c>
    </row>
    <row r="346" spans="1:6" hidden="1" x14ac:dyDescent="0.25">
      <c r="A346" s="268" t="s">
        <v>178</v>
      </c>
      <c r="B346" s="269">
        <f>B301</f>
        <v>0</v>
      </c>
      <c r="C346" s="269"/>
      <c r="D346" s="189"/>
      <c r="E346" s="191"/>
      <c r="F346" s="180"/>
    </row>
    <row r="347" spans="1:6" x14ac:dyDescent="0.25">
      <c r="A347" s="420"/>
      <c r="B347" s="325"/>
      <c r="C347" s="325"/>
      <c r="D347" s="326"/>
      <c r="E347" s="327"/>
      <c r="F347" s="328"/>
    </row>
    <row r="348" spans="1:6" x14ac:dyDescent="0.25">
      <c r="A348" s="420"/>
      <c r="B348" s="325"/>
      <c r="C348" s="325"/>
      <c r="D348" s="326"/>
      <c r="E348" s="327"/>
      <c r="F348" s="328"/>
    </row>
    <row r="349" spans="1:6" x14ac:dyDescent="0.25">
      <c r="A349" s="420"/>
      <c r="B349" s="325"/>
      <c r="C349" s="325"/>
      <c r="D349" s="326"/>
      <c r="E349" s="327"/>
      <c r="F349" s="328"/>
    </row>
    <row r="350" spans="1:6" x14ac:dyDescent="0.25">
      <c r="A350" s="420"/>
      <c r="B350" s="325"/>
      <c r="C350" s="325"/>
      <c r="D350" s="326"/>
      <c r="E350" s="327"/>
      <c r="F350" s="328"/>
    </row>
    <row r="358" spans="1:8" x14ac:dyDescent="0.25">
      <c r="A358" s="548" t="s">
        <v>158</v>
      </c>
      <c r="B358" s="548"/>
      <c r="C358" s="548"/>
      <c r="D358" s="548"/>
      <c r="E358" s="548"/>
      <c r="F358" s="548"/>
    </row>
    <row r="359" spans="1:8" ht="15.75" thickBot="1" x14ac:dyDescent="0.3">
      <c r="A359" s="548" t="s">
        <v>142</v>
      </c>
      <c r="B359" s="548"/>
      <c r="C359" s="548"/>
      <c r="D359" s="548"/>
      <c r="E359" s="548"/>
      <c r="F359" s="548"/>
    </row>
    <row r="360" spans="1:8" x14ac:dyDescent="0.25">
      <c r="C360" s="544" t="s">
        <v>118</v>
      </c>
    </row>
    <row r="361" spans="1:8" ht="6.75" customHeight="1" x14ac:dyDescent="0.25">
      <c r="C361" s="545"/>
    </row>
    <row r="362" spans="1:8" ht="27" customHeight="1" thickBot="1" x14ac:dyDescent="0.3">
      <c r="C362" s="546"/>
    </row>
    <row r="363" spans="1:8" ht="27" customHeight="1" thickBot="1" x14ac:dyDescent="0.3">
      <c r="C363" s="197" t="s">
        <v>1</v>
      </c>
      <c r="D363" s="185">
        <f ca="1">D183</f>
        <v>34</v>
      </c>
    </row>
    <row r="364" spans="1:8" ht="15" customHeight="1" x14ac:dyDescent="0.25">
      <c r="C364" s="197"/>
      <c r="G364" s="195"/>
      <c r="H364" s="195"/>
    </row>
    <row r="365" spans="1:8" ht="10.5" customHeight="1" x14ac:dyDescent="0.25">
      <c r="C365" s="177"/>
      <c r="D365" s="177"/>
      <c r="E365" s="184"/>
      <c r="F365" s="177"/>
    </row>
    <row r="366" spans="1:8" ht="21.75" customHeight="1" x14ac:dyDescent="0.4">
      <c r="B366" s="186" t="s">
        <v>113</v>
      </c>
      <c r="C366" s="186" t="s">
        <v>75</v>
      </c>
      <c r="D366" s="547" t="s">
        <v>131</v>
      </c>
      <c r="E366" s="547"/>
      <c r="F366" s="177"/>
    </row>
    <row r="367" spans="1:8" ht="16.5" customHeight="1" x14ac:dyDescent="0.3">
      <c r="C367" s="178"/>
      <c r="D367" s="177"/>
      <c r="E367" s="184"/>
      <c r="F367" s="177"/>
    </row>
    <row r="368" spans="1:8" ht="16.5" customHeight="1" x14ac:dyDescent="0.25">
      <c r="A368" s="195" t="s">
        <v>114</v>
      </c>
      <c r="B368" s="356" t="s">
        <v>115</v>
      </c>
      <c r="C368" s="182" t="s">
        <v>116</v>
      </c>
      <c r="D368" s="196" t="s">
        <v>1</v>
      </c>
      <c r="E368" s="184" t="s">
        <v>117</v>
      </c>
      <c r="F368" s="445" t="s">
        <v>245</v>
      </c>
    </row>
    <row r="369" spans="1:6" ht="16.5" hidden="1" customHeight="1" x14ac:dyDescent="0.25">
      <c r="A369" s="181" t="s">
        <v>147</v>
      </c>
      <c r="B369" s="361" t="str">
        <f>B324</f>
        <v>finitions en cours</v>
      </c>
      <c r="C369" s="190"/>
      <c r="D369" s="183"/>
      <c r="E369" s="184"/>
      <c r="F369" s="177"/>
    </row>
    <row r="370" spans="1:6" hidden="1" x14ac:dyDescent="0.25">
      <c r="A370" s="192" t="s">
        <v>177</v>
      </c>
      <c r="B370" s="361" t="str">
        <f t="shared" ref="B370:B390" si="8">B325</f>
        <v>finitions en cours</v>
      </c>
      <c r="C370" s="193"/>
      <c r="D370" s="189"/>
      <c r="E370" s="191"/>
      <c r="F370" s="180"/>
    </row>
    <row r="371" spans="1:6" hidden="1" x14ac:dyDescent="0.25">
      <c r="A371" s="192" t="s">
        <v>101</v>
      </c>
      <c r="B371" s="361" t="str">
        <f t="shared" si="8"/>
        <v>à receptionner</v>
      </c>
      <c r="C371" s="193"/>
      <c r="D371" s="189"/>
      <c r="E371" s="191"/>
      <c r="F371" s="180"/>
    </row>
    <row r="372" spans="1:6" hidden="1" x14ac:dyDescent="0.25">
      <c r="A372" s="192" t="s">
        <v>242</v>
      </c>
      <c r="B372" s="361" t="str">
        <f t="shared" si="8"/>
        <v>démarrage S35</v>
      </c>
      <c r="C372" s="193"/>
      <c r="D372" s="189"/>
      <c r="E372" s="191"/>
      <c r="F372" s="180"/>
    </row>
    <row r="373" spans="1:6" hidden="1" x14ac:dyDescent="0.25">
      <c r="A373" s="192" t="s">
        <v>231</v>
      </c>
      <c r="B373" s="361" t="str">
        <f t="shared" si="8"/>
        <v>couvert</v>
      </c>
      <c r="C373" s="193"/>
      <c r="D373" s="189"/>
      <c r="E373" s="191"/>
      <c r="F373" s="180"/>
    </row>
    <row r="374" spans="1:6" hidden="1" x14ac:dyDescent="0.25">
      <c r="A374" s="192" t="s">
        <v>269</v>
      </c>
      <c r="B374" s="361" t="str">
        <f t="shared" si="8"/>
        <v>pignons</v>
      </c>
      <c r="C374" s="193"/>
      <c r="D374" s="189"/>
      <c r="E374" s="191"/>
      <c r="F374" s="180"/>
    </row>
    <row r="375" spans="1:6" x14ac:dyDescent="0.25">
      <c r="A375" s="192" t="s">
        <v>166</v>
      </c>
      <c r="B375" s="361" t="str">
        <f t="shared" si="8"/>
        <v>plâtrerie en cours</v>
      </c>
      <c r="C375" s="193" t="s">
        <v>251</v>
      </c>
      <c r="D375" s="189" t="s">
        <v>7</v>
      </c>
      <c r="E375" s="191">
        <v>30</v>
      </c>
      <c r="F375" s="180"/>
    </row>
    <row r="376" spans="1:6" x14ac:dyDescent="0.25">
      <c r="A376" s="192" t="s">
        <v>189</v>
      </c>
      <c r="B376" s="361" t="str">
        <f t="shared" si="8"/>
        <v>plâtrerie en cours</v>
      </c>
      <c r="C376" s="193" t="s">
        <v>251</v>
      </c>
      <c r="D376" s="189" t="s">
        <v>7</v>
      </c>
      <c r="E376" s="191">
        <v>35</v>
      </c>
      <c r="F376" s="180"/>
    </row>
    <row r="377" spans="1:6" hidden="1" x14ac:dyDescent="0.25">
      <c r="A377" s="192" t="s">
        <v>104</v>
      </c>
      <c r="B377" s="361" t="str">
        <f t="shared" si="8"/>
        <v>à receptionner</v>
      </c>
      <c r="C377" s="193"/>
      <c r="D377" s="189"/>
      <c r="E377" s="191"/>
      <c r="F377" s="180"/>
    </row>
    <row r="378" spans="1:6" x14ac:dyDescent="0.25">
      <c r="A378" s="364" t="s">
        <v>312</v>
      </c>
      <c r="B378" s="365" t="str">
        <f t="shared" si="8"/>
        <v>démarrage S40</v>
      </c>
      <c r="C378" s="366" t="s">
        <v>251</v>
      </c>
      <c r="D378" s="367" t="s">
        <v>7</v>
      </c>
      <c r="E378" s="483" t="s">
        <v>276</v>
      </c>
      <c r="F378" s="368"/>
    </row>
    <row r="379" spans="1:6" hidden="1" x14ac:dyDescent="0.25">
      <c r="A379" s="192" t="s">
        <v>167</v>
      </c>
      <c r="B379" s="361" t="str">
        <f t="shared" si="8"/>
        <v>chape</v>
      </c>
      <c r="C379" s="193"/>
      <c r="D379" s="189"/>
      <c r="E379" s="191"/>
      <c r="F379" s="180"/>
    </row>
    <row r="380" spans="1:6" x14ac:dyDescent="0.25">
      <c r="A380" s="192" t="s">
        <v>205</v>
      </c>
      <c r="B380" s="361" t="str">
        <f t="shared" si="8"/>
        <v>attente men. Ext</v>
      </c>
      <c r="C380" s="193" t="s">
        <v>149</v>
      </c>
      <c r="D380" s="189" t="s">
        <v>7</v>
      </c>
      <c r="E380" s="191">
        <v>31</v>
      </c>
      <c r="F380" s="180"/>
    </row>
    <row r="381" spans="1:6" hidden="1" x14ac:dyDescent="0.25">
      <c r="A381" s="192" t="s">
        <v>190</v>
      </c>
      <c r="B381" s="361" t="str">
        <f t="shared" si="8"/>
        <v>carrelage</v>
      </c>
      <c r="C381" s="193"/>
      <c r="D381" s="189"/>
      <c r="E381" s="191"/>
      <c r="F381" s="180"/>
    </row>
    <row r="382" spans="1:6" hidden="1" x14ac:dyDescent="0.25">
      <c r="A382" s="192" t="s">
        <v>232</v>
      </c>
      <c r="B382" s="361" t="str">
        <f t="shared" si="8"/>
        <v>attente men. Ext</v>
      </c>
      <c r="C382" s="193"/>
      <c r="D382" s="189"/>
      <c r="E382" s="191"/>
      <c r="F382" s="180"/>
    </row>
    <row r="383" spans="1:6" hidden="1" x14ac:dyDescent="0.25">
      <c r="A383" s="192" t="s">
        <v>313</v>
      </c>
      <c r="B383" s="361" t="str">
        <f t="shared" si="8"/>
        <v>pignons</v>
      </c>
      <c r="C383" s="193"/>
      <c r="D383" s="189"/>
      <c r="E383" s="191"/>
      <c r="F383" s="180"/>
    </row>
    <row r="384" spans="1:6" hidden="1" x14ac:dyDescent="0.25">
      <c r="A384" s="192" t="s">
        <v>270</v>
      </c>
      <c r="B384" s="361" t="str">
        <f t="shared" si="8"/>
        <v>pignons</v>
      </c>
      <c r="C384" s="193"/>
      <c r="D384" s="189"/>
      <c r="E384" s="191"/>
      <c r="F384" s="180"/>
    </row>
    <row r="385" spans="1:6" hidden="1" x14ac:dyDescent="0.25">
      <c r="A385" s="192" t="s">
        <v>233</v>
      </c>
      <c r="B385" s="361" t="str">
        <f t="shared" si="8"/>
        <v>couvert</v>
      </c>
      <c r="C385" s="193"/>
      <c r="D385" s="189"/>
      <c r="E385" s="191"/>
      <c r="F385" s="180"/>
    </row>
    <row r="386" spans="1:6" hidden="1" x14ac:dyDescent="0.25">
      <c r="A386" s="192" t="s">
        <v>206</v>
      </c>
      <c r="B386" s="361" t="str">
        <f t="shared" si="8"/>
        <v>second œuvre</v>
      </c>
      <c r="C386" s="193"/>
      <c r="D386" s="189"/>
      <c r="E386" s="191"/>
      <c r="F386" s="180"/>
    </row>
    <row r="387" spans="1:6" hidden="1" x14ac:dyDescent="0.25">
      <c r="A387" s="192" t="s">
        <v>243</v>
      </c>
      <c r="B387" s="361" t="str">
        <f t="shared" si="8"/>
        <v>attente men. Ext</v>
      </c>
      <c r="C387" s="193"/>
      <c r="D387" s="189"/>
      <c r="E387" s="191"/>
      <c r="F387" s="180"/>
    </row>
    <row r="388" spans="1:6" hidden="1" x14ac:dyDescent="0.25">
      <c r="A388" s="192" t="s">
        <v>234</v>
      </c>
      <c r="B388" s="361" t="str">
        <f t="shared" si="8"/>
        <v>clos couvert</v>
      </c>
      <c r="C388" s="193"/>
      <c r="D388" s="189"/>
      <c r="E388" s="191"/>
      <c r="F388" s="180"/>
    </row>
    <row r="389" spans="1:6" hidden="1" x14ac:dyDescent="0.25">
      <c r="A389" s="192" t="s">
        <v>193</v>
      </c>
      <c r="B389" s="361" t="str">
        <f t="shared" si="8"/>
        <v>attente men. Ext</v>
      </c>
      <c r="C389" s="193"/>
      <c r="D389" s="189"/>
      <c r="E389" s="191"/>
      <c r="F389" s="180"/>
    </row>
    <row r="390" spans="1:6" hidden="1" x14ac:dyDescent="0.25">
      <c r="A390" s="268" t="s">
        <v>178</v>
      </c>
      <c r="B390" s="361" t="str">
        <f t="shared" si="8"/>
        <v>finitions en cours</v>
      </c>
      <c r="C390" s="269"/>
      <c r="D390" s="189"/>
      <c r="E390" s="191"/>
      <c r="F390" s="180"/>
    </row>
    <row r="391" spans="1:6" hidden="1" x14ac:dyDescent="0.25">
      <c r="A391" s="268" t="s">
        <v>178</v>
      </c>
      <c r="B391" s="269">
        <f>B346</f>
        <v>0</v>
      </c>
      <c r="C391" s="269"/>
      <c r="D391" s="189"/>
      <c r="E391" s="191"/>
      <c r="F391" s="180"/>
    </row>
    <row r="392" spans="1:6" x14ac:dyDescent="0.25">
      <c r="A392" s="420"/>
      <c r="B392" s="325"/>
      <c r="C392" s="325"/>
      <c r="D392" s="326"/>
      <c r="E392" s="327"/>
      <c r="F392" s="328"/>
    </row>
    <row r="393" spans="1:6" x14ac:dyDescent="0.25">
      <c r="A393" s="420"/>
      <c r="B393" s="325"/>
      <c r="C393" s="325"/>
      <c r="D393" s="326"/>
      <c r="E393" s="327"/>
      <c r="F393" s="328"/>
    </row>
    <row r="394" spans="1:6" x14ac:dyDescent="0.25">
      <c r="A394" s="420"/>
      <c r="B394" s="325"/>
      <c r="C394" s="325"/>
      <c r="D394" s="326"/>
      <c r="E394" s="327"/>
      <c r="F394" s="328"/>
    </row>
    <row r="395" spans="1:6" x14ac:dyDescent="0.25">
      <c r="A395" s="420"/>
      <c r="B395" s="325"/>
      <c r="C395" s="325"/>
      <c r="D395" s="326"/>
      <c r="E395" s="327"/>
      <c r="F395" s="328"/>
    </row>
    <row r="403" spans="1:8" x14ac:dyDescent="0.25">
      <c r="A403" s="548" t="s">
        <v>158</v>
      </c>
      <c r="B403" s="548"/>
      <c r="C403" s="548"/>
      <c r="D403" s="548"/>
      <c r="E403" s="548"/>
      <c r="F403" s="548"/>
    </row>
    <row r="404" spans="1:8" ht="15.75" thickBot="1" x14ac:dyDescent="0.3">
      <c r="A404" s="548" t="s">
        <v>142</v>
      </c>
      <c r="B404" s="548"/>
      <c r="C404" s="548"/>
      <c r="D404" s="548"/>
      <c r="E404" s="548"/>
      <c r="F404" s="548"/>
    </row>
    <row r="405" spans="1:8" x14ac:dyDescent="0.25">
      <c r="C405" s="544" t="s">
        <v>118</v>
      </c>
    </row>
    <row r="406" spans="1:8" ht="6.75" customHeight="1" x14ac:dyDescent="0.25">
      <c r="C406" s="545"/>
    </row>
    <row r="407" spans="1:8" ht="27" customHeight="1" thickBot="1" x14ac:dyDescent="0.3">
      <c r="C407" s="546"/>
    </row>
    <row r="408" spans="1:8" ht="27" customHeight="1" thickBot="1" x14ac:dyDescent="0.3">
      <c r="C408" s="197" t="s">
        <v>1</v>
      </c>
      <c r="D408" s="185">
        <f ca="1">D228</f>
        <v>34</v>
      </c>
    </row>
    <row r="409" spans="1:8" ht="15" customHeight="1" x14ac:dyDescent="0.25">
      <c r="C409" s="197"/>
      <c r="G409" s="195"/>
      <c r="H409" s="195"/>
    </row>
    <row r="410" spans="1:8" ht="10.5" customHeight="1" x14ac:dyDescent="0.25">
      <c r="C410" s="177"/>
      <c r="D410" s="177"/>
      <c r="E410" s="184"/>
      <c r="F410" s="177"/>
    </row>
    <row r="411" spans="1:8" ht="21.75" customHeight="1" x14ac:dyDescent="0.4">
      <c r="B411" s="186" t="s">
        <v>113</v>
      </c>
      <c r="C411" s="186" t="s">
        <v>129</v>
      </c>
      <c r="D411" s="547" t="s">
        <v>128</v>
      </c>
      <c r="E411" s="547"/>
      <c r="F411" s="177"/>
    </row>
    <row r="412" spans="1:8" ht="16.5" customHeight="1" x14ac:dyDescent="0.3">
      <c r="C412" s="178"/>
      <c r="D412" s="177"/>
      <c r="E412" s="184"/>
      <c r="F412" s="177"/>
    </row>
    <row r="413" spans="1:8" ht="16.5" customHeight="1" x14ac:dyDescent="0.25">
      <c r="A413" s="195" t="s">
        <v>114</v>
      </c>
      <c r="B413" s="356" t="s">
        <v>115</v>
      </c>
      <c r="C413" s="182" t="s">
        <v>116</v>
      </c>
      <c r="D413" s="196" t="s">
        <v>1</v>
      </c>
      <c r="E413" s="184" t="s">
        <v>117</v>
      </c>
      <c r="F413" s="445" t="s">
        <v>245</v>
      </c>
    </row>
    <row r="414" spans="1:8" ht="16.5" hidden="1" customHeight="1" x14ac:dyDescent="0.25">
      <c r="A414" s="181" t="s">
        <v>147</v>
      </c>
      <c r="B414" s="361" t="str">
        <f>B369</f>
        <v>finitions en cours</v>
      </c>
      <c r="C414" s="190"/>
      <c r="D414" s="183"/>
      <c r="E414" s="184"/>
      <c r="F414" s="177"/>
    </row>
    <row r="415" spans="1:8" hidden="1" x14ac:dyDescent="0.25">
      <c r="A415" s="192" t="s">
        <v>177</v>
      </c>
      <c r="B415" s="361" t="str">
        <f t="shared" ref="B415:B435" si="9">B370</f>
        <v>finitions en cours</v>
      </c>
      <c r="C415" s="193"/>
      <c r="D415" s="189"/>
      <c r="E415" s="191"/>
      <c r="F415" s="180"/>
    </row>
    <row r="416" spans="1:8" hidden="1" x14ac:dyDescent="0.25">
      <c r="A416" s="192" t="s">
        <v>101</v>
      </c>
      <c r="B416" s="361" t="str">
        <f t="shared" si="9"/>
        <v>à receptionner</v>
      </c>
      <c r="C416" s="193"/>
      <c r="D416" s="189"/>
      <c r="E416" s="191"/>
      <c r="F416" s="180"/>
    </row>
    <row r="417" spans="1:6" x14ac:dyDescent="0.25">
      <c r="A417" s="192" t="s">
        <v>242</v>
      </c>
      <c r="B417" s="361" t="str">
        <f t="shared" si="9"/>
        <v>démarrage S35</v>
      </c>
      <c r="C417" s="193" t="s">
        <v>213</v>
      </c>
      <c r="D417" s="189" t="s">
        <v>7</v>
      </c>
      <c r="E417" s="191" t="s">
        <v>252</v>
      </c>
      <c r="F417" s="180"/>
    </row>
    <row r="418" spans="1:6" hidden="1" x14ac:dyDescent="0.25">
      <c r="A418" s="192" t="s">
        <v>231</v>
      </c>
      <c r="B418" s="361" t="str">
        <f t="shared" si="9"/>
        <v>couvert</v>
      </c>
      <c r="C418" s="193"/>
      <c r="D418" s="189" t="s">
        <v>7</v>
      </c>
      <c r="E418" s="191"/>
      <c r="F418" s="180"/>
    </row>
    <row r="419" spans="1:6" x14ac:dyDescent="0.25">
      <c r="A419" s="192" t="s">
        <v>269</v>
      </c>
      <c r="B419" s="361" t="str">
        <f t="shared" si="9"/>
        <v>pignons</v>
      </c>
      <c r="C419" s="193" t="s">
        <v>213</v>
      </c>
      <c r="D419" s="189" t="s">
        <v>216</v>
      </c>
      <c r="E419" s="191" t="s">
        <v>171</v>
      </c>
      <c r="F419" s="180"/>
    </row>
    <row r="420" spans="1:6" hidden="1" x14ac:dyDescent="0.25">
      <c r="A420" s="192" t="s">
        <v>166</v>
      </c>
      <c r="B420" s="361" t="str">
        <f t="shared" si="9"/>
        <v>plâtrerie en cours</v>
      </c>
      <c r="C420" s="193"/>
      <c r="D420" s="189"/>
      <c r="E420" s="191"/>
      <c r="F420" s="180"/>
    </row>
    <row r="421" spans="1:6" x14ac:dyDescent="0.25">
      <c r="A421" s="192" t="s">
        <v>189</v>
      </c>
      <c r="B421" s="361" t="str">
        <f t="shared" si="9"/>
        <v>plâtrerie en cours</v>
      </c>
      <c r="C421" s="193" t="s">
        <v>240</v>
      </c>
      <c r="D421" s="189" t="s">
        <v>7</v>
      </c>
      <c r="E421" s="191">
        <v>35</v>
      </c>
      <c r="F421" s="180" t="s">
        <v>279</v>
      </c>
    </row>
    <row r="422" spans="1:6" x14ac:dyDescent="0.25">
      <c r="A422" s="192" t="s">
        <v>104</v>
      </c>
      <c r="B422" s="361" t="str">
        <f t="shared" si="9"/>
        <v>à receptionner</v>
      </c>
      <c r="C422" s="193" t="s">
        <v>280</v>
      </c>
      <c r="D422" s="189" t="s">
        <v>7</v>
      </c>
      <c r="E422" s="191">
        <v>29</v>
      </c>
      <c r="F422" s="180"/>
    </row>
    <row r="423" spans="1:6" x14ac:dyDescent="0.25">
      <c r="A423" s="364" t="s">
        <v>312</v>
      </c>
      <c r="B423" s="365" t="str">
        <f t="shared" si="9"/>
        <v>démarrage S40</v>
      </c>
      <c r="C423" s="366" t="s">
        <v>240</v>
      </c>
      <c r="D423" s="367" t="s">
        <v>7</v>
      </c>
      <c r="E423" s="454" t="s">
        <v>277</v>
      </c>
      <c r="F423" s="368" t="s">
        <v>278</v>
      </c>
    </row>
    <row r="424" spans="1:6" hidden="1" x14ac:dyDescent="0.25">
      <c r="A424" s="192" t="s">
        <v>167</v>
      </c>
      <c r="B424" s="361" t="str">
        <f t="shared" si="9"/>
        <v>chape</v>
      </c>
      <c r="C424" s="193"/>
      <c r="D424" s="189"/>
      <c r="E424" s="191"/>
      <c r="F424" s="180"/>
    </row>
    <row r="425" spans="1:6" x14ac:dyDescent="0.25">
      <c r="A425" s="192" t="s">
        <v>205</v>
      </c>
      <c r="B425" s="361" t="str">
        <f t="shared" si="9"/>
        <v>attente men. Ext</v>
      </c>
      <c r="C425" s="193" t="s">
        <v>149</v>
      </c>
      <c r="D425" s="189" t="s">
        <v>7</v>
      </c>
      <c r="E425" s="191">
        <v>27</v>
      </c>
      <c r="F425" s="180"/>
    </row>
    <row r="426" spans="1:6" x14ac:dyDescent="0.25">
      <c r="A426" s="192" t="s">
        <v>190</v>
      </c>
      <c r="B426" s="361" t="str">
        <f t="shared" si="9"/>
        <v>carrelage</v>
      </c>
      <c r="C426" s="193" t="s">
        <v>153</v>
      </c>
      <c r="D426" s="189" t="s">
        <v>7</v>
      </c>
      <c r="E426" s="191" t="s">
        <v>281</v>
      </c>
      <c r="F426" s="180"/>
    </row>
    <row r="427" spans="1:6" hidden="1" x14ac:dyDescent="0.25">
      <c r="A427" s="192" t="s">
        <v>232</v>
      </c>
      <c r="B427" s="361" t="str">
        <f t="shared" si="9"/>
        <v>attente men. Ext</v>
      </c>
      <c r="C427" s="193"/>
      <c r="D427" s="189" t="s">
        <v>7</v>
      </c>
      <c r="E427" s="191"/>
      <c r="F427" s="180"/>
    </row>
    <row r="428" spans="1:6" x14ac:dyDescent="0.25">
      <c r="A428" s="192" t="s">
        <v>313</v>
      </c>
      <c r="B428" s="361" t="str">
        <f t="shared" si="9"/>
        <v>pignons</v>
      </c>
      <c r="C428" s="193" t="s">
        <v>213</v>
      </c>
      <c r="D428" s="189" t="s">
        <v>216</v>
      </c>
      <c r="E428" s="191" t="s">
        <v>171</v>
      </c>
      <c r="F428" s="180"/>
    </row>
    <row r="429" spans="1:6" hidden="1" x14ac:dyDescent="0.25">
      <c r="A429" s="192" t="s">
        <v>270</v>
      </c>
      <c r="B429" s="361" t="str">
        <f t="shared" si="9"/>
        <v>pignons</v>
      </c>
      <c r="C429" s="193"/>
      <c r="D429" s="189" t="s">
        <v>7</v>
      </c>
      <c r="E429" s="191"/>
      <c r="F429" s="180"/>
    </row>
    <row r="430" spans="1:6" hidden="1" x14ac:dyDescent="0.25">
      <c r="A430" s="192" t="s">
        <v>233</v>
      </c>
      <c r="B430" s="361" t="str">
        <f t="shared" si="9"/>
        <v>couvert</v>
      </c>
      <c r="C430" s="193"/>
      <c r="D430" s="189" t="s">
        <v>7</v>
      </c>
      <c r="E430" s="191"/>
      <c r="F430" s="180"/>
    </row>
    <row r="431" spans="1:6" hidden="1" x14ac:dyDescent="0.25">
      <c r="A431" s="192" t="s">
        <v>206</v>
      </c>
      <c r="B431" s="361" t="str">
        <f t="shared" si="9"/>
        <v>second œuvre</v>
      </c>
      <c r="C431" s="193"/>
      <c r="D431" s="189" t="s">
        <v>7</v>
      </c>
      <c r="E431" s="191"/>
      <c r="F431" s="180"/>
    </row>
    <row r="432" spans="1:6" hidden="1" x14ac:dyDescent="0.25">
      <c r="A432" s="192" t="s">
        <v>243</v>
      </c>
      <c r="B432" s="361" t="str">
        <f t="shared" si="9"/>
        <v>attente men. Ext</v>
      </c>
      <c r="C432" s="193"/>
      <c r="D432" s="189"/>
      <c r="E432" s="191"/>
      <c r="F432" s="180"/>
    </row>
    <row r="433" spans="1:6" x14ac:dyDescent="0.25">
      <c r="A433" s="192" t="s">
        <v>234</v>
      </c>
      <c r="B433" s="361" t="str">
        <f t="shared" si="9"/>
        <v>clos couvert</v>
      </c>
      <c r="C433" s="193" t="s">
        <v>153</v>
      </c>
      <c r="D433" s="189" t="s">
        <v>7</v>
      </c>
      <c r="E433" s="191">
        <v>36</v>
      </c>
      <c r="F433" s="180"/>
    </row>
    <row r="434" spans="1:6" x14ac:dyDescent="0.25">
      <c r="A434" s="192" t="s">
        <v>193</v>
      </c>
      <c r="B434" s="361" t="str">
        <f t="shared" si="9"/>
        <v>attente men. Ext</v>
      </c>
      <c r="C434" s="193" t="s">
        <v>153</v>
      </c>
      <c r="D434" s="189" t="s">
        <v>7</v>
      </c>
      <c r="E434" s="191">
        <v>30</v>
      </c>
      <c r="F434" s="180"/>
    </row>
    <row r="435" spans="1:6" x14ac:dyDescent="0.25">
      <c r="A435" s="268" t="s">
        <v>178</v>
      </c>
      <c r="B435" s="361" t="str">
        <f t="shared" si="9"/>
        <v>finitions en cours</v>
      </c>
      <c r="C435" s="193" t="s">
        <v>153</v>
      </c>
      <c r="D435" s="189" t="s">
        <v>7</v>
      </c>
      <c r="E435" s="191">
        <v>30</v>
      </c>
      <c r="F435" s="180"/>
    </row>
    <row r="436" spans="1:6" hidden="1" x14ac:dyDescent="0.25">
      <c r="A436" s="268" t="s">
        <v>178</v>
      </c>
      <c r="B436" s="325">
        <f>B391</f>
        <v>0</v>
      </c>
      <c r="C436" s="269"/>
      <c r="D436" s="189"/>
      <c r="E436" s="191"/>
      <c r="F436" s="180"/>
    </row>
    <row r="437" spans="1:6" x14ac:dyDescent="0.25">
      <c r="A437" s="420"/>
      <c r="B437" s="452"/>
      <c r="C437" s="325"/>
      <c r="D437" s="326"/>
      <c r="E437" s="327"/>
      <c r="F437" s="328"/>
    </row>
    <row r="438" spans="1:6" x14ac:dyDescent="0.25">
      <c r="A438" s="420"/>
      <c r="B438" s="325"/>
      <c r="C438" s="325"/>
      <c r="D438" s="326"/>
      <c r="E438" s="327"/>
      <c r="F438" s="328"/>
    </row>
    <row r="439" spans="1:6" x14ac:dyDescent="0.25">
      <c r="A439" s="420"/>
      <c r="B439" s="325"/>
      <c r="C439" s="325"/>
      <c r="D439" s="326"/>
      <c r="E439" s="327"/>
      <c r="F439" s="328"/>
    </row>
    <row r="440" spans="1:6" x14ac:dyDescent="0.25">
      <c r="A440" s="420"/>
      <c r="B440" s="325"/>
      <c r="C440" s="325"/>
      <c r="D440" s="326"/>
      <c r="E440" s="327"/>
      <c r="F440" s="328"/>
    </row>
    <row r="448" spans="1:6" x14ac:dyDescent="0.25">
      <c r="A448" s="548" t="s">
        <v>158</v>
      </c>
      <c r="B448" s="548"/>
      <c r="C448" s="548"/>
      <c r="D448" s="548"/>
      <c r="E448" s="548"/>
      <c r="F448" s="548"/>
    </row>
    <row r="449" spans="1:8" ht="15.75" thickBot="1" x14ac:dyDescent="0.3">
      <c r="A449" s="548" t="s">
        <v>142</v>
      </c>
      <c r="B449" s="548"/>
      <c r="C449" s="548"/>
      <c r="D449" s="548"/>
      <c r="E449" s="548"/>
      <c r="F449" s="548"/>
    </row>
    <row r="450" spans="1:8" x14ac:dyDescent="0.25">
      <c r="C450" s="544" t="s">
        <v>118</v>
      </c>
    </row>
    <row r="451" spans="1:8" ht="6.75" customHeight="1" x14ac:dyDescent="0.25">
      <c r="C451" s="545"/>
    </row>
    <row r="452" spans="1:8" ht="27" customHeight="1" thickBot="1" x14ac:dyDescent="0.3">
      <c r="C452" s="546"/>
    </row>
    <row r="453" spans="1:8" ht="27" customHeight="1" thickBot="1" x14ac:dyDescent="0.3">
      <c r="C453" s="197" t="s">
        <v>1</v>
      </c>
      <c r="D453" s="185">
        <f ca="1">D273</f>
        <v>34</v>
      </c>
    </row>
    <row r="454" spans="1:8" ht="15" customHeight="1" x14ac:dyDescent="0.25">
      <c r="C454" s="197"/>
      <c r="G454" s="195"/>
      <c r="H454" s="195"/>
    </row>
    <row r="455" spans="1:8" ht="10.5" customHeight="1" x14ac:dyDescent="0.25">
      <c r="C455" s="177"/>
      <c r="D455" s="177"/>
      <c r="E455" s="184"/>
      <c r="F455" s="177"/>
    </row>
    <row r="456" spans="1:8" ht="21.75" customHeight="1" x14ac:dyDescent="0.4">
      <c r="B456" s="186" t="s">
        <v>113</v>
      </c>
      <c r="C456" s="186" t="s">
        <v>81</v>
      </c>
      <c r="D456" s="547" t="s">
        <v>143</v>
      </c>
      <c r="E456" s="547"/>
      <c r="F456" s="177"/>
    </row>
    <row r="457" spans="1:8" ht="16.5" customHeight="1" x14ac:dyDescent="0.3">
      <c r="C457" s="178"/>
      <c r="D457" s="177"/>
      <c r="E457" s="184"/>
      <c r="F457" s="177"/>
    </row>
    <row r="458" spans="1:8" ht="16.5" customHeight="1" x14ac:dyDescent="0.25">
      <c r="A458" s="195" t="s">
        <v>114</v>
      </c>
      <c r="B458" s="356" t="s">
        <v>115</v>
      </c>
      <c r="C458" s="182" t="s">
        <v>116</v>
      </c>
      <c r="D458" s="196" t="s">
        <v>1</v>
      </c>
      <c r="E458" s="184" t="s">
        <v>117</v>
      </c>
      <c r="F458" s="445" t="s">
        <v>245</v>
      </c>
    </row>
    <row r="459" spans="1:8" ht="16.5" hidden="1" customHeight="1" x14ac:dyDescent="0.25">
      <c r="A459" s="181" t="s">
        <v>147</v>
      </c>
      <c r="B459" s="361" t="str">
        <f>B414</f>
        <v>finitions en cours</v>
      </c>
      <c r="C459" s="190"/>
      <c r="D459" s="183"/>
      <c r="E459" s="184"/>
      <c r="F459" s="177"/>
    </row>
    <row r="460" spans="1:8" x14ac:dyDescent="0.25">
      <c r="A460" s="192" t="s">
        <v>177</v>
      </c>
      <c r="B460" s="361" t="str">
        <f t="shared" ref="B460:B480" si="10">B415</f>
        <v>finitions en cours</v>
      </c>
      <c r="C460" s="193" t="s">
        <v>253</v>
      </c>
      <c r="D460" s="189" t="s">
        <v>7</v>
      </c>
      <c r="E460" s="191">
        <v>28</v>
      </c>
      <c r="F460" s="180"/>
    </row>
    <row r="461" spans="1:8" hidden="1" x14ac:dyDescent="0.25">
      <c r="A461" s="192" t="s">
        <v>101</v>
      </c>
      <c r="B461" s="361" t="str">
        <f t="shared" si="10"/>
        <v>à receptionner</v>
      </c>
      <c r="C461" s="193"/>
      <c r="D461" s="189"/>
      <c r="E461" s="191"/>
      <c r="F461" s="180"/>
    </row>
    <row r="462" spans="1:8" x14ac:dyDescent="0.25">
      <c r="A462" s="192" t="s">
        <v>242</v>
      </c>
      <c r="B462" s="361" t="str">
        <f t="shared" si="10"/>
        <v>démarrage S35</v>
      </c>
      <c r="C462" s="193" t="s">
        <v>176</v>
      </c>
      <c r="D462" s="189" t="s">
        <v>7</v>
      </c>
      <c r="E462" s="191">
        <v>39</v>
      </c>
      <c r="F462" s="180"/>
    </row>
    <row r="463" spans="1:8" x14ac:dyDescent="0.25">
      <c r="A463" s="192" t="s">
        <v>231</v>
      </c>
      <c r="B463" s="361" t="str">
        <f t="shared" si="10"/>
        <v>couvert</v>
      </c>
      <c r="C463" s="193" t="s">
        <v>176</v>
      </c>
      <c r="D463" s="189" t="s">
        <v>7</v>
      </c>
      <c r="E463" s="191">
        <v>31</v>
      </c>
      <c r="F463" s="180"/>
    </row>
    <row r="464" spans="1:8" x14ac:dyDescent="0.25">
      <c r="A464" s="192" t="s">
        <v>269</v>
      </c>
      <c r="B464" s="361" t="str">
        <f t="shared" si="10"/>
        <v>pignons</v>
      </c>
      <c r="C464" s="193" t="s">
        <v>176</v>
      </c>
      <c r="D464" s="189" t="s">
        <v>7</v>
      </c>
      <c r="E464" s="191">
        <v>37</v>
      </c>
      <c r="F464" s="180"/>
    </row>
    <row r="465" spans="1:6" x14ac:dyDescent="0.25">
      <c r="A465" s="192" t="s">
        <v>166</v>
      </c>
      <c r="B465" s="361" t="str">
        <f t="shared" si="10"/>
        <v>plâtrerie en cours</v>
      </c>
      <c r="C465" s="193"/>
      <c r="D465" s="189"/>
      <c r="E465" s="191"/>
      <c r="F465" s="180"/>
    </row>
    <row r="466" spans="1:6" x14ac:dyDescent="0.25">
      <c r="A466" s="192" t="s">
        <v>189</v>
      </c>
      <c r="B466" s="361" t="str">
        <f t="shared" si="10"/>
        <v>plâtrerie en cours</v>
      </c>
      <c r="C466" s="193" t="s">
        <v>176</v>
      </c>
      <c r="D466" s="189" t="s">
        <v>7</v>
      </c>
      <c r="E466" s="191">
        <v>30</v>
      </c>
      <c r="F466" s="180"/>
    </row>
    <row r="467" spans="1:6" s="438" customFormat="1" hidden="1" x14ac:dyDescent="0.25">
      <c r="A467" s="362" t="s">
        <v>104</v>
      </c>
      <c r="B467" s="433" t="str">
        <f t="shared" si="10"/>
        <v>à receptionner</v>
      </c>
      <c r="C467" s="434"/>
      <c r="D467" s="435"/>
      <c r="E467" s="436"/>
      <c r="F467" s="437"/>
    </row>
    <row r="468" spans="1:6" s="439" customFormat="1" x14ac:dyDescent="0.25">
      <c r="A468" s="362" t="s">
        <v>312</v>
      </c>
      <c r="B468" s="433" t="str">
        <f t="shared" si="10"/>
        <v>démarrage S40</v>
      </c>
      <c r="C468" s="434"/>
      <c r="D468" s="435"/>
      <c r="E468" s="436"/>
      <c r="F468" s="368"/>
    </row>
    <row r="469" spans="1:6" hidden="1" x14ac:dyDescent="0.25">
      <c r="A469" s="192" t="s">
        <v>167</v>
      </c>
      <c r="B469" s="361" t="str">
        <f t="shared" si="10"/>
        <v>chape</v>
      </c>
      <c r="C469" s="193"/>
      <c r="D469" s="189"/>
      <c r="E469" s="191"/>
      <c r="F469" s="180"/>
    </row>
    <row r="470" spans="1:6" x14ac:dyDescent="0.25">
      <c r="A470" s="192" t="s">
        <v>205</v>
      </c>
      <c r="B470" s="361" t="str">
        <f t="shared" si="10"/>
        <v>attente men. Ext</v>
      </c>
      <c r="C470" s="193"/>
      <c r="D470" s="189"/>
      <c r="E470" s="191"/>
      <c r="F470" s="180"/>
    </row>
    <row r="471" spans="1:6" hidden="1" x14ac:dyDescent="0.25">
      <c r="A471" s="192" t="s">
        <v>190</v>
      </c>
      <c r="B471" s="361" t="str">
        <f t="shared" si="10"/>
        <v>carrelage</v>
      </c>
      <c r="C471" s="193"/>
      <c r="D471" s="189"/>
      <c r="E471" s="191"/>
      <c r="F471" s="180"/>
    </row>
    <row r="472" spans="1:6" hidden="1" x14ac:dyDescent="0.25">
      <c r="A472" s="192" t="s">
        <v>232</v>
      </c>
      <c r="B472" s="361" t="str">
        <f t="shared" si="10"/>
        <v>attente men. Ext</v>
      </c>
      <c r="C472" s="193"/>
      <c r="D472" s="189"/>
      <c r="E472" s="191"/>
      <c r="F472" s="180"/>
    </row>
    <row r="473" spans="1:6" hidden="1" x14ac:dyDescent="0.25">
      <c r="A473" s="192" t="s">
        <v>313</v>
      </c>
      <c r="B473" s="361" t="str">
        <f t="shared" si="10"/>
        <v>pignons</v>
      </c>
      <c r="C473" s="193"/>
      <c r="D473" s="189"/>
      <c r="E473" s="191"/>
      <c r="F473" s="180"/>
    </row>
    <row r="474" spans="1:6" hidden="1" x14ac:dyDescent="0.25">
      <c r="A474" s="192" t="s">
        <v>270</v>
      </c>
      <c r="B474" s="361" t="str">
        <f t="shared" si="10"/>
        <v>pignons</v>
      </c>
      <c r="C474" s="193"/>
      <c r="D474" s="189"/>
      <c r="E474" s="191"/>
      <c r="F474" s="180"/>
    </row>
    <row r="475" spans="1:6" hidden="1" x14ac:dyDescent="0.25">
      <c r="A475" s="192" t="s">
        <v>233</v>
      </c>
      <c r="B475" s="361" t="str">
        <f t="shared" si="10"/>
        <v>couvert</v>
      </c>
      <c r="C475" s="193"/>
      <c r="D475" s="189"/>
      <c r="E475" s="191"/>
      <c r="F475" s="180"/>
    </row>
    <row r="476" spans="1:6" hidden="1" x14ac:dyDescent="0.25">
      <c r="A476" s="192" t="s">
        <v>206</v>
      </c>
      <c r="B476" s="361" t="str">
        <f t="shared" si="10"/>
        <v>second œuvre</v>
      </c>
      <c r="C476" s="193"/>
      <c r="D476" s="189"/>
      <c r="E476" s="191"/>
      <c r="F476" s="180"/>
    </row>
    <row r="477" spans="1:6" hidden="1" x14ac:dyDescent="0.25">
      <c r="A477" s="192" t="s">
        <v>243</v>
      </c>
      <c r="B477" s="361" t="str">
        <f t="shared" si="10"/>
        <v>attente men. Ext</v>
      </c>
      <c r="C477" s="193"/>
      <c r="D477" s="189"/>
      <c r="E477" s="191"/>
      <c r="F477" s="180"/>
    </row>
    <row r="478" spans="1:6" hidden="1" x14ac:dyDescent="0.25">
      <c r="A478" s="192" t="s">
        <v>234</v>
      </c>
      <c r="B478" s="361" t="str">
        <f t="shared" si="10"/>
        <v>clos couvert</v>
      </c>
      <c r="C478" s="193"/>
      <c r="D478" s="189"/>
      <c r="E478" s="191"/>
      <c r="F478" s="180"/>
    </row>
    <row r="479" spans="1:6" hidden="1" x14ac:dyDescent="0.25">
      <c r="A479" s="192" t="s">
        <v>193</v>
      </c>
      <c r="B479" s="361" t="str">
        <f t="shared" si="10"/>
        <v>attente men. Ext</v>
      </c>
      <c r="C479" s="193"/>
      <c r="D479" s="189"/>
      <c r="E479" s="191"/>
      <c r="F479" s="180"/>
    </row>
    <row r="480" spans="1:6" hidden="1" x14ac:dyDescent="0.25">
      <c r="A480" s="268" t="s">
        <v>178</v>
      </c>
      <c r="B480" s="361" t="str">
        <f t="shared" si="10"/>
        <v>finitions en cours</v>
      </c>
      <c r="C480" s="269"/>
      <c r="D480" s="189"/>
      <c r="E480" s="191"/>
      <c r="F480" s="180"/>
    </row>
    <row r="481" spans="1:6" hidden="1" x14ac:dyDescent="0.25">
      <c r="A481" s="268" t="s">
        <v>178</v>
      </c>
      <c r="B481" s="269">
        <f>B436</f>
        <v>0</v>
      </c>
      <c r="C481" s="269"/>
      <c r="D481" s="189"/>
      <c r="E481" s="191"/>
      <c r="F481" s="180"/>
    </row>
    <row r="482" spans="1:6" s="439" customFormat="1" x14ac:dyDescent="0.25">
      <c r="A482" s="440"/>
      <c r="B482" s="365"/>
      <c r="C482" s="365"/>
      <c r="D482" s="441"/>
      <c r="E482" s="442"/>
      <c r="F482" s="443"/>
    </row>
    <row r="483" spans="1:6" x14ac:dyDescent="0.25">
      <c r="A483" s="420"/>
      <c r="B483" s="325"/>
      <c r="C483" s="325"/>
      <c r="D483" s="326"/>
      <c r="E483" s="327"/>
      <c r="F483" s="328"/>
    </row>
    <row r="484" spans="1:6" x14ac:dyDescent="0.25">
      <c r="A484" s="420"/>
      <c r="B484" s="325"/>
      <c r="C484" s="325"/>
      <c r="D484" s="326"/>
      <c r="E484" s="327"/>
      <c r="F484" s="328"/>
    </row>
    <row r="485" spans="1:6" x14ac:dyDescent="0.25">
      <c r="A485" s="420"/>
      <c r="B485" s="325"/>
      <c r="C485" s="325"/>
      <c r="D485" s="326"/>
      <c r="E485" s="327"/>
      <c r="F485" s="328"/>
    </row>
    <row r="493" spans="1:6" x14ac:dyDescent="0.25">
      <c r="A493" s="548" t="s">
        <v>158</v>
      </c>
      <c r="B493" s="548"/>
      <c r="C493" s="548"/>
      <c r="D493" s="548"/>
      <c r="E493" s="548"/>
      <c r="F493" s="548"/>
    </row>
    <row r="494" spans="1:6" ht="15.75" thickBot="1" x14ac:dyDescent="0.3">
      <c r="A494" s="548" t="s">
        <v>142</v>
      </c>
      <c r="B494" s="548"/>
      <c r="C494" s="548"/>
      <c r="D494" s="548"/>
      <c r="E494" s="548"/>
      <c r="F494" s="548"/>
    </row>
    <row r="495" spans="1:6" x14ac:dyDescent="0.25">
      <c r="C495" s="544" t="s">
        <v>118</v>
      </c>
    </row>
    <row r="496" spans="1:6" ht="6.75" customHeight="1" x14ac:dyDescent="0.25">
      <c r="C496" s="545"/>
    </row>
    <row r="497" spans="1:8" ht="27" customHeight="1" thickBot="1" x14ac:dyDescent="0.3">
      <c r="C497" s="546"/>
    </row>
    <row r="498" spans="1:8" ht="27" customHeight="1" thickBot="1" x14ac:dyDescent="0.3">
      <c r="C498" s="197" t="s">
        <v>1</v>
      </c>
      <c r="D498" s="185">
        <f ca="1">D318</f>
        <v>34</v>
      </c>
    </row>
    <row r="499" spans="1:8" ht="15" customHeight="1" x14ac:dyDescent="0.25">
      <c r="C499" s="197"/>
      <c r="G499" s="195"/>
      <c r="H499" s="195"/>
    </row>
    <row r="500" spans="1:8" ht="10.5" customHeight="1" x14ac:dyDescent="0.25">
      <c r="C500" s="177"/>
      <c r="D500" s="177"/>
      <c r="E500" s="184"/>
      <c r="F500" s="177"/>
    </row>
    <row r="501" spans="1:8" ht="21.75" customHeight="1" x14ac:dyDescent="0.4">
      <c r="B501" s="186" t="s">
        <v>113</v>
      </c>
      <c r="C501" s="186" t="s">
        <v>61</v>
      </c>
      <c r="D501" s="547" t="s">
        <v>144</v>
      </c>
      <c r="E501" s="547"/>
      <c r="F501" s="177"/>
    </row>
    <row r="502" spans="1:8" ht="16.5" customHeight="1" x14ac:dyDescent="0.3">
      <c r="C502" s="178"/>
      <c r="D502" s="177"/>
      <c r="E502" s="184"/>
      <c r="F502" s="177"/>
    </row>
    <row r="503" spans="1:8" ht="16.5" customHeight="1" x14ac:dyDescent="0.25">
      <c r="A503" s="195" t="s">
        <v>114</v>
      </c>
      <c r="B503" s="356" t="s">
        <v>115</v>
      </c>
      <c r="C503" s="182" t="s">
        <v>116</v>
      </c>
      <c r="D503" s="196" t="s">
        <v>1</v>
      </c>
      <c r="E503" s="184" t="s">
        <v>117</v>
      </c>
      <c r="F503" s="445" t="s">
        <v>245</v>
      </c>
    </row>
    <row r="504" spans="1:8" ht="16.5" hidden="1" customHeight="1" x14ac:dyDescent="0.25">
      <c r="A504" s="181" t="s">
        <v>147</v>
      </c>
      <c r="B504" s="361" t="str">
        <f>B459</f>
        <v>finitions en cours</v>
      </c>
      <c r="C504" s="190"/>
      <c r="D504" s="183"/>
      <c r="E504" s="184"/>
      <c r="F504" s="177"/>
    </row>
    <row r="505" spans="1:8" hidden="1" x14ac:dyDescent="0.25">
      <c r="A505" s="192" t="s">
        <v>177</v>
      </c>
      <c r="B505" s="361" t="str">
        <f t="shared" ref="B505:B525" si="11">B460</f>
        <v>finitions en cours</v>
      </c>
      <c r="C505" s="193"/>
      <c r="D505" s="189"/>
      <c r="E505" s="191"/>
      <c r="F505" s="180"/>
    </row>
    <row r="506" spans="1:8" hidden="1" x14ac:dyDescent="0.25">
      <c r="A506" s="192" t="s">
        <v>101</v>
      </c>
      <c r="B506" s="361" t="str">
        <f t="shared" si="11"/>
        <v>à receptionner</v>
      </c>
      <c r="C506" s="193"/>
      <c r="D506" s="189"/>
      <c r="E506" s="191"/>
      <c r="F506" s="180"/>
    </row>
    <row r="507" spans="1:8" hidden="1" x14ac:dyDescent="0.25">
      <c r="A507" s="202" t="s">
        <v>242</v>
      </c>
      <c r="B507" s="361" t="str">
        <f t="shared" si="11"/>
        <v>démarrage S35</v>
      </c>
      <c r="C507" s="193"/>
      <c r="D507" s="189"/>
      <c r="E507" s="191"/>
      <c r="F507" s="180"/>
    </row>
    <row r="508" spans="1:8" x14ac:dyDescent="0.25">
      <c r="A508" s="192" t="s">
        <v>231</v>
      </c>
      <c r="B508" s="361" t="str">
        <f t="shared" si="11"/>
        <v>couvert</v>
      </c>
      <c r="C508" s="193" t="s">
        <v>254</v>
      </c>
      <c r="D508" s="189" t="s">
        <v>7</v>
      </c>
      <c r="E508" s="191">
        <v>28</v>
      </c>
      <c r="F508" s="180"/>
    </row>
    <row r="509" spans="1:8" x14ac:dyDescent="0.25">
      <c r="A509" s="202" t="s">
        <v>269</v>
      </c>
      <c r="B509" s="361" t="str">
        <f t="shared" si="11"/>
        <v>pignons</v>
      </c>
      <c r="C509" s="193" t="s">
        <v>254</v>
      </c>
      <c r="D509" s="189" t="s">
        <v>7</v>
      </c>
      <c r="E509" s="191">
        <v>33</v>
      </c>
      <c r="F509" s="180"/>
    </row>
    <row r="510" spans="1:8" hidden="1" x14ac:dyDescent="0.25">
      <c r="A510" s="192" t="s">
        <v>166</v>
      </c>
      <c r="B510" s="361" t="str">
        <f t="shared" si="11"/>
        <v>plâtrerie en cours</v>
      </c>
      <c r="C510" s="193"/>
      <c r="D510" s="189"/>
      <c r="E510" s="191"/>
      <c r="F510" s="180"/>
    </row>
    <row r="511" spans="1:8" hidden="1" x14ac:dyDescent="0.25">
      <c r="A511" s="192" t="s">
        <v>189</v>
      </c>
      <c r="B511" s="361" t="str">
        <f t="shared" si="11"/>
        <v>plâtrerie en cours</v>
      </c>
      <c r="C511" s="193"/>
      <c r="D511" s="189"/>
      <c r="E511" s="191"/>
      <c r="F511" s="180"/>
    </row>
    <row r="512" spans="1:8" hidden="1" x14ac:dyDescent="0.25">
      <c r="A512" s="192" t="s">
        <v>104</v>
      </c>
      <c r="B512" s="361" t="str">
        <f t="shared" si="11"/>
        <v>à receptionner</v>
      </c>
      <c r="C512" s="193"/>
      <c r="D512" s="189"/>
      <c r="E512" s="191"/>
      <c r="F512" s="180"/>
    </row>
    <row r="513" spans="1:6" hidden="1" x14ac:dyDescent="0.25">
      <c r="A513" s="192" t="s">
        <v>312</v>
      </c>
      <c r="B513" s="361" t="str">
        <f t="shared" si="11"/>
        <v>démarrage S40</v>
      </c>
      <c r="C513" s="193"/>
      <c r="D513" s="189"/>
      <c r="E513" s="191"/>
      <c r="F513" s="180"/>
    </row>
    <row r="514" spans="1:6" hidden="1" x14ac:dyDescent="0.25">
      <c r="A514" s="192" t="s">
        <v>167</v>
      </c>
      <c r="B514" s="361" t="str">
        <f t="shared" si="11"/>
        <v>chape</v>
      </c>
      <c r="C514" s="193"/>
      <c r="D514" s="189"/>
      <c r="E514" s="191"/>
      <c r="F514" s="180"/>
    </row>
    <row r="515" spans="1:6" hidden="1" x14ac:dyDescent="0.25">
      <c r="A515" s="192" t="s">
        <v>205</v>
      </c>
      <c r="B515" s="361" t="str">
        <f t="shared" si="11"/>
        <v>attente men. Ext</v>
      </c>
      <c r="C515" s="193"/>
      <c r="D515" s="189"/>
      <c r="E515" s="191"/>
      <c r="F515" s="180"/>
    </row>
    <row r="516" spans="1:6" hidden="1" x14ac:dyDescent="0.25">
      <c r="A516" s="192" t="s">
        <v>190</v>
      </c>
      <c r="B516" s="361" t="str">
        <f t="shared" si="11"/>
        <v>carrelage</v>
      </c>
      <c r="C516" s="193"/>
      <c r="D516" s="189" t="s">
        <v>7</v>
      </c>
      <c r="E516" s="191"/>
      <c r="F516" s="180"/>
    </row>
    <row r="517" spans="1:6" hidden="1" x14ac:dyDescent="0.25">
      <c r="A517" s="192" t="s">
        <v>232</v>
      </c>
      <c r="B517" s="361" t="str">
        <f t="shared" si="11"/>
        <v>attente men. Ext</v>
      </c>
      <c r="C517" s="193"/>
      <c r="D517" s="189"/>
      <c r="E517" s="191"/>
      <c r="F517" s="180"/>
    </row>
    <row r="518" spans="1:6" x14ac:dyDescent="0.25">
      <c r="A518" s="192" t="s">
        <v>313</v>
      </c>
      <c r="B518" s="361" t="str">
        <f t="shared" si="11"/>
        <v>pignons</v>
      </c>
      <c r="C518" s="193" t="s">
        <v>254</v>
      </c>
      <c r="D518" s="189" t="s">
        <v>7</v>
      </c>
      <c r="E518" s="191">
        <v>36</v>
      </c>
      <c r="F518" s="180"/>
    </row>
    <row r="519" spans="1:6" hidden="1" x14ac:dyDescent="0.25">
      <c r="A519" s="192" t="s">
        <v>270</v>
      </c>
      <c r="B519" s="361" t="str">
        <f t="shared" si="11"/>
        <v>pignons</v>
      </c>
      <c r="C519" s="193"/>
      <c r="D519" s="189"/>
      <c r="E519" s="191"/>
      <c r="F519" s="180"/>
    </row>
    <row r="520" spans="1:6" x14ac:dyDescent="0.25">
      <c r="A520" s="192" t="s">
        <v>233</v>
      </c>
      <c r="B520" s="361" t="str">
        <f t="shared" si="11"/>
        <v>couvert</v>
      </c>
      <c r="C520" s="193" t="s">
        <v>254</v>
      </c>
      <c r="D520" s="189" t="s">
        <v>7</v>
      </c>
      <c r="E520" s="191">
        <v>33</v>
      </c>
      <c r="F520" s="180"/>
    </row>
    <row r="521" spans="1:6" x14ac:dyDescent="0.25">
      <c r="A521" s="192" t="s">
        <v>206</v>
      </c>
      <c r="B521" s="361" t="str">
        <f t="shared" si="11"/>
        <v>second œuvre</v>
      </c>
      <c r="C521" s="193" t="s">
        <v>254</v>
      </c>
      <c r="D521" s="189" t="s">
        <v>7</v>
      </c>
      <c r="E521" s="191">
        <v>29</v>
      </c>
      <c r="F521" s="180"/>
    </row>
    <row r="522" spans="1:6" hidden="1" x14ac:dyDescent="0.25">
      <c r="A522" s="192" t="s">
        <v>243</v>
      </c>
      <c r="B522" s="361" t="str">
        <f t="shared" si="11"/>
        <v>attente men. Ext</v>
      </c>
      <c r="C522" s="193"/>
      <c r="D522" s="189"/>
      <c r="E522" s="191"/>
      <c r="F522" s="180"/>
    </row>
    <row r="523" spans="1:6" hidden="1" x14ac:dyDescent="0.25">
      <c r="A523" s="192" t="s">
        <v>234</v>
      </c>
      <c r="B523" s="361" t="str">
        <f t="shared" si="11"/>
        <v>clos couvert</v>
      </c>
      <c r="C523" s="193"/>
      <c r="D523" s="189"/>
      <c r="E523" s="191"/>
      <c r="F523" s="180"/>
    </row>
    <row r="524" spans="1:6" hidden="1" x14ac:dyDescent="0.25">
      <c r="A524" s="192" t="s">
        <v>193</v>
      </c>
      <c r="B524" s="361" t="str">
        <f t="shared" si="11"/>
        <v>attente men. Ext</v>
      </c>
      <c r="C524" s="193"/>
      <c r="D524" s="189"/>
      <c r="E524" s="191"/>
      <c r="F524" s="180"/>
    </row>
    <row r="525" spans="1:6" hidden="1" x14ac:dyDescent="0.25">
      <c r="A525" s="268" t="s">
        <v>178</v>
      </c>
      <c r="B525" s="361" t="str">
        <f t="shared" si="11"/>
        <v>finitions en cours</v>
      </c>
      <c r="C525" s="269"/>
      <c r="D525" s="189"/>
      <c r="E525" s="191"/>
      <c r="F525" s="180"/>
    </row>
    <row r="526" spans="1:6" hidden="1" x14ac:dyDescent="0.25">
      <c r="A526" s="268" t="s">
        <v>178</v>
      </c>
      <c r="B526" s="269">
        <f>B481</f>
        <v>0</v>
      </c>
      <c r="C526" s="269"/>
      <c r="D526" s="189"/>
      <c r="E526" s="191"/>
      <c r="F526" s="180"/>
    </row>
    <row r="527" spans="1:6" x14ac:dyDescent="0.25">
      <c r="A527" s="420"/>
      <c r="B527" s="325"/>
      <c r="C527" s="325"/>
      <c r="D527" s="326"/>
      <c r="E527" s="327"/>
      <c r="F527" s="328"/>
    </row>
    <row r="528" spans="1:6" x14ac:dyDescent="0.25">
      <c r="A528" s="420"/>
      <c r="B528" s="325"/>
      <c r="C528" s="325"/>
      <c r="D528" s="326"/>
      <c r="E528" s="327"/>
      <c r="F528" s="328"/>
    </row>
    <row r="529" spans="1:8" x14ac:dyDescent="0.25">
      <c r="A529" s="420"/>
      <c r="B529" s="325"/>
      <c r="C529" s="325"/>
      <c r="D529" s="326"/>
      <c r="E529" s="327"/>
      <c r="F529" s="328"/>
    </row>
    <row r="530" spans="1:8" x14ac:dyDescent="0.25">
      <c r="A530" s="420"/>
      <c r="B530" s="325"/>
      <c r="C530" s="325"/>
      <c r="D530" s="326"/>
      <c r="E530" s="327"/>
      <c r="F530" s="328"/>
    </row>
    <row r="538" spans="1:8" x14ac:dyDescent="0.25">
      <c r="A538" s="548" t="s">
        <v>158</v>
      </c>
      <c r="B538" s="548"/>
      <c r="C538" s="548"/>
      <c r="D538" s="548"/>
      <c r="E538" s="548"/>
      <c r="F538" s="548"/>
    </row>
    <row r="539" spans="1:8" ht="15.75" thickBot="1" x14ac:dyDescent="0.3">
      <c r="A539" s="548" t="s">
        <v>142</v>
      </c>
      <c r="B539" s="548"/>
      <c r="C539" s="548"/>
      <c r="D539" s="548"/>
      <c r="E539" s="548"/>
      <c r="F539" s="548"/>
    </row>
    <row r="540" spans="1:8" x14ac:dyDescent="0.25">
      <c r="C540" s="544" t="s">
        <v>118</v>
      </c>
    </row>
    <row r="541" spans="1:8" ht="6.75" customHeight="1" x14ac:dyDescent="0.25">
      <c r="C541" s="545"/>
    </row>
    <row r="542" spans="1:8" ht="27" customHeight="1" thickBot="1" x14ac:dyDescent="0.3">
      <c r="C542" s="546"/>
    </row>
    <row r="543" spans="1:8" ht="27" customHeight="1" thickBot="1" x14ac:dyDescent="0.3">
      <c r="C543" s="197" t="s">
        <v>1</v>
      </c>
      <c r="D543" s="185">
        <f ca="1">D363</f>
        <v>34</v>
      </c>
    </row>
    <row r="544" spans="1:8" ht="15" customHeight="1" x14ac:dyDescent="0.25">
      <c r="C544" s="197"/>
      <c r="G544" s="195"/>
      <c r="H544" s="195"/>
    </row>
    <row r="545" spans="1:6" ht="10.5" customHeight="1" x14ac:dyDescent="0.25">
      <c r="C545" s="177"/>
      <c r="D545" s="177"/>
      <c r="E545" s="184"/>
      <c r="F545" s="177"/>
    </row>
    <row r="546" spans="1:6" ht="21.75" customHeight="1" x14ac:dyDescent="0.4">
      <c r="B546" s="186" t="s">
        <v>113</v>
      </c>
      <c r="C546" s="186" t="s">
        <v>70</v>
      </c>
      <c r="D546" s="547" t="s">
        <v>146</v>
      </c>
      <c r="E546" s="547"/>
      <c r="F546" s="177"/>
    </row>
    <row r="547" spans="1:6" ht="16.5" customHeight="1" x14ac:dyDescent="0.3">
      <c r="C547" s="178"/>
      <c r="D547" s="177"/>
      <c r="E547" s="184"/>
      <c r="F547" s="177"/>
    </row>
    <row r="548" spans="1:6" ht="16.5" customHeight="1" x14ac:dyDescent="0.25">
      <c r="A548" s="195" t="s">
        <v>114</v>
      </c>
      <c r="B548" s="356" t="s">
        <v>115</v>
      </c>
      <c r="C548" s="182" t="s">
        <v>116</v>
      </c>
      <c r="D548" s="196" t="s">
        <v>1</v>
      </c>
      <c r="E548" s="184" t="s">
        <v>117</v>
      </c>
      <c r="F548" s="445" t="s">
        <v>245</v>
      </c>
    </row>
    <row r="549" spans="1:6" ht="16.5" customHeight="1" x14ac:dyDescent="0.25">
      <c r="A549" s="181" t="s">
        <v>147</v>
      </c>
      <c r="B549" s="361" t="str">
        <f>B504</f>
        <v>finitions en cours</v>
      </c>
      <c r="C549" s="190"/>
      <c r="D549" s="183"/>
      <c r="E549" s="184"/>
      <c r="F549" s="177"/>
    </row>
    <row r="550" spans="1:6" x14ac:dyDescent="0.25">
      <c r="A550" s="192" t="s">
        <v>177</v>
      </c>
      <c r="B550" s="361" t="str">
        <f t="shared" ref="B550:B570" si="12">B505</f>
        <v>finitions en cours</v>
      </c>
      <c r="C550" s="193"/>
      <c r="D550" s="189"/>
      <c r="E550" s="191"/>
      <c r="F550" s="180"/>
    </row>
    <row r="551" spans="1:6" x14ac:dyDescent="0.25">
      <c r="A551" s="192" t="s">
        <v>101</v>
      </c>
      <c r="B551" s="361" t="str">
        <f t="shared" si="12"/>
        <v>à receptionner</v>
      </c>
      <c r="C551" s="193"/>
      <c r="D551" s="189"/>
      <c r="E551" s="191"/>
      <c r="F551" s="180"/>
    </row>
    <row r="552" spans="1:6" x14ac:dyDescent="0.25">
      <c r="A552" s="192" t="s">
        <v>242</v>
      </c>
      <c r="B552" s="361" t="str">
        <f t="shared" si="12"/>
        <v>démarrage S35</v>
      </c>
      <c r="C552" s="193"/>
      <c r="D552" s="189"/>
      <c r="E552" s="191"/>
      <c r="F552" s="180"/>
    </row>
    <row r="553" spans="1:6" x14ac:dyDescent="0.25">
      <c r="A553" s="192" t="s">
        <v>231</v>
      </c>
      <c r="B553" s="361" t="str">
        <f t="shared" si="12"/>
        <v>couvert</v>
      </c>
      <c r="C553" s="193"/>
      <c r="D553" s="189"/>
      <c r="E553" s="191"/>
      <c r="F553" s="180"/>
    </row>
    <row r="554" spans="1:6" x14ac:dyDescent="0.25">
      <c r="A554" s="192" t="s">
        <v>269</v>
      </c>
      <c r="B554" s="361" t="str">
        <f t="shared" si="12"/>
        <v>pignons</v>
      </c>
      <c r="C554" s="193"/>
      <c r="D554" s="189"/>
      <c r="E554" s="191"/>
      <c r="F554" s="180"/>
    </row>
    <row r="555" spans="1:6" x14ac:dyDescent="0.25">
      <c r="A555" s="192" t="s">
        <v>166</v>
      </c>
      <c r="B555" s="361" t="str">
        <f t="shared" si="12"/>
        <v>plâtrerie en cours</v>
      </c>
      <c r="C555" s="193"/>
      <c r="D555" s="189"/>
      <c r="E555" s="191"/>
      <c r="F555" s="180"/>
    </row>
    <row r="556" spans="1:6" x14ac:dyDescent="0.25">
      <c r="A556" s="192" t="s">
        <v>189</v>
      </c>
      <c r="B556" s="361" t="str">
        <f t="shared" si="12"/>
        <v>plâtrerie en cours</v>
      </c>
      <c r="C556" s="193"/>
      <c r="D556" s="189"/>
      <c r="E556" s="191"/>
      <c r="F556" s="180"/>
    </row>
    <row r="557" spans="1:6" x14ac:dyDescent="0.25">
      <c r="A557" s="192" t="s">
        <v>104</v>
      </c>
      <c r="B557" s="361" t="str">
        <f t="shared" si="12"/>
        <v>à receptionner</v>
      </c>
      <c r="C557" s="193"/>
      <c r="D557" s="189"/>
      <c r="E557" s="191"/>
      <c r="F557" s="180"/>
    </row>
    <row r="558" spans="1:6" x14ac:dyDescent="0.25">
      <c r="A558" s="192" t="s">
        <v>312</v>
      </c>
      <c r="B558" s="361" t="str">
        <f t="shared" si="12"/>
        <v>démarrage S40</v>
      </c>
      <c r="C558" s="193"/>
      <c r="D558" s="189"/>
      <c r="E558" s="191"/>
      <c r="F558" s="180"/>
    </row>
    <row r="559" spans="1:6" x14ac:dyDescent="0.25">
      <c r="A559" s="192" t="s">
        <v>167</v>
      </c>
      <c r="B559" s="361" t="str">
        <f t="shared" si="12"/>
        <v>chape</v>
      </c>
      <c r="C559" s="193"/>
      <c r="D559" s="189"/>
      <c r="E559" s="191"/>
      <c r="F559" s="180"/>
    </row>
    <row r="560" spans="1:6" x14ac:dyDescent="0.25">
      <c r="A560" s="192" t="s">
        <v>205</v>
      </c>
      <c r="B560" s="361" t="str">
        <f t="shared" si="12"/>
        <v>attente men. Ext</v>
      </c>
      <c r="C560" s="193"/>
      <c r="D560" s="189"/>
      <c r="E560" s="191"/>
      <c r="F560" s="180"/>
    </row>
    <row r="561" spans="1:6" x14ac:dyDescent="0.25">
      <c r="A561" s="192" t="s">
        <v>190</v>
      </c>
      <c r="B561" s="361" t="str">
        <f t="shared" si="12"/>
        <v>carrelage</v>
      </c>
      <c r="C561" s="193"/>
      <c r="D561" s="189"/>
      <c r="E561" s="191"/>
      <c r="F561" s="180"/>
    </row>
    <row r="562" spans="1:6" x14ac:dyDescent="0.25">
      <c r="A562" s="192" t="s">
        <v>232</v>
      </c>
      <c r="B562" s="361" t="str">
        <f t="shared" si="12"/>
        <v>attente men. Ext</v>
      </c>
      <c r="C562" s="193"/>
      <c r="D562" s="189"/>
      <c r="E562" s="191"/>
      <c r="F562" s="180"/>
    </row>
    <row r="563" spans="1:6" x14ac:dyDescent="0.25">
      <c r="A563" s="192" t="s">
        <v>313</v>
      </c>
      <c r="B563" s="361" t="str">
        <f t="shared" si="12"/>
        <v>pignons</v>
      </c>
      <c r="C563" s="193"/>
      <c r="D563" s="189"/>
      <c r="E563" s="191"/>
      <c r="F563" s="180"/>
    </row>
    <row r="564" spans="1:6" x14ac:dyDescent="0.25">
      <c r="A564" s="192" t="s">
        <v>270</v>
      </c>
      <c r="B564" s="361" t="str">
        <f t="shared" si="12"/>
        <v>pignons</v>
      </c>
      <c r="C564" s="193"/>
      <c r="D564" s="189"/>
      <c r="E564" s="191"/>
      <c r="F564" s="180"/>
    </row>
    <row r="565" spans="1:6" x14ac:dyDescent="0.25">
      <c r="A565" s="192" t="s">
        <v>233</v>
      </c>
      <c r="B565" s="361" t="str">
        <f t="shared" si="12"/>
        <v>couvert</v>
      </c>
      <c r="C565" s="193"/>
      <c r="D565" s="189"/>
      <c r="E565" s="191"/>
      <c r="F565" s="180"/>
    </row>
    <row r="566" spans="1:6" x14ac:dyDescent="0.25">
      <c r="A566" s="192" t="s">
        <v>206</v>
      </c>
      <c r="B566" s="361" t="str">
        <f t="shared" si="12"/>
        <v>second œuvre</v>
      </c>
      <c r="C566" s="193"/>
      <c r="D566" s="189"/>
      <c r="E566" s="191"/>
      <c r="F566" s="180"/>
    </row>
    <row r="567" spans="1:6" x14ac:dyDescent="0.25">
      <c r="A567" s="192" t="s">
        <v>243</v>
      </c>
      <c r="B567" s="361" t="str">
        <f t="shared" si="12"/>
        <v>attente men. Ext</v>
      </c>
      <c r="C567" s="193"/>
      <c r="D567" s="189"/>
      <c r="E567" s="191"/>
      <c r="F567" s="180"/>
    </row>
    <row r="568" spans="1:6" x14ac:dyDescent="0.25">
      <c r="A568" s="192" t="s">
        <v>234</v>
      </c>
      <c r="B568" s="361" t="str">
        <f t="shared" si="12"/>
        <v>clos couvert</v>
      </c>
      <c r="C568" s="193"/>
      <c r="D568" s="189"/>
      <c r="E568" s="191"/>
      <c r="F568" s="180"/>
    </row>
    <row r="569" spans="1:6" x14ac:dyDescent="0.25">
      <c r="A569" s="192" t="s">
        <v>193</v>
      </c>
      <c r="B569" s="361" t="str">
        <f t="shared" si="12"/>
        <v>attente men. Ext</v>
      </c>
      <c r="C569" s="193"/>
      <c r="D569" s="189"/>
      <c r="E569" s="191"/>
      <c r="F569" s="180"/>
    </row>
    <row r="570" spans="1:6" x14ac:dyDescent="0.25">
      <c r="A570" s="268" t="s">
        <v>178</v>
      </c>
      <c r="B570" s="361" t="str">
        <f t="shared" si="12"/>
        <v>finitions en cours</v>
      </c>
      <c r="C570" s="269"/>
      <c r="D570" s="189"/>
      <c r="E570" s="191"/>
      <c r="F570" s="180"/>
    </row>
    <row r="571" spans="1:6" x14ac:dyDescent="0.25">
      <c r="A571" s="268" t="s">
        <v>178</v>
      </c>
      <c r="B571" s="269">
        <f>B526</f>
        <v>0</v>
      </c>
      <c r="C571" s="269"/>
      <c r="D571" s="189"/>
      <c r="E571" s="191"/>
      <c r="F571" s="180"/>
    </row>
    <row r="572" spans="1:6" x14ac:dyDescent="0.25">
      <c r="A572" s="420"/>
      <c r="B572" s="325"/>
      <c r="C572" s="325"/>
      <c r="D572" s="326"/>
      <c r="E572" s="327"/>
      <c r="F572" s="328"/>
    </row>
    <row r="573" spans="1:6" x14ac:dyDescent="0.25">
      <c r="A573" s="420"/>
      <c r="B573" s="325"/>
      <c r="C573" s="325"/>
      <c r="D573" s="326"/>
      <c r="E573" s="327"/>
      <c r="F573" s="328"/>
    </row>
    <row r="574" spans="1:6" x14ac:dyDescent="0.25">
      <c r="A574" s="420"/>
      <c r="B574" s="325"/>
      <c r="C574" s="325"/>
      <c r="D574" s="326"/>
      <c r="E574" s="327"/>
      <c r="F574" s="328"/>
    </row>
    <row r="575" spans="1:6" x14ac:dyDescent="0.25">
      <c r="A575" s="420"/>
      <c r="B575" s="325"/>
      <c r="C575" s="325"/>
      <c r="D575" s="326"/>
      <c r="E575" s="327"/>
      <c r="F575" s="328"/>
    </row>
    <row r="583" spans="1:8" x14ac:dyDescent="0.25">
      <c r="A583" s="548" t="s">
        <v>158</v>
      </c>
      <c r="B583" s="548"/>
      <c r="C583" s="548"/>
      <c r="D583" s="548"/>
      <c r="E583" s="548"/>
      <c r="F583" s="548"/>
    </row>
    <row r="584" spans="1:8" ht="15.75" thickBot="1" x14ac:dyDescent="0.3">
      <c r="A584" s="548" t="s">
        <v>142</v>
      </c>
      <c r="B584" s="548"/>
      <c r="C584" s="548"/>
      <c r="D584" s="548"/>
      <c r="E584" s="548"/>
      <c r="F584" s="548"/>
    </row>
    <row r="585" spans="1:8" x14ac:dyDescent="0.25">
      <c r="C585" s="544" t="s">
        <v>118</v>
      </c>
    </row>
    <row r="586" spans="1:8" ht="6.75" customHeight="1" x14ac:dyDescent="0.25">
      <c r="C586" s="545"/>
    </row>
    <row r="587" spans="1:8" ht="27" customHeight="1" thickBot="1" x14ac:dyDescent="0.3">
      <c r="C587" s="546"/>
    </row>
    <row r="588" spans="1:8" ht="27" customHeight="1" thickBot="1" x14ac:dyDescent="0.3">
      <c r="C588" s="197" t="s">
        <v>1</v>
      </c>
      <c r="D588" s="185">
        <f ca="1">D408</f>
        <v>34</v>
      </c>
    </row>
    <row r="589" spans="1:8" ht="15" customHeight="1" x14ac:dyDescent="0.25">
      <c r="C589" s="197"/>
      <c r="G589" s="195"/>
      <c r="H589" s="195"/>
    </row>
    <row r="590" spans="1:8" ht="10.5" customHeight="1" x14ac:dyDescent="0.25">
      <c r="C590" s="177"/>
      <c r="D590" s="177"/>
      <c r="E590" s="184"/>
      <c r="F590" s="177"/>
    </row>
    <row r="591" spans="1:8" ht="21.75" customHeight="1" x14ac:dyDescent="0.4">
      <c r="B591" s="186" t="s">
        <v>113</v>
      </c>
      <c r="C591" s="186" t="s">
        <v>69</v>
      </c>
      <c r="D591" s="547" t="s">
        <v>127</v>
      </c>
      <c r="E591" s="547"/>
      <c r="F591" s="177"/>
    </row>
    <row r="592" spans="1:8" ht="16.5" customHeight="1" x14ac:dyDescent="0.3">
      <c r="C592" s="178"/>
      <c r="D592" s="177"/>
      <c r="E592" s="184"/>
      <c r="F592" s="177"/>
    </row>
    <row r="593" spans="1:6" ht="16.5" customHeight="1" x14ac:dyDescent="0.25">
      <c r="A593" s="195" t="s">
        <v>114</v>
      </c>
      <c r="B593" s="356" t="s">
        <v>115</v>
      </c>
      <c r="C593" s="182" t="s">
        <v>116</v>
      </c>
      <c r="D593" s="196" t="s">
        <v>1</v>
      </c>
      <c r="E593" s="184" t="s">
        <v>117</v>
      </c>
      <c r="F593" s="445" t="s">
        <v>245</v>
      </c>
    </row>
    <row r="594" spans="1:6" ht="16.5" customHeight="1" x14ac:dyDescent="0.25">
      <c r="A594" s="181" t="s">
        <v>147</v>
      </c>
      <c r="B594" s="361" t="str">
        <f>B549</f>
        <v>finitions en cours</v>
      </c>
      <c r="C594" s="272"/>
      <c r="D594" s="183"/>
      <c r="E594" s="184"/>
      <c r="F594" s="177"/>
    </row>
    <row r="595" spans="1:6" x14ac:dyDescent="0.25">
      <c r="A595" s="192" t="s">
        <v>177</v>
      </c>
      <c r="B595" s="361" t="str">
        <f t="shared" ref="B595:B615" si="13">B550</f>
        <v>finitions en cours</v>
      </c>
      <c r="C595" s="193"/>
      <c r="D595" s="189"/>
      <c r="E595" s="191"/>
      <c r="F595" s="180"/>
    </row>
    <row r="596" spans="1:6" x14ac:dyDescent="0.25">
      <c r="A596" s="192" t="s">
        <v>101</v>
      </c>
      <c r="B596" s="361" t="str">
        <f t="shared" si="13"/>
        <v>à receptionner</v>
      </c>
      <c r="C596" s="193"/>
      <c r="D596" s="189"/>
      <c r="E596" s="191"/>
      <c r="F596" s="180"/>
    </row>
    <row r="597" spans="1:6" x14ac:dyDescent="0.25">
      <c r="A597" s="192" t="s">
        <v>242</v>
      </c>
      <c r="B597" s="361" t="str">
        <f t="shared" si="13"/>
        <v>démarrage S35</v>
      </c>
      <c r="C597" s="193"/>
      <c r="D597" s="189"/>
      <c r="E597" s="191"/>
      <c r="F597" s="180"/>
    </row>
    <row r="598" spans="1:6" x14ac:dyDescent="0.25">
      <c r="A598" s="192" t="s">
        <v>231</v>
      </c>
      <c r="B598" s="361" t="str">
        <f t="shared" si="13"/>
        <v>couvert</v>
      </c>
      <c r="C598" s="193"/>
      <c r="D598" s="189"/>
      <c r="E598" s="191"/>
      <c r="F598" s="180"/>
    </row>
    <row r="599" spans="1:6" x14ac:dyDescent="0.25">
      <c r="A599" s="192" t="s">
        <v>269</v>
      </c>
      <c r="B599" s="361" t="str">
        <f t="shared" si="13"/>
        <v>pignons</v>
      </c>
      <c r="C599" s="193"/>
      <c r="D599" s="189"/>
      <c r="E599" s="191"/>
      <c r="F599" s="180"/>
    </row>
    <row r="600" spans="1:6" x14ac:dyDescent="0.25">
      <c r="A600" s="192" t="s">
        <v>166</v>
      </c>
      <c r="B600" s="361" t="str">
        <f t="shared" si="13"/>
        <v>plâtrerie en cours</v>
      </c>
      <c r="C600" s="193"/>
      <c r="D600" s="189"/>
      <c r="E600" s="191"/>
      <c r="F600" s="180"/>
    </row>
    <row r="601" spans="1:6" x14ac:dyDescent="0.25">
      <c r="A601" s="192" t="s">
        <v>189</v>
      </c>
      <c r="B601" s="361" t="str">
        <f t="shared" si="13"/>
        <v>plâtrerie en cours</v>
      </c>
      <c r="C601" s="193"/>
      <c r="D601" s="189"/>
      <c r="E601" s="191"/>
      <c r="F601" s="180"/>
    </row>
    <row r="602" spans="1:6" x14ac:dyDescent="0.25">
      <c r="A602" s="192" t="s">
        <v>104</v>
      </c>
      <c r="B602" s="361" t="str">
        <f t="shared" si="13"/>
        <v>à receptionner</v>
      </c>
      <c r="C602" s="193"/>
      <c r="D602" s="189"/>
      <c r="E602" s="191"/>
      <c r="F602" s="180"/>
    </row>
    <row r="603" spans="1:6" x14ac:dyDescent="0.25">
      <c r="A603" s="192" t="s">
        <v>312</v>
      </c>
      <c r="B603" s="361" t="str">
        <f t="shared" si="13"/>
        <v>démarrage S40</v>
      </c>
      <c r="C603" s="193"/>
      <c r="D603" s="189"/>
      <c r="E603" s="191"/>
      <c r="F603" s="180"/>
    </row>
    <row r="604" spans="1:6" x14ac:dyDescent="0.25">
      <c r="A604" s="192" t="s">
        <v>167</v>
      </c>
      <c r="B604" s="361" t="str">
        <f t="shared" si="13"/>
        <v>chape</v>
      </c>
      <c r="C604" s="193"/>
      <c r="D604" s="189"/>
      <c r="E604" s="191"/>
      <c r="F604" s="180"/>
    </row>
    <row r="605" spans="1:6" x14ac:dyDescent="0.25">
      <c r="A605" s="192" t="s">
        <v>205</v>
      </c>
      <c r="B605" s="361" t="str">
        <f t="shared" si="13"/>
        <v>attente men. Ext</v>
      </c>
      <c r="C605" s="193"/>
      <c r="D605" s="189"/>
      <c r="E605" s="191"/>
      <c r="F605" s="180"/>
    </row>
    <row r="606" spans="1:6" x14ac:dyDescent="0.25">
      <c r="A606" s="192" t="s">
        <v>190</v>
      </c>
      <c r="B606" s="361" t="str">
        <f t="shared" si="13"/>
        <v>carrelage</v>
      </c>
      <c r="C606" s="193"/>
      <c r="D606" s="189"/>
      <c r="E606" s="191"/>
      <c r="F606" s="180"/>
    </row>
    <row r="607" spans="1:6" x14ac:dyDescent="0.25">
      <c r="A607" s="192" t="s">
        <v>232</v>
      </c>
      <c r="B607" s="361" t="str">
        <f t="shared" si="13"/>
        <v>attente men. Ext</v>
      </c>
      <c r="C607" s="193"/>
      <c r="D607" s="189"/>
      <c r="E607" s="191"/>
      <c r="F607" s="180"/>
    </row>
    <row r="608" spans="1:6" x14ac:dyDescent="0.25">
      <c r="A608" s="192" t="s">
        <v>313</v>
      </c>
      <c r="B608" s="361" t="str">
        <f t="shared" si="13"/>
        <v>pignons</v>
      </c>
      <c r="C608" s="193"/>
      <c r="D608" s="189"/>
      <c r="E608" s="191"/>
      <c r="F608" s="180"/>
    </row>
    <row r="609" spans="1:6" x14ac:dyDescent="0.25">
      <c r="A609" s="192" t="s">
        <v>270</v>
      </c>
      <c r="B609" s="361" t="str">
        <f t="shared" si="13"/>
        <v>pignons</v>
      </c>
      <c r="C609" s="193"/>
      <c r="D609" s="189"/>
      <c r="E609" s="191"/>
      <c r="F609" s="180"/>
    </row>
    <row r="610" spans="1:6" x14ac:dyDescent="0.25">
      <c r="A610" s="192" t="s">
        <v>233</v>
      </c>
      <c r="B610" s="361" t="str">
        <f t="shared" si="13"/>
        <v>couvert</v>
      </c>
      <c r="C610" s="193"/>
      <c r="D610" s="189"/>
      <c r="E610" s="191"/>
      <c r="F610" s="180"/>
    </row>
    <row r="611" spans="1:6" x14ac:dyDescent="0.25">
      <c r="A611" s="192" t="s">
        <v>206</v>
      </c>
      <c r="B611" s="361" t="str">
        <f t="shared" si="13"/>
        <v>second œuvre</v>
      </c>
      <c r="C611" s="193"/>
      <c r="D611" s="189"/>
      <c r="E611" s="191"/>
      <c r="F611" s="180"/>
    </row>
    <row r="612" spans="1:6" x14ac:dyDescent="0.25">
      <c r="A612" s="192" t="s">
        <v>243</v>
      </c>
      <c r="B612" s="361" t="str">
        <f t="shared" si="13"/>
        <v>attente men. Ext</v>
      </c>
      <c r="C612" s="193"/>
      <c r="D612" s="189"/>
      <c r="E612" s="191"/>
      <c r="F612" s="180"/>
    </row>
    <row r="613" spans="1:6" x14ac:dyDescent="0.25">
      <c r="A613" s="192" t="s">
        <v>234</v>
      </c>
      <c r="B613" s="361" t="str">
        <f t="shared" si="13"/>
        <v>clos couvert</v>
      </c>
      <c r="C613" s="193"/>
      <c r="D613" s="189"/>
      <c r="E613" s="191"/>
      <c r="F613" s="180"/>
    </row>
    <row r="614" spans="1:6" x14ac:dyDescent="0.25">
      <c r="A614" s="192" t="s">
        <v>193</v>
      </c>
      <c r="B614" s="361" t="str">
        <f t="shared" si="13"/>
        <v>attente men. Ext</v>
      </c>
      <c r="C614" s="193"/>
      <c r="D614" s="189"/>
      <c r="E614" s="191"/>
      <c r="F614" s="180"/>
    </row>
    <row r="615" spans="1:6" x14ac:dyDescent="0.25">
      <c r="A615" s="268" t="s">
        <v>178</v>
      </c>
      <c r="B615" s="361" t="str">
        <f t="shared" si="13"/>
        <v>finitions en cours</v>
      </c>
      <c r="C615" s="193"/>
      <c r="D615" s="189"/>
      <c r="E615" s="191"/>
      <c r="F615" s="180"/>
    </row>
    <row r="616" spans="1:6" x14ac:dyDescent="0.25">
      <c r="A616" s="268" t="s">
        <v>178</v>
      </c>
      <c r="B616" s="269">
        <f>B571</f>
        <v>0</v>
      </c>
      <c r="C616" s="269"/>
      <c r="D616" s="189"/>
      <c r="E616" s="191"/>
      <c r="F616" s="180"/>
    </row>
    <row r="617" spans="1:6" x14ac:dyDescent="0.25">
      <c r="A617" s="420"/>
      <c r="B617" s="325"/>
      <c r="C617" s="325"/>
      <c r="D617" s="326"/>
      <c r="E617" s="327"/>
      <c r="F617" s="328"/>
    </row>
    <row r="618" spans="1:6" x14ac:dyDescent="0.25">
      <c r="A618" s="420"/>
      <c r="B618" s="325"/>
      <c r="C618" s="325"/>
      <c r="D618" s="326"/>
      <c r="E618" s="327"/>
      <c r="F618" s="328"/>
    </row>
    <row r="619" spans="1:6" x14ac:dyDescent="0.25">
      <c r="A619" s="420"/>
      <c r="B619" s="325"/>
      <c r="C619" s="325"/>
      <c r="D619" s="326"/>
      <c r="E619" s="327"/>
      <c r="F619" s="328"/>
    </row>
    <row r="620" spans="1:6" x14ac:dyDescent="0.25">
      <c r="A620" s="420"/>
      <c r="B620" s="325"/>
      <c r="C620" s="325"/>
      <c r="D620" s="326"/>
      <c r="E620" s="327"/>
      <c r="F620" s="328"/>
    </row>
    <row r="628" spans="1:8" x14ac:dyDescent="0.25">
      <c r="A628" s="548" t="s">
        <v>158</v>
      </c>
      <c r="B628" s="548"/>
      <c r="C628" s="548"/>
      <c r="D628" s="548"/>
      <c r="E628" s="548"/>
      <c r="F628" s="548"/>
    </row>
    <row r="629" spans="1:8" ht="15.75" thickBot="1" x14ac:dyDescent="0.3">
      <c r="A629" s="548" t="s">
        <v>142</v>
      </c>
      <c r="B629" s="548"/>
      <c r="C629" s="548"/>
      <c r="D629" s="548"/>
      <c r="E629" s="548"/>
      <c r="F629" s="548"/>
    </row>
    <row r="630" spans="1:8" x14ac:dyDescent="0.25">
      <c r="C630" s="544" t="s">
        <v>118</v>
      </c>
    </row>
    <row r="631" spans="1:8" ht="6.75" customHeight="1" x14ac:dyDescent="0.25">
      <c r="C631" s="545"/>
    </row>
    <row r="632" spans="1:8" ht="27" customHeight="1" thickBot="1" x14ac:dyDescent="0.3">
      <c r="C632" s="546"/>
    </row>
    <row r="633" spans="1:8" ht="27" customHeight="1" thickBot="1" x14ac:dyDescent="0.3">
      <c r="C633" s="197" t="s">
        <v>1</v>
      </c>
      <c r="D633" s="185">
        <f ca="1">D453</f>
        <v>34</v>
      </c>
    </row>
    <row r="634" spans="1:8" ht="15" customHeight="1" x14ac:dyDescent="0.25">
      <c r="C634" s="197"/>
      <c r="G634" s="195"/>
      <c r="H634" s="195"/>
    </row>
    <row r="635" spans="1:8" ht="10.5" customHeight="1" x14ac:dyDescent="0.25">
      <c r="C635" s="177"/>
      <c r="D635" s="177"/>
      <c r="E635" s="184"/>
      <c r="F635" s="177"/>
    </row>
    <row r="636" spans="1:8" ht="21.75" customHeight="1" x14ac:dyDescent="0.4">
      <c r="B636" s="186" t="s">
        <v>113</v>
      </c>
      <c r="C636" s="186" t="s">
        <v>73</v>
      </c>
      <c r="D636" s="547" t="s">
        <v>132</v>
      </c>
      <c r="E636" s="547"/>
      <c r="F636" s="177"/>
    </row>
    <row r="637" spans="1:8" ht="16.5" customHeight="1" x14ac:dyDescent="0.3">
      <c r="C637" s="178"/>
      <c r="D637" s="177"/>
      <c r="E637" s="184"/>
      <c r="F637" s="177"/>
    </row>
    <row r="638" spans="1:8" ht="16.5" customHeight="1" x14ac:dyDescent="0.25">
      <c r="A638" s="195" t="s">
        <v>114</v>
      </c>
      <c r="B638" s="356" t="s">
        <v>115</v>
      </c>
      <c r="C638" s="182" t="s">
        <v>116</v>
      </c>
      <c r="D638" s="196" t="s">
        <v>1</v>
      </c>
      <c r="E638" s="184" t="s">
        <v>117</v>
      </c>
      <c r="F638" s="445" t="s">
        <v>245</v>
      </c>
    </row>
    <row r="639" spans="1:8" ht="16.5" hidden="1" customHeight="1" x14ac:dyDescent="0.25">
      <c r="A639" s="181" t="s">
        <v>147</v>
      </c>
      <c r="B639" s="361" t="str">
        <f>B594</f>
        <v>finitions en cours</v>
      </c>
      <c r="C639" s="190"/>
      <c r="D639" s="183"/>
      <c r="E639" s="184"/>
      <c r="F639" s="177"/>
    </row>
    <row r="640" spans="1:8" hidden="1" x14ac:dyDescent="0.25">
      <c r="A640" s="202" t="s">
        <v>177</v>
      </c>
      <c r="B640" s="361" t="str">
        <f t="shared" ref="B640:B660" si="14">B595</f>
        <v>finitions en cours</v>
      </c>
      <c r="C640" s="193"/>
      <c r="D640" s="189"/>
      <c r="E640" s="191"/>
      <c r="F640" s="180"/>
    </row>
    <row r="641" spans="1:6" hidden="1" x14ac:dyDescent="0.25">
      <c r="A641" s="192" t="s">
        <v>101</v>
      </c>
      <c r="B641" s="361" t="str">
        <f t="shared" si="14"/>
        <v>à receptionner</v>
      </c>
      <c r="C641" s="193"/>
      <c r="D641" s="189"/>
      <c r="E641" s="191"/>
      <c r="F641" s="180"/>
    </row>
    <row r="642" spans="1:6" x14ac:dyDescent="0.25">
      <c r="A642" s="192" t="s">
        <v>242</v>
      </c>
      <c r="B642" s="361" t="str">
        <f t="shared" si="14"/>
        <v>démarrage S35</v>
      </c>
      <c r="C642" s="193" t="s">
        <v>251</v>
      </c>
      <c r="D642" s="189" t="s">
        <v>7</v>
      </c>
      <c r="E642" s="191">
        <v>43</v>
      </c>
      <c r="F642" s="180"/>
    </row>
    <row r="643" spans="1:6" hidden="1" x14ac:dyDescent="0.25">
      <c r="A643" s="192" t="s">
        <v>231</v>
      </c>
      <c r="B643" s="361" t="str">
        <f t="shared" si="14"/>
        <v>couvert</v>
      </c>
      <c r="C643" s="193"/>
      <c r="D643" s="189"/>
      <c r="E643" s="191"/>
      <c r="F643" s="180"/>
    </row>
    <row r="644" spans="1:6" x14ac:dyDescent="0.25">
      <c r="A644" s="192" t="s">
        <v>269</v>
      </c>
      <c r="B644" s="361" t="str">
        <f t="shared" si="14"/>
        <v>pignons</v>
      </c>
      <c r="C644" s="193" t="s">
        <v>154</v>
      </c>
      <c r="D644" s="189" t="s">
        <v>7</v>
      </c>
      <c r="E644" s="191">
        <v>41</v>
      </c>
      <c r="F644" s="180"/>
    </row>
    <row r="645" spans="1:6" hidden="1" x14ac:dyDescent="0.25">
      <c r="A645" s="192" t="s">
        <v>166</v>
      </c>
      <c r="B645" s="361" t="str">
        <f t="shared" si="14"/>
        <v>plâtrerie en cours</v>
      </c>
      <c r="C645" s="193"/>
      <c r="D645" s="189"/>
      <c r="E645" s="191"/>
      <c r="F645" s="180"/>
    </row>
    <row r="646" spans="1:6" hidden="1" x14ac:dyDescent="0.25">
      <c r="A646" s="192" t="s">
        <v>189</v>
      </c>
      <c r="B646" s="361" t="str">
        <f t="shared" si="14"/>
        <v>plâtrerie en cours</v>
      </c>
      <c r="C646" s="193"/>
      <c r="D646" s="189"/>
      <c r="E646" s="191"/>
      <c r="F646" s="180"/>
    </row>
    <row r="647" spans="1:6" hidden="1" x14ac:dyDescent="0.25">
      <c r="A647" s="192" t="s">
        <v>104</v>
      </c>
      <c r="B647" s="361" t="str">
        <f t="shared" si="14"/>
        <v>à receptionner</v>
      </c>
      <c r="C647" s="193"/>
      <c r="D647" s="189"/>
      <c r="E647" s="191"/>
      <c r="F647" s="180"/>
    </row>
    <row r="648" spans="1:6" hidden="1" x14ac:dyDescent="0.25">
      <c r="A648" s="192" t="s">
        <v>312</v>
      </c>
      <c r="B648" s="361" t="str">
        <f t="shared" si="14"/>
        <v>démarrage S40</v>
      </c>
      <c r="C648" s="193"/>
      <c r="D648" s="189"/>
      <c r="E648" s="191"/>
      <c r="F648" s="180"/>
    </row>
    <row r="649" spans="1:6" hidden="1" x14ac:dyDescent="0.25">
      <c r="A649" s="202" t="s">
        <v>167</v>
      </c>
      <c r="B649" s="361" t="str">
        <f t="shared" si="14"/>
        <v>chape</v>
      </c>
      <c r="C649" s="193"/>
      <c r="D649" s="189"/>
      <c r="E649" s="191"/>
      <c r="F649" s="180"/>
    </row>
    <row r="650" spans="1:6" hidden="1" x14ac:dyDescent="0.25">
      <c r="A650" s="192" t="s">
        <v>205</v>
      </c>
      <c r="B650" s="361" t="str">
        <f t="shared" si="14"/>
        <v>attente men. Ext</v>
      </c>
      <c r="C650" s="193"/>
      <c r="D650" s="189"/>
      <c r="E650" s="191"/>
      <c r="F650" s="180"/>
    </row>
    <row r="651" spans="1:6" hidden="1" x14ac:dyDescent="0.25">
      <c r="A651" s="192" t="s">
        <v>190</v>
      </c>
      <c r="B651" s="361" t="str">
        <f t="shared" si="14"/>
        <v>carrelage</v>
      </c>
      <c r="C651" s="193"/>
      <c r="D651" s="189"/>
      <c r="E651" s="191"/>
      <c r="F651" s="180"/>
    </row>
    <row r="652" spans="1:6" hidden="1" x14ac:dyDescent="0.25">
      <c r="A652" s="192" t="s">
        <v>232</v>
      </c>
      <c r="B652" s="361" t="str">
        <f t="shared" si="14"/>
        <v>attente men. Ext</v>
      </c>
      <c r="C652" s="193"/>
      <c r="D652" s="189"/>
      <c r="E652" s="191"/>
      <c r="F652" s="180"/>
    </row>
    <row r="653" spans="1:6" hidden="1" x14ac:dyDescent="0.25">
      <c r="A653" s="192" t="s">
        <v>313</v>
      </c>
      <c r="B653" s="361" t="str">
        <f t="shared" si="14"/>
        <v>pignons</v>
      </c>
      <c r="C653" s="193"/>
      <c r="D653" s="189"/>
      <c r="E653" s="191"/>
      <c r="F653" s="180"/>
    </row>
    <row r="654" spans="1:6" hidden="1" x14ac:dyDescent="0.25">
      <c r="A654" s="192" t="s">
        <v>270</v>
      </c>
      <c r="B654" s="361" t="str">
        <f t="shared" si="14"/>
        <v>pignons</v>
      </c>
      <c r="C654" s="193"/>
      <c r="D654" s="189"/>
      <c r="E654" s="191"/>
      <c r="F654" s="180"/>
    </row>
    <row r="655" spans="1:6" hidden="1" x14ac:dyDescent="0.25">
      <c r="A655" s="192" t="s">
        <v>233</v>
      </c>
      <c r="B655" s="361" t="str">
        <f t="shared" si="14"/>
        <v>couvert</v>
      </c>
      <c r="C655" s="193"/>
      <c r="D655" s="189"/>
      <c r="E655" s="191"/>
      <c r="F655" s="180"/>
    </row>
    <row r="656" spans="1:6" hidden="1" x14ac:dyDescent="0.25">
      <c r="A656" s="192" t="s">
        <v>206</v>
      </c>
      <c r="B656" s="361" t="str">
        <f t="shared" si="14"/>
        <v>second œuvre</v>
      </c>
      <c r="C656" s="193"/>
      <c r="D656" s="189"/>
      <c r="E656" s="191"/>
      <c r="F656" s="180"/>
    </row>
    <row r="657" spans="1:6" hidden="1" x14ac:dyDescent="0.25">
      <c r="A657" s="192" t="s">
        <v>243</v>
      </c>
      <c r="B657" s="361" t="str">
        <f t="shared" si="14"/>
        <v>attente men. Ext</v>
      </c>
      <c r="C657" s="193"/>
      <c r="D657" s="189"/>
      <c r="E657" s="191"/>
      <c r="F657" s="180"/>
    </row>
    <row r="658" spans="1:6" hidden="1" x14ac:dyDescent="0.25">
      <c r="A658" s="192" t="s">
        <v>234</v>
      </c>
      <c r="B658" s="361" t="str">
        <f>B613</f>
        <v>clos couvert</v>
      </c>
      <c r="C658" s="193"/>
      <c r="D658" s="189"/>
      <c r="E658" s="191"/>
      <c r="F658" s="180"/>
    </row>
    <row r="659" spans="1:6" x14ac:dyDescent="0.25">
      <c r="A659" s="192" t="s">
        <v>193</v>
      </c>
      <c r="B659" s="361" t="str">
        <f t="shared" si="14"/>
        <v>attente men. Ext</v>
      </c>
      <c r="C659" s="193" t="s">
        <v>251</v>
      </c>
      <c r="D659" s="189" t="s">
        <v>7</v>
      </c>
      <c r="E659" s="191">
        <v>33</v>
      </c>
      <c r="F659" s="180"/>
    </row>
    <row r="660" spans="1:6" x14ac:dyDescent="0.25">
      <c r="A660" s="268" t="s">
        <v>178</v>
      </c>
      <c r="B660" s="361" t="str">
        <f t="shared" si="14"/>
        <v>finitions en cours</v>
      </c>
      <c r="C660" s="193" t="s">
        <v>251</v>
      </c>
      <c r="D660" s="189" t="s">
        <v>7</v>
      </c>
      <c r="E660" s="191">
        <v>33</v>
      </c>
      <c r="F660" s="180"/>
    </row>
    <row r="661" spans="1:6" x14ac:dyDescent="0.25">
      <c r="A661" s="268" t="s">
        <v>178</v>
      </c>
      <c r="B661" s="269">
        <f>B616</f>
        <v>0</v>
      </c>
      <c r="C661" s="269" t="s">
        <v>280</v>
      </c>
      <c r="D661" s="189" t="s">
        <v>7</v>
      </c>
      <c r="E661" s="191" t="s">
        <v>252</v>
      </c>
      <c r="F661" s="180"/>
    </row>
    <row r="662" spans="1:6" x14ac:dyDescent="0.25">
      <c r="A662" s="420"/>
      <c r="B662" s="325"/>
      <c r="C662" s="325"/>
      <c r="D662" s="326"/>
      <c r="E662" s="327"/>
      <c r="F662" s="328"/>
    </row>
    <row r="663" spans="1:6" x14ac:dyDescent="0.25">
      <c r="A663" s="420"/>
      <c r="B663" s="325"/>
      <c r="C663" s="325"/>
      <c r="D663" s="326"/>
      <c r="E663" s="327"/>
      <c r="F663" s="328"/>
    </row>
    <row r="664" spans="1:6" x14ac:dyDescent="0.25">
      <c r="A664" s="420"/>
      <c r="B664" s="325"/>
      <c r="C664" s="325"/>
      <c r="D664" s="326"/>
      <c r="E664" s="327"/>
      <c r="F664" s="328"/>
    </row>
    <row r="665" spans="1:6" x14ac:dyDescent="0.25">
      <c r="A665" s="420"/>
      <c r="B665" s="325"/>
      <c r="C665" s="325"/>
      <c r="D665" s="326"/>
      <c r="E665" s="327"/>
      <c r="F665" s="328"/>
    </row>
    <row r="673" spans="1:8" x14ac:dyDescent="0.25">
      <c r="A673" s="548" t="s">
        <v>158</v>
      </c>
      <c r="B673" s="548"/>
      <c r="C673" s="548"/>
      <c r="D673" s="548"/>
      <c r="E673" s="548"/>
      <c r="F673" s="548"/>
    </row>
    <row r="674" spans="1:8" ht="15.75" thickBot="1" x14ac:dyDescent="0.3">
      <c r="A674" s="548" t="s">
        <v>142</v>
      </c>
      <c r="B674" s="548"/>
      <c r="C674" s="548"/>
      <c r="D674" s="548"/>
      <c r="E674" s="548"/>
      <c r="F674" s="548"/>
    </row>
    <row r="675" spans="1:8" x14ac:dyDescent="0.25">
      <c r="C675" s="544" t="s">
        <v>118</v>
      </c>
    </row>
    <row r="676" spans="1:8" ht="6.75" customHeight="1" x14ac:dyDescent="0.25">
      <c r="C676" s="545"/>
    </row>
    <row r="677" spans="1:8" ht="27" customHeight="1" thickBot="1" x14ac:dyDescent="0.3">
      <c r="C677" s="546"/>
    </row>
    <row r="678" spans="1:8" ht="27" customHeight="1" thickBot="1" x14ac:dyDescent="0.3">
      <c r="C678" s="197" t="s">
        <v>1</v>
      </c>
      <c r="D678" s="185">
        <f ca="1">D498</f>
        <v>34</v>
      </c>
    </row>
    <row r="679" spans="1:8" ht="15" customHeight="1" x14ac:dyDescent="0.25">
      <c r="C679" s="197"/>
      <c r="G679" s="195"/>
      <c r="H679" s="195"/>
    </row>
    <row r="680" spans="1:8" ht="10.5" customHeight="1" x14ac:dyDescent="0.25">
      <c r="C680" s="177"/>
      <c r="D680" s="177"/>
      <c r="E680" s="184"/>
      <c r="F680" s="177"/>
    </row>
    <row r="681" spans="1:8" ht="21.75" customHeight="1" x14ac:dyDescent="0.4">
      <c r="B681" s="186" t="s">
        <v>113</v>
      </c>
      <c r="C681" s="186" t="s">
        <v>77</v>
      </c>
      <c r="D681" s="547"/>
      <c r="E681" s="547"/>
      <c r="F681" s="177"/>
    </row>
    <row r="682" spans="1:8" ht="16.5" customHeight="1" x14ac:dyDescent="0.3">
      <c r="C682" s="178"/>
      <c r="D682" s="177"/>
      <c r="E682" s="184"/>
      <c r="F682" s="177"/>
    </row>
    <row r="683" spans="1:8" ht="16.5" customHeight="1" x14ac:dyDescent="0.25">
      <c r="A683" s="195" t="s">
        <v>114</v>
      </c>
      <c r="B683" s="356" t="s">
        <v>115</v>
      </c>
      <c r="C683" s="182" t="s">
        <v>116</v>
      </c>
      <c r="D683" s="196" t="s">
        <v>1</v>
      </c>
      <c r="E683" s="184" t="s">
        <v>117</v>
      </c>
      <c r="F683" s="445" t="s">
        <v>245</v>
      </c>
    </row>
    <row r="684" spans="1:8" ht="16.5" customHeight="1" x14ac:dyDescent="0.25">
      <c r="A684" s="181" t="s">
        <v>147</v>
      </c>
      <c r="B684" s="361" t="str">
        <f>B639</f>
        <v>finitions en cours</v>
      </c>
      <c r="C684" s="190"/>
      <c r="D684" s="183"/>
      <c r="E684" s="184"/>
      <c r="F684" s="177"/>
    </row>
    <row r="685" spans="1:8" x14ac:dyDescent="0.25">
      <c r="A685" s="192" t="s">
        <v>177</v>
      </c>
      <c r="B685" s="361" t="str">
        <f t="shared" ref="B685:B705" si="15">B640</f>
        <v>finitions en cours</v>
      </c>
      <c r="C685" s="193"/>
      <c r="D685" s="189"/>
      <c r="E685" s="191"/>
      <c r="F685" s="180"/>
    </row>
    <row r="686" spans="1:8" x14ac:dyDescent="0.25">
      <c r="A686" s="192" t="s">
        <v>101</v>
      </c>
      <c r="B686" s="361" t="str">
        <f t="shared" si="15"/>
        <v>à receptionner</v>
      </c>
      <c r="C686" s="193"/>
      <c r="D686" s="189"/>
      <c r="E686" s="191"/>
      <c r="F686" s="180"/>
    </row>
    <row r="687" spans="1:8" x14ac:dyDescent="0.25">
      <c r="A687" s="192" t="s">
        <v>242</v>
      </c>
      <c r="B687" s="361" t="str">
        <f t="shared" si="15"/>
        <v>démarrage S35</v>
      </c>
      <c r="C687" s="193"/>
      <c r="D687" s="189"/>
      <c r="E687" s="191"/>
      <c r="F687" s="180"/>
    </row>
    <row r="688" spans="1:8" x14ac:dyDescent="0.25">
      <c r="A688" s="192" t="s">
        <v>231</v>
      </c>
      <c r="B688" s="361" t="str">
        <f t="shared" si="15"/>
        <v>couvert</v>
      </c>
      <c r="C688" s="193"/>
      <c r="D688" s="189"/>
      <c r="E688" s="191"/>
      <c r="F688" s="180"/>
    </row>
    <row r="689" spans="1:6" x14ac:dyDescent="0.25">
      <c r="A689" s="192" t="s">
        <v>269</v>
      </c>
      <c r="B689" s="361" t="str">
        <f t="shared" si="15"/>
        <v>pignons</v>
      </c>
      <c r="C689" s="193"/>
      <c r="D689" s="189"/>
      <c r="E689" s="191"/>
      <c r="F689" s="180"/>
    </row>
    <row r="690" spans="1:6" x14ac:dyDescent="0.25">
      <c r="A690" s="192" t="s">
        <v>166</v>
      </c>
      <c r="B690" s="361" t="str">
        <f t="shared" si="15"/>
        <v>plâtrerie en cours</v>
      </c>
      <c r="C690" s="193"/>
      <c r="D690" s="189"/>
      <c r="E690" s="191"/>
      <c r="F690" s="180"/>
    </row>
    <row r="691" spans="1:6" x14ac:dyDescent="0.25">
      <c r="A691" s="192" t="s">
        <v>189</v>
      </c>
      <c r="B691" s="361" t="str">
        <f t="shared" si="15"/>
        <v>plâtrerie en cours</v>
      </c>
      <c r="C691" s="193"/>
      <c r="D691" s="189"/>
      <c r="E691" s="191"/>
      <c r="F691" s="180"/>
    </row>
    <row r="692" spans="1:6" x14ac:dyDescent="0.25">
      <c r="A692" s="192" t="s">
        <v>104</v>
      </c>
      <c r="B692" s="361" t="str">
        <f t="shared" si="15"/>
        <v>à receptionner</v>
      </c>
      <c r="C692" s="193"/>
      <c r="D692" s="189"/>
      <c r="E692" s="191"/>
      <c r="F692" s="180"/>
    </row>
    <row r="693" spans="1:6" x14ac:dyDescent="0.25">
      <c r="A693" s="192" t="s">
        <v>312</v>
      </c>
      <c r="B693" s="361" t="str">
        <f t="shared" si="15"/>
        <v>démarrage S40</v>
      </c>
      <c r="C693" s="193"/>
      <c r="D693" s="189"/>
      <c r="E693" s="191"/>
      <c r="F693" s="180"/>
    </row>
    <row r="694" spans="1:6" x14ac:dyDescent="0.25">
      <c r="A694" s="192" t="s">
        <v>167</v>
      </c>
      <c r="B694" s="361" t="str">
        <f t="shared" si="15"/>
        <v>chape</v>
      </c>
      <c r="C694" s="193"/>
      <c r="D694" s="189"/>
      <c r="E694" s="191"/>
      <c r="F694" s="180"/>
    </row>
    <row r="695" spans="1:6" x14ac:dyDescent="0.25">
      <c r="A695" s="192" t="s">
        <v>205</v>
      </c>
      <c r="B695" s="361" t="str">
        <f t="shared" si="15"/>
        <v>attente men. Ext</v>
      </c>
      <c r="C695" s="193"/>
      <c r="D695" s="189"/>
      <c r="E695" s="191"/>
      <c r="F695" s="180"/>
    </row>
    <row r="696" spans="1:6" x14ac:dyDescent="0.25">
      <c r="A696" s="192" t="s">
        <v>190</v>
      </c>
      <c r="B696" s="361" t="str">
        <f t="shared" si="15"/>
        <v>carrelage</v>
      </c>
      <c r="C696" s="193"/>
      <c r="D696" s="189"/>
      <c r="E696" s="191"/>
      <c r="F696" s="180"/>
    </row>
    <row r="697" spans="1:6" x14ac:dyDescent="0.25">
      <c r="A697" s="192" t="s">
        <v>232</v>
      </c>
      <c r="B697" s="361" t="str">
        <f t="shared" si="15"/>
        <v>attente men. Ext</v>
      </c>
      <c r="C697" s="193"/>
      <c r="D697" s="189"/>
      <c r="E697" s="191"/>
      <c r="F697" s="180"/>
    </row>
    <row r="698" spans="1:6" x14ac:dyDescent="0.25">
      <c r="A698" s="192" t="s">
        <v>313</v>
      </c>
      <c r="B698" s="361" t="str">
        <f t="shared" si="15"/>
        <v>pignons</v>
      </c>
      <c r="C698" s="193"/>
      <c r="D698" s="189"/>
      <c r="E698" s="191"/>
      <c r="F698" s="180"/>
    </row>
    <row r="699" spans="1:6" x14ac:dyDescent="0.25">
      <c r="A699" s="192" t="s">
        <v>270</v>
      </c>
      <c r="B699" s="361" t="str">
        <f t="shared" si="15"/>
        <v>pignons</v>
      </c>
      <c r="C699" s="193"/>
      <c r="D699" s="189"/>
      <c r="E699" s="191"/>
      <c r="F699" s="180"/>
    </row>
    <row r="700" spans="1:6" x14ac:dyDescent="0.25">
      <c r="A700" s="192" t="s">
        <v>233</v>
      </c>
      <c r="B700" s="361" t="str">
        <f t="shared" si="15"/>
        <v>couvert</v>
      </c>
      <c r="C700" s="193"/>
      <c r="D700" s="189"/>
      <c r="E700" s="191"/>
      <c r="F700" s="180"/>
    </row>
    <row r="701" spans="1:6" x14ac:dyDescent="0.25">
      <c r="A701" s="192" t="s">
        <v>206</v>
      </c>
      <c r="B701" s="361" t="str">
        <f t="shared" si="15"/>
        <v>second œuvre</v>
      </c>
      <c r="C701" s="193"/>
      <c r="D701" s="189"/>
      <c r="E701" s="191"/>
      <c r="F701" s="180"/>
    </row>
    <row r="702" spans="1:6" x14ac:dyDescent="0.25">
      <c r="A702" s="192" t="s">
        <v>243</v>
      </c>
      <c r="B702" s="361" t="str">
        <f t="shared" si="15"/>
        <v>attente men. Ext</v>
      </c>
      <c r="C702" s="193"/>
      <c r="D702" s="189"/>
      <c r="E702" s="191"/>
      <c r="F702" s="180"/>
    </row>
    <row r="703" spans="1:6" x14ac:dyDescent="0.25">
      <c r="A703" s="192" t="s">
        <v>234</v>
      </c>
      <c r="B703" s="361" t="str">
        <f t="shared" si="15"/>
        <v>clos couvert</v>
      </c>
      <c r="C703" s="193"/>
      <c r="D703" s="189"/>
      <c r="E703" s="191"/>
      <c r="F703" s="180"/>
    </row>
    <row r="704" spans="1:6" x14ac:dyDescent="0.25">
      <c r="A704" s="192" t="s">
        <v>193</v>
      </c>
      <c r="B704" s="361" t="str">
        <f t="shared" si="15"/>
        <v>attente men. Ext</v>
      </c>
      <c r="C704" s="193"/>
      <c r="D704" s="189"/>
      <c r="E704" s="191"/>
      <c r="F704" s="180"/>
    </row>
    <row r="705" spans="1:6" x14ac:dyDescent="0.25">
      <c r="A705" s="268" t="s">
        <v>178</v>
      </c>
      <c r="B705" s="361" t="str">
        <f t="shared" si="15"/>
        <v>finitions en cours</v>
      </c>
      <c r="C705" s="269"/>
      <c r="D705" s="189"/>
      <c r="E705" s="191"/>
      <c r="F705" s="180"/>
    </row>
    <row r="706" spans="1:6" x14ac:dyDescent="0.25">
      <c r="A706" s="268" t="s">
        <v>178</v>
      </c>
      <c r="B706" s="269">
        <f>B661</f>
        <v>0</v>
      </c>
      <c r="C706" s="269"/>
      <c r="D706" s="189"/>
      <c r="E706" s="191"/>
      <c r="F706" s="180"/>
    </row>
    <row r="707" spans="1:6" x14ac:dyDescent="0.25">
      <c r="A707" s="420"/>
      <c r="B707" s="325"/>
      <c r="C707" s="325"/>
      <c r="D707" s="326"/>
      <c r="E707" s="327"/>
      <c r="F707" s="328"/>
    </row>
    <row r="708" spans="1:6" x14ac:dyDescent="0.25">
      <c r="A708" s="420"/>
      <c r="B708" s="325"/>
      <c r="C708" s="325"/>
      <c r="D708" s="326"/>
      <c r="E708" s="327"/>
      <c r="F708" s="328"/>
    </row>
    <row r="709" spans="1:6" x14ac:dyDescent="0.25">
      <c r="A709" s="420"/>
      <c r="B709" s="325"/>
      <c r="C709" s="325"/>
      <c r="D709" s="326"/>
      <c r="E709" s="327"/>
      <c r="F709" s="328"/>
    </row>
    <row r="710" spans="1:6" x14ac:dyDescent="0.25">
      <c r="A710" s="420"/>
      <c r="B710" s="325"/>
      <c r="C710" s="325"/>
      <c r="D710" s="326"/>
      <c r="E710" s="327"/>
      <c r="F710" s="328"/>
    </row>
    <row r="718" spans="1:6" x14ac:dyDescent="0.25">
      <c r="A718" s="548" t="s">
        <v>158</v>
      </c>
      <c r="B718" s="548"/>
      <c r="C718" s="548"/>
      <c r="D718" s="548"/>
      <c r="E718" s="548"/>
      <c r="F718" s="548"/>
    </row>
    <row r="719" spans="1:6" ht="15.75" thickBot="1" x14ac:dyDescent="0.3">
      <c r="A719" s="548" t="s">
        <v>142</v>
      </c>
      <c r="B719" s="548"/>
      <c r="C719" s="548"/>
      <c r="D719" s="548"/>
      <c r="E719" s="548"/>
      <c r="F719" s="548"/>
    </row>
    <row r="720" spans="1:6" x14ac:dyDescent="0.25">
      <c r="C720" s="544" t="s">
        <v>118</v>
      </c>
    </row>
    <row r="721" spans="1:8" ht="6.75" customHeight="1" x14ac:dyDescent="0.25">
      <c r="C721" s="545"/>
    </row>
    <row r="722" spans="1:8" ht="27" customHeight="1" thickBot="1" x14ac:dyDescent="0.3">
      <c r="C722" s="546"/>
    </row>
    <row r="723" spans="1:8" ht="27" customHeight="1" thickBot="1" x14ac:dyDescent="0.3">
      <c r="C723" s="197" t="s">
        <v>1</v>
      </c>
      <c r="D723" s="185">
        <f ca="1">D543</f>
        <v>34</v>
      </c>
    </row>
    <row r="724" spans="1:8" ht="15" customHeight="1" x14ac:dyDescent="0.25">
      <c r="C724" s="197"/>
      <c r="G724" s="195"/>
      <c r="H724" s="195"/>
    </row>
    <row r="725" spans="1:8" ht="10.5" customHeight="1" x14ac:dyDescent="0.25">
      <c r="C725" s="177"/>
      <c r="D725" s="177"/>
      <c r="E725" s="184"/>
      <c r="F725" s="177"/>
    </row>
    <row r="726" spans="1:8" ht="21.75" customHeight="1" x14ac:dyDescent="0.4">
      <c r="B726" s="186" t="s">
        <v>113</v>
      </c>
      <c r="C726" s="186" t="s">
        <v>65</v>
      </c>
      <c r="D726" s="547" t="s">
        <v>148</v>
      </c>
      <c r="E726" s="547"/>
      <c r="F726" s="177"/>
    </row>
    <row r="727" spans="1:8" ht="16.5" customHeight="1" x14ac:dyDescent="0.3">
      <c r="C727" s="178"/>
      <c r="D727" s="177"/>
      <c r="E727" s="184"/>
      <c r="F727" s="177"/>
    </row>
    <row r="728" spans="1:8" ht="16.5" customHeight="1" x14ac:dyDescent="0.25">
      <c r="A728" s="195" t="s">
        <v>114</v>
      </c>
      <c r="B728" s="356" t="s">
        <v>115</v>
      </c>
      <c r="C728" s="182" t="s">
        <v>116</v>
      </c>
      <c r="D728" s="196" t="s">
        <v>1</v>
      </c>
      <c r="E728" s="184" t="s">
        <v>117</v>
      </c>
      <c r="F728" s="445" t="s">
        <v>245</v>
      </c>
    </row>
    <row r="729" spans="1:8" ht="16.5" customHeight="1" x14ac:dyDescent="0.25">
      <c r="A729" s="484" t="s">
        <v>147</v>
      </c>
      <c r="B729" s="433" t="str">
        <f>B684</f>
        <v>finitions en cours</v>
      </c>
      <c r="C729" s="485" t="s">
        <v>283</v>
      </c>
      <c r="D729" s="486" t="s">
        <v>7</v>
      </c>
      <c r="E729" s="487">
        <v>34</v>
      </c>
      <c r="F729" s="390"/>
    </row>
    <row r="730" spans="1:8" x14ac:dyDescent="0.25">
      <c r="A730" s="362" t="s">
        <v>177</v>
      </c>
      <c r="B730" s="433" t="str">
        <f t="shared" ref="B730:B750" si="16">B685</f>
        <v>finitions en cours</v>
      </c>
      <c r="C730" s="434" t="s">
        <v>283</v>
      </c>
      <c r="D730" s="435" t="s">
        <v>7</v>
      </c>
      <c r="E730" s="455">
        <v>34</v>
      </c>
      <c r="F730" s="437"/>
    </row>
    <row r="731" spans="1:8" hidden="1" x14ac:dyDescent="0.25">
      <c r="A731" s="362" t="s">
        <v>101</v>
      </c>
      <c r="B731" s="433" t="str">
        <f t="shared" si="16"/>
        <v>à receptionner</v>
      </c>
      <c r="C731" s="434"/>
      <c r="D731" s="435" t="s">
        <v>7</v>
      </c>
      <c r="E731" s="455"/>
      <c r="F731" s="437"/>
    </row>
    <row r="732" spans="1:8" x14ac:dyDescent="0.25">
      <c r="A732" s="362" t="s">
        <v>242</v>
      </c>
      <c r="B732" s="433" t="str">
        <f t="shared" si="16"/>
        <v>démarrage S35</v>
      </c>
      <c r="C732" s="434" t="s">
        <v>151</v>
      </c>
      <c r="D732" s="435" t="s">
        <v>7</v>
      </c>
      <c r="E732" s="455">
        <v>39</v>
      </c>
      <c r="F732" s="437"/>
    </row>
    <row r="733" spans="1:8" x14ac:dyDescent="0.25">
      <c r="A733" s="362" t="s">
        <v>231</v>
      </c>
      <c r="B733" s="433" t="str">
        <f t="shared" si="16"/>
        <v>couvert</v>
      </c>
      <c r="C733" s="434" t="s">
        <v>151</v>
      </c>
      <c r="D733" s="435" t="s">
        <v>7</v>
      </c>
      <c r="E733" s="455">
        <v>30</v>
      </c>
      <c r="F733" s="437"/>
    </row>
    <row r="734" spans="1:8" x14ac:dyDescent="0.25">
      <c r="A734" s="362" t="s">
        <v>269</v>
      </c>
      <c r="B734" s="433" t="str">
        <f t="shared" si="16"/>
        <v>pignons</v>
      </c>
      <c r="C734" s="434" t="s">
        <v>151</v>
      </c>
      <c r="D734" s="435" t="s">
        <v>7</v>
      </c>
      <c r="E734" s="455">
        <v>38</v>
      </c>
      <c r="F734" s="437"/>
    </row>
    <row r="735" spans="1:8" x14ac:dyDescent="0.25">
      <c r="A735" s="362" t="s">
        <v>166</v>
      </c>
      <c r="B735" s="433" t="str">
        <f t="shared" si="16"/>
        <v>plâtrerie en cours</v>
      </c>
      <c r="C735" s="434" t="s">
        <v>283</v>
      </c>
      <c r="D735" s="435" t="s">
        <v>7</v>
      </c>
      <c r="E735" s="455">
        <v>38</v>
      </c>
      <c r="F735" s="437"/>
    </row>
    <row r="736" spans="1:8" x14ac:dyDescent="0.25">
      <c r="A736" s="362" t="s">
        <v>189</v>
      </c>
      <c r="B736" s="433" t="str">
        <f t="shared" si="16"/>
        <v>plâtrerie en cours</v>
      </c>
      <c r="C736" s="434" t="s">
        <v>151</v>
      </c>
      <c r="D736" s="435" t="s">
        <v>7</v>
      </c>
      <c r="E736" s="455">
        <v>30</v>
      </c>
      <c r="F736" s="437"/>
    </row>
    <row r="737" spans="1:6" hidden="1" x14ac:dyDescent="0.25">
      <c r="A737" s="362" t="s">
        <v>104</v>
      </c>
      <c r="B737" s="433" t="str">
        <f t="shared" si="16"/>
        <v>à receptionner</v>
      </c>
      <c r="C737" s="434"/>
      <c r="D737" s="435" t="s">
        <v>7</v>
      </c>
      <c r="E737" s="455"/>
      <c r="F737" s="437"/>
    </row>
    <row r="738" spans="1:6" x14ac:dyDescent="0.25">
      <c r="A738" s="362" t="s">
        <v>312</v>
      </c>
      <c r="B738" s="433" t="str">
        <f t="shared" si="16"/>
        <v>démarrage S40</v>
      </c>
      <c r="C738" s="434" t="s">
        <v>151</v>
      </c>
      <c r="D738" s="435" t="s">
        <v>7</v>
      </c>
      <c r="E738" s="455">
        <v>30</v>
      </c>
      <c r="F738" s="437"/>
    </row>
    <row r="739" spans="1:6" hidden="1" x14ac:dyDescent="0.25">
      <c r="A739" s="362" t="s">
        <v>167</v>
      </c>
      <c r="B739" s="433" t="str">
        <f t="shared" si="16"/>
        <v>chape</v>
      </c>
      <c r="C739" s="434"/>
      <c r="D739" s="435" t="s">
        <v>7</v>
      </c>
      <c r="E739" s="455"/>
      <c r="F739" s="437"/>
    </row>
    <row r="740" spans="1:6" x14ac:dyDescent="0.25">
      <c r="A740" s="362" t="s">
        <v>205</v>
      </c>
      <c r="B740" s="433" t="str">
        <f t="shared" si="16"/>
        <v>attente men. Ext</v>
      </c>
      <c r="C740" s="434" t="s">
        <v>283</v>
      </c>
      <c r="D740" s="435" t="s">
        <v>7</v>
      </c>
      <c r="E740" s="455">
        <v>34</v>
      </c>
      <c r="F740" s="437"/>
    </row>
    <row r="741" spans="1:6" x14ac:dyDescent="0.25">
      <c r="A741" s="362" t="s">
        <v>190</v>
      </c>
      <c r="B741" s="433" t="str">
        <f t="shared" si="16"/>
        <v>carrelage</v>
      </c>
      <c r="C741" s="434" t="s">
        <v>151</v>
      </c>
      <c r="D741" s="435" t="s">
        <v>7</v>
      </c>
      <c r="E741" s="455">
        <v>31</v>
      </c>
      <c r="F741" s="437"/>
    </row>
    <row r="742" spans="1:6" hidden="1" x14ac:dyDescent="0.25">
      <c r="A742" s="362" t="s">
        <v>232</v>
      </c>
      <c r="B742" s="433" t="str">
        <f t="shared" si="16"/>
        <v>attente men. Ext</v>
      </c>
      <c r="C742" s="434"/>
      <c r="D742" s="435" t="s">
        <v>7</v>
      </c>
      <c r="E742" s="455"/>
      <c r="F742" s="437"/>
    </row>
    <row r="743" spans="1:6" x14ac:dyDescent="0.25">
      <c r="A743" s="362" t="s">
        <v>313</v>
      </c>
      <c r="B743" s="433" t="str">
        <f t="shared" si="16"/>
        <v>pignons</v>
      </c>
      <c r="C743" s="434" t="s">
        <v>151</v>
      </c>
      <c r="D743" s="435" t="s">
        <v>7</v>
      </c>
      <c r="E743" s="455">
        <v>39</v>
      </c>
      <c r="F743" s="437"/>
    </row>
    <row r="744" spans="1:6" x14ac:dyDescent="0.25">
      <c r="A744" s="362" t="s">
        <v>270</v>
      </c>
      <c r="B744" s="433" t="str">
        <f t="shared" si="16"/>
        <v>pignons</v>
      </c>
      <c r="C744" s="434" t="s">
        <v>283</v>
      </c>
      <c r="D744" s="435" t="s">
        <v>7</v>
      </c>
      <c r="E744" s="455">
        <v>31</v>
      </c>
      <c r="F744" s="437"/>
    </row>
    <row r="745" spans="1:6" x14ac:dyDescent="0.25">
      <c r="A745" s="362" t="s">
        <v>233</v>
      </c>
      <c r="B745" s="433" t="str">
        <f t="shared" si="16"/>
        <v>couvert</v>
      </c>
      <c r="C745" s="434" t="s">
        <v>151</v>
      </c>
      <c r="D745" s="435" t="s">
        <v>7</v>
      </c>
      <c r="E745" s="455">
        <v>37</v>
      </c>
      <c r="F745" s="437"/>
    </row>
    <row r="746" spans="1:6" hidden="1" x14ac:dyDescent="0.25">
      <c r="A746" s="362" t="s">
        <v>206</v>
      </c>
      <c r="B746" s="433" t="str">
        <f t="shared" si="16"/>
        <v>second œuvre</v>
      </c>
      <c r="C746" s="434"/>
      <c r="D746" s="435" t="s">
        <v>7</v>
      </c>
      <c r="E746" s="455"/>
      <c r="F746" s="437"/>
    </row>
    <row r="747" spans="1:6" hidden="1" x14ac:dyDescent="0.25">
      <c r="A747" s="362" t="s">
        <v>243</v>
      </c>
      <c r="B747" s="433" t="str">
        <f t="shared" si="16"/>
        <v>attente men. Ext</v>
      </c>
      <c r="C747" s="434"/>
      <c r="D747" s="435" t="s">
        <v>7</v>
      </c>
      <c r="E747" s="455"/>
      <c r="F747" s="437"/>
    </row>
    <row r="748" spans="1:6" x14ac:dyDescent="0.25">
      <c r="A748" s="362" t="s">
        <v>234</v>
      </c>
      <c r="B748" s="433" t="str">
        <f t="shared" si="16"/>
        <v>clos couvert</v>
      </c>
      <c r="C748" s="434" t="s">
        <v>151</v>
      </c>
      <c r="D748" s="435" t="s">
        <v>7</v>
      </c>
      <c r="E748" s="455">
        <v>30</v>
      </c>
      <c r="F748" s="437"/>
    </row>
    <row r="749" spans="1:6" x14ac:dyDescent="0.25">
      <c r="A749" s="362" t="s">
        <v>193</v>
      </c>
      <c r="B749" s="433" t="str">
        <f t="shared" si="16"/>
        <v>attente men. Ext</v>
      </c>
      <c r="C749" s="434" t="s">
        <v>151</v>
      </c>
      <c r="D749" s="435" t="s">
        <v>7</v>
      </c>
      <c r="E749" s="455">
        <v>30</v>
      </c>
      <c r="F749" s="437"/>
    </row>
    <row r="750" spans="1:6" hidden="1" x14ac:dyDescent="0.25">
      <c r="A750" s="362" t="s">
        <v>178</v>
      </c>
      <c r="B750" s="433" t="str">
        <f t="shared" si="16"/>
        <v>finitions en cours</v>
      </c>
      <c r="C750" s="434"/>
      <c r="D750" s="435" t="s">
        <v>7</v>
      </c>
      <c r="E750" s="455"/>
      <c r="F750" s="437"/>
    </row>
    <row r="751" spans="1:6" x14ac:dyDescent="0.25">
      <c r="A751" s="362" t="s">
        <v>178</v>
      </c>
      <c r="B751" s="434">
        <f>B706</f>
        <v>0</v>
      </c>
      <c r="C751" s="434" t="s">
        <v>283</v>
      </c>
      <c r="D751" s="435" t="s">
        <v>7</v>
      </c>
      <c r="E751" s="455">
        <v>35</v>
      </c>
      <c r="F751" s="437"/>
    </row>
    <row r="752" spans="1:6" x14ac:dyDescent="0.25">
      <c r="A752" s="420"/>
      <c r="B752" s="325"/>
      <c r="C752" s="325"/>
      <c r="D752" s="326"/>
      <c r="E752" s="327"/>
      <c r="F752" s="328"/>
    </row>
    <row r="753" spans="1:6" x14ac:dyDescent="0.25">
      <c r="A753" s="420"/>
      <c r="B753" s="325"/>
      <c r="C753" s="325"/>
      <c r="D753" s="326"/>
      <c r="E753" s="327"/>
      <c r="F753" s="328"/>
    </row>
    <row r="754" spans="1:6" x14ac:dyDescent="0.25">
      <c r="A754" s="420"/>
      <c r="B754" s="325"/>
      <c r="C754" s="325"/>
      <c r="D754" s="326"/>
      <c r="E754" s="327"/>
      <c r="F754" s="328"/>
    </row>
    <row r="755" spans="1:6" x14ac:dyDescent="0.25">
      <c r="A755" s="420"/>
      <c r="B755" s="325"/>
      <c r="C755" s="325"/>
      <c r="D755" s="326"/>
      <c r="E755" s="327"/>
      <c r="F755" s="328"/>
    </row>
    <row r="763" spans="1:6" x14ac:dyDescent="0.25">
      <c r="A763" s="548" t="s">
        <v>158</v>
      </c>
      <c r="B763" s="548"/>
      <c r="C763" s="548"/>
      <c r="D763" s="548"/>
      <c r="E763" s="548"/>
      <c r="F763" s="548"/>
    </row>
    <row r="764" spans="1:6" ht="15.75" thickBot="1" x14ac:dyDescent="0.3">
      <c r="A764" s="548" t="s">
        <v>142</v>
      </c>
      <c r="B764" s="548"/>
      <c r="C764" s="548"/>
      <c r="D764" s="548"/>
      <c r="E764" s="548"/>
      <c r="F764" s="548"/>
    </row>
    <row r="765" spans="1:6" x14ac:dyDescent="0.25">
      <c r="C765" s="544" t="s">
        <v>118</v>
      </c>
    </row>
    <row r="766" spans="1:6" ht="6.75" customHeight="1" x14ac:dyDescent="0.25">
      <c r="C766" s="545"/>
    </row>
    <row r="767" spans="1:6" ht="27" customHeight="1" thickBot="1" x14ac:dyDescent="0.3">
      <c r="C767" s="546"/>
    </row>
    <row r="768" spans="1:6" ht="27" customHeight="1" thickBot="1" x14ac:dyDescent="0.3">
      <c r="C768" s="197" t="s">
        <v>1</v>
      </c>
      <c r="D768" s="185">
        <f ca="1">D588</f>
        <v>34</v>
      </c>
    </row>
    <row r="769" spans="1:8" ht="15" customHeight="1" x14ac:dyDescent="0.25">
      <c r="C769" s="197"/>
      <c r="G769" s="195"/>
      <c r="H769" s="195"/>
    </row>
    <row r="770" spans="1:8" ht="10.5" customHeight="1" x14ac:dyDescent="0.25">
      <c r="C770" s="177"/>
      <c r="D770" s="177"/>
      <c r="E770" s="184"/>
      <c r="F770" s="177"/>
    </row>
    <row r="771" spans="1:8" ht="21.75" customHeight="1" x14ac:dyDescent="0.4">
      <c r="B771" s="186" t="s">
        <v>113</v>
      </c>
      <c r="C771" s="186" t="s">
        <v>66</v>
      </c>
      <c r="D771" s="547" t="s">
        <v>156</v>
      </c>
      <c r="E771" s="547"/>
      <c r="F771" s="177"/>
    </row>
    <row r="772" spans="1:8" ht="16.5" customHeight="1" x14ac:dyDescent="0.3">
      <c r="C772" s="178"/>
      <c r="D772" s="177"/>
      <c r="E772" s="184"/>
      <c r="F772" s="177"/>
    </row>
    <row r="773" spans="1:8" ht="16.5" customHeight="1" x14ac:dyDescent="0.25">
      <c r="A773" s="195" t="s">
        <v>114</v>
      </c>
      <c r="B773" s="356" t="s">
        <v>115</v>
      </c>
      <c r="C773" s="182" t="s">
        <v>116</v>
      </c>
      <c r="D773" s="196" t="s">
        <v>1</v>
      </c>
      <c r="E773" s="184" t="s">
        <v>117</v>
      </c>
      <c r="F773" s="445" t="s">
        <v>245</v>
      </c>
    </row>
    <row r="774" spans="1:8" ht="16.5" customHeight="1" x14ac:dyDescent="0.25">
      <c r="A774" s="181" t="s">
        <v>147</v>
      </c>
      <c r="B774" s="361" t="str">
        <f>B729</f>
        <v>finitions en cours</v>
      </c>
      <c r="C774" s="190"/>
      <c r="D774" s="183"/>
      <c r="E774" s="184"/>
      <c r="F774" s="177"/>
    </row>
    <row r="775" spans="1:8" x14ac:dyDescent="0.25">
      <c r="A775" s="192" t="s">
        <v>177</v>
      </c>
      <c r="B775" s="361" t="str">
        <f t="shared" ref="B775:B795" si="17">B730</f>
        <v>finitions en cours</v>
      </c>
      <c r="C775" s="193"/>
      <c r="D775" s="189"/>
      <c r="E775" s="191"/>
      <c r="F775" s="180"/>
    </row>
    <row r="776" spans="1:8" x14ac:dyDescent="0.25">
      <c r="A776" s="192" t="s">
        <v>101</v>
      </c>
      <c r="B776" s="361" t="str">
        <f t="shared" si="17"/>
        <v>à receptionner</v>
      </c>
      <c r="C776" s="193"/>
      <c r="D776" s="189"/>
      <c r="E776" s="191"/>
      <c r="F776" s="180"/>
    </row>
    <row r="777" spans="1:8" x14ac:dyDescent="0.25">
      <c r="A777" s="192" t="s">
        <v>242</v>
      </c>
      <c r="B777" s="361" t="str">
        <f t="shared" si="17"/>
        <v>démarrage S35</v>
      </c>
      <c r="C777" s="193"/>
      <c r="D777" s="189"/>
      <c r="E777" s="191"/>
      <c r="F777" s="180"/>
    </row>
    <row r="778" spans="1:8" x14ac:dyDescent="0.25">
      <c r="A778" s="192" t="s">
        <v>231</v>
      </c>
      <c r="B778" s="361" t="str">
        <f t="shared" si="17"/>
        <v>couvert</v>
      </c>
      <c r="C778" s="193"/>
      <c r="D778" s="189"/>
      <c r="E778" s="191"/>
      <c r="F778" s="180"/>
    </row>
    <row r="779" spans="1:8" x14ac:dyDescent="0.25">
      <c r="A779" s="192" t="s">
        <v>269</v>
      </c>
      <c r="B779" s="361" t="str">
        <f t="shared" si="17"/>
        <v>pignons</v>
      </c>
      <c r="C779" s="193"/>
      <c r="D779" s="189"/>
      <c r="E779" s="191"/>
      <c r="F779" s="180"/>
    </row>
    <row r="780" spans="1:8" x14ac:dyDescent="0.25">
      <c r="A780" s="192" t="s">
        <v>166</v>
      </c>
      <c r="B780" s="361" t="str">
        <f t="shared" si="17"/>
        <v>plâtrerie en cours</v>
      </c>
      <c r="C780" s="193"/>
      <c r="D780" s="189"/>
      <c r="E780" s="191"/>
      <c r="F780" s="180"/>
    </row>
    <row r="781" spans="1:8" x14ac:dyDescent="0.25">
      <c r="A781" s="192" t="s">
        <v>189</v>
      </c>
      <c r="B781" s="361" t="str">
        <f t="shared" si="17"/>
        <v>plâtrerie en cours</v>
      </c>
      <c r="C781" s="193"/>
      <c r="D781" s="189"/>
      <c r="E781" s="191"/>
      <c r="F781" s="180"/>
    </row>
    <row r="782" spans="1:8" x14ac:dyDescent="0.25">
      <c r="A782" s="192" t="s">
        <v>104</v>
      </c>
      <c r="B782" s="361" t="str">
        <f t="shared" si="17"/>
        <v>à receptionner</v>
      </c>
      <c r="C782" s="193"/>
      <c r="D782" s="189"/>
      <c r="E782" s="191"/>
      <c r="F782" s="180"/>
    </row>
    <row r="783" spans="1:8" x14ac:dyDescent="0.25">
      <c r="A783" s="192" t="s">
        <v>312</v>
      </c>
      <c r="B783" s="361" t="str">
        <f t="shared" si="17"/>
        <v>démarrage S40</v>
      </c>
      <c r="C783" s="193"/>
      <c r="D783" s="189"/>
      <c r="E783" s="191"/>
      <c r="F783" s="180"/>
    </row>
    <row r="784" spans="1:8" x14ac:dyDescent="0.25">
      <c r="A784" s="192" t="s">
        <v>167</v>
      </c>
      <c r="B784" s="361" t="str">
        <f t="shared" si="17"/>
        <v>chape</v>
      </c>
      <c r="C784" s="193"/>
      <c r="D784" s="189"/>
      <c r="E784" s="191"/>
      <c r="F784" s="180"/>
    </row>
    <row r="785" spans="1:6" x14ac:dyDescent="0.25">
      <c r="A785" s="192" t="s">
        <v>205</v>
      </c>
      <c r="B785" s="361" t="str">
        <f t="shared" si="17"/>
        <v>attente men. Ext</v>
      </c>
      <c r="C785" s="193"/>
      <c r="D785" s="189"/>
      <c r="E785" s="191"/>
      <c r="F785" s="180"/>
    </row>
    <row r="786" spans="1:6" x14ac:dyDescent="0.25">
      <c r="A786" s="192" t="s">
        <v>190</v>
      </c>
      <c r="B786" s="361" t="str">
        <f t="shared" si="17"/>
        <v>carrelage</v>
      </c>
      <c r="C786" s="193"/>
      <c r="D786" s="189"/>
      <c r="E786" s="191"/>
      <c r="F786" s="180"/>
    </row>
    <row r="787" spans="1:6" x14ac:dyDescent="0.25">
      <c r="A787" s="192" t="s">
        <v>232</v>
      </c>
      <c r="B787" s="361" t="str">
        <f t="shared" si="17"/>
        <v>attente men. Ext</v>
      </c>
      <c r="C787" s="193"/>
      <c r="D787" s="189"/>
      <c r="E787" s="191"/>
      <c r="F787" s="180"/>
    </row>
    <row r="788" spans="1:6" x14ac:dyDescent="0.25">
      <c r="A788" s="192" t="s">
        <v>313</v>
      </c>
      <c r="B788" s="361" t="str">
        <f t="shared" si="17"/>
        <v>pignons</v>
      </c>
      <c r="C788" s="193"/>
      <c r="D788" s="189"/>
      <c r="E788" s="191"/>
      <c r="F788" s="180"/>
    </row>
    <row r="789" spans="1:6" x14ac:dyDescent="0.25">
      <c r="A789" s="192" t="s">
        <v>270</v>
      </c>
      <c r="B789" s="361" t="str">
        <f t="shared" si="17"/>
        <v>pignons</v>
      </c>
      <c r="C789" s="193"/>
      <c r="D789" s="189"/>
      <c r="E789" s="191"/>
      <c r="F789" s="180"/>
    </row>
    <row r="790" spans="1:6" x14ac:dyDescent="0.25">
      <c r="A790" s="192" t="s">
        <v>233</v>
      </c>
      <c r="B790" s="361" t="str">
        <f t="shared" si="17"/>
        <v>couvert</v>
      </c>
      <c r="C790" s="193"/>
      <c r="D790" s="189"/>
      <c r="E790" s="191"/>
      <c r="F790" s="180"/>
    </row>
    <row r="791" spans="1:6" x14ac:dyDescent="0.25">
      <c r="A791" s="192" t="s">
        <v>206</v>
      </c>
      <c r="B791" s="361" t="str">
        <f t="shared" si="17"/>
        <v>second œuvre</v>
      </c>
      <c r="C791" s="193"/>
      <c r="D791" s="189"/>
      <c r="E791" s="191"/>
      <c r="F791" s="180"/>
    </row>
    <row r="792" spans="1:6" x14ac:dyDescent="0.25">
      <c r="A792" s="192" t="s">
        <v>243</v>
      </c>
      <c r="B792" s="361" t="str">
        <f t="shared" si="17"/>
        <v>attente men. Ext</v>
      </c>
      <c r="C792" s="193"/>
      <c r="D792" s="189"/>
      <c r="E792" s="191"/>
      <c r="F792" s="180"/>
    </row>
    <row r="793" spans="1:6" x14ac:dyDescent="0.25">
      <c r="A793" s="192" t="s">
        <v>234</v>
      </c>
      <c r="B793" s="361" t="str">
        <f t="shared" si="17"/>
        <v>clos couvert</v>
      </c>
      <c r="C793" s="193"/>
      <c r="D793" s="189"/>
      <c r="E793" s="191"/>
      <c r="F793" s="180"/>
    </row>
    <row r="794" spans="1:6" x14ac:dyDescent="0.25">
      <c r="A794" s="192" t="s">
        <v>193</v>
      </c>
      <c r="B794" s="361" t="str">
        <f t="shared" si="17"/>
        <v>attente men. Ext</v>
      </c>
      <c r="C794" s="193"/>
      <c r="D794" s="189"/>
      <c r="E794" s="191"/>
      <c r="F794" s="180"/>
    </row>
    <row r="795" spans="1:6" x14ac:dyDescent="0.25">
      <c r="A795" s="268" t="s">
        <v>178</v>
      </c>
      <c r="B795" s="361" t="str">
        <f t="shared" si="17"/>
        <v>finitions en cours</v>
      </c>
      <c r="C795" s="269"/>
      <c r="D795" s="189"/>
      <c r="E795" s="191"/>
      <c r="F795" s="180"/>
    </row>
    <row r="796" spans="1:6" x14ac:dyDescent="0.25">
      <c r="A796" s="268" t="s">
        <v>178</v>
      </c>
      <c r="B796" s="269">
        <f>B751</f>
        <v>0</v>
      </c>
      <c r="C796" s="269"/>
      <c r="D796" s="189"/>
      <c r="E796" s="191"/>
      <c r="F796" s="180"/>
    </row>
    <row r="797" spans="1:6" x14ac:dyDescent="0.25">
      <c r="A797" s="420"/>
      <c r="B797" s="325"/>
      <c r="C797" s="325"/>
      <c r="D797" s="326"/>
      <c r="E797" s="327"/>
      <c r="F797" s="328"/>
    </row>
    <row r="798" spans="1:6" x14ac:dyDescent="0.25">
      <c r="A798" s="420"/>
      <c r="B798" s="325"/>
      <c r="C798" s="325"/>
      <c r="D798" s="326"/>
      <c r="E798" s="327"/>
      <c r="F798" s="328"/>
    </row>
    <row r="799" spans="1:6" x14ac:dyDescent="0.25">
      <c r="A799" s="420"/>
      <c r="B799" s="325"/>
      <c r="C799" s="325"/>
      <c r="D799" s="326"/>
      <c r="E799" s="327"/>
      <c r="F799" s="328"/>
    </row>
    <row r="800" spans="1:6" x14ac:dyDescent="0.25">
      <c r="A800" s="420"/>
      <c r="B800" s="325"/>
      <c r="C800" s="325"/>
      <c r="D800" s="326"/>
      <c r="E800" s="327"/>
      <c r="F800" s="328"/>
    </row>
    <row r="808" spans="1:8" x14ac:dyDescent="0.25">
      <c r="A808" s="548" t="s">
        <v>158</v>
      </c>
      <c r="B808" s="548"/>
      <c r="C808" s="548"/>
      <c r="D808" s="548"/>
      <c r="E808" s="548"/>
      <c r="F808" s="548"/>
    </row>
    <row r="809" spans="1:8" ht="15.75" thickBot="1" x14ac:dyDescent="0.3">
      <c r="A809" s="548" t="s">
        <v>142</v>
      </c>
      <c r="B809" s="548"/>
      <c r="C809" s="548"/>
      <c r="D809" s="548"/>
      <c r="E809" s="548"/>
      <c r="F809" s="548"/>
    </row>
    <row r="810" spans="1:8" x14ac:dyDescent="0.25">
      <c r="C810" s="544" t="s">
        <v>118</v>
      </c>
    </row>
    <row r="811" spans="1:8" ht="6.75" customHeight="1" x14ac:dyDescent="0.25">
      <c r="C811" s="545"/>
    </row>
    <row r="812" spans="1:8" ht="27" customHeight="1" thickBot="1" x14ac:dyDescent="0.3">
      <c r="C812" s="546"/>
    </row>
    <row r="813" spans="1:8" ht="27" customHeight="1" thickBot="1" x14ac:dyDescent="0.3">
      <c r="C813" s="197" t="s">
        <v>1</v>
      </c>
      <c r="D813" s="185">
        <f ca="1">D633</f>
        <v>34</v>
      </c>
    </row>
    <row r="814" spans="1:8" ht="15" customHeight="1" x14ac:dyDescent="0.25">
      <c r="C814" s="197"/>
      <c r="G814" s="195"/>
      <c r="H814" s="195"/>
    </row>
    <row r="815" spans="1:8" ht="10.5" customHeight="1" x14ac:dyDescent="0.25">
      <c r="C815" s="177"/>
      <c r="D815" s="257"/>
      <c r="E815" s="184"/>
      <c r="F815" s="177"/>
    </row>
    <row r="816" spans="1:8" ht="21.75" customHeight="1" x14ac:dyDescent="0.4">
      <c r="B816" s="186" t="s">
        <v>113</v>
      </c>
      <c r="C816" s="186" t="s">
        <v>80</v>
      </c>
      <c r="D816" s="258" t="s">
        <v>133</v>
      </c>
      <c r="F816" s="257"/>
    </row>
    <row r="817" spans="1:6" ht="16.5" customHeight="1" x14ac:dyDescent="0.3">
      <c r="C817" s="178"/>
      <c r="D817" s="177"/>
      <c r="E817" s="184"/>
      <c r="F817" s="177"/>
    </row>
    <row r="818" spans="1:6" ht="16.5" customHeight="1" x14ac:dyDescent="0.25">
      <c r="A818" s="195" t="s">
        <v>114</v>
      </c>
      <c r="B818" s="356" t="s">
        <v>115</v>
      </c>
      <c r="C818" s="182" t="s">
        <v>116</v>
      </c>
      <c r="D818" s="196" t="s">
        <v>1</v>
      </c>
      <c r="E818" s="184" t="s">
        <v>117</v>
      </c>
      <c r="F818" s="445" t="s">
        <v>245</v>
      </c>
    </row>
    <row r="819" spans="1:6" ht="16.5" hidden="1" customHeight="1" x14ac:dyDescent="0.25">
      <c r="A819" s="181" t="s">
        <v>147</v>
      </c>
      <c r="B819" s="361" t="str">
        <f>B774</f>
        <v>finitions en cours</v>
      </c>
      <c r="C819" s="190"/>
      <c r="D819" s="183" t="s">
        <v>7</v>
      </c>
      <c r="E819" s="184"/>
      <c r="F819" s="177"/>
    </row>
    <row r="820" spans="1:6" hidden="1" x14ac:dyDescent="0.25">
      <c r="A820" s="192" t="s">
        <v>177</v>
      </c>
      <c r="B820" s="361" t="str">
        <f t="shared" ref="B820:B840" si="18">B775</f>
        <v>finitions en cours</v>
      </c>
      <c r="C820" s="193"/>
      <c r="D820" s="183" t="s">
        <v>7</v>
      </c>
      <c r="E820" s="191"/>
      <c r="F820" s="180"/>
    </row>
    <row r="821" spans="1:6" hidden="1" x14ac:dyDescent="0.25">
      <c r="A821" s="192" t="s">
        <v>101</v>
      </c>
      <c r="B821" s="361" t="str">
        <f t="shared" si="18"/>
        <v>à receptionner</v>
      </c>
      <c r="C821" s="193"/>
      <c r="D821" s="183" t="s">
        <v>7</v>
      </c>
      <c r="E821" s="191"/>
      <c r="F821" s="180"/>
    </row>
    <row r="822" spans="1:6" hidden="1" x14ac:dyDescent="0.25">
      <c r="A822" s="192" t="s">
        <v>242</v>
      </c>
      <c r="B822" s="361" t="str">
        <f t="shared" si="18"/>
        <v>démarrage S35</v>
      </c>
      <c r="C822" s="193"/>
      <c r="D822" s="183" t="s">
        <v>7</v>
      </c>
      <c r="E822" s="191"/>
      <c r="F822" s="180"/>
    </row>
    <row r="823" spans="1:6" hidden="1" x14ac:dyDescent="0.25">
      <c r="A823" s="192" t="s">
        <v>231</v>
      </c>
      <c r="B823" s="361" t="str">
        <f t="shared" si="18"/>
        <v>couvert</v>
      </c>
      <c r="C823" s="193"/>
      <c r="D823" s="183" t="s">
        <v>7</v>
      </c>
      <c r="E823" s="191"/>
      <c r="F823" s="180"/>
    </row>
    <row r="824" spans="1:6" hidden="1" x14ac:dyDescent="0.25">
      <c r="A824" s="192" t="s">
        <v>269</v>
      </c>
      <c r="B824" s="361" t="str">
        <f t="shared" si="18"/>
        <v>pignons</v>
      </c>
      <c r="C824" s="193"/>
      <c r="D824" s="183" t="s">
        <v>7</v>
      </c>
      <c r="E824" s="191"/>
      <c r="F824" s="180"/>
    </row>
    <row r="825" spans="1:6" hidden="1" x14ac:dyDescent="0.25">
      <c r="A825" s="192" t="s">
        <v>166</v>
      </c>
      <c r="B825" s="361" t="str">
        <f t="shared" si="18"/>
        <v>plâtrerie en cours</v>
      </c>
      <c r="C825" s="193"/>
      <c r="D825" s="183" t="s">
        <v>7</v>
      </c>
      <c r="E825" s="191"/>
      <c r="F825" s="180"/>
    </row>
    <row r="826" spans="1:6" hidden="1" x14ac:dyDescent="0.25">
      <c r="A826" s="192" t="s">
        <v>189</v>
      </c>
      <c r="B826" s="361" t="str">
        <f t="shared" si="18"/>
        <v>plâtrerie en cours</v>
      </c>
      <c r="C826" s="193"/>
      <c r="D826" s="183" t="s">
        <v>7</v>
      </c>
      <c r="E826" s="191"/>
      <c r="F826" s="180"/>
    </row>
    <row r="827" spans="1:6" hidden="1" x14ac:dyDescent="0.25">
      <c r="A827" s="192" t="s">
        <v>104</v>
      </c>
      <c r="B827" s="361" t="str">
        <f t="shared" si="18"/>
        <v>à receptionner</v>
      </c>
      <c r="C827" s="193"/>
      <c r="D827" s="183" t="s">
        <v>7</v>
      </c>
      <c r="E827" s="191"/>
      <c r="F827" s="180"/>
    </row>
    <row r="828" spans="1:6" hidden="1" x14ac:dyDescent="0.25">
      <c r="A828" s="192" t="s">
        <v>312</v>
      </c>
      <c r="B828" s="361" t="str">
        <f t="shared" si="18"/>
        <v>démarrage S40</v>
      </c>
      <c r="C828" s="193"/>
      <c r="D828" s="183" t="s">
        <v>7</v>
      </c>
      <c r="E828" s="191"/>
      <c r="F828" s="180"/>
    </row>
    <row r="829" spans="1:6" hidden="1" x14ac:dyDescent="0.25">
      <c r="A829" s="192" t="s">
        <v>167</v>
      </c>
      <c r="B829" s="361" t="str">
        <f t="shared" si="18"/>
        <v>chape</v>
      </c>
      <c r="C829" s="193"/>
      <c r="D829" s="183" t="s">
        <v>7</v>
      </c>
      <c r="E829" s="191"/>
      <c r="F829" s="180"/>
    </row>
    <row r="830" spans="1:6" hidden="1" x14ac:dyDescent="0.25">
      <c r="A830" s="192" t="s">
        <v>205</v>
      </c>
      <c r="B830" s="361" t="str">
        <f t="shared" si="18"/>
        <v>attente men. Ext</v>
      </c>
      <c r="C830" s="193"/>
      <c r="D830" s="183" t="s">
        <v>7</v>
      </c>
      <c r="E830" s="191"/>
      <c r="F830" s="180"/>
    </row>
    <row r="831" spans="1:6" x14ac:dyDescent="0.25">
      <c r="A831" s="192" t="s">
        <v>190</v>
      </c>
      <c r="B831" s="361" t="str">
        <f t="shared" si="18"/>
        <v>carrelage</v>
      </c>
      <c r="C831" s="193" t="s">
        <v>255</v>
      </c>
      <c r="D831" s="183" t="s">
        <v>7</v>
      </c>
      <c r="E831" s="191">
        <v>31</v>
      </c>
      <c r="F831" s="180"/>
    </row>
    <row r="832" spans="1:6" hidden="1" x14ac:dyDescent="0.25">
      <c r="A832" s="192" t="s">
        <v>232</v>
      </c>
      <c r="B832" s="361" t="str">
        <f t="shared" si="18"/>
        <v>attente men. Ext</v>
      </c>
      <c r="C832" s="193"/>
      <c r="D832" s="183" t="s">
        <v>7</v>
      </c>
      <c r="E832" s="191"/>
      <c r="F832" s="180"/>
    </row>
    <row r="833" spans="1:6" x14ac:dyDescent="0.25">
      <c r="A833" s="192" t="s">
        <v>313</v>
      </c>
      <c r="B833" s="361" t="str">
        <f t="shared" si="18"/>
        <v>pignons</v>
      </c>
      <c r="C833" s="193" t="s">
        <v>255</v>
      </c>
      <c r="D833" s="183" t="s">
        <v>7</v>
      </c>
      <c r="E833" s="191">
        <v>37</v>
      </c>
      <c r="F833" s="180"/>
    </row>
    <row r="834" spans="1:6" hidden="1" x14ac:dyDescent="0.25">
      <c r="A834" s="192" t="s">
        <v>270</v>
      </c>
      <c r="B834" s="361" t="str">
        <f t="shared" si="18"/>
        <v>pignons</v>
      </c>
      <c r="C834" s="193"/>
      <c r="D834" s="183" t="s">
        <v>7</v>
      </c>
      <c r="E834" s="191"/>
      <c r="F834" s="180"/>
    </row>
    <row r="835" spans="1:6" x14ac:dyDescent="0.25">
      <c r="A835" s="192" t="s">
        <v>233</v>
      </c>
      <c r="B835" s="361" t="str">
        <f t="shared" si="18"/>
        <v>couvert</v>
      </c>
      <c r="C835" s="193" t="s">
        <v>255</v>
      </c>
      <c r="D835" s="183" t="s">
        <v>7</v>
      </c>
      <c r="E835" s="191">
        <v>37</v>
      </c>
      <c r="F835" s="180"/>
    </row>
    <row r="836" spans="1:6" x14ac:dyDescent="0.25">
      <c r="A836" s="192" t="s">
        <v>206</v>
      </c>
      <c r="B836" s="361" t="str">
        <f t="shared" si="18"/>
        <v>second œuvre</v>
      </c>
      <c r="C836" s="193" t="s">
        <v>255</v>
      </c>
      <c r="D836" s="183" t="s">
        <v>7</v>
      </c>
      <c r="E836" s="191">
        <v>35</v>
      </c>
      <c r="F836" s="180"/>
    </row>
    <row r="837" spans="1:6" hidden="1" x14ac:dyDescent="0.25">
      <c r="A837" s="192" t="s">
        <v>243</v>
      </c>
      <c r="B837" s="361" t="str">
        <f t="shared" si="18"/>
        <v>attente men. Ext</v>
      </c>
      <c r="C837" s="193"/>
      <c r="D837" s="183" t="s">
        <v>7</v>
      </c>
      <c r="E837" s="191"/>
      <c r="F837" s="180"/>
    </row>
    <row r="838" spans="1:6" x14ac:dyDescent="0.25">
      <c r="A838" s="192" t="s">
        <v>234</v>
      </c>
      <c r="B838" s="361" t="str">
        <f t="shared" si="18"/>
        <v>clos couvert</v>
      </c>
      <c r="C838" s="193" t="s">
        <v>255</v>
      </c>
      <c r="D838" s="183" t="s">
        <v>7</v>
      </c>
      <c r="E838" s="191">
        <v>35</v>
      </c>
      <c r="F838" s="180"/>
    </row>
    <row r="839" spans="1:6" x14ac:dyDescent="0.25">
      <c r="A839" s="192" t="s">
        <v>193</v>
      </c>
      <c r="B839" s="361" t="str">
        <f t="shared" si="18"/>
        <v>attente men. Ext</v>
      </c>
      <c r="C839" s="193" t="s">
        <v>255</v>
      </c>
      <c r="D839" s="183" t="s">
        <v>7</v>
      </c>
      <c r="E839" s="191">
        <v>29</v>
      </c>
      <c r="F839" s="180"/>
    </row>
    <row r="840" spans="1:6" x14ac:dyDescent="0.25">
      <c r="A840" s="268" t="s">
        <v>178</v>
      </c>
      <c r="B840" s="361" t="str">
        <f t="shared" si="18"/>
        <v>finitions en cours</v>
      </c>
      <c r="C840" s="193" t="s">
        <v>284</v>
      </c>
      <c r="D840" s="183" t="s">
        <v>7</v>
      </c>
      <c r="E840" s="191">
        <v>34</v>
      </c>
      <c r="F840" s="180"/>
    </row>
    <row r="841" spans="1:6" hidden="1" x14ac:dyDescent="0.25">
      <c r="A841" s="268" t="s">
        <v>178</v>
      </c>
      <c r="B841" s="269">
        <f>B796</f>
        <v>0</v>
      </c>
      <c r="C841" s="269"/>
      <c r="D841" s="183" t="s">
        <v>7</v>
      </c>
      <c r="E841" s="191"/>
      <c r="F841" s="180"/>
    </row>
    <row r="842" spans="1:6" x14ac:dyDescent="0.25">
      <c r="A842" s="420"/>
      <c r="B842" s="325"/>
      <c r="C842" s="325"/>
      <c r="D842" s="326"/>
      <c r="E842" s="327"/>
      <c r="F842" s="328"/>
    </row>
    <row r="843" spans="1:6" x14ac:dyDescent="0.25">
      <c r="A843" s="420"/>
      <c r="B843" s="325"/>
      <c r="C843" s="325"/>
      <c r="D843" s="326"/>
      <c r="E843" s="327"/>
      <c r="F843" s="328"/>
    </row>
    <row r="844" spans="1:6" x14ac:dyDescent="0.25">
      <c r="A844" s="420"/>
      <c r="B844" s="325"/>
      <c r="C844" s="325"/>
      <c r="D844" s="326"/>
      <c r="E844" s="327"/>
      <c r="F844" s="328"/>
    </row>
    <row r="845" spans="1:6" x14ac:dyDescent="0.25">
      <c r="A845" s="420"/>
      <c r="B845" s="325"/>
      <c r="C845" s="325"/>
      <c r="D845" s="326"/>
      <c r="E845" s="327"/>
      <c r="F845" s="328"/>
    </row>
    <row r="853" spans="1:8" x14ac:dyDescent="0.25">
      <c r="A853" s="548" t="s">
        <v>158</v>
      </c>
      <c r="B853" s="548"/>
      <c r="C853" s="548"/>
      <c r="D853" s="548"/>
      <c r="E853" s="548"/>
      <c r="F853" s="548"/>
    </row>
    <row r="854" spans="1:8" ht="15.75" thickBot="1" x14ac:dyDescent="0.3">
      <c r="A854" s="548" t="s">
        <v>142</v>
      </c>
      <c r="B854" s="548"/>
      <c r="C854" s="548"/>
      <c r="D854" s="548"/>
      <c r="E854" s="548"/>
      <c r="F854" s="548"/>
    </row>
    <row r="855" spans="1:8" x14ac:dyDescent="0.25">
      <c r="C855" s="544" t="s">
        <v>118</v>
      </c>
    </row>
    <row r="856" spans="1:8" ht="6.75" customHeight="1" x14ac:dyDescent="0.25">
      <c r="C856" s="545"/>
    </row>
    <row r="857" spans="1:8" ht="27" customHeight="1" thickBot="1" x14ac:dyDescent="0.3">
      <c r="C857" s="546"/>
    </row>
    <row r="858" spans="1:8" ht="27" customHeight="1" thickBot="1" x14ac:dyDescent="0.3">
      <c r="C858" s="197" t="s">
        <v>1</v>
      </c>
      <c r="D858" s="185">
        <f ca="1">D678</f>
        <v>34</v>
      </c>
    </row>
    <row r="859" spans="1:8" ht="15" customHeight="1" x14ac:dyDescent="0.25">
      <c r="C859" s="197"/>
      <c r="G859" s="195"/>
      <c r="H859" s="195"/>
    </row>
    <row r="860" spans="1:8" ht="10.5" customHeight="1" x14ac:dyDescent="0.25">
      <c r="C860" s="177"/>
      <c r="D860" s="177"/>
      <c r="E860" s="184"/>
      <c r="F860" s="177"/>
    </row>
    <row r="861" spans="1:8" ht="21.75" customHeight="1" x14ac:dyDescent="0.4">
      <c r="B861" s="186" t="s">
        <v>113</v>
      </c>
      <c r="C861" s="186" t="s">
        <v>64</v>
      </c>
      <c r="D861" s="547" t="s">
        <v>191</v>
      </c>
      <c r="E861" s="547"/>
      <c r="F861" s="177"/>
    </row>
    <row r="862" spans="1:8" ht="16.5" customHeight="1" x14ac:dyDescent="0.3">
      <c r="C862" s="178"/>
      <c r="D862" s="177"/>
      <c r="E862" s="184"/>
      <c r="F862" s="177"/>
    </row>
    <row r="863" spans="1:8" ht="16.5" customHeight="1" x14ac:dyDescent="0.25">
      <c r="A863" s="195" t="s">
        <v>114</v>
      </c>
      <c r="B863" s="356" t="s">
        <v>115</v>
      </c>
      <c r="C863" s="182" t="s">
        <v>116</v>
      </c>
      <c r="D863" s="196" t="s">
        <v>1</v>
      </c>
      <c r="E863" s="184" t="s">
        <v>117</v>
      </c>
      <c r="F863" s="445" t="s">
        <v>245</v>
      </c>
    </row>
    <row r="864" spans="1:8" ht="16.5" hidden="1" customHeight="1" x14ac:dyDescent="0.25">
      <c r="A864" s="181" t="s">
        <v>147</v>
      </c>
      <c r="B864" s="361" t="str">
        <f>B819</f>
        <v>finitions en cours</v>
      </c>
      <c r="C864" s="190"/>
      <c r="D864" s="183" t="s">
        <v>7</v>
      </c>
      <c r="E864" s="184"/>
      <c r="F864" s="177"/>
    </row>
    <row r="865" spans="1:6" hidden="1" x14ac:dyDescent="0.25">
      <c r="A865" s="192" t="s">
        <v>177</v>
      </c>
      <c r="B865" s="361" t="str">
        <f t="shared" ref="B865:B885" si="19">B820</f>
        <v>finitions en cours</v>
      </c>
      <c r="C865" s="193"/>
      <c r="D865" s="183" t="s">
        <v>7</v>
      </c>
      <c r="E865" s="191"/>
      <c r="F865" s="180"/>
    </row>
    <row r="866" spans="1:6" hidden="1" x14ac:dyDescent="0.25">
      <c r="A866" s="192" t="s">
        <v>101</v>
      </c>
      <c r="B866" s="361" t="str">
        <f t="shared" si="19"/>
        <v>à receptionner</v>
      </c>
      <c r="C866" s="193"/>
      <c r="D866" s="183" t="s">
        <v>7</v>
      </c>
      <c r="E866" s="191"/>
      <c r="F866" s="180"/>
    </row>
    <row r="867" spans="1:6" hidden="1" x14ac:dyDescent="0.25">
      <c r="A867" s="202" t="s">
        <v>242</v>
      </c>
      <c r="B867" s="361" t="str">
        <f t="shared" si="19"/>
        <v>démarrage S35</v>
      </c>
      <c r="C867" s="193"/>
      <c r="D867" s="183" t="s">
        <v>7</v>
      </c>
      <c r="E867" s="191"/>
      <c r="F867" s="180"/>
    </row>
    <row r="868" spans="1:6" x14ac:dyDescent="0.25">
      <c r="A868" s="192" t="s">
        <v>231</v>
      </c>
      <c r="B868" s="361" t="str">
        <f t="shared" si="19"/>
        <v>couvert</v>
      </c>
      <c r="C868" s="193" t="s">
        <v>285</v>
      </c>
      <c r="D868" s="183" t="s">
        <v>7</v>
      </c>
      <c r="E868" s="191">
        <v>30</v>
      </c>
      <c r="F868" s="180"/>
    </row>
    <row r="869" spans="1:6" x14ac:dyDescent="0.25">
      <c r="A869" s="202" t="s">
        <v>269</v>
      </c>
      <c r="B869" s="361" t="str">
        <f t="shared" si="19"/>
        <v>pignons</v>
      </c>
      <c r="C869" s="193" t="s">
        <v>285</v>
      </c>
      <c r="D869" s="183" t="s">
        <v>7</v>
      </c>
      <c r="E869" s="191">
        <v>36</v>
      </c>
      <c r="F869" s="180"/>
    </row>
    <row r="870" spans="1:6" hidden="1" x14ac:dyDescent="0.25">
      <c r="A870" s="192" t="s">
        <v>166</v>
      </c>
      <c r="B870" s="361" t="str">
        <f t="shared" si="19"/>
        <v>plâtrerie en cours</v>
      </c>
      <c r="C870" s="193"/>
      <c r="D870" s="183" t="s">
        <v>7</v>
      </c>
      <c r="E870" s="191"/>
      <c r="F870" s="180"/>
    </row>
    <row r="871" spans="1:6" hidden="1" x14ac:dyDescent="0.25">
      <c r="A871" s="192" t="s">
        <v>189</v>
      </c>
      <c r="B871" s="361" t="str">
        <f t="shared" si="19"/>
        <v>plâtrerie en cours</v>
      </c>
      <c r="C871" s="193"/>
      <c r="D871" s="183" t="s">
        <v>7</v>
      </c>
      <c r="E871" s="191"/>
      <c r="F871" s="180"/>
    </row>
    <row r="872" spans="1:6" hidden="1" x14ac:dyDescent="0.25">
      <c r="A872" s="192" t="s">
        <v>104</v>
      </c>
      <c r="B872" s="361" t="str">
        <f t="shared" si="19"/>
        <v>à receptionner</v>
      </c>
      <c r="C872" s="193"/>
      <c r="D872" s="183" t="s">
        <v>7</v>
      </c>
      <c r="E872" s="191"/>
      <c r="F872" s="180"/>
    </row>
    <row r="873" spans="1:6" hidden="1" x14ac:dyDescent="0.25">
      <c r="A873" s="192" t="s">
        <v>312</v>
      </c>
      <c r="B873" s="361" t="str">
        <f t="shared" si="19"/>
        <v>démarrage S40</v>
      </c>
      <c r="C873" s="193"/>
      <c r="D873" s="183" t="s">
        <v>7</v>
      </c>
      <c r="E873" s="191"/>
      <c r="F873" s="180"/>
    </row>
    <row r="874" spans="1:6" hidden="1" x14ac:dyDescent="0.25">
      <c r="A874" s="192" t="s">
        <v>167</v>
      </c>
      <c r="B874" s="361" t="str">
        <f t="shared" si="19"/>
        <v>chape</v>
      </c>
      <c r="C874" s="193"/>
      <c r="D874" s="183" t="s">
        <v>7</v>
      </c>
      <c r="E874" s="191"/>
      <c r="F874" s="180"/>
    </row>
    <row r="875" spans="1:6" hidden="1" x14ac:dyDescent="0.25">
      <c r="A875" s="192" t="s">
        <v>205</v>
      </c>
      <c r="B875" s="361" t="str">
        <f t="shared" si="19"/>
        <v>attente men. Ext</v>
      </c>
      <c r="C875" s="193"/>
      <c r="D875" s="183" t="s">
        <v>7</v>
      </c>
      <c r="E875" s="191"/>
      <c r="F875" s="180"/>
    </row>
    <row r="876" spans="1:6" hidden="1" x14ac:dyDescent="0.25">
      <c r="A876" s="192" t="s">
        <v>190</v>
      </c>
      <c r="B876" s="361" t="str">
        <f t="shared" si="19"/>
        <v>carrelage</v>
      </c>
      <c r="C876" s="193"/>
      <c r="D876" s="183" t="s">
        <v>7</v>
      </c>
      <c r="E876" s="191"/>
      <c r="F876" s="180"/>
    </row>
    <row r="877" spans="1:6" hidden="1" x14ac:dyDescent="0.25">
      <c r="A877" s="192" t="s">
        <v>232</v>
      </c>
      <c r="B877" s="361" t="str">
        <f t="shared" si="19"/>
        <v>attente men. Ext</v>
      </c>
      <c r="C877" s="193"/>
      <c r="D877" s="183" t="s">
        <v>7</v>
      </c>
      <c r="E877" s="191"/>
      <c r="F877" s="180"/>
    </row>
    <row r="878" spans="1:6" x14ac:dyDescent="0.25">
      <c r="A878" s="192" t="s">
        <v>313</v>
      </c>
      <c r="B878" s="361" t="str">
        <f t="shared" si="19"/>
        <v>pignons</v>
      </c>
      <c r="C878" s="193" t="s">
        <v>285</v>
      </c>
      <c r="D878" s="183" t="s">
        <v>7</v>
      </c>
      <c r="E878" s="191">
        <v>36</v>
      </c>
      <c r="F878" s="180"/>
    </row>
    <row r="879" spans="1:6" hidden="1" x14ac:dyDescent="0.25">
      <c r="A879" s="192" t="s">
        <v>270</v>
      </c>
      <c r="B879" s="361" t="str">
        <f t="shared" si="19"/>
        <v>pignons</v>
      </c>
      <c r="C879" s="193"/>
      <c r="D879" s="183" t="s">
        <v>7</v>
      </c>
      <c r="E879" s="191"/>
      <c r="F879" s="180"/>
    </row>
    <row r="880" spans="1:6" x14ac:dyDescent="0.25">
      <c r="A880" s="192" t="s">
        <v>233</v>
      </c>
      <c r="B880" s="361" t="str">
        <f t="shared" si="19"/>
        <v>couvert</v>
      </c>
      <c r="C880" s="193" t="s">
        <v>286</v>
      </c>
      <c r="D880" s="183" t="s">
        <v>7</v>
      </c>
      <c r="E880" s="191">
        <v>35</v>
      </c>
      <c r="F880" s="180"/>
    </row>
    <row r="881" spans="1:6" x14ac:dyDescent="0.25">
      <c r="A881" s="192" t="s">
        <v>206</v>
      </c>
      <c r="B881" s="361" t="str">
        <f t="shared" si="19"/>
        <v>second œuvre</v>
      </c>
      <c r="C881" s="193" t="s">
        <v>285</v>
      </c>
      <c r="D881" s="183" t="s">
        <v>7</v>
      </c>
      <c r="E881" s="191">
        <v>33</v>
      </c>
      <c r="F881" s="180"/>
    </row>
    <row r="882" spans="1:6" hidden="1" x14ac:dyDescent="0.25">
      <c r="A882" s="192" t="s">
        <v>243</v>
      </c>
      <c r="B882" s="361" t="str">
        <f t="shared" si="19"/>
        <v>attente men. Ext</v>
      </c>
      <c r="C882" s="193"/>
      <c r="D882" s="183" t="s">
        <v>7</v>
      </c>
      <c r="E882" s="191"/>
      <c r="F882" s="180"/>
    </row>
    <row r="883" spans="1:6" x14ac:dyDescent="0.25">
      <c r="A883" s="192" t="s">
        <v>234</v>
      </c>
      <c r="B883" s="361" t="str">
        <f t="shared" si="19"/>
        <v>clos couvert</v>
      </c>
      <c r="C883" s="193" t="s">
        <v>285</v>
      </c>
      <c r="D883" s="183" t="s">
        <v>7</v>
      </c>
      <c r="E883" s="191">
        <v>34</v>
      </c>
      <c r="F883" s="180"/>
    </row>
    <row r="884" spans="1:6" hidden="1" x14ac:dyDescent="0.25">
      <c r="A884" s="192" t="s">
        <v>193</v>
      </c>
      <c r="B884" s="361" t="str">
        <f t="shared" si="19"/>
        <v>attente men. Ext</v>
      </c>
      <c r="C884" s="193"/>
      <c r="D884" s="183" t="s">
        <v>7</v>
      </c>
      <c r="E884" s="191"/>
      <c r="F884" s="180"/>
    </row>
    <row r="885" spans="1:6" x14ac:dyDescent="0.25">
      <c r="A885" s="268" t="s">
        <v>178</v>
      </c>
      <c r="B885" s="361" t="str">
        <f t="shared" si="19"/>
        <v>finitions en cours</v>
      </c>
      <c r="C885" s="269" t="s">
        <v>287</v>
      </c>
      <c r="D885" s="183" t="s">
        <v>7</v>
      </c>
      <c r="E885" s="191">
        <v>30</v>
      </c>
      <c r="F885" s="180"/>
    </row>
    <row r="886" spans="1:6" hidden="1" x14ac:dyDescent="0.25">
      <c r="A886" s="268" t="s">
        <v>178</v>
      </c>
      <c r="B886" s="269">
        <f>B841</f>
        <v>0</v>
      </c>
      <c r="C886" s="269"/>
      <c r="D886" s="183" t="s">
        <v>7</v>
      </c>
      <c r="E886" s="191"/>
      <c r="F886" s="180"/>
    </row>
    <row r="887" spans="1:6" x14ac:dyDescent="0.25">
      <c r="A887" s="420"/>
      <c r="B887" s="325"/>
      <c r="C887" s="325"/>
      <c r="D887" s="326"/>
      <c r="E887" s="327"/>
      <c r="F887" s="328"/>
    </row>
    <row r="888" spans="1:6" x14ac:dyDescent="0.25">
      <c r="A888" s="420"/>
      <c r="B888" s="325"/>
      <c r="C888" s="325"/>
      <c r="D888" s="326"/>
      <c r="E888" s="327"/>
      <c r="F888" s="328"/>
    </row>
    <row r="889" spans="1:6" x14ac:dyDescent="0.25">
      <c r="A889" s="420"/>
      <c r="B889" s="325"/>
      <c r="C889" s="325"/>
      <c r="D889" s="326"/>
      <c r="E889" s="327"/>
      <c r="F889" s="328"/>
    </row>
    <row r="890" spans="1:6" x14ac:dyDescent="0.25">
      <c r="A890" s="420"/>
      <c r="B890" s="325"/>
      <c r="C890" s="325"/>
      <c r="D890" s="326"/>
      <c r="E890" s="327"/>
      <c r="F890" s="328"/>
    </row>
    <row r="898" spans="1:8" x14ac:dyDescent="0.25">
      <c r="A898" s="548" t="s">
        <v>158</v>
      </c>
      <c r="B898" s="548"/>
      <c r="C898" s="548"/>
      <c r="D898" s="548"/>
      <c r="E898" s="548"/>
      <c r="F898" s="548"/>
    </row>
    <row r="899" spans="1:8" ht="15.75" thickBot="1" x14ac:dyDescent="0.3">
      <c r="A899" s="548" t="s">
        <v>142</v>
      </c>
      <c r="B899" s="548"/>
      <c r="C899" s="548"/>
      <c r="D899" s="548"/>
      <c r="E899" s="548"/>
      <c r="F899" s="548"/>
    </row>
    <row r="900" spans="1:8" x14ac:dyDescent="0.25">
      <c r="C900" s="544" t="s">
        <v>118</v>
      </c>
    </row>
    <row r="901" spans="1:8" ht="6.75" customHeight="1" x14ac:dyDescent="0.25">
      <c r="C901" s="545"/>
    </row>
    <row r="902" spans="1:8" ht="27" customHeight="1" thickBot="1" x14ac:dyDescent="0.3">
      <c r="C902" s="546"/>
    </row>
    <row r="903" spans="1:8" ht="27" customHeight="1" thickBot="1" x14ac:dyDescent="0.3">
      <c r="C903" s="197" t="s">
        <v>1</v>
      </c>
      <c r="D903" s="185">
        <f ca="1">D723</f>
        <v>34</v>
      </c>
    </row>
    <row r="904" spans="1:8" ht="15" customHeight="1" x14ac:dyDescent="0.25">
      <c r="C904" s="203"/>
      <c r="G904" s="195"/>
      <c r="H904" s="195"/>
    </row>
    <row r="905" spans="1:8" ht="10.5" customHeight="1" x14ac:dyDescent="0.25">
      <c r="C905" s="177"/>
      <c r="D905" s="177"/>
      <c r="E905" s="184"/>
      <c r="F905" s="177"/>
    </row>
    <row r="906" spans="1:8" ht="21.75" customHeight="1" x14ac:dyDescent="0.4">
      <c r="B906" s="186" t="s">
        <v>113</v>
      </c>
      <c r="C906" s="186" t="s">
        <v>267</v>
      </c>
      <c r="D906" s="549" t="s">
        <v>266</v>
      </c>
      <c r="E906" s="547"/>
      <c r="F906" s="177"/>
    </row>
    <row r="907" spans="1:8" ht="16.5" customHeight="1" x14ac:dyDescent="0.3">
      <c r="C907" s="178"/>
      <c r="D907" s="177"/>
      <c r="E907" s="184"/>
      <c r="F907" s="177"/>
    </row>
    <row r="908" spans="1:8" ht="16.5" customHeight="1" x14ac:dyDescent="0.25">
      <c r="A908" s="195" t="s">
        <v>114</v>
      </c>
      <c r="B908" s="356" t="s">
        <v>115</v>
      </c>
      <c r="C908" s="182" t="s">
        <v>116</v>
      </c>
      <c r="D908" s="196" t="s">
        <v>1</v>
      </c>
      <c r="E908" s="184" t="s">
        <v>117</v>
      </c>
      <c r="F908" s="445" t="s">
        <v>245</v>
      </c>
    </row>
    <row r="909" spans="1:8" ht="16.5" hidden="1" customHeight="1" x14ac:dyDescent="0.25">
      <c r="A909" s="181" t="s">
        <v>147</v>
      </c>
      <c r="B909" s="361" t="str">
        <f>B864</f>
        <v>finitions en cours</v>
      </c>
      <c r="C909" s="190"/>
      <c r="D909" s="183"/>
      <c r="E909" s="184"/>
      <c r="F909" s="177"/>
    </row>
    <row r="910" spans="1:8" hidden="1" x14ac:dyDescent="0.25">
      <c r="A910" s="192" t="s">
        <v>177</v>
      </c>
      <c r="B910" s="361" t="str">
        <f t="shared" ref="B910:B930" si="20">B865</f>
        <v>finitions en cours</v>
      </c>
      <c r="C910" s="193"/>
      <c r="D910" s="189"/>
      <c r="E910" s="191"/>
      <c r="F910" s="180"/>
    </row>
    <row r="911" spans="1:8" hidden="1" x14ac:dyDescent="0.25">
      <c r="A911" s="192" t="s">
        <v>101</v>
      </c>
      <c r="B911" s="361" t="str">
        <f t="shared" si="20"/>
        <v>à receptionner</v>
      </c>
      <c r="C911" s="193"/>
      <c r="D911" s="189"/>
      <c r="E911" s="191"/>
      <c r="F911" s="180"/>
    </row>
    <row r="912" spans="1:8" hidden="1" x14ac:dyDescent="0.25">
      <c r="A912" s="192" t="s">
        <v>242</v>
      </c>
      <c r="B912" s="361" t="str">
        <f t="shared" si="20"/>
        <v>démarrage S35</v>
      </c>
      <c r="C912" s="193"/>
      <c r="D912" s="189"/>
      <c r="E912" s="191"/>
      <c r="F912" s="180"/>
    </row>
    <row r="913" spans="1:6" hidden="1" x14ac:dyDescent="0.25">
      <c r="A913" s="192" t="s">
        <v>231</v>
      </c>
      <c r="B913" s="361" t="str">
        <f t="shared" si="20"/>
        <v>couvert</v>
      </c>
      <c r="C913" s="193"/>
      <c r="D913" s="189"/>
      <c r="E913" s="191"/>
      <c r="F913" s="180"/>
    </row>
    <row r="914" spans="1:6" hidden="1" x14ac:dyDescent="0.25">
      <c r="A914" s="192" t="s">
        <v>269</v>
      </c>
      <c r="B914" s="361" t="str">
        <f t="shared" si="20"/>
        <v>pignons</v>
      </c>
      <c r="C914" s="193"/>
      <c r="D914" s="189"/>
      <c r="E914" s="191"/>
      <c r="F914" s="180"/>
    </row>
    <row r="915" spans="1:6" hidden="1" x14ac:dyDescent="0.25">
      <c r="A915" s="192" t="s">
        <v>166</v>
      </c>
      <c r="B915" s="361" t="str">
        <f t="shared" si="20"/>
        <v>plâtrerie en cours</v>
      </c>
      <c r="C915" s="193"/>
      <c r="D915" s="189"/>
      <c r="E915" s="191"/>
      <c r="F915" s="180"/>
    </row>
    <row r="916" spans="1:6" hidden="1" x14ac:dyDescent="0.25">
      <c r="A916" s="192" t="s">
        <v>189</v>
      </c>
      <c r="B916" s="361" t="str">
        <f t="shared" si="20"/>
        <v>plâtrerie en cours</v>
      </c>
      <c r="C916" s="193"/>
      <c r="D916" s="189"/>
      <c r="E916" s="191"/>
      <c r="F916" s="180"/>
    </row>
    <row r="917" spans="1:6" hidden="1" x14ac:dyDescent="0.25">
      <c r="A917" s="192" t="s">
        <v>104</v>
      </c>
      <c r="B917" s="361" t="str">
        <f t="shared" si="20"/>
        <v>à receptionner</v>
      </c>
      <c r="C917" s="193"/>
      <c r="D917" s="189"/>
      <c r="E917" s="191"/>
      <c r="F917" s="180"/>
    </row>
    <row r="918" spans="1:6" hidden="1" x14ac:dyDescent="0.25">
      <c r="A918" s="192" t="s">
        <v>312</v>
      </c>
      <c r="B918" s="361" t="str">
        <f t="shared" si="20"/>
        <v>démarrage S40</v>
      </c>
      <c r="C918" s="193"/>
      <c r="D918" s="189"/>
      <c r="E918" s="191"/>
      <c r="F918" s="180"/>
    </row>
    <row r="919" spans="1:6" hidden="1" x14ac:dyDescent="0.25">
      <c r="A919" s="192" t="s">
        <v>167</v>
      </c>
      <c r="B919" s="361" t="str">
        <f t="shared" si="20"/>
        <v>chape</v>
      </c>
      <c r="C919" s="193"/>
      <c r="D919" s="189"/>
      <c r="E919" s="191"/>
      <c r="F919" s="180"/>
    </row>
    <row r="920" spans="1:6" hidden="1" x14ac:dyDescent="0.25">
      <c r="A920" s="192" t="s">
        <v>205</v>
      </c>
      <c r="B920" s="361" t="str">
        <f t="shared" si="20"/>
        <v>attente men. Ext</v>
      </c>
      <c r="C920" s="193"/>
      <c r="D920" s="189"/>
      <c r="E920" s="191"/>
      <c r="F920" s="180"/>
    </row>
    <row r="921" spans="1:6" hidden="1" x14ac:dyDescent="0.25">
      <c r="A921" s="192" t="s">
        <v>190</v>
      </c>
      <c r="B921" s="361" t="str">
        <f t="shared" si="20"/>
        <v>carrelage</v>
      </c>
      <c r="C921" s="193"/>
      <c r="D921" s="189"/>
      <c r="E921" s="191"/>
      <c r="F921" s="180"/>
    </row>
    <row r="922" spans="1:6" hidden="1" x14ac:dyDescent="0.25">
      <c r="A922" s="192" t="s">
        <v>232</v>
      </c>
      <c r="B922" s="361" t="str">
        <f t="shared" si="20"/>
        <v>attente men. Ext</v>
      </c>
      <c r="C922" s="193"/>
      <c r="D922" s="189"/>
      <c r="E922" s="191"/>
      <c r="F922" s="180"/>
    </row>
    <row r="923" spans="1:6" hidden="1" x14ac:dyDescent="0.25">
      <c r="A923" s="192" t="s">
        <v>313</v>
      </c>
      <c r="B923" s="361" t="str">
        <f t="shared" si="20"/>
        <v>pignons</v>
      </c>
      <c r="C923" s="193"/>
      <c r="D923" s="189"/>
      <c r="E923" s="191"/>
      <c r="F923" s="180"/>
    </row>
    <row r="924" spans="1:6" hidden="1" x14ac:dyDescent="0.25">
      <c r="A924" s="192" t="s">
        <v>270</v>
      </c>
      <c r="B924" s="361" t="str">
        <f t="shared" si="20"/>
        <v>pignons</v>
      </c>
      <c r="C924" s="193"/>
      <c r="D924" s="189"/>
      <c r="E924" s="191"/>
      <c r="F924" s="180"/>
    </row>
    <row r="925" spans="1:6" x14ac:dyDescent="0.25">
      <c r="A925" s="192" t="s">
        <v>233</v>
      </c>
      <c r="B925" s="361" t="str">
        <f t="shared" si="20"/>
        <v>couvert</v>
      </c>
      <c r="C925" s="193" t="s">
        <v>251</v>
      </c>
      <c r="D925" s="189" t="s">
        <v>7</v>
      </c>
      <c r="E925" s="191">
        <v>41</v>
      </c>
      <c r="F925" s="180"/>
    </row>
    <row r="926" spans="1:6" hidden="1" x14ac:dyDescent="0.25">
      <c r="A926" s="192" t="s">
        <v>206</v>
      </c>
      <c r="B926" s="361" t="str">
        <f t="shared" si="20"/>
        <v>second œuvre</v>
      </c>
      <c r="C926" s="193"/>
      <c r="D926" s="189"/>
      <c r="E926" s="191"/>
      <c r="F926" s="180"/>
    </row>
    <row r="927" spans="1:6" hidden="1" x14ac:dyDescent="0.25">
      <c r="A927" s="192" t="s">
        <v>243</v>
      </c>
      <c r="B927" s="361" t="str">
        <f t="shared" si="20"/>
        <v>attente men. Ext</v>
      </c>
      <c r="C927" s="193"/>
      <c r="D927" s="189"/>
      <c r="E927" s="191"/>
      <c r="F927" s="180"/>
    </row>
    <row r="928" spans="1:6" hidden="1" x14ac:dyDescent="0.25">
      <c r="A928" s="192" t="s">
        <v>234</v>
      </c>
      <c r="B928" s="361" t="str">
        <f t="shared" si="20"/>
        <v>clos couvert</v>
      </c>
      <c r="C928" s="193"/>
      <c r="D928" s="189"/>
      <c r="E928" s="191"/>
      <c r="F928" s="180"/>
    </row>
    <row r="929" spans="1:6" hidden="1" x14ac:dyDescent="0.25">
      <c r="A929" s="192" t="s">
        <v>193</v>
      </c>
      <c r="B929" s="361" t="str">
        <f t="shared" si="20"/>
        <v>attente men. Ext</v>
      </c>
      <c r="C929" s="193"/>
      <c r="D929" s="189"/>
      <c r="E929" s="191"/>
      <c r="F929" s="180"/>
    </row>
    <row r="930" spans="1:6" hidden="1" x14ac:dyDescent="0.25">
      <c r="A930" s="268" t="s">
        <v>178</v>
      </c>
      <c r="B930" s="361" t="str">
        <f t="shared" si="20"/>
        <v>finitions en cours</v>
      </c>
      <c r="C930" s="193"/>
      <c r="D930" s="189"/>
      <c r="E930" s="191"/>
      <c r="F930" s="180"/>
    </row>
    <row r="931" spans="1:6" hidden="1" x14ac:dyDescent="0.25">
      <c r="A931" s="268" t="s">
        <v>178</v>
      </c>
      <c r="B931" s="269">
        <f>B886</f>
        <v>0</v>
      </c>
      <c r="C931" s="269"/>
      <c r="D931" s="189"/>
      <c r="E931" s="191"/>
      <c r="F931" s="180"/>
    </row>
    <row r="932" spans="1:6" x14ac:dyDescent="0.25">
      <c r="A932" s="420"/>
      <c r="B932" s="325"/>
      <c r="C932" s="325"/>
      <c r="D932" s="326"/>
      <c r="E932" s="327"/>
      <c r="F932" s="328"/>
    </row>
    <row r="933" spans="1:6" x14ac:dyDescent="0.25">
      <c r="A933" s="420"/>
      <c r="B933" s="325"/>
      <c r="C933" s="325"/>
      <c r="D933" s="326"/>
      <c r="E933" s="327"/>
      <c r="F933" s="328"/>
    </row>
    <row r="934" spans="1:6" x14ac:dyDescent="0.25">
      <c r="A934" s="420"/>
      <c r="B934" s="325"/>
      <c r="C934" s="325"/>
      <c r="D934" s="326"/>
      <c r="E934" s="327"/>
      <c r="F934" s="328"/>
    </row>
    <row r="935" spans="1:6" x14ac:dyDescent="0.25">
      <c r="A935" s="420"/>
      <c r="B935" s="325"/>
      <c r="C935" s="325"/>
      <c r="D935" s="326"/>
      <c r="E935" s="327"/>
      <c r="F935" s="328"/>
    </row>
    <row r="943" spans="1:6" x14ac:dyDescent="0.25">
      <c r="A943" s="548" t="s">
        <v>158</v>
      </c>
      <c r="B943" s="548"/>
      <c r="C943" s="548"/>
      <c r="D943" s="548"/>
      <c r="E943" s="548"/>
      <c r="F943" s="548"/>
    </row>
    <row r="944" spans="1:6" ht="15.75" thickBot="1" x14ac:dyDescent="0.3">
      <c r="A944" s="548" t="s">
        <v>142</v>
      </c>
      <c r="B944" s="548"/>
      <c r="C944" s="548"/>
      <c r="D944" s="548"/>
      <c r="E944" s="548"/>
      <c r="F944" s="548"/>
    </row>
    <row r="945" spans="1:8" x14ac:dyDescent="0.25">
      <c r="C945" s="544" t="s">
        <v>118</v>
      </c>
    </row>
    <row r="946" spans="1:8" ht="6.75" customHeight="1" x14ac:dyDescent="0.25">
      <c r="C946" s="545"/>
    </row>
    <row r="947" spans="1:8" ht="27" customHeight="1" thickBot="1" x14ac:dyDescent="0.3">
      <c r="C947" s="546"/>
    </row>
    <row r="948" spans="1:8" ht="27" customHeight="1" thickBot="1" x14ac:dyDescent="0.3">
      <c r="C948" s="197" t="s">
        <v>1</v>
      </c>
      <c r="D948" s="185">
        <f ca="1">D768</f>
        <v>34</v>
      </c>
    </row>
    <row r="949" spans="1:8" ht="15" customHeight="1" x14ac:dyDescent="0.25">
      <c r="C949" s="197"/>
      <c r="G949" s="195"/>
      <c r="H949" s="195"/>
    </row>
    <row r="950" spans="1:8" ht="10.5" customHeight="1" x14ac:dyDescent="0.25">
      <c r="C950" s="177"/>
      <c r="D950" s="177"/>
      <c r="E950" s="184"/>
      <c r="F950" s="177"/>
    </row>
    <row r="951" spans="1:8" ht="21.75" customHeight="1" x14ac:dyDescent="0.4">
      <c r="B951" s="186" t="s">
        <v>113</v>
      </c>
      <c r="C951" s="186" t="s">
        <v>62</v>
      </c>
      <c r="D951" s="547" t="s">
        <v>135</v>
      </c>
      <c r="E951" s="547"/>
      <c r="F951" s="177"/>
    </row>
    <row r="952" spans="1:8" ht="16.5" customHeight="1" x14ac:dyDescent="0.3">
      <c r="C952" s="178"/>
      <c r="D952" s="177"/>
      <c r="E952" s="184"/>
      <c r="F952" s="177"/>
    </row>
    <row r="953" spans="1:8" ht="16.5" customHeight="1" x14ac:dyDescent="0.25">
      <c r="A953" s="195" t="s">
        <v>114</v>
      </c>
      <c r="B953" s="356" t="s">
        <v>115</v>
      </c>
      <c r="C953" s="182" t="s">
        <v>116</v>
      </c>
      <c r="D953" s="196" t="s">
        <v>1</v>
      </c>
      <c r="E953" s="184" t="s">
        <v>117</v>
      </c>
      <c r="F953" s="445" t="s">
        <v>245</v>
      </c>
    </row>
    <row r="954" spans="1:8" ht="16.5" hidden="1" customHeight="1" x14ac:dyDescent="0.25">
      <c r="A954" s="181" t="s">
        <v>147</v>
      </c>
      <c r="B954" s="361" t="str">
        <f>B909</f>
        <v>finitions en cours</v>
      </c>
      <c r="C954" s="190"/>
      <c r="D954" s="183" t="s">
        <v>7</v>
      </c>
      <c r="E954" s="184"/>
      <c r="F954" s="177"/>
    </row>
    <row r="955" spans="1:8" hidden="1" x14ac:dyDescent="0.25">
      <c r="A955" s="192" t="s">
        <v>177</v>
      </c>
      <c r="B955" s="361" t="str">
        <f t="shared" ref="B955:B975" si="21">B910</f>
        <v>finitions en cours</v>
      </c>
      <c r="C955" s="193"/>
      <c r="D955" s="183" t="s">
        <v>7</v>
      </c>
      <c r="E955" s="191"/>
      <c r="F955" s="180"/>
    </row>
    <row r="956" spans="1:8" hidden="1" x14ac:dyDescent="0.25">
      <c r="A956" s="192" t="s">
        <v>101</v>
      </c>
      <c r="B956" s="361" t="str">
        <f t="shared" si="21"/>
        <v>à receptionner</v>
      </c>
      <c r="C956" s="193"/>
      <c r="D956" s="183" t="s">
        <v>7</v>
      </c>
      <c r="E956" s="191"/>
      <c r="F956" s="180"/>
    </row>
    <row r="957" spans="1:8" x14ac:dyDescent="0.25">
      <c r="A957" s="192" t="s">
        <v>242</v>
      </c>
      <c r="B957" s="361" t="str">
        <f t="shared" si="21"/>
        <v>démarrage S35</v>
      </c>
      <c r="C957" s="193" t="s">
        <v>288</v>
      </c>
      <c r="D957" s="183" t="s">
        <v>7</v>
      </c>
      <c r="E957" s="191">
        <v>38</v>
      </c>
      <c r="F957" s="180"/>
    </row>
    <row r="958" spans="1:8" hidden="1" x14ac:dyDescent="0.25">
      <c r="A958" s="192" t="s">
        <v>231</v>
      </c>
      <c r="B958" s="361" t="str">
        <f t="shared" si="21"/>
        <v>couvert</v>
      </c>
      <c r="C958" s="193"/>
      <c r="D958" s="183" t="s">
        <v>7</v>
      </c>
      <c r="E958" s="191"/>
      <c r="F958" s="180"/>
    </row>
    <row r="959" spans="1:8" hidden="1" x14ac:dyDescent="0.25">
      <c r="A959" s="192" t="s">
        <v>269</v>
      </c>
      <c r="B959" s="361" t="str">
        <f t="shared" si="21"/>
        <v>pignons</v>
      </c>
      <c r="C959" s="193"/>
      <c r="D959" s="183" t="s">
        <v>7</v>
      </c>
      <c r="E959" s="191"/>
      <c r="F959" s="180"/>
    </row>
    <row r="960" spans="1:8" hidden="1" x14ac:dyDescent="0.25">
      <c r="A960" s="192" t="s">
        <v>166</v>
      </c>
      <c r="B960" s="361" t="str">
        <f t="shared" si="21"/>
        <v>plâtrerie en cours</v>
      </c>
      <c r="C960" s="193"/>
      <c r="D960" s="183" t="s">
        <v>7</v>
      </c>
      <c r="E960" s="191"/>
      <c r="F960" s="180"/>
    </row>
    <row r="961" spans="1:6" hidden="1" x14ac:dyDescent="0.25">
      <c r="A961" s="192" t="s">
        <v>189</v>
      </c>
      <c r="B961" s="361" t="str">
        <f t="shared" si="21"/>
        <v>plâtrerie en cours</v>
      </c>
      <c r="C961" s="193"/>
      <c r="D961" s="183" t="s">
        <v>7</v>
      </c>
      <c r="E961" s="191"/>
      <c r="F961" s="180"/>
    </row>
    <row r="962" spans="1:6" hidden="1" x14ac:dyDescent="0.25">
      <c r="A962" s="192" t="s">
        <v>104</v>
      </c>
      <c r="B962" s="361" t="str">
        <f t="shared" si="21"/>
        <v>à receptionner</v>
      </c>
      <c r="C962" s="193"/>
      <c r="D962" s="183" t="s">
        <v>7</v>
      </c>
      <c r="E962" s="191"/>
      <c r="F962" s="180"/>
    </row>
    <row r="963" spans="1:6" hidden="1" x14ac:dyDescent="0.25">
      <c r="A963" s="192" t="s">
        <v>312</v>
      </c>
      <c r="B963" s="361" t="str">
        <f t="shared" si="21"/>
        <v>démarrage S40</v>
      </c>
      <c r="C963" s="193"/>
      <c r="D963" s="183" t="s">
        <v>7</v>
      </c>
      <c r="E963" s="191"/>
      <c r="F963" s="180"/>
    </row>
    <row r="964" spans="1:6" hidden="1" x14ac:dyDescent="0.25">
      <c r="A964" s="192" t="s">
        <v>167</v>
      </c>
      <c r="B964" s="361" t="str">
        <f t="shared" si="21"/>
        <v>chape</v>
      </c>
      <c r="C964" s="193"/>
      <c r="D964" s="183" t="s">
        <v>7</v>
      </c>
      <c r="E964" s="191"/>
      <c r="F964" s="180"/>
    </row>
    <row r="965" spans="1:6" hidden="1" x14ac:dyDescent="0.25">
      <c r="A965" s="192" t="s">
        <v>205</v>
      </c>
      <c r="B965" s="361" t="str">
        <f t="shared" si="21"/>
        <v>attente men. Ext</v>
      </c>
      <c r="C965" s="193"/>
      <c r="D965" s="183" t="s">
        <v>7</v>
      </c>
      <c r="E965" s="191"/>
      <c r="F965" s="180"/>
    </row>
    <row r="966" spans="1:6" x14ac:dyDescent="0.25">
      <c r="A966" s="192" t="s">
        <v>190</v>
      </c>
      <c r="B966" s="361" t="str">
        <f t="shared" si="21"/>
        <v>carrelage</v>
      </c>
      <c r="C966" s="193" t="s">
        <v>288</v>
      </c>
      <c r="D966" s="183" t="s">
        <v>7</v>
      </c>
      <c r="E966" s="191">
        <v>29</v>
      </c>
      <c r="F966" s="180"/>
    </row>
    <row r="967" spans="1:6" hidden="1" x14ac:dyDescent="0.25">
      <c r="A967" s="192" t="s">
        <v>232</v>
      </c>
      <c r="B967" s="361" t="str">
        <f t="shared" si="21"/>
        <v>attente men. Ext</v>
      </c>
      <c r="C967" s="193"/>
      <c r="D967" s="183" t="s">
        <v>7</v>
      </c>
      <c r="E967" s="191"/>
      <c r="F967" s="180"/>
    </row>
    <row r="968" spans="1:6" hidden="1" x14ac:dyDescent="0.25">
      <c r="A968" s="192" t="s">
        <v>313</v>
      </c>
      <c r="B968" s="361" t="str">
        <f t="shared" si="21"/>
        <v>pignons</v>
      </c>
      <c r="C968" s="193"/>
      <c r="D968" s="183" t="s">
        <v>7</v>
      </c>
      <c r="E968" s="191"/>
      <c r="F968" s="180"/>
    </row>
    <row r="969" spans="1:6" hidden="1" x14ac:dyDescent="0.25">
      <c r="A969" s="192" t="s">
        <v>270</v>
      </c>
      <c r="B969" s="361" t="str">
        <f t="shared" si="21"/>
        <v>pignons</v>
      </c>
      <c r="C969" s="193"/>
      <c r="D969" s="183" t="s">
        <v>7</v>
      </c>
      <c r="E969" s="191"/>
      <c r="F969" s="180"/>
    </row>
    <row r="970" spans="1:6" hidden="1" x14ac:dyDescent="0.25">
      <c r="A970" s="192" t="s">
        <v>233</v>
      </c>
      <c r="B970" s="361" t="str">
        <f t="shared" si="21"/>
        <v>couvert</v>
      </c>
      <c r="C970" s="193"/>
      <c r="D970" s="183" t="s">
        <v>7</v>
      </c>
      <c r="E970" s="191"/>
      <c r="F970" s="180"/>
    </row>
    <row r="971" spans="1:6" hidden="1" x14ac:dyDescent="0.25">
      <c r="A971" s="192" t="s">
        <v>206</v>
      </c>
      <c r="B971" s="361" t="str">
        <f t="shared" si="21"/>
        <v>second œuvre</v>
      </c>
      <c r="C971" s="193"/>
      <c r="D971" s="183" t="s">
        <v>7</v>
      </c>
      <c r="E971" s="191"/>
      <c r="F971" s="180"/>
    </row>
    <row r="972" spans="1:6" hidden="1" x14ac:dyDescent="0.25">
      <c r="A972" s="192" t="s">
        <v>243</v>
      </c>
      <c r="B972" s="361" t="str">
        <f t="shared" si="21"/>
        <v>attente men. Ext</v>
      </c>
      <c r="C972" s="193"/>
      <c r="D972" s="183" t="s">
        <v>7</v>
      </c>
      <c r="E972" s="191"/>
      <c r="F972" s="180"/>
    </row>
    <row r="973" spans="1:6" hidden="1" x14ac:dyDescent="0.25">
      <c r="A973" s="192" t="s">
        <v>234</v>
      </c>
      <c r="B973" s="361" t="str">
        <f t="shared" si="21"/>
        <v>clos couvert</v>
      </c>
      <c r="C973" s="193"/>
      <c r="D973" s="183" t="s">
        <v>7</v>
      </c>
      <c r="E973" s="191"/>
      <c r="F973" s="180"/>
    </row>
    <row r="974" spans="1:6" hidden="1" x14ac:dyDescent="0.25">
      <c r="A974" s="192" t="s">
        <v>193</v>
      </c>
      <c r="B974" s="361" t="str">
        <f t="shared" si="21"/>
        <v>attente men. Ext</v>
      </c>
      <c r="C974" s="193"/>
      <c r="D974" s="183" t="s">
        <v>7</v>
      </c>
      <c r="E974" s="191"/>
      <c r="F974" s="180"/>
    </row>
    <row r="975" spans="1:6" hidden="1" x14ac:dyDescent="0.25">
      <c r="A975" s="268" t="s">
        <v>178</v>
      </c>
      <c r="B975" s="361" t="str">
        <f t="shared" si="21"/>
        <v>finitions en cours</v>
      </c>
      <c r="C975" s="193"/>
      <c r="D975" s="183" t="s">
        <v>7</v>
      </c>
      <c r="E975" s="191"/>
      <c r="F975" s="180"/>
    </row>
    <row r="976" spans="1:6" hidden="1" x14ac:dyDescent="0.25">
      <c r="A976" s="268" t="s">
        <v>178</v>
      </c>
      <c r="B976" s="269">
        <f>B931</f>
        <v>0</v>
      </c>
      <c r="C976" s="269"/>
      <c r="D976" s="183" t="s">
        <v>7</v>
      </c>
      <c r="E976" s="191"/>
      <c r="F976" s="180"/>
    </row>
    <row r="977" spans="1:6" x14ac:dyDescent="0.25">
      <c r="A977" s="420"/>
      <c r="B977" s="325"/>
      <c r="C977" s="325"/>
      <c r="D977" s="326"/>
      <c r="E977" s="327"/>
      <c r="F977" s="328"/>
    </row>
    <row r="978" spans="1:6" x14ac:dyDescent="0.25">
      <c r="A978" s="420"/>
      <c r="B978" s="325"/>
      <c r="C978" s="325"/>
      <c r="D978" s="326"/>
      <c r="E978" s="327"/>
      <c r="F978" s="328"/>
    </row>
    <row r="979" spans="1:6" x14ac:dyDescent="0.25">
      <c r="A979" s="420"/>
      <c r="B979" s="325"/>
      <c r="C979" s="325"/>
      <c r="D979" s="326"/>
      <c r="E979" s="327"/>
      <c r="F979" s="328"/>
    </row>
    <row r="980" spans="1:6" x14ac:dyDescent="0.25">
      <c r="A980" s="420"/>
      <c r="B980" s="325"/>
      <c r="C980" s="325"/>
      <c r="D980" s="326"/>
      <c r="E980" s="327"/>
      <c r="F980" s="328"/>
    </row>
    <row r="988" spans="1:6" x14ac:dyDescent="0.25">
      <c r="A988" s="548" t="s">
        <v>158</v>
      </c>
      <c r="B988" s="548"/>
      <c r="C988" s="548"/>
      <c r="D988" s="548"/>
      <c r="E988" s="548"/>
      <c r="F988" s="548"/>
    </row>
    <row r="989" spans="1:6" ht="15.75" thickBot="1" x14ac:dyDescent="0.3">
      <c r="A989" s="548" t="s">
        <v>142</v>
      </c>
      <c r="B989" s="548"/>
      <c r="C989" s="548"/>
      <c r="D989" s="548"/>
      <c r="E989" s="548"/>
      <c r="F989" s="548"/>
    </row>
    <row r="990" spans="1:6" x14ac:dyDescent="0.25">
      <c r="C990" s="544" t="s">
        <v>118</v>
      </c>
    </row>
    <row r="991" spans="1:6" ht="6.75" customHeight="1" x14ac:dyDescent="0.25">
      <c r="C991" s="545"/>
    </row>
    <row r="992" spans="1:6" ht="27" customHeight="1" thickBot="1" x14ac:dyDescent="0.3">
      <c r="C992" s="546"/>
    </row>
    <row r="993" spans="1:8" ht="27" customHeight="1" thickBot="1" x14ac:dyDescent="0.3">
      <c r="C993" s="197" t="s">
        <v>1</v>
      </c>
      <c r="D993" s="185">
        <f ca="1">D813</f>
        <v>34</v>
      </c>
    </row>
    <row r="994" spans="1:8" ht="15" customHeight="1" x14ac:dyDescent="0.25">
      <c r="C994" s="197"/>
      <c r="G994" s="195"/>
      <c r="H994" s="195"/>
    </row>
    <row r="995" spans="1:8" ht="10.5" customHeight="1" x14ac:dyDescent="0.25">
      <c r="C995" s="177"/>
      <c r="D995" s="177"/>
      <c r="E995" s="184"/>
      <c r="F995" s="177"/>
    </row>
    <row r="996" spans="1:8" ht="21.75" customHeight="1" x14ac:dyDescent="0.4">
      <c r="B996" s="186" t="s">
        <v>113</v>
      </c>
      <c r="C996" s="186" t="s">
        <v>58</v>
      </c>
      <c r="D996" s="547"/>
      <c r="E996" s="547"/>
      <c r="F996" s="177"/>
    </row>
    <row r="997" spans="1:8" ht="16.5" customHeight="1" x14ac:dyDescent="0.3">
      <c r="C997" s="178"/>
      <c r="D997" s="177"/>
      <c r="E997" s="184"/>
      <c r="F997" s="177"/>
    </row>
    <row r="998" spans="1:8" ht="16.5" customHeight="1" x14ac:dyDescent="0.25">
      <c r="A998" s="195" t="s">
        <v>114</v>
      </c>
      <c r="B998" s="356" t="s">
        <v>115</v>
      </c>
      <c r="C998" s="182" t="s">
        <v>116</v>
      </c>
      <c r="D998" s="196" t="s">
        <v>1</v>
      </c>
      <c r="E998" s="184" t="s">
        <v>117</v>
      </c>
      <c r="F998" s="445" t="s">
        <v>245</v>
      </c>
    </row>
    <row r="999" spans="1:8" ht="16.5" customHeight="1" x14ac:dyDescent="0.25">
      <c r="A999" s="181" t="s">
        <v>147</v>
      </c>
      <c r="B999" s="361" t="str">
        <f>B954</f>
        <v>finitions en cours</v>
      </c>
      <c r="C999" s="190"/>
      <c r="D999" s="183"/>
      <c r="E999" s="184"/>
      <c r="F999" s="177"/>
    </row>
    <row r="1000" spans="1:8" x14ac:dyDescent="0.25">
      <c r="A1000" s="192" t="s">
        <v>177</v>
      </c>
      <c r="B1000" s="361" t="str">
        <f t="shared" ref="B1000:B1020" si="22">B955</f>
        <v>finitions en cours</v>
      </c>
      <c r="C1000" s="193"/>
      <c r="D1000" s="189"/>
      <c r="E1000" s="191"/>
      <c r="F1000" s="180"/>
    </row>
    <row r="1001" spans="1:8" x14ac:dyDescent="0.25">
      <c r="A1001" s="192" t="s">
        <v>101</v>
      </c>
      <c r="B1001" s="361" t="str">
        <f t="shared" si="22"/>
        <v>à receptionner</v>
      </c>
      <c r="C1001" s="193"/>
      <c r="D1001" s="189"/>
      <c r="E1001" s="191"/>
      <c r="F1001" s="180"/>
    </row>
    <row r="1002" spans="1:8" x14ac:dyDescent="0.25">
      <c r="A1002" s="192" t="s">
        <v>242</v>
      </c>
      <c r="B1002" s="361" t="str">
        <f t="shared" si="22"/>
        <v>démarrage S35</v>
      </c>
      <c r="C1002" s="193"/>
      <c r="D1002" s="189"/>
      <c r="E1002" s="191"/>
      <c r="F1002" s="180"/>
    </row>
    <row r="1003" spans="1:8" x14ac:dyDescent="0.25">
      <c r="A1003" s="192" t="s">
        <v>231</v>
      </c>
      <c r="B1003" s="361" t="str">
        <f t="shared" si="22"/>
        <v>couvert</v>
      </c>
      <c r="C1003" s="193"/>
      <c r="D1003" s="189"/>
      <c r="E1003" s="191"/>
      <c r="F1003" s="180"/>
    </row>
    <row r="1004" spans="1:8" x14ac:dyDescent="0.25">
      <c r="A1004" s="192" t="s">
        <v>269</v>
      </c>
      <c r="B1004" s="361" t="str">
        <f t="shared" si="22"/>
        <v>pignons</v>
      </c>
      <c r="C1004" s="193"/>
      <c r="D1004" s="189"/>
      <c r="E1004" s="191"/>
      <c r="F1004" s="180"/>
    </row>
    <row r="1005" spans="1:8" x14ac:dyDescent="0.25">
      <c r="A1005" s="192" t="s">
        <v>166</v>
      </c>
      <c r="B1005" s="361" t="str">
        <f t="shared" si="22"/>
        <v>plâtrerie en cours</v>
      </c>
      <c r="C1005" s="193"/>
      <c r="D1005" s="189"/>
      <c r="E1005" s="191"/>
      <c r="F1005" s="180"/>
    </row>
    <row r="1006" spans="1:8" x14ac:dyDescent="0.25">
      <c r="A1006" s="192" t="s">
        <v>189</v>
      </c>
      <c r="B1006" s="361" t="str">
        <f t="shared" si="22"/>
        <v>plâtrerie en cours</v>
      </c>
      <c r="C1006" s="193"/>
      <c r="D1006" s="189"/>
      <c r="E1006" s="191"/>
      <c r="F1006" s="180"/>
    </row>
    <row r="1007" spans="1:8" x14ac:dyDescent="0.25">
      <c r="A1007" s="192" t="s">
        <v>104</v>
      </c>
      <c r="B1007" s="361" t="str">
        <f t="shared" si="22"/>
        <v>à receptionner</v>
      </c>
      <c r="C1007" s="193"/>
      <c r="D1007" s="189"/>
      <c r="E1007" s="191"/>
      <c r="F1007" s="180"/>
    </row>
    <row r="1008" spans="1:8" x14ac:dyDescent="0.25">
      <c r="A1008" s="192" t="s">
        <v>312</v>
      </c>
      <c r="B1008" s="361" t="str">
        <f t="shared" si="22"/>
        <v>démarrage S40</v>
      </c>
      <c r="C1008" s="193"/>
      <c r="D1008" s="189"/>
      <c r="E1008" s="191"/>
      <c r="F1008" s="180"/>
    </row>
    <row r="1009" spans="1:6" x14ac:dyDescent="0.25">
      <c r="A1009" s="192" t="s">
        <v>167</v>
      </c>
      <c r="B1009" s="361" t="str">
        <f t="shared" si="22"/>
        <v>chape</v>
      </c>
      <c r="C1009" s="193"/>
      <c r="D1009" s="189"/>
      <c r="E1009" s="191"/>
      <c r="F1009" s="180"/>
    </row>
    <row r="1010" spans="1:6" x14ac:dyDescent="0.25">
      <c r="A1010" s="192" t="s">
        <v>205</v>
      </c>
      <c r="B1010" s="361" t="str">
        <f t="shared" si="22"/>
        <v>attente men. Ext</v>
      </c>
      <c r="C1010" s="193"/>
      <c r="D1010" s="189"/>
      <c r="E1010" s="191"/>
      <c r="F1010" s="180"/>
    </row>
    <row r="1011" spans="1:6" x14ac:dyDescent="0.25">
      <c r="A1011" s="192" t="s">
        <v>190</v>
      </c>
      <c r="B1011" s="361" t="str">
        <f t="shared" si="22"/>
        <v>carrelage</v>
      </c>
      <c r="C1011" s="193"/>
      <c r="D1011" s="189"/>
      <c r="E1011" s="191"/>
      <c r="F1011" s="180"/>
    </row>
    <row r="1012" spans="1:6" x14ac:dyDescent="0.25">
      <c r="A1012" s="192" t="s">
        <v>232</v>
      </c>
      <c r="B1012" s="361" t="str">
        <f t="shared" si="22"/>
        <v>attente men. Ext</v>
      </c>
      <c r="C1012" s="193"/>
      <c r="D1012" s="189"/>
      <c r="E1012" s="191"/>
      <c r="F1012" s="180"/>
    </row>
    <row r="1013" spans="1:6" x14ac:dyDescent="0.25">
      <c r="A1013" s="192" t="s">
        <v>313</v>
      </c>
      <c r="B1013" s="361" t="str">
        <f t="shared" si="22"/>
        <v>pignons</v>
      </c>
      <c r="C1013" s="193"/>
      <c r="D1013" s="189"/>
      <c r="E1013" s="191"/>
      <c r="F1013" s="180"/>
    </row>
    <row r="1014" spans="1:6" x14ac:dyDescent="0.25">
      <c r="A1014" s="192" t="s">
        <v>270</v>
      </c>
      <c r="B1014" s="361" t="str">
        <f t="shared" si="22"/>
        <v>pignons</v>
      </c>
      <c r="C1014" s="193"/>
      <c r="D1014" s="189"/>
      <c r="E1014" s="191"/>
      <c r="F1014" s="180"/>
    </row>
    <row r="1015" spans="1:6" x14ac:dyDescent="0.25">
      <c r="A1015" s="192" t="s">
        <v>233</v>
      </c>
      <c r="B1015" s="361" t="str">
        <f t="shared" si="22"/>
        <v>couvert</v>
      </c>
      <c r="C1015" s="193"/>
      <c r="D1015" s="189"/>
      <c r="E1015" s="191"/>
      <c r="F1015" s="180"/>
    </row>
    <row r="1016" spans="1:6" x14ac:dyDescent="0.25">
      <c r="A1016" s="192" t="s">
        <v>206</v>
      </c>
      <c r="B1016" s="361" t="str">
        <f t="shared" si="22"/>
        <v>second œuvre</v>
      </c>
      <c r="C1016" s="193"/>
      <c r="D1016" s="189"/>
      <c r="E1016" s="191"/>
      <c r="F1016" s="180"/>
    </row>
    <row r="1017" spans="1:6" x14ac:dyDescent="0.25">
      <c r="A1017" s="192" t="s">
        <v>243</v>
      </c>
      <c r="B1017" s="361" t="str">
        <f t="shared" si="22"/>
        <v>attente men. Ext</v>
      </c>
      <c r="C1017" s="193"/>
      <c r="D1017" s="189"/>
      <c r="E1017" s="191"/>
      <c r="F1017" s="180"/>
    </row>
    <row r="1018" spans="1:6" x14ac:dyDescent="0.25">
      <c r="A1018" s="192" t="s">
        <v>234</v>
      </c>
      <c r="B1018" s="361" t="str">
        <f t="shared" si="22"/>
        <v>clos couvert</v>
      </c>
      <c r="C1018" s="193"/>
      <c r="D1018" s="189"/>
      <c r="E1018" s="191"/>
      <c r="F1018" s="180"/>
    </row>
    <row r="1019" spans="1:6" x14ac:dyDescent="0.25">
      <c r="A1019" s="192" t="s">
        <v>193</v>
      </c>
      <c r="B1019" s="361" t="str">
        <f t="shared" si="22"/>
        <v>attente men. Ext</v>
      </c>
      <c r="C1019" s="193"/>
      <c r="D1019" s="189"/>
      <c r="E1019" s="191"/>
      <c r="F1019" s="180"/>
    </row>
    <row r="1020" spans="1:6" x14ac:dyDescent="0.25">
      <c r="A1020" s="268" t="s">
        <v>178</v>
      </c>
      <c r="B1020" s="361" t="str">
        <f t="shared" si="22"/>
        <v>finitions en cours</v>
      </c>
      <c r="C1020" s="269"/>
      <c r="D1020" s="189"/>
      <c r="E1020" s="191"/>
      <c r="F1020" s="180"/>
    </row>
    <row r="1021" spans="1:6" x14ac:dyDescent="0.25">
      <c r="A1021" s="268" t="s">
        <v>178</v>
      </c>
      <c r="B1021" s="269">
        <f>B976</f>
        <v>0</v>
      </c>
      <c r="C1021" s="269"/>
      <c r="D1021" s="189"/>
      <c r="E1021" s="191"/>
      <c r="F1021" s="180"/>
    </row>
    <row r="1022" spans="1:6" x14ac:dyDescent="0.25">
      <c r="A1022" s="420"/>
      <c r="B1022" s="325"/>
      <c r="C1022" s="325"/>
      <c r="D1022" s="326"/>
      <c r="E1022" s="327"/>
      <c r="F1022" s="328"/>
    </row>
    <row r="1023" spans="1:6" x14ac:dyDescent="0.25">
      <c r="A1023" s="420"/>
      <c r="B1023" s="325"/>
      <c r="C1023" s="325"/>
      <c r="D1023" s="326"/>
      <c r="E1023" s="327"/>
      <c r="F1023" s="328"/>
    </row>
    <row r="1024" spans="1:6" x14ac:dyDescent="0.25">
      <c r="A1024" s="420"/>
      <c r="B1024" s="325"/>
      <c r="C1024" s="325"/>
      <c r="D1024" s="326"/>
      <c r="E1024" s="327"/>
      <c r="F1024" s="328"/>
    </row>
    <row r="1025" spans="1:8" x14ac:dyDescent="0.25">
      <c r="A1025" s="420"/>
      <c r="B1025" s="325"/>
      <c r="C1025" s="325"/>
      <c r="D1025" s="326"/>
      <c r="E1025" s="327"/>
      <c r="F1025" s="328"/>
    </row>
    <row r="1033" spans="1:8" x14ac:dyDescent="0.25">
      <c r="A1033" s="548" t="s">
        <v>158</v>
      </c>
      <c r="B1033" s="548"/>
      <c r="C1033" s="548"/>
      <c r="D1033" s="548"/>
      <c r="E1033" s="548"/>
      <c r="F1033" s="548"/>
    </row>
    <row r="1034" spans="1:8" ht="15.75" thickBot="1" x14ac:dyDescent="0.3">
      <c r="A1034" s="548" t="s">
        <v>142</v>
      </c>
      <c r="B1034" s="548"/>
      <c r="C1034" s="548"/>
      <c r="D1034" s="548"/>
      <c r="E1034" s="548"/>
      <c r="F1034" s="548"/>
    </row>
    <row r="1035" spans="1:8" x14ac:dyDescent="0.25">
      <c r="C1035" s="544" t="s">
        <v>118</v>
      </c>
    </row>
    <row r="1036" spans="1:8" ht="6.75" customHeight="1" x14ac:dyDescent="0.25">
      <c r="C1036" s="545"/>
    </row>
    <row r="1037" spans="1:8" ht="27" customHeight="1" thickBot="1" x14ac:dyDescent="0.3">
      <c r="C1037" s="546"/>
    </row>
    <row r="1038" spans="1:8" ht="27" customHeight="1" thickBot="1" x14ac:dyDescent="0.3">
      <c r="C1038" s="197" t="s">
        <v>1</v>
      </c>
      <c r="D1038" s="185">
        <f ca="1">D858</f>
        <v>34</v>
      </c>
    </row>
    <row r="1039" spans="1:8" ht="15" customHeight="1" x14ac:dyDescent="0.25">
      <c r="C1039" s="197"/>
      <c r="G1039" s="195"/>
      <c r="H1039" s="195"/>
    </row>
    <row r="1040" spans="1:8" ht="10.5" customHeight="1" x14ac:dyDescent="0.25">
      <c r="C1040" s="177"/>
      <c r="D1040" s="177"/>
      <c r="E1040" s="184"/>
      <c r="F1040" s="177"/>
    </row>
    <row r="1041" spans="1:6" ht="21.75" customHeight="1" x14ac:dyDescent="0.4">
      <c r="B1041" s="186" t="s">
        <v>113</v>
      </c>
      <c r="C1041" s="186" t="s">
        <v>68</v>
      </c>
      <c r="D1041" s="547" t="s">
        <v>162</v>
      </c>
      <c r="E1041" s="547"/>
      <c r="F1041" s="177"/>
    </row>
    <row r="1042" spans="1:6" ht="16.5" customHeight="1" x14ac:dyDescent="0.3">
      <c r="C1042" s="178"/>
      <c r="D1042" s="177"/>
      <c r="E1042" s="184"/>
      <c r="F1042" s="177"/>
    </row>
    <row r="1043" spans="1:6" ht="16.5" customHeight="1" x14ac:dyDescent="0.25">
      <c r="A1043" s="195" t="s">
        <v>114</v>
      </c>
      <c r="B1043" s="356" t="s">
        <v>115</v>
      </c>
      <c r="C1043" s="182" t="s">
        <v>116</v>
      </c>
      <c r="D1043" s="196" t="s">
        <v>1</v>
      </c>
      <c r="E1043" s="184" t="s">
        <v>117</v>
      </c>
      <c r="F1043" s="445" t="s">
        <v>245</v>
      </c>
    </row>
    <row r="1044" spans="1:6" ht="16.5" hidden="1" customHeight="1" x14ac:dyDescent="0.25">
      <c r="A1044" s="181" t="s">
        <v>147</v>
      </c>
      <c r="B1044" s="361" t="str">
        <f>B999</f>
        <v>finitions en cours</v>
      </c>
      <c r="C1044" s="190"/>
      <c r="D1044" s="189" t="s">
        <v>7</v>
      </c>
      <c r="E1044" s="184"/>
      <c r="F1044" s="177"/>
    </row>
    <row r="1045" spans="1:6" hidden="1" x14ac:dyDescent="0.25">
      <c r="A1045" s="192" t="s">
        <v>177</v>
      </c>
      <c r="B1045" s="361" t="str">
        <f t="shared" ref="B1045:B1065" si="23">B1000</f>
        <v>finitions en cours</v>
      </c>
      <c r="C1045" s="193"/>
      <c r="D1045" s="189" t="s">
        <v>7</v>
      </c>
      <c r="E1045" s="191"/>
      <c r="F1045" s="180"/>
    </row>
    <row r="1046" spans="1:6" hidden="1" x14ac:dyDescent="0.25">
      <c r="A1046" s="192" t="s">
        <v>101</v>
      </c>
      <c r="B1046" s="361" t="str">
        <f t="shared" si="23"/>
        <v>à receptionner</v>
      </c>
      <c r="C1046" s="193"/>
      <c r="D1046" s="189" t="s">
        <v>7</v>
      </c>
      <c r="E1046" s="191"/>
      <c r="F1046" s="180"/>
    </row>
    <row r="1047" spans="1:6" x14ac:dyDescent="0.25">
      <c r="A1047" s="192" t="s">
        <v>242</v>
      </c>
      <c r="B1047" s="361" t="str">
        <f t="shared" si="23"/>
        <v>démarrage S35</v>
      </c>
      <c r="C1047" s="193" t="s">
        <v>145</v>
      </c>
      <c r="D1047" s="189" t="s">
        <v>7</v>
      </c>
      <c r="E1047" s="191">
        <v>41</v>
      </c>
      <c r="F1047" s="180"/>
    </row>
    <row r="1048" spans="1:6" x14ac:dyDescent="0.25">
      <c r="A1048" s="192" t="s">
        <v>231</v>
      </c>
      <c r="B1048" s="361" t="str">
        <f t="shared" si="23"/>
        <v>couvert</v>
      </c>
      <c r="C1048" s="193" t="s">
        <v>145</v>
      </c>
      <c r="D1048" s="189" t="s">
        <v>7</v>
      </c>
      <c r="E1048" s="191">
        <v>34</v>
      </c>
      <c r="F1048" s="180"/>
    </row>
    <row r="1049" spans="1:6" x14ac:dyDescent="0.25">
      <c r="A1049" s="192" t="s">
        <v>269</v>
      </c>
      <c r="B1049" s="361" t="str">
        <f t="shared" si="23"/>
        <v>pignons</v>
      </c>
      <c r="C1049" s="193" t="s">
        <v>145</v>
      </c>
      <c r="D1049" s="189" t="s">
        <v>7</v>
      </c>
      <c r="E1049" s="191">
        <v>39</v>
      </c>
      <c r="F1049" s="180"/>
    </row>
    <row r="1050" spans="1:6" hidden="1" x14ac:dyDescent="0.25">
      <c r="A1050" s="192" t="s">
        <v>166</v>
      </c>
      <c r="B1050" s="361" t="str">
        <f t="shared" si="23"/>
        <v>plâtrerie en cours</v>
      </c>
      <c r="C1050" s="193"/>
      <c r="D1050" s="189" t="s">
        <v>7</v>
      </c>
      <c r="E1050" s="191"/>
      <c r="F1050" s="180"/>
    </row>
    <row r="1051" spans="1:6" x14ac:dyDescent="0.25">
      <c r="A1051" s="192" t="s">
        <v>189</v>
      </c>
      <c r="B1051" s="361" t="str">
        <f t="shared" si="23"/>
        <v>plâtrerie en cours</v>
      </c>
      <c r="C1051" s="193" t="s">
        <v>145</v>
      </c>
      <c r="D1051" s="189" t="s">
        <v>7</v>
      </c>
      <c r="E1051" s="191">
        <v>34</v>
      </c>
      <c r="F1051" s="180"/>
    </row>
    <row r="1052" spans="1:6" hidden="1" x14ac:dyDescent="0.25">
      <c r="A1052" s="192" t="s">
        <v>104</v>
      </c>
      <c r="B1052" s="361" t="str">
        <f t="shared" si="23"/>
        <v>à receptionner</v>
      </c>
      <c r="C1052" s="193"/>
      <c r="D1052" s="189" t="s">
        <v>7</v>
      </c>
      <c r="E1052" s="191"/>
      <c r="F1052" s="180"/>
    </row>
    <row r="1053" spans="1:6" x14ac:dyDescent="0.25">
      <c r="A1053" s="192" t="s">
        <v>312</v>
      </c>
      <c r="B1053" s="361" t="str">
        <f t="shared" si="23"/>
        <v>démarrage S40</v>
      </c>
      <c r="C1053" s="193" t="s">
        <v>145</v>
      </c>
      <c r="D1053" s="189" t="s">
        <v>7</v>
      </c>
      <c r="E1053" s="191" t="s">
        <v>289</v>
      </c>
      <c r="F1053" s="180" t="s">
        <v>290</v>
      </c>
    </row>
    <row r="1054" spans="1:6" x14ac:dyDescent="0.25">
      <c r="A1054" s="192" t="s">
        <v>167</v>
      </c>
      <c r="B1054" s="361" t="str">
        <f t="shared" si="23"/>
        <v>chape</v>
      </c>
      <c r="C1054" s="193" t="s">
        <v>145</v>
      </c>
      <c r="D1054" s="189" t="s">
        <v>7</v>
      </c>
      <c r="E1054" s="191">
        <v>35</v>
      </c>
      <c r="F1054" s="180"/>
    </row>
    <row r="1055" spans="1:6" hidden="1" x14ac:dyDescent="0.25">
      <c r="A1055" s="192" t="s">
        <v>205</v>
      </c>
      <c r="B1055" s="361" t="str">
        <f t="shared" si="23"/>
        <v>attente men. Ext</v>
      </c>
      <c r="C1055" s="193"/>
      <c r="D1055" s="189" t="s">
        <v>7</v>
      </c>
      <c r="E1055" s="191"/>
      <c r="F1055" s="180"/>
    </row>
    <row r="1056" spans="1:6" x14ac:dyDescent="0.25">
      <c r="A1056" s="192" t="s">
        <v>190</v>
      </c>
      <c r="B1056" s="361" t="str">
        <f t="shared" si="23"/>
        <v>carrelage</v>
      </c>
      <c r="C1056" s="193" t="s">
        <v>145</v>
      </c>
      <c r="D1056" s="189" t="s">
        <v>7</v>
      </c>
      <c r="E1056" s="191">
        <v>36</v>
      </c>
      <c r="F1056" s="180"/>
    </row>
    <row r="1057" spans="1:6" hidden="1" x14ac:dyDescent="0.25">
      <c r="A1057" s="192" t="s">
        <v>232</v>
      </c>
      <c r="B1057" s="361" t="str">
        <f t="shared" si="23"/>
        <v>attente men. Ext</v>
      </c>
      <c r="C1057" s="193"/>
      <c r="D1057" s="189" t="s">
        <v>7</v>
      </c>
      <c r="E1057" s="191"/>
      <c r="F1057" s="180"/>
    </row>
    <row r="1058" spans="1:6" x14ac:dyDescent="0.25">
      <c r="A1058" s="192" t="s">
        <v>313</v>
      </c>
      <c r="B1058" s="361" t="str">
        <f t="shared" si="23"/>
        <v>pignons</v>
      </c>
      <c r="C1058" s="193" t="s">
        <v>145</v>
      </c>
      <c r="D1058" s="189" t="s">
        <v>7</v>
      </c>
      <c r="E1058" s="191">
        <v>39</v>
      </c>
      <c r="F1058" s="180"/>
    </row>
    <row r="1059" spans="1:6" hidden="1" x14ac:dyDescent="0.25">
      <c r="A1059" s="192" t="s">
        <v>270</v>
      </c>
      <c r="B1059" s="361" t="str">
        <f t="shared" si="23"/>
        <v>pignons</v>
      </c>
      <c r="C1059" s="193"/>
      <c r="D1059" s="189" t="s">
        <v>7</v>
      </c>
      <c r="E1059" s="191"/>
      <c r="F1059" s="180"/>
    </row>
    <row r="1060" spans="1:6" x14ac:dyDescent="0.25">
      <c r="A1060" s="192" t="s">
        <v>233</v>
      </c>
      <c r="B1060" s="361" t="str">
        <f t="shared" si="23"/>
        <v>couvert</v>
      </c>
      <c r="C1060" s="193" t="s">
        <v>145</v>
      </c>
      <c r="D1060" s="189" t="s">
        <v>7</v>
      </c>
      <c r="E1060" s="191">
        <v>39</v>
      </c>
      <c r="F1060" s="180"/>
    </row>
    <row r="1061" spans="1:6" hidden="1" x14ac:dyDescent="0.25">
      <c r="A1061" s="192" t="s">
        <v>206</v>
      </c>
      <c r="B1061" s="361" t="str">
        <f t="shared" si="23"/>
        <v>second œuvre</v>
      </c>
      <c r="C1061" s="193"/>
      <c r="D1061" s="189" t="s">
        <v>7</v>
      </c>
      <c r="E1061" s="191"/>
      <c r="F1061" s="180"/>
    </row>
    <row r="1062" spans="1:6" x14ac:dyDescent="0.25">
      <c r="A1062" s="192" t="s">
        <v>243</v>
      </c>
      <c r="B1062" s="361" t="str">
        <f t="shared" si="23"/>
        <v>attente men. Ext</v>
      </c>
      <c r="C1062" s="193" t="s">
        <v>291</v>
      </c>
      <c r="D1062" s="189" t="s">
        <v>7</v>
      </c>
      <c r="E1062" s="191">
        <v>36</v>
      </c>
      <c r="F1062" s="180"/>
    </row>
    <row r="1063" spans="1:6" hidden="1" x14ac:dyDescent="0.25">
      <c r="A1063" s="192" t="s">
        <v>234</v>
      </c>
      <c r="B1063" s="361" t="str">
        <f t="shared" si="23"/>
        <v>clos couvert</v>
      </c>
      <c r="C1063" s="193"/>
      <c r="D1063" s="189" t="s">
        <v>7</v>
      </c>
      <c r="E1063" s="191"/>
      <c r="F1063" s="180"/>
    </row>
    <row r="1064" spans="1:6" x14ac:dyDescent="0.25">
      <c r="A1064" s="192" t="s">
        <v>193</v>
      </c>
      <c r="B1064" s="361" t="str">
        <f t="shared" si="23"/>
        <v>attente men. Ext</v>
      </c>
      <c r="C1064" s="193" t="s">
        <v>145</v>
      </c>
      <c r="D1064" s="189" t="s">
        <v>7</v>
      </c>
      <c r="E1064" s="191">
        <v>36</v>
      </c>
      <c r="F1064" s="180"/>
    </row>
    <row r="1065" spans="1:6" x14ac:dyDescent="0.25">
      <c r="A1065" s="268" t="s">
        <v>178</v>
      </c>
      <c r="B1065" s="361" t="str">
        <f t="shared" si="23"/>
        <v>finitions en cours</v>
      </c>
      <c r="C1065" s="193" t="s">
        <v>145</v>
      </c>
      <c r="D1065" s="189" t="s">
        <v>7</v>
      </c>
      <c r="E1065" s="191">
        <v>37</v>
      </c>
      <c r="F1065" s="180"/>
    </row>
    <row r="1066" spans="1:6" hidden="1" x14ac:dyDescent="0.25">
      <c r="A1066" s="268" t="s">
        <v>178</v>
      </c>
      <c r="B1066" s="269">
        <f>B1021</f>
        <v>0</v>
      </c>
      <c r="C1066" s="269"/>
      <c r="D1066" s="189" t="s">
        <v>7</v>
      </c>
      <c r="E1066" s="191"/>
      <c r="F1066" s="180"/>
    </row>
    <row r="1067" spans="1:6" x14ac:dyDescent="0.25">
      <c r="A1067" s="420"/>
      <c r="B1067" s="325"/>
      <c r="C1067" s="325"/>
      <c r="D1067" s="326"/>
      <c r="E1067" s="327"/>
      <c r="F1067" s="328"/>
    </row>
    <row r="1068" spans="1:6" x14ac:dyDescent="0.25">
      <c r="A1068" s="420"/>
      <c r="B1068" s="325"/>
      <c r="C1068" s="325"/>
      <c r="D1068" s="326"/>
      <c r="E1068" s="327"/>
      <c r="F1068" s="328"/>
    </row>
    <row r="1069" spans="1:6" x14ac:dyDescent="0.25">
      <c r="A1069" s="420"/>
      <c r="B1069" s="325"/>
      <c r="C1069" s="325"/>
      <c r="D1069" s="326"/>
      <c r="E1069" s="327"/>
      <c r="F1069" s="328"/>
    </row>
    <row r="1070" spans="1:6" x14ac:dyDescent="0.25">
      <c r="A1070" s="420"/>
      <c r="B1070" s="325"/>
      <c r="C1070" s="325"/>
      <c r="D1070" s="326"/>
      <c r="E1070" s="327"/>
      <c r="F1070" s="328"/>
    </row>
    <row r="1078" spans="1:8" x14ac:dyDescent="0.25">
      <c r="A1078" s="548" t="s">
        <v>158</v>
      </c>
      <c r="B1078" s="548"/>
      <c r="C1078" s="548"/>
      <c r="D1078" s="548"/>
      <c r="E1078" s="548"/>
      <c r="F1078" s="548"/>
    </row>
    <row r="1079" spans="1:8" ht="15.75" thickBot="1" x14ac:dyDescent="0.3">
      <c r="A1079" s="548" t="s">
        <v>142</v>
      </c>
      <c r="B1079" s="548"/>
      <c r="C1079" s="548"/>
      <c r="D1079" s="548"/>
      <c r="E1079" s="548"/>
      <c r="F1079" s="548"/>
    </row>
    <row r="1080" spans="1:8" x14ac:dyDescent="0.25">
      <c r="C1080" s="544" t="s">
        <v>118</v>
      </c>
    </row>
    <row r="1081" spans="1:8" ht="6.75" customHeight="1" x14ac:dyDescent="0.25">
      <c r="C1081" s="545"/>
    </row>
    <row r="1082" spans="1:8" ht="27" customHeight="1" thickBot="1" x14ac:dyDescent="0.3">
      <c r="C1082" s="546"/>
    </row>
    <row r="1083" spans="1:8" ht="27" customHeight="1" thickBot="1" x14ac:dyDescent="0.3">
      <c r="C1083" s="197" t="s">
        <v>1</v>
      </c>
      <c r="D1083" s="185">
        <f ca="1">D903</f>
        <v>34</v>
      </c>
    </row>
    <row r="1084" spans="1:8" ht="15" customHeight="1" x14ac:dyDescent="0.25">
      <c r="C1084" s="197"/>
      <c r="G1084" s="195"/>
      <c r="H1084" s="195"/>
    </row>
    <row r="1085" spans="1:8" ht="10.5" customHeight="1" x14ac:dyDescent="0.25">
      <c r="C1085" s="177"/>
      <c r="D1085" s="177"/>
      <c r="E1085" s="184"/>
      <c r="F1085" s="177"/>
    </row>
    <row r="1086" spans="1:8" ht="21.75" customHeight="1" x14ac:dyDescent="0.4">
      <c r="B1086" s="186" t="s">
        <v>113</v>
      </c>
      <c r="C1086" s="186" t="s">
        <v>106</v>
      </c>
      <c r="D1086" s="547" t="s">
        <v>150</v>
      </c>
      <c r="E1086" s="547"/>
      <c r="F1086" s="177"/>
    </row>
    <row r="1087" spans="1:8" ht="16.5" customHeight="1" x14ac:dyDescent="0.3">
      <c r="C1087" s="178"/>
      <c r="D1087" s="177"/>
      <c r="E1087" s="184"/>
      <c r="F1087" s="177"/>
    </row>
    <row r="1088" spans="1:8" ht="16.5" customHeight="1" x14ac:dyDescent="0.25">
      <c r="A1088" s="195" t="s">
        <v>114</v>
      </c>
      <c r="B1088" s="356" t="s">
        <v>115</v>
      </c>
      <c r="C1088" s="182" t="s">
        <v>116</v>
      </c>
      <c r="D1088" s="196" t="s">
        <v>1</v>
      </c>
      <c r="E1088" s="184" t="s">
        <v>117</v>
      </c>
      <c r="F1088" s="445" t="s">
        <v>245</v>
      </c>
    </row>
    <row r="1089" spans="1:6" ht="16.5" customHeight="1" x14ac:dyDescent="0.25">
      <c r="A1089" s="181" t="s">
        <v>147</v>
      </c>
      <c r="B1089" s="361" t="str">
        <f>B1044</f>
        <v>finitions en cours</v>
      </c>
      <c r="C1089" s="190"/>
      <c r="D1089" s="183"/>
      <c r="E1089" s="184"/>
      <c r="F1089" s="177"/>
    </row>
    <row r="1090" spans="1:6" x14ac:dyDescent="0.25">
      <c r="A1090" s="192" t="s">
        <v>177</v>
      </c>
      <c r="B1090" s="361" t="str">
        <f t="shared" ref="B1090:B1110" si="24">B1045</f>
        <v>finitions en cours</v>
      </c>
      <c r="C1090" s="193"/>
      <c r="D1090" s="189"/>
      <c r="E1090" s="191"/>
      <c r="F1090" s="180"/>
    </row>
    <row r="1091" spans="1:6" x14ac:dyDescent="0.25">
      <c r="A1091" s="192" t="s">
        <v>101</v>
      </c>
      <c r="B1091" s="361" t="str">
        <f t="shared" si="24"/>
        <v>à receptionner</v>
      </c>
      <c r="C1091" s="193"/>
      <c r="D1091" s="189"/>
      <c r="E1091" s="191"/>
      <c r="F1091" s="180"/>
    </row>
    <row r="1092" spans="1:6" x14ac:dyDescent="0.25">
      <c r="A1092" s="192" t="s">
        <v>242</v>
      </c>
      <c r="B1092" s="361" t="str">
        <f t="shared" si="24"/>
        <v>démarrage S35</v>
      </c>
      <c r="C1092" s="193"/>
      <c r="D1092" s="189"/>
      <c r="E1092" s="191"/>
      <c r="F1092" s="180"/>
    </row>
    <row r="1093" spans="1:6" x14ac:dyDescent="0.25">
      <c r="A1093" s="192" t="s">
        <v>231</v>
      </c>
      <c r="B1093" s="361" t="str">
        <f t="shared" si="24"/>
        <v>couvert</v>
      </c>
      <c r="C1093" s="193"/>
      <c r="D1093" s="189"/>
      <c r="E1093" s="191"/>
      <c r="F1093" s="180"/>
    </row>
    <row r="1094" spans="1:6" x14ac:dyDescent="0.25">
      <c r="A1094" s="192" t="s">
        <v>269</v>
      </c>
      <c r="B1094" s="361" t="str">
        <f t="shared" si="24"/>
        <v>pignons</v>
      </c>
      <c r="C1094" s="193"/>
      <c r="D1094" s="189"/>
      <c r="E1094" s="191"/>
      <c r="F1094" s="180"/>
    </row>
    <row r="1095" spans="1:6" x14ac:dyDescent="0.25">
      <c r="A1095" s="192" t="s">
        <v>166</v>
      </c>
      <c r="B1095" s="361" t="str">
        <f t="shared" si="24"/>
        <v>plâtrerie en cours</v>
      </c>
      <c r="C1095" s="193"/>
      <c r="D1095" s="189"/>
      <c r="E1095" s="191"/>
      <c r="F1095" s="180"/>
    </row>
    <row r="1096" spans="1:6" x14ac:dyDescent="0.25">
      <c r="A1096" s="192" t="s">
        <v>189</v>
      </c>
      <c r="B1096" s="361" t="str">
        <f t="shared" si="24"/>
        <v>plâtrerie en cours</v>
      </c>
      <c r="C1096" s="193"/>
      <c r="D1096" s="189"/>
      <c r="E1096" s="191"/>
      <c r="F1096" s="180"/>
    </row>
    <row r="1097" spans="1:6" x14ac:dyDescent="0.25">
      <c r="A1097" s="192" t="s">
        <v>104</v>
      </c>
      <c r="B1097" s="361" t="str">
        <f t="shared" si="24"/>
        <v>à receptionner</v>
      </c>
      <c r="C1097" s="193"/>
      <c r="D1097" s="189"/>
      <c r="E1097" s="191"/>
      <c r="F1097" s="180"/>
    </row>
    <row r="1098" spans="1:6" x14ac:dyDescent="0.25">
      <c r="A1098" s="192" t="s">
        <v>312</v>
      </c>
      <c r="B1098" s="361" t="str">
        <f t="shared" si="24"/>
        <v>démarrage S40</v>
      </c>
      <c r="C1098" s="193"/>
      <c r="D1098" s="189"/>
      <c r="E1098" s="191"/>
      <c r="F1098" s="180"/>
    </row>
    <row r="1099" spans="1:6" x14ac:dyDescent="0.25">
      <c r="A1099" s="192" t="s">
        <v>167</v>
      </c>
      <c r="B1099" s="361" t="str">
        <f t="shared" si="24"/>
        <v>chape</v>
      </c>
      <c r="C1099" s="193"/>
      <c r="D1099" s="189"/>
      <c r="E1099" s="191"/>
      <c r="F1099" s="180"/>
    </row>
    <row r="1100" spans="1:6" x14ac:dyDescent="0.25">
      <c r="A1100" s="192" t="s">
        <v>205</v>
      </c>
      <c r="B1100" s="361" t="str">
        <f t="shared" si="24"/>
        <v>attente men. Ext</v>
      </c>
      <c r="C1100" s="193"/>
      <c r="D1100" s="189"/>
      <c r="E1100" s="191"/>
      <c r="F1100" s="180"/>
    </row>
    <row r="1101" spans="1:6" x14ac:dyDescent="0.25">
      <c r="A1101" s="192" t="s">
        <v>190</v>
      </c>
      <c r="B1101" s="361" t="str">
        <f t="shared" si="24"/>
        <v>carrelage</v>
      </c>
      <c r="C1101" s="193"/>
      <c r="D1101" s="189"/>
      <c r="E1101" s="191"/>
      <c r="F1101" s="180"/>
    </row>
    <row r="1102" spans="1:6" x14ac:dyDescent="0.25">
      <c r="A1102" s="192" t="s">
        <v>232</v>
      </c>
      <c r="B1102" s="361" t="str">
        <f t="shared" si="24"/>
        <v>attente men. Ext</v>
      </c>
      <c r="C1102" s="193"/>
      <c r="D1102" s="189"/>
      <c r="E1102" s="191"/>
      <c r="F1102" s="180"/>
    </row>
    <row r="1103" spans="1:6" x14ac:dyDescent="0.25">
      <c r="A1103" s="192" t="s">
        <v>313</v>
      </c>
      <c r="B1103" s="361" t="str">
        <f t="shared" si="24"/>
        <v>pignons</v>
      </c>
      <c r="C1103" s="193"/>
      <c r="D1103" s="189"/>
      <c r="E1103" s="191"/>
      <c r="F1103" s="180"/>
    </row>
    <row r="1104" spans="1:6" x14ac:dyDescent="0.25">
      <c r="A1104" s="192" t="s">
        <v>270</v>
      </c>
      <c r="B1104" s="361" t="str">
        <f t="shared" si="24"/>
        <v>pignons</v>
      </c>
      <c r="C1104" s="193"/>
      <c r="D1104" s="189"/>
      <c r="E1104" s="191"/>
      <c r="F1104" s="180"/>
    </row>
    <row r="1105" spans="1:6" x14ac:dyDescent="0.25">
      <c r="A1105" s="192" t="s">
        <v>233</v>
      </c>
      <c r="B1105" s="361" t="str">
        <f t="shared" si="24"/>
        <v>couvert</v>
      </c>
      <c r="C1105" s="193"/>
      <c r="D1105" s="189"/>
      <c r="E1105" s="191"/>
      <c r="F1105" s="180"/>
    </row>
    <row r="1106" spans="1:6" x14ac:dyDescent="0.25">
      <c r="A1106" s="192" t="s">
        <v>206</v>
      </c>
      <c r="B1106" s="361" t="str">
        <f t="shared" si="24"/>
        <v>second œuvre</v>
      </c>
      <c r="C1106" s="193"/>
      <c r="D1106" s="189"/>
      <c r="E1106" s="191"/>
      <c r="F1106" s="180"/>
    </row>
    <row r="1107" spans="1:6" x14ac:dyDescent="0.25">
      <c r="A1107" s="192" t="s">
        <v>243</v>
      </c>
      <c r="B1107" s="361" t="str">
        <f t="shared" si="24"/>
        <v>attente men. Ext</v>
      </c>
      <c r="C1107" s="193"/>
      <c r="D1107" s="189"/>
      <c r="E1107" s="191"/>
      <c r="F1107" s="180"/>
    </row>
    <row r="1108" spans="1:6" x14ac:dyDescent="0.25">
      <c r="A1108" s="192" t="s">
        <v>234</v>
      </c>
      <c r="B1108" s="361" t="str">
        <f t="shared" si="24"/>
        <v>clos couvert</v>
      </c>
      <c r="C1108" s="193"/>
      <c r="D1108" s="189"/>
      <c r="E1108" s="191"/>
      <c r="F1108" s="180"/>
    </row>
    <row r="1109" spans="1:6" x14ac:dyDescent="0.25">
      <c r="A1109" s="192" t="s">
        <v>193</v>
      </c>
      <c r="B1109" s="361" t="str">
        <f t="shared" si="24"/>
        <v>attente men. Ext</v>
      </c>
      <c r="C1109" s="193"/>
      <c r="D1109" s="189"/>
      <c r="E1109" s="191"/>
      <c r="F1109" s="180"/>
    </row>
    <row r="1110" spans="1:6" x14ac:dyDescent="0.25">
      <c r="A1110" s="268" t="s">
        <v>178</v>
      </c>
      <c r="B1110" s="361" t="str">
        <f t="shared" si="24"/>
        <v>finitions en cours</v>
      </c>
      <c r="C1110" s="269"/>
      <c r="D1110" s="189"/>
      <c r="E1110" s="191"/>
      <c r="F1110" s="180"/>
    </row>
    <row r="1111" spans="1:6" x14ac:dyDescent="0.25">
      <c r="A1111" s="268" t="s">
        <v>178</v>
      </c>
      <c r="B1111" s="269">
        <f>B1066</f>
        <v>0</v>
      </c>
      <c r="C1111" s="269"/>
      <c r="D1111" s="189"/>
      <c r="E1111" s="191"/>
      <c r="F1111" s="180"/>
    </row>
    <row r="1112" spans="1:6" x14ac:dyDescent="0.25">
      <c r="A1112" s="420"/>
      <c r="B1112" s="325"/>
      <c r="C1112" s="325"/>
      <c r="D1112" s="326"/>
      <c r="E1112" s="327"/>
      <c r="F1112" s="328"/>
    </row>
    <row r="1113" spans="1:6" x14ac:dyDescent="0.25">
      <c r="A1113" s="420"/>
      <c r="B1113" s="325"/>
      <c r="C1113" s="325"/>
      <c r="D1113" s="326"/>
      <c r="E1113" s="327"/>
      <c r="F1113" s="328"/>
    </row>
    <row r="1114" spans="1:6" x14ac:dyDescent="0.25">
      <c r="A1114" s="420"/>
      <c r="B1114" s="325"/>
      <c r="C1114" s="325"/>
      <c r="D1114" s="326"/>
      <c r="E1114" s="327"/>
      <c r="F1114" s="328"/>
    </row>
    <row r="1115" spans="1:6" x14ac:dyDescent="0.25">
      <c r="A1115" s="420"/>
      <c r="B1115" s="325"/>
      <c r="C1115" s="325"/>
      <c r="D1115" s="326"/>
      <c r="E1115" s="327"/>
      <c r="F1115" s="328"/>
    </row>
    <row r="1123" spans="1:8" x14ac:dyDescent="0.25">
      <c r="A1123" s="548" t="s">
        <v>158</v>
      </c>
      <c r="B1123" s="548"/>
      <c r="C1123" s="548"/>
      <c r="D1123" s="548"/>
      <c r="E1123" s="548"/>
      <c r="F1123" s="548"/>
    </row>
    <row r="1124" spans="1:8" ht="15.75" thickBot="1" x14ac:dyDescent="0.3">
      <c r="A1124" s="548" t="s">
        <v>142</v>
      </c>
      <c r="B1124" s="548"/>
      <c r="C1124" s="548"/>
      <c r="D1124" s="548"/>
      <c r="E1124" s="548"/>
      <c r="F1124" s="548"/>
    </row>
    <row r="1125" spans="1:8" x14ac:dyDescent="0.25">
      <c r="C1125" s="544" t="s">
        <v>118</v>
      </c>
    </row>
    <row r="1126" spans="1:8" ht="6.75" customHeight="1" x14ac:dyDescent="0.25">
      <c r="C1126" s="545"/>
    </row>
    <row r="1127" spans="1:8" ht="27" customHeight="1" thickBot="1" x14ac:dyDescent="0.3">
      <c r="C1127" s="546"/>
    </row>
    <row r="1128" spans="1:8" ht="27" customHeight="1" thickBot="1" x14ac:dyDescent="0.3">
      <c r="C1128" s="197" t="s">
        <v>1</v>
      </c>
      <c r="D1128" s="185">
        <f ca="1">D948</f>
        <v>34</v>
      </c>
    </row>
    <row r="1129" spans="1:8" ht="15" customHeight="1" x14ac:dyDescent="0.25">
      <c r="C1129" s="203"/>
      <c r="G1129" s="195"/>
      <c r="H1129" s="195"/>
    </row>
    <row r="1130" spans="1:8" ht="10.5" customHeight="1" x14ac:dyDescent="0.25">
      <c r="C1130" s="177"/>
      <c r="D1130" s="177"/>
      <c r="E1130" s="184"/>
      <c r="F1130" s="177"/>
    </row>
    <row r="1131" spans="1:8" ht="21.75" customHeight="1" x14ac:dyDescent="0.4">
      <c r="B1131" s="186" t="s">
        <v>113</v>
      </c>
      <c r="C1131" s="186" t="s">
        <v>63</v>
      </c>
      <c r="D1131" s="547" t="s">
        <v>136</v>
      </c>
      <c r="E1131" s="547"/>
      <c r="F1131" s="177"/>
    </row>
    <row r="1132" spans="1:8" ht="16.5" customHeight="1" x14ac:dyDescent="0.3">
      <c r="C1132" s="178"/>
      <c r="D1132" s="177"/>
      <c r="E1132" s="184"/>
      <c r="F1132" s="177"/>
    </row>
    <row r="1133" spans="1:8" ht="16.5" customHeight="1" x14ac:dyDescent="0.25">
      <c r="A1133" s="195" t="s">
        <v>114</v>
      </c>
      <c r="B1133" s="356" t="s">
        <v>115</v>
      </c>
      <c r="C1133" s="182" t="s">
        <v>116</v>
      </c>
      <c r="D1133" s="196" t="s">
        <v>1</v>
      </c>
      <c r="E1133" s="184" t="s">
        <v>117</v>
      </c>
      <c r="F1133" s="445" t="s">
        <v>245</v>
      </c>
    </row>
    <row r="1134" spans="1:8" ht="16.5" hidden="1" customHeight="1" x14ac:dyDescent="0.25">
      <c r="A1134" s="181" t="s">
        <v>147</v>
      </c>
      <c r="B1134" s="361" t="str">
        <f>B1089</f>
        <v>finitions en cours</v>
      </c>
      <c r="C1134" s="190"/>
      <c r="D1134" s="183"/>
      <c r="E1134" s="184"/>
      <c r="F1134" s="177"/>
    </row>
    <row r="1135" spans="1:8" hidden="1" x14ac:dyDescent="0.25">
      <c r="A1135" s="192" t="s">
        <v>177</v>
      </c>
      <c r="B1135" s="361" t="str">
        <f t="shared" ref="B1135:B1155" si="25">B1090</f>
        <v>finitions en cours</v>
      </c>
      <c r="C1135" s="193"/>
      <c r="D1135" s="189"/>
      <c r="E1135" s="191"/>
      <c r="F1135" s="180"/>
    </row>
    <row r="1136" spans="1:8" hidden="1" x14ac:dyDescent="0.25">
      <c r="A1136" s="192" t="s">
        <v>101</v>
      </c>
      <c r="B1136" s="361" t="str">
        <f t="shared" si="25"/>
        <v>à receptionner</v>
      </c>
      <c r="C1136" s="193"/>
      <c r="D1136" s="189"/>
      <c r="E1136" s="191"/>
      <c r="F1136" s="180"/>
    </row>
    <row r="1137" spans="1:6" hidden="1" x14ac:dyDescent="0.25">
      <c r="A1137" s="192" t="s">
        <v>242</v>
      </c>
      <c r="B1137" s="361" t="str">
        <f t="shared" si="25"/>
        <v>démarrage S35</v>
      </c>
      <c r="C1137" s="193"/>
      <c r="D1137" s="189"/>
      <c r="E1137" s="191"/>
      <c r="F1137" s="180"/>
    </row>
    <row r="1138" spans="1:6" hidden="1" x14ac:dyDescent="0.25">
      <c r="A1138" s="192" t="s">
        <v>231</v>
      </c>
      <c r="B1138" s="361" t="str">
        <f t="shared" si="25"/>
        <v>couvert</v>
      </c>
      <c r="C1138" s="193"/>
      <c r="D1138" s="189"/>
      <c r="E1138" s="191"/>
      <c r="F1138" s="180"/>
    </row>
    <row r="1139" spans="1:6" hidden="1" x14ac:dyDescent="0.25">
      <c r="A1139" s="192" t="s">
        <v>269</v>
      </c>
      <c r="B1139" s="361" t="str">
        <f t="shared" si="25"/>
        <v>pignons</v>
      </c>
      <c r="C1139" s="193"/>
      <c r="D1139" s="189"/>
      <c r="E1139" s="191"/>
      <c r="F1139" s="180"/>
    </row>
    <row r="1140" spans="1:6" hidden="1" x14ac:dyDescent="0.25">
      <c r="A1140" s="192" t="s">
        <v>166</v>
      </c>
      <c r="B1140" s="361" t="str">
        <f t="shared" si="25"/>
        <v>plâtrerie en cours</v>
      </c>
      <c r="C1140" s="193"/>
      <c r="D1140" s="189"/>
      <c r="E1140" s="191"/>
      <c r="F1140" s="180"/>
    </row>
    <row r="1141" spans="1:6" hidden="1" x14ac:dyDescent="0.25">
      <c r="A1141" s="192" t="s">
        <v>189</v>
      </c>
      <c r="B1141" s="361" t="str">
        <f t="shared" si="25"/>
        <v>plâtrerie en cours</v>
      </c>
      <c r="C1141" s="193"/>
      <c r="D1141" s="189"/>
      <c r="E1141" s="191"/>
      <c r="F1141" s="180"/>
    </row>
    <row r="1142" spans="1:6" hidden="1" x14ac:dyDescent="0.25">
      <c r="A1142" s="192" t="s">
        <v>104</v>
      </c>
      <c r="B1142" s="361" t="str">
        <f t="shared" si="25"/>
        <v>à receptionner</v>
      </c>
      <c r="C1142" s="193"/>
      <c r="D1142" s="189"/>
      <c r="E1142" s="191"/>
      <c r="F1142" s="180"/>
    </row>
    <row r="1143" spans="1:6" hidden="1" x14ac:dyDescent="0.25">
      <c r="A1143" s="192" t="s">
        <v>312</v>
      </c>
      <c r="B1143" s="361" t="str">
        <f t="shared" si="25"/>
        <v>démarrage S40</v>
      </c>
      <c r="C1143" s="193"/>
      <c r="D1143" s="189"/>
      <c r="E1143" s="191"/>
      <c r="F1143" s="180"/>
    </row>
    <row r="1144" spans="1:6" hidden="1" x14ac:dyDescent="0.25">
      <c r="A1144" s="192" t="s">
        <v>167</v>
      </c>
      <c r="B1144" s="361" t="str">
        <f t="shared" si="25"/>
        <v>chape</v>
      </c>
      <c r="C1144" s="193"/>
      <c r="D1144" s="189"/>
      <c r="E1144" s="191"/>
      <c r="F1144" s="180"/>
    </row>
    <row r="1145" spans="1:6" hidden="1" x14ac:dyDescent="0.25">
      <c r="A1145" s="192" t="s">
        <v>205</v>
      </c>
      <c r="B1145" s="361" t="str">
        <f t="shared" si="25"/>
        <v>attente men. Ext</v>
      </c>
      <c r="C1145" s="193"/>
      <c r="D1145" s="189"/>
      <c r="E1145" s="191"/>
      <c r="F1145" s="180"/>
    </row>
    <row r="1146" spans="1:6" x14ac:dyDescent="0.25">
      <c r="A1146" s="192" t="s">
        <v>190</v>
      </c>
      <c r="B1146" s="361" t="str">
        <f t="shared" si="25"/>
        <v>carrelage</v>
      </c>
      <c r="C1146" s="193" t="s">
        <v>268</v>
      </c>
      <c r="D1146" s="189" t="s">
        <v>7</v>
      </c>
      <c r="E1146" s="191">
        <v>29</v>
      </c>
      <c r="F1146" s="180"/>
    </row>
    <row r="1147" spans="1:6" hidden="1" x14ac:dyDescent="0.25">
      <c r="A1147" s="192" t="s">
        <v>232</v>
      </c>
      <c r="B1147" s="361" t="str">
        <f t="shared" si="25"/>
        <v>attente men. Ext</v>
      </c>
      <c r="C1147" s="193"/>
      <c r="D1147" s="189"/>
      <c r="E1147" s="191"/>
      <c r="F1147" s="180"/>
    </row>
    <row r="1148" spans="1:6" hidden="1" x14ac:dyDescent="0.25">
      <c r="A1148" s="192" t="s">
        <v>313</v>
      </c>
      <c r="B1148" s="361" t="str">
        <f t="shared" si="25"/>
        <v>pignons</v>
      </c>
      <c r="C1148" s="193"/>
      <c r="D1148" s="189"/>
      <c r="E1148" s="191"/>
      <c r="F1148" s="180"/>
    </row>
    <row r="1149" spans="1:6" hidden="1" x14ac:dyDescent="0.25">
      <c r="A1149" s="192" t="s">
        <v>270</v>
      </c>
      <c r="B1149" s="361" t="str">
        <f t="shared" si="25"/>
        <v>pignons</v>
      </c>
      <c r="C1149" s="193"/>
      <c r="D1149" s="189"/>
      <c r="E1149" s="191"/>
      <c r="F1149" s="180"/>
    </row>
    <row r="1150" spans="1:6" hidden="1" x14ac:dyDescent="0.25">
      <c r="A1150" s="192" t="s">
        <v>233</v>
      </c>
      <c r="B1150" s="361" t="str">
        <f t="shared" si="25"/>
        <v>couvert</v>
      </c>
      <c r="C1150" s="193"/>
      <c r="D1150" s="189"/>
      <c r="E1150" s="191"/>
      <c r="F1150" s="180"/>
    </row>
    <row r="1151" spans="1:6" hidden="1" x14ac:dyDescent="0.25">
      <c r="A1151" s="192" t="s">
        <v>206</v>
      </c>
      <c r="B1151" s="361" t="str">
        <f t="shared" si="25"/>
        <v>second œuvre</v>
      </c>
      <c r="C1151" s="193"/>
      <c r="D1151" s="189"/>
      <c r="E1151" s="191"/>
      <c r="F1151" s="180"/>
    </row>
    <row r="1152" spans="1:6" hidden="1" x14ac:dyDescent="0.25">
      <c r="A1152" s="192" t="s">
        <v>243</v>
      </c>
      <c r="B1152" s="361" t="str">
        <f t="shared" si="25"/>
        <v>attente men. Ext</v>
      </c>
      <c r="C1152" s="193"/>
      <c r="D1152" s="189"/>
      <c r="E1152" s="191"/>
      <c r="F1152" s="180"/>
    </row>
    <row r="1153" spans="1:6" hidden="1" x14ac:dyDescent="0.25">
      <c r="A1153" s="192" t="s">
        <v>234</v>
      </c>
      <c r="B1153" s="361" t="str">
        <f t="shared" si="25"/>
        <v>clos couvert</v>
      </c>
      <c r="C1153" s="193"/>
      <c r="D1153" s="189"/>
      <c r="E1153" s="191"/>
      <c r="F1153" s="180"/>
    </row>
    <row r="1154" spans="1:6" x14ac:dyDescent="0.25">
      <c r="A1154" s="192" t="s">
        <v>193</v>
      </c>
      <c r="B1154" s="361" t="str">
        <f t="shared" si="25"/>
        <v>attente men. Ext</v>
      </c>
      <c r="C1154" s="193" t="s">
        <v>268</v>
      </c>
      <c r="D1154" s="189" t="s">
        <v>7</v>
      </c>
      <c r="E1154" s="191">
        <v>29</v>
      </c>
      <c r="F1154" s="180"/>
    </row>
    <row r="1155" spans="1:6" hidden="1" x14ac:dyDescent="0.25">
      <c r="A1155" s="268" t="s">
        <v>178</v>
      </c>
      <c r="B1155" s="361" t="str">
        <f t="shared" si="25"/>
        <v>finitions en cours</v>
      </c>
      <c r="C1155" s="269"/>
      <c r="D1155" s="189"/>
      <c r="E1155" s="191"/>
      <c r="F1155" s="180"/>
    </row>
    <row r="1156" spans="1:6" hidden="1" x14ac:dyDescent="0.25">
      <c r="A1156" s="268" t="s">
        <v>178</v>
      </c>
      <c r="B1156" s="269">
        <f>B1111</f>
        <v>0</v>
      </c>
      <c r="C1156" s="269"/>
      <c r="D1156" s="189"/>
      <c r="E1156" s="191"/>
      <c r="F1156" s="180"/>
    </row>
    <row r="1157" spans="1:6" x14ac:dyDescent="0.25">
      <c r="A1157" s="420"/>
      <c r="B1157" s="325"/>
      <c r="C1157" s="325"/>
      <c r="D1157" s="326"/>
      <c r="E1157" s="327"/>
      <c r="F1157" s="328"/>
    </row>
    <row r="1158" spans="1:6" x14ac:dyDescent="0.25">
      <c r="A1158" s="420"/>
      <c r="B1158" s="325"/>
      <c r="C1158" s="325"/>
      <c r="D1158" s="326"/>
      <c r="E1158" s="327"/>
      <c r="F1158" s="328"/>
    </row>
    <row r="1159" spans="1:6" x14ac:dyDescent="0.25">
      <c r="A1159" s="420"/>
      <c r="B1159" s="325"/>
      <c r="C1159" s="325"/>
      <c r="D1159" s="326"/>
      <c r="E1159" s="327"/>
      <c r="F1159" s="328"/>
    </row>
    <row r="1160" spans="1:6" x14ac:dyDescent="0.25">
      <c r="A1160" s="420"/>
      <c r="B1160" s="325"/>
      <c r="C1160" s="325"/>
      <c r="D1160" s="326"/>
      <c r="E1160" s="327"/>
      <c r="F1160" s="328"/>
    </row>
    <row r="1168" spans="1:6" x14ac:dyDescent="0.25">
      <c r="A1168" s="548" t="s">
        <v>158</v>
      </c>
      <c r="B1168" s="548"/>
      <c r="C1168" s="548"/>
      <c r="D1168" s="548"/>
      <c r="E1168" s="548"/>
      <c r="F1168" s="548"/>
    </row>
    <row r="1169" spans="1:8" ht="15.75" thickBot="1" x14ac:dyDescent="0.3">
      <c r="A1169" s="548" t="s">
        <v>142</v>
      </c>
      <c r="B1169" s="548"/>
      <c r="C1169" s="548"/>
      <c r="D1169" s="548"/>
      <c r="E1169" s="548"/>
      <c r="F1169" s="548"/>
    </row>
    <row r="1170" spans="1:8" x14ac:dyDescent="0.25">
      <c r="C1170" s="544" t="s">
        <v>118</v>
      </c>
    </row>
    <row r="1171" spans="1:8" ht="6.75" customHeight="1" x14ac:dyDescent="0.25">
      <c r="C1171" s="545"/>
    </row>
    <row r="1172" spans="1:8" ht="27" customHeight="1" thickBot="1" x14ac:dyDescent="0.3">
      <c r="C1172" s="546"/>
    </row>
    <row r="1173" spans="1:8" ht="27" customHeight="1" thickBot="1" x14ac:dyDescent="0.3">
      <c r="C1173" s="197" t="s">
        <v>1</v>
      </c>
      <c r="D1173" s="185">
        <f ca="1">D993</f>
        <v>34</v>
      </c>
    </row>
    <row r="1174" spans="1:8" ht="15" customHeight="1" x14ac:dyDescent="0.25">
      <c r="C1174" s="203"/>
      <c r="G1174" s="195"/>
      <c r="H1174" s="195"/>
    </row>
    <row r="1175" spans="1:8" ht="10.5" customHeight="1" x14ac:dyDescent="0.25">
      <c r="C1175" s="177"/>
      <c r="D1175" s="177"/>
      <c r="E1175" s="184"/>
      <c r="F1175" s="177"/>
    </row>
    <row r="1176" spans="1:8" ht="21.75" customHeight="1" x14ac:dyDescent="0.4">
      <c r="B1176" s="186" t="s">
        <v>113</v>
      </c>
      <c r="C1176" s="186" t="s">
        <v>82</v>
      </c>
      <c r="D1176" s="547" t="s">
        <v>137</v>
      </c>
      <c r="E1176" s="547"/>
      <c r="F1176" s="177"/>
    </row>
    <row r="1177" spans="1:8" ht="16.5" customHeight="1" x14ac:dyDescent="0.3">
      <c r="C1177" s="178"/>
      <c r="D1177" s="177"/>
      <c r="E1177" s="184"/>
      <c r="F1177" s="177"/>
    </row>
    <row r="1178" spans="1:8" ht="16.5" customHeight="1" x14ac:dyDescent="0.25">
      <c r="A1178" s="195" t="s">
        <v>114</v>
      </c>
      <c r="B1178" s="356" t="s">
        <v>115</v>
      </c>
      <c r="C1178" s="182" t="s">
        <v>116</v>
      </c>
      <c r="D1178" s="196" t="s">
        <v>1</v>
      </c>
      <c r="E1178" s="184" t="s">
        <v>117</v>
      </c>
      <c r="F1178" s="445" t="s">
        <v>245</v>
      </c>
    </row>
    <row r="1179" spans="1:8" ht="16.5" hidden="1" customHeight="1" x14ac:dyDescent="0.25">
      <c r="A1179" s="181" t="s">
        <v>147</v>
      </c>
      <c r="B1179" s="361" t="str">
        <f>B1134</f>
        <v>finitions en cours</v>
      </c>
      <c r="C1179" s="290"/>
      <c r="D1179" s="189" t="s">
        <v>7</v>
      </c>
      <c r="E1179" s="184"/>
      <c r="F1179" s="177"/>
    </row>
    <row r="1180" spans="1:8" hidden="1" x14ac:dyDescent="0.25">
      <c r="A1180" s="192" t="s">
        <v>177</v>
      </c>
      <c r="B1180" s="361" t="str">
        <f t="shared" ref="B1180:B1200" si="26">B1135</f>
        <v>finitions en cours</v>
      </c>
      <c r="C1180" s="193"/>
      <c r="D1180" s="189" t="s">
        <v>7</v>
      </c>
      <c r="E1180" s="191"/>
      <c r="F1180" s="180"/>
    </row>
    <row r="1181" spans="1:8" hidden="1" x14ac:dyDescent="0.25">
      <c r="A1181" s="192" t="s">
        <v>101</v>
      </c>
      <c r="B1181" s="361" t="str">
        <f t="shared" si="26"/>
        <v>à receptionner</v>
      </c>
      <c r="C1181" s="193"/>
      <c r="D1181" s="189" t="s">
        <v>7</v>
      </c>
      <c r="E1181" s="191"/>
      <c r="F1181" s="180"/>
    </row>
    <row r="1182" spans="1:8" hidden="1" x14ac:dyDescent="0.25">
      <c r="A1182" s="192" t="s">
        <v>242</v>
      </c>
      <c r="B1182" s="361" t="str">
        <f t="shared" si="26"/>
        <v>démarrage S35</v>
      </c>
      <c r="C1182" s="193"/>
      <c r="D1182" s="189" t="s">
        <v>7</v>
      </c>
      <c r="E1182" s="191"/>
      <c r="F1182" s="180"/>
    </row>
    <row r="1183" spans="1:8" hidden="1" x14ac:dyDescent="0.25">
      <c r="A1183" s="192" t="s">
        <v>231</v>
      </c>
      <c r="B1183" s="361" t="str">
        <f t="shared" si="26"/>
        <v>couvert</v>
      </c>
      <c r="C1183" s="193"/>
      <c r="D1183" s="189" t="s">
        <v>7</v>
      </c>
      <c r="E1183" s="191"/>
      <c r="F1183" s="180"/>
    </row>
    <row r="1184" spans="1:8" x14ac:dyDescent="0.25">
      <c r="A1184" s="192" t="s">
        <v>269</v>
      </c>
      <c r="B1184" s="361" t="str">
        <f t="shared" si="26"/>
        <v>pignons</v>
      </c>
      <c r="C1184" s="193" t="s">
        <v>207</v>
      </c>
      <c r="D1184" s="189" t="s">
        <v>7</v>
      </c>
      <c r="E1184" s="191">
        <v>42</v>
      </c>
      <c r="F1184" s="180"/>
    </row>
    <row r="1185" spans="1:6" x14ac:dyDescent="0.25">
      <c r="A1185" s="192" t="s">
        <v>166</v>
      </c>
      <c r="B1185" s="361" t="str">
        <f t="shared" si="26"/>
        <v>plâtrerie en cours</v>
      </c>
      <c r="C1185" s="193" t="s">
        <v>207</v>
      </c>
      <c r="D1185" s="189" t="s">
        <v>7</v>
      </c>
      <c r="E1185" s="191">
        <v>37</v>
      </c>
      <c r="F1185" s="180"/>
    </row>
    <row r="1186" spans="1:6" x14ac:dyDescent="0.25">
      <c r="A1186" s="192" t="s">
        <v>189</v>
      </c>
      <c r="B1186" s="361" t="str">
        <f t="shared" si="26"/>
        <v>plâtrerie en cours</v>
      </c>
      <c r="C1186" s="193" t="s">
        <v>207</v>
      </c>
      <c r="D1186" s="189" t="s">
        <v>7</v>
      </c>
      <c r="E1186" s="191">
        <v>38</v>
      </c>
      <c r="F1186" s="180"/>
    </row>
    <row r="1187" spans="1:6" hidden="1" x14ac:dyDescent="0.25">
      <c r="A1187" s="192" t="s">
        <v>104</v>
      </c>
      <c r="B1187" s="361" t="str">
        <f t="shared" si="26"/>
        <v>à receptionner</v>
      </c>
      <c r="C1187" s="193"/>
      <c r="D1187" s="189" t="s">
        <v>7</v>
      </c>
      <c r="E1187" s="191"/>
      <c r="F1187" s="180"/>
    </row>
    <row r="1188" spans="1:6" x14ac:dyDescent="0.25">
      <c r="A1188" s="192" t="s">
        <v>312</v>
      </c>
      <c r="B1188" s="361" t="str">
        <f t="shared" si="26"/>
        <v>démarrage S40</v>
      </c>
      <c r="C1188" s="193" t="s">
        <v>207</v>
      </c>
      <c r="D1188" s="189" t="s">
        <v>7</v>
      </c>
      <c r="E1188" s="191">
        <v>35</v>
      </c>
      <c r="F1188" s="180"/>
    </row>
    <row r="1189" spans="1:6" x14ac:dyDescent="0.25">
      <c r="A1189" s="192" t="s">
        <v>167</v>
      </c>
      <c r="B1189" s="361" t="str">
        <f t="shared" si="26"/>
        <v>chape</v>
      </c>
      <c r="C1189" s="193" t="s">
        <v>207</v>
      </c>
      <c r="D1189" s="189" t="s">
        <v>7</v>
      </c>
      <c r="E1189" s="191">
        <v>39</v>
      </c>
      <c r="F1189" s="180"/>
    </row>
    <row r="1190" spans="1:6" hidden="1" x14ac:dyDescent="0.25">
      <c r="A1190" s="192" t="s">
        <v>205</v>
      </c>
      <c r="B1190" s="361" t="str">
        <f t="shared" si="26"/>
        <v>attente men. Ext</v>
      </c>
      <c r="C1190" s="193"/>
      <c r="D1190" s="189" t="s">
        <v>7</v>
      </c>
      <c r="E1190" s="191"/>
      <c r="F1190" s="180"/>
    </row>
    <row r="1191" spans="1:6" hidden="1" x14ac:dyDescent="0.25">
      <c r="A1191" s="192" t="s">
        <v>190</v>
      </c>
      <c r="B1191" s="361" t="str">
        <f t="shared" si="26"/>
        <v>carrelage</v>
      </c>
      <c r="C1191" s="193"/>
      <c r="D1191" s="189" t="s">
        <v>7</v>
      </c>
      <c r="E1191" s="191"/>
      <c r="F1191" s="180"/>
    </row>
    <row r="1192" spans="1:6" hidden="1" x14ac:dyDescent="0.25">
      <c r="A1192" s="192" t="s">
        <v>232</v>
      </c>
      <c r="B1192" s="361" t="str">
        <f t="shared" si="26"/>
        <v>attente men. Ext</v>
      </c>
      <c r="C1192" s="193"/>
      <c r="D1192" s="189" t="s">
        <v>7</v>
      </c>
      <c r="E1192" s="191"/>
      <c r="F1192" s="180"/>
    </row>
    <row r="1193" spans="1:6" x14ac:dyDescent="0.25">
      <c r="A1193" s="192" t="s">
        <v>313</v>
      </c>
      <c r="B1193" s="361" t="str">
        <f t="shared" si="26"/>
        <v>pignons</v>
      </c>
      <c r="C1193" s="193" t="s">
        <v>207</v>
      </c>
      <c r="D1193" s="189" t="s">
        <v>7</v>
      </c>
      <c r="E1193" s="191">
        <v>43</v>
      </c>
      <c r="F1193" s="180"/>
    </row>
    <row r="1194" spans="1:6" hidden="1" x14ac:dyDescent="0.25">
      <c r="A1194" s="192" t="s">
        <v>270</v>
      </c>
      <c r="B1194" s="361" t="str">
        <f t="shared" si="26"/>
        <v>pignons</v>
      </c>
      <c r="C1194" s="193"/>
      <c r="D1194" s="189" t="s">
        <v>7</v>
      </c>
      <c r="E1194" s="191"/>
      <c r="F1194" s="180"/>
    </row>
    <row r="1195" spans="1:6" x14ac:dyDescent="0.25">
      <c r="A1195" s="192" t="s">
        <v>233</v>
      </c>
      <c r="B1195" s="361" t="str">
        <f t="shared" si="26"/>
        <v>couvert</v>
      </c>
      <c r="C1195" s="193" t="s">
        <v>207</v>
      </c>
      <c r="D1195" s="189" t="s">
        <v>7</v>
      </c>
      <c r="E1195" s="191">
        <v>44</v>
      </c>
      <c r="F1195" s="180"/>
    </row>
    <row r="1196" spans="1:6" x14ac:dyDescent="0.25">
      <c r="A1196" s="192" t="s">
        <v>206</v>
      </c>
      <c r="B1196" s="361" t="str">
        <f t="shared" si="26"/>
        <v>second œuvre</v>
      </c>
      <c r="C1196" s="193" t="s">
        <v>207</v>
      </c>
      <c r="D1196" s="189" t="s">
        <v>7</v>
      </c>
      <c r="E1196" s="191">
        <v>40</v>
      </c>
      <c r="F1196" s="180"/>
    </row>
    <row r="1197" spans="1:6" x14ac:dyDescent="0.25">
      <c r="A1197" s="192" t="s">
        <v>243</v>
      </c>
      <c r="B1197" s="361" t="str">
        <f t="shared" si="26"/>
        <v>attente men. Ext</v>
      </c>
      <c r="C1197" s="193" t="s">
        <v>207</v>
      </c>
      <c r="D1197" s="189" t="s">
        <v>7</v>
      </c>
      <c r="E1197" s="191">
        <v>41</v>
      </c>
      <c r="F1197" s="180"/>
    </row>
    <row r="1198" spans="1:6" x14ac:dyDescent="0.25">
      <c r="A1198" s="192" t="s">
        <v>234</v>
      </c>
      <c r="B1198" s="361" t="str">
        <f t="shared" si="26"/>
        <v>clos couvert</v>
      </c>
      <c r="C1198" s="193" t="s">
        <v>207</v>
      </c>
      <c r="D1198" s="189" t="s">
        <v>7</v>
      </c>
      <c r="E1198" s="191">
        <v>42</v>
      </c>
      <c r="F1198" s="180"/>
    </row>
    <row r="1199" spans="1:6" x14ac:dyDescent="0.25">
      <c r="A1199" s="192" t="s">
        <v>193</v>
      </c>
      <c r="B1199" s="361" t="str">
        <f t="shared" si="26"/>
        <v>attente men. Ext</v>
      </c>
      <c r="C1199" s="193" t="s">
        <v>207</v>
      </c>
      <c r="D1199" s="189" t="s">
        <v>7</v>
      </c>
      <c r="E1199" s="191">
        <v>39</v>
      </c>
      <c r="F1199" s="180"/>
    </row>
    <row r="1200" spans="1:6" x14ac:dyDescent="0.25">
      <c r="A1200" s="268" t="s">
        <v>178</v>
      </c>
      <c r="B1200" s="361" t="str">
        <f t="shared" si="26"/>
        <v>finitions en cours</v>
      </c>
      <c r="C1200" s="269" t="s">
        <v>207</v>
      </c>
      <c r="D1200" s="189" t="s">
        <v>7</v>
      </c>
      <c r="E1200" s="191">
        <v>43</v>
      </c>
      <c r="F1200" s="180"/>
    </row>
    <row r="1201" spans="1:6" hidden="1" x14ac:dyDescent="0.25">
      <c r="A1201" s="268" t="s">
        <v>178</v>
      </c>
      <c r="B1201" s="269">
        <f>B1156</f>
        <v>0</v>
      </c>
      <c r="C1201" s="269"/>
      <c r="D1201" s="189" t="s">
        <v>7</v>
      </c>
      <c r="E1201" s="191"/>
      <c r="F1201" s="180"/>
    </row>
    <row r="1202" spans="1:6" x14ac:dyDescent="0.25">
      <c r="A1202" s="420"/>
      <c r="B1202" s="325"/>
      <c r="C1202" s="325"/>
      <c r="D1202" s="326"/>
      <c r="E1202" s="327"/>
      <c r="F1202" s="328"/>
    </row>
    <row r="1203" spans="1:6" x14ac:dyDescent="0.25">
      <c r="A1203" s="420"/>
      <c r="B1203" s="325"/>
      <c r="C1203" s="325"/>
      <c r="D1203" s="326"/>
      <c r="E1203" s="327"/>
      <c r="F1203" s="328"/>
    </row>
    <row r="1204" spans="1:6" x14ac:dyDescent="0.25">
      <c r="A1204" s="420"/>
      <c r="B1204" s="325"/>
      <c r="C1204" s="325"/>
      <c r="D1204" s="326"/>
      <c r="E1204" s="327"/>
      <c r="F1204" s="328"/>
    </row>
    <row r="1205" spans="1:6" x14ac:dyDescent="0.25">
      <c r="A1205" s="420"/>
      <c r="B1205" s="325"/>
      <c r="C1205" s="325"/>
      <c r="D1205" s="326"/>
      <c r="E1205" s="327"/>
      <c r="F1205" s="328"/>
    </row>
    <row r="1213" spans="1:6" x14ac:dyDescent="0.25">
      <c r="A1213" s="548" t="s">
        <v>158</v>
      </c>
      <c r="B1213" s="548"/>
      <c r="C1213" s="548"/>
      <c r="D1213" s="548"/>
      <c r="E1213" s="548"/>
      <c r="F1213" s="548"/>
    </row>
    <row r="1214" spans="1:6" ht="15.75" thickBot="1" x14ac:dyDescent="0.3">
      <c r="A1214" s="548" t="s">
        <v>142</v>
      </c>
      <c r="B1214" s="548"/>
      <c r="C1214" s="548"/>
      <c r="D1214" s="548"/>
      <c r="E1214" s="548"/>
      <c r="F1214" s="548"/>
    </row>
    <row r="1215" spans="1:6" x14ac:dyDescent="0.25">
      <c r="C1215" s="544" t="s">
        <v>118</v>
      </c>
    </row>
    <row r="1216" spans="1:6" ht="6.75" customHeight="1" x14ac:dyDescent="0.25">
      <c r="C1216" s="545"/>
    </row>
    <row r="1217" spans="1:8" ht="27" customHeight="1" thickBot="1" x14ac:dyDescent="0.3">
      <c r="C1217" s="546"/>
    </row>
    <row r="1218" spans="1:8" ht="27" customHeight="1" thickBot="1" x14ac:dyDescent="0.3">
      <c r="C1218" s="197" t="s">
        <v>1</v>
      </c>
      <c r="D1218" s="185">
        <f ca="1">D1038</f>
        <v>34</v>
      </c>
    </row>
    <row r="1219" spans="1:8" ht="15" customHeight="1" x14ac:dyDescent="0.25">
      <c r="C1219" s="197"/>
      <c r="G1219" s="195"/>
      <c r="H1219" s="195"/>
    </row>
    <row r="1220" spans="1:8" ht="10.5" customHeight="1" x14ac:dyDescent="0.25">
      <c r="C1220" s="177"/>
      <c r="D1220" s="177"/>
      <c r="E1220" s="184"/>
      <c r="F1220" s="177"/>
    </row>
    <row r="1221" spans="1:8" ht="21.75" customHeight="1" x14ac:dyDescent="0.4">
      <c r="B1221" s="186" t="s">
        <v>113</v>
      </c>
      <c r="C1221" s="186" t="s">
        <v>57</v>
      </c>
      <c r="D1221" s="547" t="s">
        <v>138</v>
      </c>
      <c r="E1221" s="547"/>
      <c r="F1221" s="177"/>
    </row>
    <row r="1222" spans="1:8" ht="16.5" customHeight="1" x14ac:dyDescent="0.3">
      <c r="C1222" s="178"/>
      <c r="D1222" s="177"/>
      <c r="E1222" s="184"/>
      <c r="F1222" s="177"/>
    </row>
    <row r="1223" spans="1:8" ht="16.5" customHeight="1" x14ac:dyDescent="0.25">
      <c r="A1223" s="195" t="s">
        <v>114</v>
      </c>
      <c r="B1223" s="356" t="s">
        <v>115</v>
      </c>
      <c r="C1223" s="182" t="s">
        <v>116</v>
      </c>
      <c r="D1223" s="196" t="s">
        <v>1</v>
      </c>
      <c r="E1223" s="184" t="s">
        <v>117</v>
      </c>
      <c r="F1223" s="445" t="s">
        <v>245</v>
      </c>
    </row>
    <row r="1224" spans="1:8" ht="16.5" customHeight="1" x14ac:dyDescent="0.25">
      <c r="A1224" s="181" t="s">
        <v>147</v>
      </c>
      <c r="B1224" s="361" t="str">
        <f>B1179</f>
        <v>finitions en cours</v>
      </c>
      <c r="C1224" s="190"/>
      <c r="D1224" s="183"/>
      <c r="E1224" s="184"/>
      <c r="F1224" s="177"/>
    </row>
    <row r="1225" spans="1:8" x14ac:dyDescent="0.25">
      <c r="A1225" s="192" t="s">
        <v>177</v>
      </c>
      <c r="B1225" s="361" t="str">
        <f t="shared" ref="B1225:B1245" si="27">B1180</f>
        <v>finitions en cours</v>
      </c>
      <c r="C1225" s="193" t="s">
        <v>208</v>
      </c>
      <c r="D1225" s="189"/>
      <c r="E1225" s="191"/>
      <c r="F1225" s="180"/>
    </row>
    <row r="1226" spans="1:8" x14ac:dyDescent="0.25">
      <c r="A1226" s="192" t="s">
        <v>101</v>
      </c>
      <c r="B1226" s="361" t="str">
        <f t="shared" si="27"/>
        <v>à receptionner</v>
      </c>
      <c r="C1226" s="193"/>
      <c r="D1226" s="189"/>
      <c r="E1226" s="191"/>
      <c r="F1226" s="180"/>
    </row>
    <row r="1227" spans="1:8" x14ac:dyDescent="0.25">
      <c r="A1227" s="192" t="s">
        <v>242</v>
      </c>
      <c r="B1227" s="361" t="str">
        <f t="shared" si="27"/>
        <v>démarrage S35</v>
      </c>
      <c r="C1227" s="193" t="s">
        <v>214</v>
      </c>
      <c r="D1227" s="189" t="s">
        <v>7</v>
      </c>
      <c r="E1227" s="191">
        <v>16</v>
      </c>
      <c r="F1227" s="180"/>
    </row>
    <row r="1228" spans="1:8" x14ac:dyDescent="0.25">
      <c r="A1228" s="192" t="s">
        <v>231</v>
      </c>
      <c r="B1228" s="361" t="str">
        <f t="shared" si="27"/>
        <v>couvert</v>
      </c>
      <c r="C1228" s="193"/>
      <c r="D1228" s="189"/>
      <c r="E1228" s="191"/>
      <c r="F1228" s="180"/>
    </row>
    <row r="1229" spans="1:8" x14ac:dyDescent="0.25">
      <c r="A1229" s="192" t="s">
        <v>269</v>
      </c>
      <c r="B1229" s="361" t="str">
        <f t="shared" si="27"/>
        <v>pignons</v>
      </c>
      <c r="C1229" s="193"/>
      <c r="D1229" s="189"/>
      <c r="E1229" s="191"/>
      <c r="F1229" s="180"/>
    </row>
    <row r="1230" spans="1:8" x14ac:dyDescent="0.25">
      <c r="A1230" s="192" t="s">
        <v>166</v>
      </c>
      <c r="B1230" s="361" t="str">
        <f t="shared" si="27"/>
        <v>plâtrerie en cours</v>
      </c>
      <c r="C1230" s="193"/>
      <c r="D1230" s="189"/>
      <c r="E1230" s="191"/>
      <c r="F1230" s="180"/>
    </row>
    <row r="1231" spans="1:8" x14ac:dyDescent="0.25">
      <c r="A1231" s="192" t="s">
        <v>189</v>
      </c>
      <c r="B1231" s="361" t="str">
        <f t="shared" si="27"/>
        <v>plâtrerie en cours</v>
      </c>
      <c r="C1231" s="193" t="s">
        <v>194</v>
      </c>
      <c r="D1231" s="189" t="s">
        <v>7</v>
      </c>
      <c r="E1231" s="191">
        <v>17</v>
      </c>
      <c r="F1231" s="180"/>
    </row>
    <row r="1232" spans="1:8" x14ac:dyDescent="0.25">
      <c r="A1232" s="192" t="s">
        <v>104</v>
      </c>
      <c r="B1232" s="361" t="str">
        <f t="shared" si="27"/>
        <v>à receptionner</v>
      </c>
      <c r="C1232" s="193"/>
      <c r="D1232" s="189"/>
      <c r="E1232" s="191"/>
      <c r="F1232" s="180"/>
    </row>
    <row r="1233" spans="1:6" x14ac:dyDescent="0.25">
      <c r="A1233" s="192" t="s">
        <v>312</v>
      </c>
      <c r="B1233" s="361" t="str">
        <f t="shared" si="27"/>
        <v>démarrage S40</v>
      </c>
      <c r="C1233" s="193"/>
      <c r="D1233" s="189"/>
      <c r="E1233" s="191"/>
      <c r="F1233" s="180"/>
    </row>
    <row r="1234" spans="1:6" x14ac:dyDescent="0.25">
      <c r="A1234" s="192" t="s">
        <v>167</v>
      </c>
      <c r="B1234" s="361" t="str">
        <f t="shared" si="27"/>
        <v>chape</v>
      </c>
      <c r="C1234" s="193"/>
      <c r="D1234" s="189"/>
      <c r="E1234" s="191"/>
      <c r="F1234" s="180"/>
    </row>
    <row r="1235" spans="1:6" x14ac:dyDescent="0.25">
      <c r="A1235" s="192" t="s">
        <v>205</v>
      </c>
      <c r="B1235" s="361" t="str">
        <f t="shared" si="27"/>
        <v>attente men. Ext</v>
      </c>
      <c r="C1235" s="193" t="s">
        <v>235</v>
      </c>
      <c r="D1235" s="189" t="s">
        <v>7</v>
      </c>
      <c r="E1235" s="191" t="s">
        <v>236</v>
      </c>
      <c r="F1235" s="180"/>
    </row>
    <row r="1236" spans="1:6" x14ac:dyDescent="0.25">
      <c r="A1236" s="192" t="s">
        <v>190</v>
      </c>
      <c r="B1236" s="361" t="str">
        <f t="shared" si="27"/>
        <v>carrelage</v>
      </c>
      <c r="C1236" s="193"/>
      <c r="D1236" s="189"/>
      <c r="E1236" s="191"/>
      <c r="F1236" s="180"/>
    </row>
    <row r="1237" spans="1:6" x14ac:dyDescent="0.25">
      <c r="A1237" s="192" t="s">
        <v>232</v>
      </c>
      <c r="B1237" s="361" t="str">
        <f t="shared" si="27"/>
        <v>attente men. Ext</v>
      </c>
      <c r="C1237" s="193" t="s">
        <v>215</v>
      </c>
      <c r="D1237" s="189" t="s">
        <v>216</v>
      </c>
      <c r="E1237" s="191" t="s">
        <v>217</v>
      </c>
      <c r="F1237" s="180"/>
    </row>
    <row r="1238" spans="1:6" x14ac:dyDescent="0.25">
      <c r="A1238" s="192" t="s">
        <v>313</v>
      </c>
      <c r="B1238" s="361" t="str">
        <f t="shared" si="27"/>
        <v>pignons</v>
      </c>
      <c r="C1238" s="193" t="s">
        <v>208</v>
      </c>
      <c r="D1238" s="189"/>
      <c r="E1238" s="191"/>
      <c r="F1238" s="180"/>
    </row>
    <row r="1239" spans="1:6" x14ac:dyDescent="0.25">
      <c r="A1239" s="192" t="s">
        <v>270</v>
      </c>
      <c r="B1239" s="361" t="str">
        <f t="shared" si="27"/>
        <v>pignons</v>
      </c>
      <c r="C1239" s="193"/>
      <c r="D1239" s="189"/>
      <c r="E1239" s="191"/>
      <c r="F1239" s="180"/>
    </row>
    <row r="1240" spans="1:6" x14ac:dyDescent="0.25">
      <c r="A1240" s="192" t="s">
        <v>233</v>
      </c>
      <c r="B1240" s="361" t="str">
        <f t="shared" si="27"/>
        <v>couvert</v>
      </c>
      <c r="C1240" s="193"/>
      <c r="D1240" s="189"/>
      <c r="E1240" s="191"/>
      <c r="F1240" s="180"/>
    </row>
    <row r="1241" spans="1:6" x14ac:dyDescent="0.25">
      <c r="A1241" s="192" t="s">
        <v>206</v>
      </c>
      <c r="B1241" s="361" t="str">
        <f t="shared" si="27"/>
        <v>second œuvre</v>
      </c>
      <c r="C1241" s="193"/>
      <c r="D1241" s="189"/>
      <c r="E1241" s="191"/>
      <c r="F1241" s="180"/>
    </row>
    <row r="1242" spans="1:6" x14ac:dyDescent="0.25">
      <c r="A1242" s="192" t="s">
        <v>243</v>
      </c>
      <c r="B1242" s="361" t="str">
        <f t="shared" si="27"/>
        <v>attente men. Ext</v>
      </c>
      <c r="C1242" s="193" t="s">
        <v>209</v>
      </c>
      <c r="D1242" s="189" t="s">
        <v>7</v>
      </c>
      <c r="E1242" s="191" t="s">
        <v>218</v>
      </c>
      <c r="F1242" s="180"/>
    </row>
    <row r="1243" spans="1:6" x14ac:dyDescent="0.25">
      <c r="A1243" s="192" t="s">
        <v>234</v>
      </c>
      <c r="B1243" s="361" t="str">
        <f t="shared" si="27"/>
        <v>clos couvert</v>
      </c>
      <c r="C1243" s="193"/>
      <c r="D1243" s="189"/>
      <c r="E1243" s="191"/>
      <c r="F1243" s="180"/>
    </row>
    <row r="1244" spans="1:6" x14ac:dyDescent="0.25">
      <c r="A1244" s="192" t="s">
        <v>193</v>
      </c>
      <c r="B1244" s="361" t="str">
        <f t="shared" si="27"/>
        <v>attente men. Ext</v>
      </c>
      <c r="C1244" s="193" t="s">
        <v>209</v>
      </c>
      <c r="D1244" s="189"/>
      <c r="E1244" s="191"/>
      <c r="F1244" s="180"/>
    </row>
    <row r="1245" spans="1:6" x14ac:dyDescent="0.25">
      <c r="A1245" s="268" t="s">
        <v>178</v>
      </c>
      <c r="B1245" s="361" t="str">
        <f t="shared" si="27"/>
        <v>finitions en cours</v>
      </c>
      <c r="C1245" s="193"/>
      <c r="D1245" s="189"/>
      <c r="E1245" s="191"/>
      <c r="F1245" s="180"/>
    </row>
    <row r="1246" spans="1:6" x14ac:dyDescent="0.25">
      <c r="A1246" s="268" t="s">
        <v>178</v>
      </c>
      <c r="B1246" s="269">
        <f>B1201</f>
        <v>0</v>
      </c>
      <c r="C1246" s="269"/>
      <c r="D1246" s="189"/>
      <c r="E1246" s="191"/>
      <c r="F1246" s="180"/>
    </row>
    <row r="1247" spans="1:6" x14ac:dyDescent="0.25">
      <c r="A1247" s="420"/>
      <c r="B1247" s="325"/>
      <c r="C1247" s="325"/>
      <c r="D1247" s="326"/>
      <c r="E1247" s="327"/>
      <c r="F1247" s="328"/>
    </row>
    <row r="1248" spans="1:6" x14ac:dyDescent="0.25">
      <c r="A1248" s="420"/>
      <c r="B1248" s="325"/>
      <c r="C1248" s="325"/>
      <c r="D1248" s="326"/>
      <c r="E1248" s="327"/>
      <c r="F1248" s="328"/>
    </row>
    <row r="1249" spans="1:8" x14ac:dyDescent="0.25">
      <c r="A1249" s="420"/>
      <c r="B1249" s="325"/>
      <c r="C1249" s="325"/>
      <c r="D1249" s="326"/>
      <c r="E1249" s="327"/>
      <c r="F1249" s="328"/>
    </row>
    <row r="1250" spans="1:8" x14ac:dyDescent="0.25">
      <c r="A1250" s="420"/>
      <c r="B1250" s="325"/>
      <c r="C1250" s="325"/>
      <c r="D1250" s="326"/>
      <c r="E1250" s="327"/>
      <c r="F1250" s="328"/>
    </row>
    <row r="1258" spans="1:8" x14ac:dyDescent="0.25">
      <c r="A1258" s="548" t="s">
        <v>158</v>
      </c>
      <c r="B1258" s="548"/>
      <c r="C1258" s="548"/>
      <c r="D1258" s="548"/>
      <c r="E1258" s="548"/>
      <c r="F1258" s="548"/>
    </row>
    <row r="1259" spans="1:8" ht="15.75" thickBot="1" x14ac:dyDescent="0.3">
      <c r="A1259" s="548" t="s">
        <v>142</v>
      </c>
      <c r="B1259" s="548"/>
      <c r="C1259" s="548"/>
      <c r="D1259" s="548"/>
      <c r="E1259" s="548"/>
      <c r="F1259" s="548"/>
    </row>
    <row r="1260" spans="1:8" x14ac:dyDescent="0.25">
      <c r="C1260" s="544" t="s">
        <v>118</v>
      </c>
    </row>
    <row r="1261" spans="1:8" ht="6.75" customHeight="1" x14ac:dyDescent="0.25">
      <c r="C1261" s="545"/>
    </row>
    <row r="1262" spans="1:8" ht="27" customHeight="1" thickBot="1" x14ac:dyDescent="0.3">
      <c r="C1262" s="546"/>
    </row>
    <row r="1263" spans="1:8" ht="27" customHeight="1" thickBot="1" x14ac:dyDescent="0.3">
      <c r="C1263" s="197" t="s">
        <v>1</v>
      </c>
      <c r="D1263" s="185">
        <f ca="1">D1083</f>
        <v>34</v>
      </c>
    </row>
    <row r="1264" spans="1:8" ht="15" customHeight="1" x14ac:dyDescent="0.25">
      <c r="C1264" s="197"/>
      <c r="G1264" s="195"/>
      <c r="H1264" s="195"/>
    </row>
    <row r="1265" spans="1:6" ht="10.5" customHeight="1" x14ac:dyDescent="0.25">
      <c r="C1265" s="177"/>
      <c r="D1265" s="177"/>
      <c r="E1265" s="184"/>
      <c r="F1265" s="177"/>
    </row>
    <row r="1266" spans="1:6" ht="21.75" customHeight="1" x14ac:dyDescent="0.4">
      <c r="B1266" s="186" t="s">
        <v>113</v>
      </c>
      <c r="C1266" s="186" t="s">
        <v>74</v>
      </c>
      <c r="D1266" s="547" t="s">
        <v>139</v>
      </c>
      <c r="E1266" s="547"/>
      <c r="F1266" s="177"/>
    </row>
    <row r="1267" spans="1:6" ht="16.5" customHeight="1" x14ac:dyDescent="0.3">
      <c r="C1267" s="178"/>
      <c r="D1267" s="177"/>
      <c r="E1267" s="184"/>
      <c r="F1267" s="177"/>
    </row>
    <row r="1268" spans="1:6" ht="16.5" customHeight="1" x14ac:dyDescent="0.25">
      <c r="A1268" s="357" t="s">
        <v>114</v>
      </c>
      <c r="B1268" s="356" t="s">
        <v>115</v>
      </c>
      <c r="C1268" s="182" t="s">
        <v>116</v>
      </c>
      <c r="D1268" s="196" t="s">
        <v>1</v>
      </c>
      <c r="E1268" s="184" t="s">
        <v>117</v>
      </c>
      <c r="F1268" s="445" t="s">
        <v>245</v>
      </c>
    </row>
    <row r="1269" spans="1:6" ht="16.5" customHeight="1" x14ac:dyDescent="0.25">
      <c r="A1269" s="181" t="s">
        <v>147</v>
      </c>
      <c r="B1269" s="361" t="str">
        <f>B1224</f>
        <v>finitions en cours</v>
      </c>
      <c r="C1269" s="290" t="s">
        <v>149</v>
      </c>
      <c r="D1269" s="183" t="s">
        <v>7</v>
      </c>
      <c r="E1269" s="184">
        <v>29</v>
      </c>
      <c r="F1269" s="177"/>
    </row>
    <row r="1270" spans="1:6" x14ac:dyDescent="0.25">
      <c r="A1270" s="192" t="s">
        <v>177</v>
      </c>
      <c r="B1270" s="361" t="str">
        <f t="shared" ref="B1270:B1290" si="28">B1225</f>
        <v>finitions en cours</v>
      </c>
      <c r="C1270" s="193" t="s">
        <v>149</v>
      </c>
      <c r="D1270" s="183" t="s">
        <v>7</v>
      </c>
      <c r="E1270" s="191">
        <v>30</v>
      </c>
      <c r="F1270" s="180"/>
    </row>
    <row r="1271" spans="1:6" hidden="1" x14ac:dyDescent="0.25">
      <c r="A1271" s="192" t="s">
        <v>101</v>
      </c>
      <c r="B1271" s="361" t="str">
        <f t="shared" si="28"/>
        <v>à receptionner</v>
      </c>
      <c r="C1271" s="193"/>
      <c r="D1271" s="183" t="s">
        <v>7</v>
      </c>
      <c r="E1271" s="191"/>
      <c r="F1271" s="180"/>
    </row>
    <row r="1272" spans="1:6" hidden="1" x14ac:dyDescent="0.25">
      <c r="A1272" s="192" t="s">
        <v>242</v>
      </c>
      <c r="B1272" s="361" t="str">
        <f t="shared" si="28"/>
        <v>démarrage S35</v>
      </c>
      <c r="C1272" s="193"/>
      <c r="D1272" s="183" t="s">
        <v>7</v>
      </c>
      <c r="E1272" s="191"/>
      <c r="F1272" s="180"/>
    </row>
    <row r="1273" spans="1:6" hidden="1" x14ac:dyDescent="0.25">
      <c r="A1273" s="192" t="s">
        <v>231</v>
      </c>
      <c r="B1273" s="361" t="str">
        <f t="shared" si="28"/>
        <v>couvert</v>
      </c>
      <c r="C1273" s="193"/>
      <c r="D1273" s="183" t="s">
        <v>7</v>
      </c>
      <c r="E1273" s="191"/>
      <c r="F1273" s="180"/>
    </row>
    <row r="1274" spans="1:6" hidden="1" x14ac:dyDescent="0.25">
      <c r="A1274" s="192" t="s">
        <v>269</v>
      </c>
      <c r="B1274" s="361" t="str">
        <f t="shared" si="28"/>
        <v>pignons</v>
      </c>
      <c r="C1274" s="193"/>
      <c r="D1274" s="183" t="s">
        <v>7</v>
      </c>
      <c r="E1274" s="191"/>
      <c r="F1274" s="180"/>
    </row>
    <row r="1275" spans="1:6" hidden="1" x14ac:dyDescent="0.25">
      <c r="A1275" s="192" t="s">
        <v>166</v>
      </c>
      <c r="B1275" s="361" t="str">
        <f t="shared" si="28"/>
        <v>plâtrerie en cours</v>
      </c>
      <c r="C1275" s="193"/>
      <c r="D1275" s="183" t="s">
        <v>7</v>
      </c>
      <c r="E1275" s="191"/>
      <c r="F1275" s="180"/>
    </row>
    <row r="1276" spans="1:6" hidden="1" x14ac:dyDescent="0.25">
      <c r="A1276" s="192" t="s">
        <v>189</v>
      </c>
      <c r="B1276" s="361" t="str">
        <f t="shared" si="28"/>
        <v>plâtrerie en cours</v>
      </c>
      <c r="C1276" s="193"/>
      <c r="D1276" s="183" t="s">
        <v>7</v>
      </c>
      <c r="E1276" s="191"/>
      <c r="F1276" s="180"/>
    </row>
    <row r="1277" spans="1:6" hidden="1" x14ac:dyDescent="0.25">
      <c r="A1277" s="192" t="s">
        <v>104</v>
      </c>
      <c r="B1277" s="361" t="str">
        <f t="shared" si="28"/>
        <v>à receptionner</v>
      </c>
      <c r="C1277" s="193"/>
      <c r="D1277" s="183" t="s">
        <v>7</v>
      </c>
      <c r="E1277" s="191"/>
      <c r="F1277" s="180"/>
    </row>
    <row r="1278" spans="1:6" hidden="1" x14ac:dyDescent="0.25">
      <c r="A1278" s="192" t="s">
        <v>312</v>
      </c>
      <c r="B1278" s="361" t="str">
        <f t="shared" si="28"/>
        <v>démarrage S40</v>
      </c>
      <c r="C1278" s="193"/>
      <c r="D1278" s="183" t="s">
        <v>7</v>
      </c>
      <c r="E1278" s="191"/>
      <c r="F1278" s="180"/>
    </row>
    <row r="1279" spans="1:6" x14ac:dyDescent="0.25">
      <c r="A1279" s="192" t="s">
        <v>167</v>
      </c>
      <c r="B1279" s="361" t="str">
        <f t="shared" si="28"/>
        <v>chape</v>
      </c>
      <c r="C1279" s="193" t="s">
        <v>251</v>
      </c>
      <c r="D1279" s="183" t="s">
        <v>7</v>
      </c>
      <c r="E1279" s="191">
        <v>36</v>
      </c>
      <c r="F1279" s="180"/>
    </row>
    <row r="1280" spans="1:6" hidden="1" x14ac:dyDescent="0.25">
      <c r="A1280" s="192" t="s">
        <v>205</v>
      </c>
      <c r="B1280" s="361" t="str">
        <f t="shared" si="28"/>
        <v>attente men. Ext</v>
      </c>
      <c r="C1280" s="193"/>
      <c r="D1280" s="183" t="s">
        <v>7</v>
      </c>
      <c r="E1280" s="191"/>
      <c r="F1280" s="180"/>
    </row>
    <row r="1281" spans="1:6" hidden="1" x14ac:dyDescent="0.25">
      <c r="A1281" s="192" t="s">
        <v>190</v>
      </c>
      <c r="B1281" s="361" t="str">
        <f t="shared" si="28"/>
        <v>carrelage</v>
      </c>
      <c r="C1281" s="193"/>
      <c r="D1281" s="183" t="s">
        <v>7</v>
      </c>
      <c r="E1281" s="191"/>
      <c r="F1281" s="180"/>
    </row>
    <row r="1282" spans="1:6" hidden="1" x14ac:dyDescent="0.25">
      <c r="A1282" s="192" t="s">
        <v>232</v>
      </c>
      <c r="B1282" s="361" t="str">
        <f t="shared" si="28"/>
        <v>attente men. Ext</v>
      </c>
      <c r="C1282" s="193"/>
      <c r="D1282" s="183" t="s">
        <v>7</v>
      </c>
      <c r="E1282" s="191"/>
      <c r="F1282" s="180"/>
    </row>
    <row r="1283" spans="1:6" hidden="1" x14ac:dyDescent="0.25">
      <c r="A1283" s="192" t="s">
        <v>313</v>
      </c>
      <c r="B1283" s="361" t="str">
        <f t="shared" si="28"/>
        <v>pignons</v>
      </c>
      <c r="C1283" s="193"/>
      <c r="D1283" s="183" t="s">
        <v>7</v>
      </c>
      <c r="E1283" s="191"/>
      <c r="F1283" s="180"/>
    </row>
    <row r="1284" spans="1:6" hidden="1" x14ac:dyDescent="0.25">
      <c r="A1284" s="192" t="s">
        <v>270</v>
      </c>
      <c r="B1284" s="361" t="str">
        <f t="shared" si="28"/>
        <v>pignons</v>
      </c>
      <c r="C1284" s="193"/>
      <c r="D1284" s="183" t="s">
        <v>7</v>
      </c>
      <c r="E1284" s="191"/>
      <c r="F1284" s="180"/>
    </row>
    <row r="1285" spans="1:6" hidden="1" x14ac:dyDescent="0.25">
      <c r="A1285" s="192" t="s">
        <v>233</v>
      </c>
      <c r="B1285" s="361" t="str">
        <f t="shared" si="28"/>
        <v>couvert</v>
      </c>
      <c r="C1285" s="193"/>
      <c r="D1285" s="183" t="s">
        <v>7</v>
      </c>
      <c r="E1285" s="191"/>
      <c r="F1285" s="180"/>
    </row>
    <row r="1286" spans="1:6" hidden="1" x14ac:dyDescent="0.25">
      <c r="A1286" s="192" t="s">
        <v>206</v>
      </c>
      <c r="B1286" s="361" t="str">
        <f t="shared" si="28"/>
        <v>second œuvre</v>
      </c>
      <c r="C1286" s="193"/>
      <c r="D1286" s="183" t="s">
        <v>7</v>
      </c>
      <c r="E1286" s="191"/>
      <c r="F1286" s="180"/>
    </row>
    <row r="1287" spans="1:6" hidden="1" x14ac:dyDescent="0.25">
      <c r="A1287" s="192" t="s">
        <v>243</v>
      </c>
      <c r="B1287" s="361" t="str">
        <f t="shared" si="28"/>
        <v>attente men. Ext</v>
      </c>
      <c r="C1287" s="193"/>
      <c r="D1287" s="183" t="s">
        <v>7</v>
      </c>
      <c r="E1287" s="191"/>
      <c r="F1287" s="180"/>
    </row>
    <row r="1288" spans="1:6" hidden="1" x14ac:dyDescent="0.25">
      <c r="A1288" s="268" t="s">
        <v>234</v>
      </c>
      <c r="B1288" s="361" t="str">
        <f t="shared" si="28"/>
        <v>clos couvert</v>
      </c>
      <c r="C1288" s="193"/>
      <c r="D1288" s="183" t="s">
        <v>7</v>
      </c>
      <c r="E1288" s="191"/>
      <c r="F1288" s="180"/>
    </row>
    <row r="1289" spans="1:6" hidden="1" x14ac:dyDescent="0.25">
      <c r="A1289" s="268" t="s">
        <v>193</v>
      </c>
      <c r="B1289" s="361" t="str">
        <f t="shared" si="28"/>
        <v>attente men. Ext</v>
      </c>
      <c r="C1289" s="325"/>
      <c r="D1289" s="183" t="s">
        <v>7</v>
      </c>
      <c r="E1289" s="327"/>
      <c r="F1289" s="328"/>
    </row>
    <row r="1290" spans="1:6" hidden="1" x14ac:dyDescent="0.25">
      <c r="A1290" s="268" t="s">
        <v>178</v>
      </c>
      <c r="B1290" s="361" t="str">
        <f t="shared" si="28"/>
        <v>finitions en cours</v>
      </c>
      <c r="C1290" s="269"/>
      <c r="D1290" s="183" t="s">
        <v>7</v>
      </c>
      <c r="E1290" s="191"/>
      <c r="F1290" s="180"/>
    </row>
    <row r="1291" spans="1:6" hidden="1" x14ac:dyDescent="0.25">
      <c r="A1291" s="420" t="s">
        <v>178</v>
      </c>
      <c r="B1291" s="325">
        <f>B1246</f>
        <v>0</v>
      </c>
      <c r="C1291" s="325"/>
      <c r="D1291" s="183" t="s">
        <v>7</v>
      </c>
      <c r="E1291" s="327"/>
      <c r="F1291" s="328"/>
    </row>
    <row r="1292" spans="1:6" x14ac:dyDescent="0.25">
      <c r="A1292" s="420"/>
      <c r="B1292" s="325"/>
      <c r="C1292" s="325"/>
      <c r="D1292" s="326"/>
      <c r="E1292" s="327"/>
      <c r="F1292" s="328"/>
    </row>
    <row r="1293" spans="1:6" x14ac:dyDescent="0.25">
      <c r="A1293" s="420"/>
      <c r="B1293" s="325"/>
      <c r="C1293" s="325"/>
      <c r="D1293" s="326"/>
      <c r="E1293" s="327"/>
      <c r="F1293" s="328"/>
    </row>
    <row r="1294" spans="1:6" x14ac:dyDescent="0.25">
      <c r="A1294" s="420"/>
      <c r="B1294" s="325"/>
      <c r="C1294" s="325"/>
      <c r="D1294" s="326"/>
      <c r="E1294" s="327"/>
      <c r="F1294" s="328"/>
    </row>
    <row r="1295" spans="1:6" x14ac:dyDescent="0.25">
      <c r="A1295" s="420"/>
      <c r="B1295" s="325"/>
      <c r="C1295" s="325"/>
      <c r="D1295" s="326"/>
      <c r="E1295" s="327"/>
      <c r="F1295" s="328"/>
    </row>
    <row r="1303" spans="1:6" x14ac:dyDescent="0.25">
      <c r="A1303" s="548" t="s">
        <v>158</v>
      </c>
      <c r="B1303" s="548"/>
      <c r="C1303" s="548"/>
      <c r="D1303" s="548"/>
      <c r="E1303" s="548"/>
      <c r="F1303" s="548"/>
    </row>
    <row r="1304" spans="1:6" x14ac:dyDescent="0.25">
      <c r="A1304" s="548" t="s">
        <v>142</v>
      </c>
      <c r="B1304" s="548"/>
      <c r="C1304" s="548"/>
      <c r="D1304" s="548"/>
      <c r="E1304" s="548"/>
      <c r="F1304" s="548"/>
    </row>
  </sheetData>
  <dataConsolidate/>
  <mergeCells count="122">
    <mergeCell ref="A1303:F1303"/>
    <mergeCell ref="A1304:F1304"/>
    <mergeCell ref="A1034:F1034"/>
    <mergeCell ref="A1078:F1078"/>
    <mergeCell ref="A1079:F1079"/>
    <mergeCell ref="A1123:F1123"/>
    <mergeCell ref="A1124:F1124"/>
    <mergeCell ref="A1168:F1168"/>
    <mergeCell ref="A1169:F1169"/>
    <mergeCell ref="A1213:F1213"/>
    <mergeCell ref="A1214:F1214"/>
    <mergeCell ref="D1266:E1266"/>
    <mergeCell ref="C1215:C1217"/>
    <mergeCell ref="D1221:E1221"/>
    <mergeCell ref="D1131:E1131"/>
    <mergeCell ref="C1170:C1172"/>
    <mergeCell ref="D1176:E1176"/>
    <mergeCell ref="C1260:C1262"/>
    <mergeCell ref="C1080:C1082"/>
    <mergeCell ref="D1086:E1086"/>
    <mergeCell ref="C1125:C1127"/>
    <mergeCell ref="C1035:C1037"/>
    <mergeCell ref="D1041:E1041"/>
    <mergeCell ref="A129:F129"/>
    <mergeCell ref="A130:F130"/>
    <mergeCell ref="A44:F44"/>
    <mergeCell ref="C136:C138"/>
    <mergeCell ref="D142:E142"/>
    <mergeCell ref="C180:C182"/>
    <mergeCell ref="D186:E186"/>
    <mergeCell ref="A45:F45"/>
    <mergeCell ref="A89:F89"/>
    <mergeCell ref="A90:F90"/>
    <mergeCell ref="A134:F134"/>
    <mergeCell ref="A135:F135"/>
    <mergeCell ref="C1:C3"/>
    <mergeCell ref="D7:E7"/>
    <mergeCell ref="C46:C48"/>
    <mergeCell ref="D52:E52"/>
    <mergeCell ref="C91:C93"/>
    <mergeCell ref="D97:E97"/>
    <mergeCell ref="A39:F39"/>
    <mergeCell ref="A40:F40"/>
    <mergeCell ref="A84:F84"/>
    <mergeCell ref="A85:F85"/>
    <mergeCell ref="A223:F223"/>
    <mergeCell ref="A224:F224"/>
    <mergeCell ref="A268:F268"/>
    <mergeCell ref="A269:F269"/>
    <mergeCell ref="A313:F313"/>
    <mergeCell ref="A314:F314"/>
    <mergeCell ref="A178:F178"/>
    <mergeCell ref="A179:F179"/>
    <mergeCell ref="A216:F216"/>
    <mergeCell ref="C225:C227"/>
    <mergeCell ref="D231:E231"/>
    <mergeCell ref="C270:C272"/>
    <mergeCell ref="D276:E276"/>
    <mergeCell ref="C315:C317"/>
    <mergeCell ref="A358:F358"/>
    <mergeCell ref="A359:F359"/>
    <mergeCell ref="A403:F403"/>
    <mergeCell ref="A764:F764"/>
    <mergeCell ref="D456:E456"/>
    <mergeCell ref="C495:C497"/>
    <mergeCell ref="D501:E501"/>
    <mergeCell ref="C405:C407"/>
    <mergeCell ref="D411:E411"/>
    <mergeCell ref="C450:C452"/>
    <mergeCell ref="A673:F673"/>
    <mergeCell ref="D321:E321"/>
    <mergeCell ref="A674:F674"/>
    <mergeCell ref="A718:F718"/>
    <mergeCell ref="D681:E681"/>
    <mergeCell ref="C630:C632"/>
    <mergeCell ref="D636:E636"/>
    <mergeCell ref="C675:C677"/>
    <mergeCell ref="A404:F404"/>
    <mergeCell ref="A448:F448"/>
    <mergeCell ref="A538:F538"/>
    <mergeCell ref="A539:F539"/>
    <mergeCell ref="A628:F628"/>
    <mergeCell ref="A629:F629"/>
    <mergeCell ref="C585:C587"/>
    <mergeCell ref="C360:C362"/>
    <mergeCell ref="D366:E366"/>
    <mergeCell ref="A719:F719"/>
    <mergeCell ref="A763:F763"/>
    <mergeCell ref="C720:C722"/>
    <mergeCell ref="D726:E726"/>
    <mergeCell ref="A449:F449"/>
    <mergeCell ref="A493:F493"/>
    <mergeCell ref="A494:F494"/>
    <mergeCell ref="D591:E591"/>
    <mergeCell ref="C540:C542"/>
    <mergeCell ref="D546:E546"/>
    <mergeCell ref="A583:F583"/>
    <mergeCell ref="A584:F584"/>
    <mergeCell ref="C990:C992"/>
    <mergeCell ref="D996:E996"/>
    <mergeCell ref="C810:C812"/>
    <mergeCell ref="A898:F898"/>
    <mergeCell ref="A899:F899"/>
    <mergeCell ref="A1258:F1258"/>
    <mergeCell ref="A1259:F1259"/>
    <mergeCell ref="A943:F943"/>
    <mergeCell ref="A944:F944"/>
    <mergeCell ref="A988:F988"/>
    <mergeCell ref="A989:F989"/>
    <mergeCell ref="A1033:F1033"/>
    <mergeCell ref="C765:C767"/>
    <mergeCell ref="D771:E771"/>
    <mergeCell ref="A809:F809"/>
    <mergeCell ref="D906:E906"/>
    <mergeCell ref="C945:C947"/>
    <mergeCell ref="D951:E951"/>
    <mergeCell ref="C855:C857"/>
    <mergeCell ref="D861:E861"/>
    <mergeCell ref="C900:C902"/>
    <mergeCell ref="A808:F808"/>
    <mergeCell ref="A853:F853"/>
    <mergeCell ref="A854:F854"/>
  </mergeCells>
  <dataValidations count="2">
    <dataValidation type="list" allowBlank="1" showInputMessage="1" showErrorMessage="1" sqref="D321:E321 D231:E232 D142:E142 D186:E186 D52:E52 D7:E7 D815:D816 D1221:E1221 D1176:E1176 D1131:E1131 D1086:E1086 D1041:E1041 D996:E996 D951:E951 D906:E906 D861:E861 D771:E771 D726:E726 D681:E681 D636:E636 D591:E591 D546:E546 D501:E501 D456:E456 D411:E411 D366:E366 D1266:E1266 D276:E276">
      <formula1>mail</formula1>
    </dataValidation>
    <dataValidation type="list" allowBlank="1" showInputMessage="1" showErrorMessage="1" sqref="C321 C231:C232 C142 C186 C7 C52 C1221 C1176 C1131 C1086 C1041 C996 C951 C906 C861 C816 C771 C726 C681 C636 C591 C546 C501 C456 C411 C366 C1266 C276">
      <formula1>Entreprises</formula1>
    </dataValidation>
  </dataValidations>
  <hyperlinks>
    <hyperlink ref="D816" r:id="rId1"/>
    <hyperlink ref="D906" r:id="rId2" display="contact@sarlnordisolation.fr"/>
  </hyperlink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3" orientation="landscape" r:id="rId3"/>
  <rowBreaks count="28" manualBreakCount="28">
    <brk id="45" max="5" man="1"/>
    <brk id="90" max="5" man="1"/>
    <brk id="135" max="5" man="1"/>
    <brk id="179" max="5" man="1"/>
    <brk id="224" max="5" man="1"/>
    <brk id="269" max="5" man="1"/>
    <brk id="314" max="5" man="1"/>
    <brk id="359" max="5" man="1"/>
    <brk id="404" max="5" man="1"/>
    <brk id="449" max="5" man="1"/>
    <brk id="494" max="5" man="1"/>
    <brk id="539" max="5" man="1"/>
    <brk id="584" max="5" man="1"/>
    <brk id="629" max="5" man="1"/>
    <brk id="674" max="5" man="1"/>
    <brk id="719" max="5" man="1"/>
    <brk id="764" max="5" man="1"/>
    <brk id="809" max="5" man="1"/>
    <brk id="854" max="5" man="1"/>
    <brk id="899" max="5" man="1"/>
    <brk id="944" max="5" man="1"/>
    <brk id="989" max="5" man="1"/>
    <brk id="1034" max="5" man="1"/>
    <brk id="1079" max="5" man="1"/>
    <brk id="1124" max="5" man="1"/>
    <brk id="1169" max="5" man="1"/>
    <brk id="1214" max="5" man="1"/>
    <brk id="1259" max="5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EditerEnPDF">
                <anchor moveWithCells="1" sizeWithCells="1">
                  <from>
                    <xdr:col>6</xdr:col>
                    <xdr:colOff>114300</xdr:colOff>
                    <xdr:row>0</xdr:row>
                    <xdr:rowOff>123825</xdr:rowOff>
                  </from>
                  <to>
                    <xdr:col>7</xdr:col>
                    <xdr:colOff>676275</xdr:colOff>
                    <xdr:row>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Clients">
                <anchor moveWithCells="1" sizeWithCells="1">
                  <from>
                    <xdr:col>6</xdr:col>
                    <xdr:colOff>114300</xdr:colOff>
                    <xdr:row>3</xdr:row>
                    <xdr:rowOff>266700</xdr:rowOff>
                  </from>
                  <to>
                    <xdr:col>7</xdr:col>
                    <xdr:colOff>685800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Button 17">
              <controlPr defaultSize="0" print="0" autoFill="0" autoPict="0" macro="[0]!mail_aktas">
                <anchor moveWithCells="1" sizeWithCells="1">
                  <from>
                    <xdr:col>6</xdr:col>
                    <xdr:colOff>114300</xdr:colOff>
                    <xdr:row>5</xdr:row>
                    <xdr:rowOff>95250</xdr:rowOff>
                  </from>
                  <to>
                    <xdr:col>7</xdr:col>
                    <xdr:colOff>676275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Button 27">
              <controlPr defaultSize="0" print="0" autoFill="0" autoPict="0" macro="[0]!mail_aucoindufeu">
                <anchor moveWithCells="1" sizeWithCells="1">
                  <from>
                    <xdr:col>6</xdr:col>
                    <xdr:colOff>114300</xdr:colOff>
                    <xdr:row>45</xdr:row>
                    <xdr:rowOff>0</xdr:rowOff>
                  </from>
                  <to>
                    <xdr:col>7</xdr:col>
                    <xdr:colOff>676275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Button 32">
              <controlPr defaultSize="0" print="0" autoFill="0" autoPict="0" macro="[0]!mail_bayard">
                <anchor moveWithCells="1" sizeWithCells="1">
                  <from>
                    <xdr:col>6</xdr:col>
                    <xdr:colOff>114300</xdr:colOff>
                    <xdr:row>95</xdr:row>
                    <xdr:rowOff>95250</xdr:rowOff>
                  </from>
                  <to>
                    <xdr:col>7</xdr:col>
                    <xdr:colOff>676275</xdr:colOff>
                    <xdr:row>97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1" name="Button 35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140</xdr:row>
                    <xdr:rowOff>95250</xdr:rowOff>
                  </from>
                  <to>
                    <xdr:col>7</xdr:col>
                    <xdr:colOff>676275</xdr:colOff>
                    <xdr:row>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2" name="Button 38">
              <controlPr defaultSize="0" print="0" autoFill="0" autoPict="0" macro="[0]!mail_bechtel">
                <anchor moveWithCells="1" sizeWithCells="1">
                  <from>
                    <xdr:col>6</xdr:col>
                    <xdr:colOff>114300</xdr:colOff>
                    <xdr:row>140</xdr:row>
                    <xdr:rowOff>95250</xdr:rowOff>
                  </from>
                  <to>
                    <xdr:col>7</xdr:col>
                    <xdr:colOff>676275</xdr:colOff>
                    <xdr:row>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3" name="Button 41">
              <controlPr defaultSize="0" print="0" autoFill="0" autoPict="0" macro="[0]!mail_beck">
                <anchor moveWithCells="1" sizeWithCells="1">
                  <from>
                    <xdr:col>6</xdr:col>
                    <xdr:colOff>114300</xdr:colOff>
                    <xdr:row>184</xdr:row>
                    <xdr:rowOff>95250</xdr:rowOff>
                  </from>
                  <to>
                    <xdr:col>7</xdr:col>
                    <xdr:colOff>676275</xdr:colOff>
                    <xdr:row>186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4" name="Button 47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229</xdr:row>
                    <xdr:rowOff>95250</xdr:rowOff>
                  </from>
                  <to>
                    <xdr:col>7</xdr:col>
                    <xdr:colOff>676275</xdr:colOff>
                    <xdr:row>232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5" name="Button 50">
              <controlPr defaultSize="0" print="0" autoFill="0" autoPict="0" macro="[0]!mail_benelec">
                <anchor moveWithCells="1" sizeWithCells="1">
                  <from>
                    <xdr:col>6</xdr:col>
                    <xdr:colOff>114300</xdr:colOff>
                    <xdr:row>229</xdr:row>
                    <xdr:rowOff>95250</xdr:rowOff>
                  </from>
                  <to>
                    <xdr:col>7</xdr:col>
                    <xdr:colOff>676275</xdr:colOff>
                    <xdr:row>232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6" name="Button 53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274</xdr:row>
                    <xdr:rowOff>95250</xdr:rowOff>
                  </from>
                  <to>
                    <xdr:col>7</xdr:col>
                    <xdr:colOff>676275</xdr:colOff>
                    <xdr:row>276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7" name="Button 56">
              <controlPr defaultSize="0" print="0" autoFill="0" autoPict="0" macro="[0]!mail_carrelagedelest">
                <anchor moveWithCells="1" sizeWithCells="1">
                  <from>
                    <xdr:col>6</xdr:col>
                    <xdr:colOff>114300</xdr:colOff>
                    <xdr:row>274</xdr:row>
                    <xdr:rowOff>95250</xdr:rowOff>
                  </from>
                  <to>
                    <xdr:col>7</xdr:col>
                    <xdr:colOff>676275</xdr:colOff>
                    <xdr:row>276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8" name="Button 6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319</xdr:row>
                    <xdr:rowOff>95250</xdr:rowOff>
                  </from>
                  <to>
                    <xdr:col>7</xdr:col>
                    <xdr:colOff>676275</xdr:colOff>
                    <xdr:row>321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9" name="Button 63">
              <controlPr defaultSize="0" print="0" autoFill="0" autoPict="0" macro="[0]!mail_degriff">
                <anchor moveWithCells="1" sizeWithCells="1">
                  <from>
                    <xdr:col>6</xdr:col>
                    <xdr:colOff>114300</xdr:colOff>
                    <xdr:row>319</xdr:row>
                    <xdr:rowOff>95250</xdr:rowOff>
                  </from>
                  <to>
                    <xdr:col>7</xdr:col>
                    <xdr:colOff>676275</xdr:colOff>
                    <xdr:row>321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0" name="Button 6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364</xdr:row>
                    <xdr:rowOff>95250</xdr:rowOff>
                  </from>
                  <to>
                    <xdr:col>7</xdr:col>
                    <xdr:colOff>676275</xdr:colOff>
                    <xdr:row>366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1" name="Button 69">
              <controlPr defaultSize="0" print="0" autoFill="0" autoPict="0" macro="[0]!mail_ekotherm">
                <anchor moveWithCells="1" sizeWithCells="1">
                  <from>
                    <xdr:col>6</xdr:col>
                    <xdr:colOff>114300</xdr:colOff>
                    <xdr:row>364</xdr:row>
                    <xdr:rowOff>95250</xdr:rowOff>
                  </from>
                  <to>
                    <xdr:col>7</xdr:col>
                    <xdr:colOff>676275</xdr:colOff>
                    <xdr:row>366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2" name="Button 72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409</xdr:row>
                    <xdr:rowOff>95250</xdr:rowOff>
                  </from>
                  <to>
                    <xdr:col>7</xdr:col>
                    <xdr:colOff>676275</xdr:colOff>
                    <xdr:row>411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3" name="Button 75">
              <controlPr defaultSize="0" print="0" autoFill="0" autoPict="0" macro="[0]!mail_hecker">
                <anchor moveWithCells="1" sizeWithCells="1">
                  <from>
                    <xdr:col>6</xdr:col>
                    <xdr:colOff>114300</xdr:colOff>
                    <xdr:row>409</xdr:row>
                    <xdr:rowOff>95250</xdr:rowOff>
                  </from>
                  <to>
                    <xdr:col>7</xdr:col>
                    <xdr:colOff>676275</xdr:colOff>
                    <xdr:row>411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4" name="Button 78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454</xdr:row>
                    <xdr:rowOff>95250</xdr:rowOff>
                  </from>
                  <to>
                    <xdr:col>7</xdr:col>
                    <xdr:colOff>676275</xdr:colOff>
                    <xdr:row>456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5" name="Button 81">
              <controlPr defaultSize="0" print="0" autoFill="0" autoPict="0" macro="[0]!mail_fms">
                <anchor moveWithCells="1" sizeWithCells="1">
                  <from>
                    <xdr:col>6</xdr:col>
                    <xdr:colOff>114300</xdr:colOff>
                    <xdr:row>454</xdr:row>
                    <xdr:rowOff>95250</xdr:rowOff>
                  </from>
                  <to>
                    <xdr:col>7</xdr:col>
                    <xdr:colOff>676275</xdr:colOff>
                    <xdr:row>456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6" name="Button 84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499</xdr:row>
                    <xdr:rowOff>95250</xdr:rowOff>
                  </from>
                  <to>
                    <xdr:col>7</xdr:col>
                    <xdr:colOff>676275</xdr:colOff>
                    <xdr:row>501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7" name="Button 87">
              <controlPr defaultSize="0" print="0" autoFill="0" autoPict="0" macro="[0]!mail_gabel">
                <anchor moveWithCells="1" sizeWithCells="1">
                  <from>
                    <xdr:col>6</xdr:col>
                    <xdr:colOff>114300</xdr:colOff>
                    <xdr:row>499</xdr:row>
                    <xdr:rowOff>95250</xdr:rowOff>
                  </from>
                  <to>
                    <xdr:col>7</xdr:col>
                    <xdr:colOff>676275</xdr:colOff>
                    <xdr:row>501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28" name="Button 9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544</xdr:row>
                    <xdr:rowOff>95250</xdr:rowOff>
                  </from>
                  <to>
                    <xdr:col>7</xdr:col>
                    <xdr:colOff>676275</xdr:colOff>
                    <xdr:row>546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29" name="Button 93">
              <controlPr defaultSize="0" print="0" autoFill="0" autoPict="0" macro="[0]!mail_gross">
                <anchor moveWithCells="1" sizeWithCells="1">
                  <from>
                    <xdr:col>6</xdr:col>
                    <xdr:colOff>114300</xdr:colOff>
                    <xdr:row>544</xdr:row>
                    <xdr:rowOff>95250</xdr:rowOff>
                  </from>
                  <to>
                    <xdr:col>7</xdr:col>
                    <xdr:colOff>676275</xdr:colOff>
                    <xdr:row>546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30" name="Button 9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589</xdr:row>
                    <xdr:rowOff>95250</xdr:rowOff>
                  </from>
                  <to>
                    <xdr:col>7</xdr:col>
                    <xdr:colOff>676275</xdr:colOff>
                    <xdr:row>591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31" name="Button 99">
              <controlPr defaultSize="0" print="0" autoFill="0" autoPict="0" macro="[0]!mail_hda">
                <anchor moveWithCells="1" sizeWithCells="1">
                  <from>
                    <xdr:col>6</xdr:col>
                    <xdr:colOff>114300</xdr:colOff>
                    <xdr:row>589</xdr:row>
                    <xdr:rowOff>95250</xdr:rowOff>
                  </from>
                  <to>
                    <xdr:col>7</xdr:col>
                    <xdr:colOff>676275</xdr:colOff>
                    <xdr:row>591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32" name="Button 102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634</xdr:row>
                    <xdr:rowOff>95250</xdr:rowOff>
                  </from>
                  <to>
                    <xdr:col>7</xdr:col>
                    <xdr:colOff>676275</xdr:colOff>
                    <xdr:row>636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33" name="Button 105">
              <controlPr defaultSize="0" print="0" autoFill="0" autoPict="0" macro="[0]!mail_hertfelder">
                <anchor moveWithCells="1" sizeWithCells="1">
                  <from>
                    <xdr:col>6</xdr:col>
                    <xdr:colOff>114300</xdr:colOff>
                    <xdr:row>634</xdr:row>
                    <xdr:rowOff>95250</xdr:rowOff>
                  </from>
                  <to>
                    <xdr:col>7</xdr:col>
                    <xdr:colOff>676275</xdr:colOff>
                    <xdr:row>636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34" name="Button 108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679</xdr:row>
                    <xdr:rowOff>95250</xdr:rowOff>
                  </from>
                  <to>
                    <xdr:col>7</xdr:col>
                    <xdr:colOff>676275</xdr:colOff>
                    <xdr:row>681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35" name="Button 111">
              <controlPr defaultSize="0" print="0" autoFill="0" autoPict="0" macro="[0]!mail_heusch">
                <anchor moveWithCells="1" sizeWithCells="1">
                  <from>
                    <xdr:col>6</xdr:col>
                    <xdr:colOff>114300</xdr:colOff>
                    <xdr:row>679</xdr:row>
                    <xdr:rowOff>95250</xdr:rowOff>
                  </from>
                  <to>
                    <xdr:col>7</xdr:col>
                    <xdr:colOff>676275</xdr:colOff>
                    <xdr:row>681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36" name="Button 114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724</xdr:row>
                    <xdr:rowOff>95250</xdr:rowOff>
                  </from>
                  <to>
                    <xdr:col>7</xdr:col>
                    <xdr:colOff>676275</xdr:colOff>
                    <xdr:row>726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37" name="Button 117">
              <controlPr defaultSize="0" print="0" autoFill="0" autoPict="0" macro="[0]!mail_hilzinger">
                <anchor moveWithCells="1" sizeWithCells="1">
                  <from>
                    <xdr:col>6</xdr:col>
                    <xdr:colOff>114300</xdr:colOff>
                    <xdr:row>724</xdr:row>
                    <xdr:rowOff>95250</xdr:rowOff>
                  </from>
                  <to>
                    <xdr:col>7</xdr:col>
                    <xdr:colOff>676275</xdr:colOff>
                    <xdr:row>726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38" name="Button 12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769</xdr:row>
                    <xdr:rowOff>95250</xdr:rowOff>
                  </from>
                  <to>
                    <xdr:col>7</xdr:col>
                    <xdr:colOff>676275</xdr:colOff>
                    <xdr:row>771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39" name="Button 123">
              <controlPr defaultSize="0" print="0" autoFill="0" autoPict="0" macro="[0]!mail_kbr">
                <anchor moveWithCells="1" sizeWithCells="1">
                  <from>
                    <xdr:col>6</xdr:col>
                    <xdr:colOff>114300</xdr:colOff>
                    <xdr:row>769</xdr:row>
                    <xdr:rowOff>95250</xdr:rowOff>
                  </from>
                  <to>
                    <xdr:col>7</xdr:col>
                    <xdr:colOff>676275</xdr:colOff>
                    <xdr:row>771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40" name="Button 12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814</xdr:row>
                    <xdr:rowOff>95250</xdr:rowOff>
                  </from>
                  <to>
                    <xdr:col>7</xdr:col>
                    <xdr:colOff>676275</xdr:colOff>
                    <xdr:row>816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41" name="Button 129">
              <controlPr defaultSize="0" print="0" autoFill="0" autoPict="0" macro="[0]!mail_kovacic">
                <anchor moveWithCells="1" sizeWithCells="1">
                  <from>
                    <xdr:col>6</xdr:col>
                    <xdr:colOff>114300</xdr:colOff>
                    <xdr:row>814</xdr:row>
                    <xdr:rowOff>95250</xdr:rowOff>
                  </from>
                  <to>
                    <xdr:col>7</xdr:col>
                    <xdr:colOff>676275</xdr:colOff>
                    <xdr:row>816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42" name="Button 132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859</xdr:row>
                    <xdr:rowOff>95250</xdr:rowOff>
                  </from>
                  <to>
                    <xdr:col>7</xdr:col>
                    <xdr:colOff>676275</xdr:colOff>
                    <xdr:row>861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43" name="Button 135">
              <controlPr defaultSize="0" print="0" autoFill="0" autoPict="0" macro="[0]!mail_neumeyer">
                <anchor moveWithCells="1" sizeWithCells="1">
                  <from>
                    <xdr:col>6</xdr:col>
                    <xdr:colOff>114300</xdr:colOff>
                    <xdr:row>859</xdr:row>
                    <xdr:rowOff>95250</xdr:rowOff>
                  </from>
                  <to>
                    <xdr:col>7</xdr:col>
                    <xdr:colOff>676275</xdr:colOff>
                    <xdr:row>861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44" name="Button 138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904</xdr:row>
                    <xdr:rowOff>95250</xdr:rowOff>
                  </from>
                  <to>
                    <xdr:col>7</xdr:col>
                    <xdr:colOff>676275</xdr:colOff>
                    <xdr:row>906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45" name="Button 141">
              <controlPr defaultSize="0" print="0" autoFill="0" autoPict="0" macro="[0]!mail_nordisolation">
                <anchor moveWithCells="1" sizeWithCells="1">
                  <from>
                    <xdr:col>6</xdr:col>
                    <xdr:colOff>114300</xdr:colOff>
                    <xdr:row>904</xdr:row>
                    <xdr:rowOff>95250</xdr:rowOff>
                  </from>
                  <to>
                    <xdr:col>7</xdr:col>
                    <xdr:colOff>676275</xdr:colOff>
                    <xdr:row>906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46" name="Button 144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949</xdr:row>
                    <xdr:rowOff>95250</xdr:rowOff>
                  </from>
                  <to>
                    <xdr:col>7</xdr:col>
                    <xdr:colOff>676275</xdr:colOff>
                    <xdr:row>951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47" name="Button 147">
              <controlPr defaultSize="0" print="0" autoFill="0" autoPict="0" macro="[0]!mail_ott">
                <anchor moveWithCells="1" sizeWithCells="1">
                  <from>
                    <xdr:col>6</xdr:col>
                    <xdr:colOff>114300</xdr:colOff>
                    <xdr:row>949</xdr:row>
                    <xdr:rowOff>95250</xdr:rowOff>
                  </from>
                  <to>
                    <xdr:col>7</xdr:col>
                    <xdr:colOff>676275</xdr:colOff>
                    <xdr:row>951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48" name="Button 15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994</xdr:row>
                    <xdr:rowOff>95250</xdr:rowOff>
                  </from>
                  <to>
                    <xdr:col>7</xdr:col>
                    <xdr:colOff>676275</xdr:colOff>
                    <xdr:row>996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49" name="Button 153">
              <controlPr defaultSize="0" print="0" autoFill="0" autoPict="0" macro="[0]!mail_riedinger">
                <anchor moveWithCells="1" sizeWithCells="1">
                  <from>
                    <xdr:col>6</xdr:col>
                    <xdr:colOff>114300</xdr:colOff>
                    <xdr:row>994</xdr:row>
                    <xdr:rowOff>95250</xdr:rowOff>
                  </from>
                  <to>
                    <xdr:col>7</xdr:col>
                    <xdr:colOff>676275</xdr:colOff>
                    <xdr:row>996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50" name="Button 15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1039</xdr:row>
                    <xdr:rowOff>95250</xdr:rowOff>
                  </from>
                  <to>
                    <xdr:col>7</xdr:col>
                    <xdr:colOff>676275</xdr:colOff>
                    <xdr:row>1041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51" name="Button 159">
              <controlPr defaultSize="0" print="0" autoFill="0" autoPict="0" macro="[0]!mail_soares">
                <anchor moveWithCells="1" sizeWithCells="1">
                  <from>
                    <xdr:col>6</xdr:col>
                    <xdr:colOff>114300</xdr:colOff>
                    <xdr:row>1039</xdr:row>
                    <xdr:rowOff>95250</xdr:rowOff>
                  </from>
                  <to>
                    <xdr:col>7</xdr:col>
                    <xdr:colOff>676275</xdr:colOff>
                    <xdr:row>1041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52" name="Button 162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1084</xdr:row>
                    <xdr:rowOff>95250</xdr:rowOff>
                  </from>
                  <to>
                    <xdr:col>7</xdr:col>
                    <xdr:colOff>676275</xdr:colOff>
                    <xdr:row>1086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53" name="Button 165">
              <controlPr defaultSize="0" print="0" autoFill="0" autoPict="0" macro="[0]!mail_sobatra">
                <anchor moveWithCells="1" sizeWithCells="1">
                  <from>
                    <xdr:col>6</xdr:col>
                    <xdr:colOff>114300</xdr:colOff>
                    <xdr:row>1084</xdr:row>
                    <xdr:rowOff>95250</xdr:rowOff>
                  </from>
                  <to>
                    <xdr:col>7</xdr:col>
                    <xdr:colOff>676275</xdr:colOff>
                    <xdr:row>1086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4" name="Button 168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1129</xdr:row>
                    <xdr:rowOff>95250</xdr:rowOff>
                  </from>
                  <to>
                    <xdr:col>7</xdr:col>
                    <xdr:colOff>676275</xdr:colOff>
                    <xdr:row>1131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5" name="Button 171">
              <controlPr defaultSize="0" print="0" autoFill="0" autoPict="0" macro="[0]!mail_soprema">
                <anchor moveWithCells="1" sizeWithCells="1">
                  <from>
                    <xdr:col>6</xdr:col>
                    <xdr:colOff>114300</xdr:colOff>
                    <xdr:row>1129</xdr:row>
                    <xdr:rowOff>95250</xdr:rowOff>
                  </from>
                  <to>
                    <xdr:col>7</xdr:col>
                    <xdr:colOff>676275</xdr:colOff>
                    <xdr:row>1131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6" name="Button 174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1174</xdr:row>
                    <xdr:rowOff>95250</xdr:rowOff>
                  </from>
                  <to>
                    <xdr:col>7</xdr:col>
                    <xdr:colOff>676275</xdr:colOff>
                    <xdr:row>1176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57" name="Button 177">
              <controlPr defaultSize="0" print="0" autoFill="0" autoPict="0" macro="[0]!mail_tasteper">
                <anchor moveWithCells="1" sizeWithCells="1">
                  <from>
                    <xdr:col>6</xdr:col>
                    <xdr:colOff>114300</xdr:colOff>
                    <xdr:row>1174</xdr:row>
                    <xdr:rowOff>95250</xdr:rowOff>
                  </from>
                  <to>
                    <xdr:col>7</xdr:col>
                    <xdr:colOff>676275</xdr:colOff>
                    <xdr:row>1176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58" name="Button 18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1219</xdr:row>
                    <xdr:rowOff>95250</xdr:rowOff>
                  </from>
                  <to>
                    <xdr:col>7</xdr:col>
                    <xdr:colOff>676275</xdr:colOff>
                    <xdr:row>1221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59" name="Button 183">
              <controlPr defaultSize="0" print="0" autoFill="0" autoPict="0" macro="[0]!mail_tema">
                <anchor moveWithCells="1" sizeWithCells="1">
                  <from>
                    <xdr:col>6</xdr:col>
                    <xdr:colOff>114300</xdr:colOff>
                    <xdr:row>1219</xdr:row>
                    <xdr:rowOff>95250</xdr:rowOff>
                  </from>
                  <to>
                    <xdr:col>7</xdr:col>
                    <xdr:colOff>676275</xdr:colOff>
                    <xdr:row>1221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0" name="Button 18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1264</xdr:row>
                    <xdr:rowOff>95250</xdr:rowOff>
                  </from>
                  <to>
                    <xdr:col>7</xdr:col>
                    <xdr:colOff>676275</xdr:colOff>
                    <xdr:row>1266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61" name="Button 189">
              <controlPr defaultSize="0" print="0" autoFill="0" autoPict="0" macro="[0]!mail_wagner">
                <anchor moveWithCells="1" sizeWithCells="1">
                  <from>
                    <xdr:col>6</xdr:col>
                    <xdr:colOff>114300</xdr:colOff>
                    <xdr:row>1264</xdr:row>
                    <xdr:rowOff>95250</xdr:rowOff>
                  </from>
                  <to>
                    <xdr:col>7</xdr:col>
                    <xdr:colOff>676275</xdr:colOff>
                    <xdr:row>1266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62" name="Button 202">
              <controlPr defaultSize="0" print="0" autoFill="0" autoPict="0" macro="[0]!mail_aucoindufeu">
                <anchor moveWithCells="1" sizeWithCells="1">
                  <from>
                    <xdr:col>6</xdr:col>
                    <xdr:colOff>114300</xdr:colOff>
                    <xdr:row>50</xdr:row>
                    <xdr:rowOff>95250</xdr:rowOff>
                  </from>
                  <to>
                    <xdr:col>7</xdr:col>
                    <xdr:colOff>676275</xdr:colOff>
                    <xdr:row>52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29"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LISTE!$B$8:$B$45</xm:f>
          </x14:formula1>
          <xm:sqref>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B050"/>
    <pageSetUpPr fitToPage="1"/>
  </sheetPr>
  <dimension ref="A1:I68"/>
  <sheetViews>
    <sheetView view="pageLayout" topLeftCell="A31" zoomScaleNormal="100" workbookViewId="0">
      <selection activeCell="G35" sqref="G35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53" t="s">
        <v>2</v>
      </c>
      <c r="B2" s="554"/>
      <c r="C2" s="129" t="str">
        <f ca="1">MID(CELL("nomfichier",A1),FIND("]",CELL("nomfichier",A1),1)+1,30)</f>
        <v>BOOS</v>
      </c>
      <c r="D2" s="5" t="s">
        <v>98</v>
      </c>
      <c r="E2" s="522">
        <v>42614</v>
      </c>
      <c r="F2" s="522"/>
      <c r="G2" s="6"/>
      <c r="H2" s="523" t="s">
        <v>305</v>
      </c>
      <c r="I2" s="524"/>
    </row>
    <row r="3" spans="1:9" ht="15.75" x14ac:dyDescent="0.25">
      <c r="A3" s="555" t="s">
        <v>159</v>
      </c>
      <c r="B3" s="556"/>
      <c r="C3" s="7" t="s">
        <v>110</v>
      </c>
      <c r="D3" s="8" t="s">
        <v>3</v>
      </c>
      <c r="E3" s="525">
        <v>42726</v>
      </c>
      <c r="F3" s="526"/>
      <c r="G3" s="9"/>
      <c r="H3" s="527" t="str">
        <f ca="1">DATEDIF(E3,TODAY(),"m")&amp;"mois"&amp;-DATEDIF(E3,TODAY(),"md")&amp;"jours"</f>
        <v>8mois-1jours</v>
      </c>
      <c r="I3" s="528"/>
    </row>
    <row r="4" spans="1:9" ht="18.75" x14ac:dyDescent="0.25">
      <c r="A4" s="127"/>
      <c r="B4" s="215"/>
      <c r="C4" s="11" t="s">
        <v>111</v>
      </c>
      <c r="D4" s="12" t="s">
        <v>4</v>
      </c>
      <c r="E4" s="529">
        <f>E3+60</f>
        <v>42786</v>
      </c>
      <c r="F4" s="529"/>
      <c r="G4" s="13"/>
      <c r="H4" s="14"/>
      <c r="I4" s="15"/>
    </row>
    <row r="5" spans="1:9" x14ac:dyDescent="0.25">
      <c r="A5" s="557" t="s">
        <v>109</v>
      </c>
      <c r="B5" s="558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22"/>
      <c r="B7" s="60"/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27"/>
      <c r="B8" s="228"/>
      <c r="C8" s="27" t="s">
        <v>10</v>
      </c>
      <c r="D8" s="89" t="s">
        <v>90</v>
      </c>
      <c r="E8" s="28">
        <f>E9</f>
        <v>51</v>
      </c>
      <c r="F8" s="29"/>
      <c r="G8" s="30" t="s">
        <v>96</v>
      </c>
      <c r="H8" s="31"/>
      <c r="I8" s="21"/>
    </row>
    <row r="9" spans="1:9" x14ac:dyDescent="0.25">
      <c r="A9" s="230"/>
      <c r="B9" s="231"/>
      <c r="C9" s="32" t="s">
        <v>12</v>
      </c>
      <c r="D9" s="90" t="str">
        <f>D10</f>
        <v>TEMA</v>
      </c>
      <c r="E9" s="33">
        <v>51</v>
      </c>
      <c r="F9" s="34"/>
      <c r="G9" s="35" t="s">
        <v>55</v>
      </c>
      <c r="H9" s="31"/>
      <c r="I9" s="21"/>
    </row>
    <row r="10" spans="1:9" ht="15" customHeight="1" x14ac:dyDescent="0.25">
      <c r="A10" s="242">
        <v>19703.39</v>
      </c>
      <c r="B10" s="232">
        <f>A10-16419.49-1641.95-1641.95</f>
        <v>-2.2737367544323206E-12</v>
      </c>
      <c r="C10" s="32" t="s">
        <v>13</v>
      </c>
      <c r="D10" s="89" t="s">
        <v>57</v>
      </c>
      <c r="E10" s="28">
        <f>E9</f>
        <v>51</v>
      </c>
      <c r="F10" s="36"/>
      <c r="G10" s="35" t="s">
        <v>55</v>
      </c>
      <c r="H10" s="31" t="s">
        <v>112</v>
      </c>
      <c r="I10" s="21"/>
    </row>
    <row r="11" spans="1:9" x14ac:dyDescent="0.25">
      <c r="A11" s="233"/>
      <c r="B11" s="234"/>
      <c r="C11" s="32" t="s">
        <v>88</v>
      </c>
      <c r="D11" s="90" t="s">
        <v>90</v>
      </c>
      <c r="E11" s="28">
        <f>E10+4</f>
        <v>55</v>
      </c>
      <c r="F11" s="34"/>
      <c r="G11" s="35" t="s">
        <v>55</v>
      </c>
      <c r="H11" s="31"/>
      <c r="I11" s="21"/>
    </row>
    <row r="12" spans="1:9" x14ac:dyDescent="0.25">
      <c r="A12" s="233"/>
      <c r="B12" s="234"/>
      <c r="C12" s="32" t="s">
        <v>14</v>
      </c>
      <c r="D12" s="89" t="s">
        <v>90</v>
      </c>
      <c r="E12" s="28">
        <v>6</v>
      </c>
      <c r="F12" s="34"/>
      <c r="G12" s="35" t="s">
        <v>55</v>
      </c>
      <c r="H12" s="31"/>
      <c r="I12" s="21"/>
    </row>
    <row r="13" spans="1:9" x14ac:dyDescent="0.25">
      <c r="A13" s="230"/>
      <c r="B13" s="347"/>
      <c r="C13" s="32" t="s">
        <v>15</v>
      </c>
      <c r="D13" s="90" t="s">
        <v>57</v>
      </c>
      <c r="E13" s="28">
        <v>7</v>
      </c>
      <c r="F13" s="34"/>
      <c r="G13" s="35" t="s">
        <v>55</v>
      </c>
      <c r="H13" s="31"/>
      <c r="I13" s="21"/>
    </row>
    <row r="14" spans="1:9" x14ac:dyDescent="0.25">
      <c r="A14" s="233"/>
      <c r="B14" s="347"/>
      <c r="C14" s="32" t="s">
        <v>16</v>
      </c>
      <c r="D14" s="89" t="s">
        <v>90</v>
      </c>
      <c r="E14" s="28">
        <f>IF(E13="","",MOD(E13+1,52))</f>
        <v>8</v>
      </c>
      <c r="F14" s="34"/>
      <c r="G14" s="35" t="s">
        <v>55</v>
      </c>
      <c r="H14" s="31"/>
      <c r="I14" s="21"/>
    </row>
    <row r="15" spans="1:9" x14ac:dyDescent="0.25">
      <c r="A15" s="230"/>
      <c r="B15" s="347"/>
      <c r="C15" s="32" t="s">
        <v>100</v>
      </c>
      <c r="D15" s="90" t="str">
        <f>D10</f>
        <v>TEMA</v>
      </c>
      <c r="E15" s="28">
        <f>IF(E14="","",MOD(E14+1,52))</f>
        <v>9</v>
      </c>
      <c r="F15" s="34"/>
      <c r="G15" s="35" t="s">
        <v>55</v>
      </c>
      <c r="H15" s="31"/>
      <c r="I15" s="21"/>
    </row>
    <row r="16" spans="1:9" x14ac:dyDescent="0.25">
      <c r="A16" s="552"/>
      <c r="B16" s="234"/>
      <c r="C16" s="32" t="s">
        <v>85</v>
      </c>
      <c r="D16" s="89" t="s">
        <v>90</v>
      </c>
      <c r="E16" s="28">
        <f>IF(E15="","",MOD(E15+1,52))</f>
        <v>10</v>
      </c>
      <c r="F16" s="34"/>
      <c r="G16" s="35" t="s">
        <v>55</v>
      </c>
      <c r="H16" s="31"/>
      <c r="I16" s="21"/>
    </row>
    <row r="17" spans="1:9" x14ac:dyDescent="0.25">
      <c r="A17" s="552"/>
      <c r="B17" s="234"/>
      <c r="C17" s="32" t="s">
        <v>86</v>
      </c>
      <c r="D17" s="91" t="s">
        <v>90</v>
      </c>
      <c r="E17" s="28">
        <f>E16</f>
        <v>10</v>
      </c>
      <c r="F17" s="34"/>
      <c r="G17" s="35" t="s">
        <v>55</v>
      </c>
      <c r="H17" s="86"/>
      <c r="I17" s="21"/>
    </row>
    <row r="18" spans="1:9" x14ac:dyDescent="0.25">
      <c r="A18" s="233"/>
      <c r="B18" s="234"/>
      <c r="C18" s="157" t="s">
        <v>17</v>
      </c>
      <c r="D18" s="164" t="s">
        <v>94</v>
      </c>
      <c r="E18" s="159">
        <f>E16</f>
        <v>10</v>
      </c>
      <c r="F18" s="160"/>
      <c r="G18" s="161" t="s">
        <v>11</v>
      </c>
      <c r="H18" s="162"/>
      <c r="I18" s="21"/>
    </row>
    <row r="19" spans="1:9" x14ac:dyDescent="0.25">
      <c r="A19" s="242">
        <v>3924.9</v>
      </c>
      <c r="B19" s="243">
        <f>A19-3924.9</f>
        <v>0</v>
      </c>
      <c r="C19" s="37" t="s">
        <v>18</v>
      </c>
      <c r="D19" s="89" t="s">
        <v>65</v>
      </c>
      <c r="E19" s="28">
        <v>10</v>
      </c>
      <c r="F19" s="34"/>
      <c r="G19" s="35" t="s">
        <v>55</v>
      </c>
      <c r="H19" s="31" t="s">
        <v>201</v>
      </c>
      <c r="I19" s="21"/>
    </row>
    <row r="20" spans="1:9" x14ac:dyDescent="0.25">
      <c r="A20" s="244"/>
      <c r="B20" s="348"/>
      <c r="C20" s="32" t="s">
        <v>19</v>
      </c>
      <c r="D20" s="90" t="str">
        <f>D13</f>
        <v>TEMA</v>
      </c>
      <c r="E20" s="28">
        <v>11</v>
      </c>
      <c r="F20" s="34"/>
      <c r="G20" s="35" t="s">
        <v>55</v>
      </c>
      <c r="H20" s="31"/>
      <c r="I20" s="21"/>
    </row>
    <row r="21" spans="1:9" x14ac:dyDescent="0.25">
      <c r="A21" s="242">
        <v>0</v>
      </c>
      <c r="B21" s="242">
        <v>0</v>
      </c>
      <c r="C21" s="132" t="s">
        <v>20</v>
      </c>
      <c r="D21" s="90" t="s">
        <v>80</v>
      </c>
      <c r="E21" s="28">
        <v>11</v>
      </c>
      <c r="F21" s="34"/>
      <c r="G21" s="133" t="s">
        <v>55</v>
      </c>
      <c r="H21" s="31"/>
      <c r="I21" s="21"/>
    </row>
    <row r="22" spans="1:9" x14ac:dyDescent="0.25">
      <c r="A22" s="235"/>
      <c r="B22" s="236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37"/>
      <c r="B23" s="238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33"/>
      <c r="B24" s="234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32">
        <v>974.48</v>
      </c>
      <c r="B25" s="239">
        <f>A25-974.48</f>
        <v>0</v>
      </c>
      <c r="C25" s="141" t="s">
        <v>92</v>
      </c>
      <c r="D25" s="89" t="s">
        <v>71</v>
      </c>
      <c r="E25" s="142">
        <f>IF(E19="","",MOD(E19+1,52))</f>
        <v>11</v>
      </c>
      <c r="F25" s="29"/>
      <c r="G25" s="30" t="s">
        <v>55</v>
      </c>
      <c r="H25" s="31"/>
      <c r="I25" s="21"/>
    </row>
    <row r="26" spans="1:9" x14ac:dyDescent="0.25">
      <c r="A26" s="242">
        <v>1144.19</v>
      </c>
      <c r="B26" s="242">
        <v>0</v>
      </c>
      <c r="C26" s="32" t="s">
        <v>93</v>
      </c>
      <c r="D26" s="90" t="s">
        <v>68</v>
      </c>
      <c r="E26" s="28">
        <f>IF(E25="","",MOD(E25+1,52))</f>
        <v>12</v>
      </c>
      <c r="F26" s="34"/>
      <c r="G26" s="35" t="s">
        <v>55</v>
      </c>
      <c r="H26" s="31"/>
      <c r="I26" s="21"/>
    </row>
    <row r="27" spans="1:9" x14ac:dyDescent="0.25">
      <c r="A27" s="245"/>
      <c r="B27" s="246"/>
      <c r="C27" s="102" t="s">
        <v>22</v>
      </c>
      <c r="D27" s="89" t="str">
        <f>D25</f>
        <v>BENELEC</v>
      </c>
      <c r="E27" s="28">
        <v>13</v>
      </c>
      <c r="F27" s="34"/>
      <c r="G27" s="35" t="s">
        <v>55</v>
      </c>
      <c r="H27" s="31"/>
      <c r="I27" s="21"/>
    </row>
    <row r="28" spans="1:9" x14ac:dyDescent="0.25">
      <c r="A28" s="242">
        <v>0</v>
      </c>
      <c r="B28" s="242">
        <v>0</v>
      </c>
      <c r="C28" s="143" t="s">
        <v>23</v>
      </c>
      <c r="D28" s="90" t="s">
        <v>74</v>
      </c>
      <c r="E28" s="28">
        <v>14</v>
      </c>
      <c r="F28" s="34"/>
      <c r="G28" s="35" t="s">
        <v>55</v>
      </c>
      <c r="H28" s="31"/>
      <c r="I28" s="21"/>
    </row>
    <row r="29" spans="1:9" x14ac:dyDescent="0.25">
      <c r="A29" s="239"/>
      <c r="B29" s="239"/>
      <c r="C29" s="102" t="s">
        <v>24</v>
      </c>
      <c r="D29" s="163" t="s">
        <v>78</v>
      </c>
      <c r="E29" s="28">
        <v>16</v>
      </c>
      <c r="F29" s="34"/>
      <c r="G29" s="35" t="s">
        <v>55</v>
      </c>
      <c r="H29" s="31"/>
      <c r="I29" s="21"/>
    </row>
    <row r="30" spans="1:9" x14ac:dyDescent="0.25">
      <c r="A30" s="233"/>
      <c r="B30" s="234"/>
      <c r="C30" s="157" t="s">
        <v>25</v>
      </c>
      <c r="D30" s="164" t="s">
        <v>94</v>
      </c>
      <c r="E30" s="159">
        <f>IF(E28="","",MOD(E28+1,52))</f>
        <v>15</v>
      </c>
      <c r="F30" s="160"/>
      <c r="G30" s="161"/>
      <c r="H30" s="162"/>
      <c r="I30" s="21"/>
    </row>
    <row r="31" spans="1:9" x14ac:dyDescent="0.25">
      <c r="A31" s="233"/>
      <c r="B31" s="234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32">
        <v>0</v>
      </c>
      <c r="B32" s="232">
        <v>0</v>
      </c>
      <c r="C32" s="32" t="s">
        <v>27</v>
      </c>
      <c r="D32" s="165" t="s">
        <v>78</v>
      </c>
      <c r="E32" s="28">
        <f>IF(E30="","",MOD(E30+1,52))</f>
        <v>16</v>
      </c>
      <c r="F32" s="34"/>
      <c r="G32" s="35" t="s">
        <v>55</v>
      </c>
      <c r="H32" s="31"/>
      <c r="I32" s="21"/>
    </row>
    <row r="33" spans="1:9" x14ac:dyDescent="0.25">
      <c r="A33" s="346"/>
      <c r="B33" s="347"/>
      <c r="C33" s="32" t="s">
        <v>28</v>
      </c>
      <c r="D33" s="89" t="str">
        <f>D26</f>
        <v>SOARES</v>
      </c>
      <c r="E33" s="28">
        <v>19</v>
      </c>
      <c r="F33" s="34"/>
      <c r="G33" s="35" t="s">
        <v>55</v>
      </c>
      <c r="H33" s="31"/>
      <c r="I33" s="21"/>
    </row>
    <row r="34" spans="1:9" x14ac:dyDescent="0.25">
      <c r="A34" s="233"/>
      <c r="B34" s="234"/>
      <c r="C34" s="32" t="s">
        <v>29</v>
      </c>
      <c r="D34" s="90" t="str">
        <f>D25</f>
        <v>BENELEC</v>
      </c>
      <c r="E34" s="28">
        <v>19</v>
      </c>
      <c r="F34" s="34"/>
      <c r="G34" s="35" t="s">
        <v>55</v>
      </c>
      <c r="H34" s="31"/>
      <c r="I34" s="21"/>
    </row>
    <row r="35" spans="1:9" x14ac:dyDescent="0.25">
      <c r="A35" s="230"/>
      <c r="B35" s="231"/>
      <c r="C35" s="32" t="s">
        <v>30</v>
      </c>
      <c r="D35" s="89" t="str">
        <f>D28</f>
        <v>WAGNER</v>
      </c>
      <c r="E35" s="28">
        <v>31</v>
      </c>
      <c r="F35" s="34"/>
      <c r="G35" s="35" t="s">
        <v>55</v>
      </c>
      <c r="H35" s="31"/>
      <c r="I35" s="21"/>
    </row>
    <row r="36" spans="1:9" x14ac:dyDescent="0.25">
      <c r="A36" s="232">
        <v>0</v>
      </c>
      <c r="B36" s="232">
        <v>0</v>
      </c>
      <c r="C36" s="32" t="s">
        <v>31</v>
      </c>
      <c r="D36" s="165" t="s">
        <v>78</v>
      </c>
      <c r="E36" s="28">
        <v>26</v>
      </c>
      <c r="F36" s="34"/>
      <c r="G36" s="35" t="s">
        <v>55</v>
      </c>
      <c r="H36" s="31"/>
      <c r="I36" s="21"/>
    </row>
    <row r="37" spans="1:9" x14ac:dyDescent="0.25">
      <c r="A37" s="233"/>
      <c r="B37" s="234"/>
      <c r="C37" s="32" t="s">
        <v>32</v>
      </c>
      <c r="D37" s="89" t="s">
        <v>90</v>
      </c>
      <c r="E37" s="28">
        <f>E35+1</f>
        <v>32</v>
      </c>
      <c r="F37" s="34"/>
      <c r="G37" s="35" t="s">
        <v>96</v>
      </c>
      <c r="H37" s="31"/>
      <c r="I37" s="21"/>
    </row>
    <row r="38" spans="1:9" x14ac:dyDescent="0.25">
      <c r="A38" s="239"/>
      <c r="B38" s="239"/>
      <c r="C38" s="32" t="s">
        <v>33</v>
      </c>
      <c r="D38" s="90" t="s">
        <v>84</v>
      </c>
      <c r="E38" s="28">
        <v>29</v>
      </c>
      <c r="F38" s="34"/>
      <c r="G38" s="35" t="s">
        <v>55</v>
      </c>
      <c r="H38" s="31"/>
      <c r="I38" s="21"/>
    </row>
    <row r="39" spans="1:9" x14ac:dyDescent="0.25">
      <c r="A39" s="233"/>
      <c r="B39" s="234"/>
      <c r="C39" s="144" t="s">
        <v>34</v>
      </c>
      <c r="D39" s="89" t="s">
        <v>90</v>
      </c>
      <c r="E39" s="145">
        <f>IF(E38="","",MOD(E38+1,52))</f>
        <v>30</v>
      </c>
      <c r="F39" s="146"/>
      <c r="G39" s="133" t="s">
        <v>96</v>
      </c>
      <c r="H39" s="31"/>
      <c r="I39" s="21"/>
    </row>
    <row r="40" spans="1:9" x14ac:dyDescent="0.25">
      <c r="A40" s="235"/>
      <c r="B40" s="236"/>
      <c r="C40" s="134"/>
      <c r="D40" s="147"/>
      <c r="E40" s="134"/>
      <c r="F40" s="134"/>
      <c r="G40" s="134"/>
      <c r="H40" s="134"/>
      <c r="I40" s="21"/>
    </row>
    <row r="41" spans="1:9" x14ac:dyDescent="0.25">
      <c r="A41" s="237"/>
      <c r="B41" s="238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33"/>
      <c r="B42" s="229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42">
        <v>0</v>
      </c>
      <c r="B43" s="242">
        <v>0</v>
      </c>
      <c r="C43" s="153" t="s">
        <v>35</v>
      </c>
      <c r="D43" s="89" t="s">
        <v>82</v>
      </c>
      <c r="E43" s="154">
        <v>26</v>
      </c>
      <c r="F43" s="29"/>
      <c r="G43" s="30" t="s">
        <v>55</v>
      </c>
      <c r="H43" s="31"/>
      <c r="I43" s="21"/>
    </row>
    <row r="44" spans="1:9" x14ac:dyDescent="0.25">
      <c r="A44" s="240"/>
      <c r="B44" s="241"/>
      <c r="C44" s="102" t="s">
        <v>95</v>
      </c>
      <c r="D44" s="89" t="s">
        <v>90</v>
      </c>
      <c r="E44" s="155">
        <f>E43+1</f>
        <v>27</v>
      </c>
      <c r="F44" s="34"/>
      <c r="G44" s="35" t="s">
        <v>96</v>
      </c>
      <c r="H44" s="31"/>
      <c r="I44" s="21"/>
    </row>
    <row r="45" spans="1:9" x14ac:dyDescent="0.25">
      <c r="A45" s="240"/>
      <c r="B45" s="241"/>
      <c r="C45" s="157" t="s">
        <v>87</v>
      </c>
      <c r="D45" s="164" t="s">
        <v>94</v>
      </c>
      <c r="E45" s="166">
        <f>E43+1</f>
        <v>27</v>
      </c>
      <c r="F45" s="160"/>
      <c r="G45" s="161" t="s">
        <v>11</v>
      </c>
      <c r="H45" s="162"/>
      <c r="I45" s="21"/>
    </row>
    <row r="46" spans="1:9" x14ac:dyDescent="0.25">
      <c r="A46" s="131"/>
      <c r="B46" s="226"/>
      <c r="C46" s="156" t="s">
        <v>36</v>
      </c>
      <c r="D46" s="89" t="s">
        <v>90</v>
      </c>
      <c r="E46" s="155">
        <f>E43+3</f>
        <v>29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51"/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81">
        <v>42717</v>
      </c>
      <c r="E51" s="76"/>
      <c r="F51" s="2" t="s">
        <v>169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3">
    <mergeCell ref="C6:H6"/>
    <mergeCell ref="A16:A17"/>
    <mergeCell ref="C55:I60"/>
    <mergeCell ref="A1:G1"/>
    <mergeCell ref="E2:F2"/>
    <mergeCell ref="H2:I2"/>
    <mergeCell ref="E3:F3"/>
    <mergeCell ref="H3:I3"/>
    <mergeCell ref="E4:F4"/>
    <mergeCell ref="A2:B2"/>
    <mergeCell ref="A3:B3"/>
    <mergeCell ref="A5:B5"/>
    <mergeCell ref="A6:B6"/>
  </mergeCells>
  <conditionalFormatting sqref="C47:G47 D22 C40:G40">
    <cfRule type="expression" dxfId="2507" priority="72">
      <formula>$F22="réalisé"</formula>
    </cfRule>
  </conditionalFormatting>
  <conditionalFormatting sqref="C43:C46 E43:H46 C8:H21 E25:H39">
    <cfRule type="expression" dxfId="2506" priority="69">
      <formula>$G8="réalisé"</formula>
    </cfRule>
    <cfRule type="expression" dxfId="2505" priority="70">
      <formula>$G8="en cours"</formula>
    </cfRule>
    <cfRule type="expression" dxfId="2504" priority="71">
      <formula>$G8="non compris"</formula>
    </cfRule>
  </conditionalFormatting>
  <conditionalFormatting sqref="C22:G22 C40:G40">
    <cfRule type="expression" dxfId="2503" priority="68">
      <formula>$F22="non cpris"</formula>
    </cfRule>
  </conditionalFormatting>
  <conditionalFormatting sqref="C22:G22">
    <cfRule type="expression" dxfId="2502" priority="67">
      <formula>$F22="en cours"</formula>
    </cfRule>
  </conditionalFormatting>
  <conditionalFormatting sqref="C25:C39">
    <cfRule type="expression" dxfId="2501" priority="64">
      <formula>$G25="réalisé"</formula>
    </cfRule>
    <cfRule type="expression" dxfId="2500" priority="65">
      <formula>$G25="en cours"</formula>
    </cfRule>
    <cfRule type="expression" dxfId="2499" priority="66">
      <formula>$G25="non compris"</formula>
    </cfRule>
  </conditionalFormatting>
  <conditionalFormatting sqref="C50:F53">
    <cfRule type="expression" dxfId="2498" priority="63">
      <formula>$F50="réalisé"</formula>
    </cfRule>
  </conditionalFormatting>
  <conditionalFormatting sqref="G9">
    <cfRule type="expression" dxfId="2497" priority="62">
      <formula>$G$10="réalisé"</formula>
    </cfRule>
  </conditionalFormatting>
  <conditionalFormatting sqref="G10">
    <cfRule type="expression" dxfId="2496" priority="61">
      <formula>$G$11="réalisé"</formula>
    </cfRule>
  </conditionalFormatting>
  <conditionalFormatting sqref="G16:G17">
    <cfRule type="expression" dxfId="2495" priority="60">
      <formula>$G$18="réalisé"</formula>
    </cfRule>
  </conditionalFormatting>
  <conditionalFormatting sqref="G26">
    <cfRule type="expression" dxfId="2494" priority="59">
      <formula>$G$27="réalisé"</formula>
    </cfRule>
  </conditionalFormatting>
  <conditionalFormatting sqref="D25">
    <cfRule type="expression" dxfId="2493" priority="56">
      <formula>$G25="réalisé"</formula>
    </cfRule>
    <cfRule type="expression" dxfId="2492" priority="57">
      <formula>$G25="en cours"</formula>
    </cfRule>
    <cfRule type="expression" dxfId="2491" priority="58">
      <formula>$G25="non compris"</formula>
    </cfRule>
  </conditionalFormatting>
  <conditionalFormatting sqref="D27">
    <cfRule type="expression" dxfId="2490" priority="53">
      <formula>$G27="réalisé"</formula>
    </cfRule>
    <cfRule type="expression" dxfId="2489" priority="54">
      <formula>$G27="en cours"</formula>
    </cfRule>
    <cfRule type="expression" dxfId="2488" priority="55">
      <formula>$G27="non compris"</formula>
    </cfRule>
  </conditionalFormatting>
  <conditionalFormatting sqref="D29">
    <cfRule type="expression" dxfId="2487" priority="50">
      <formula>$G29="réalisé"</formula>
    </cfRule>
    <cfRule type="expression" dxfId="2486" priority="51">
      <formula>$G29="en cours"</formula>
    </cfRule>
    <cfRule type="expression" dxfId="2485" priority="52">
      <formula>$G29="non compris"</formula>
    </cfRule>
  </conditionalFormatting>
  <conditionalFormatting sqref="D31">
    <cfRule type="expression" dxfId="2484" priority="47">
      <formula>$G31="réalisé"</formula>
    </cfRule>
    <cfRule type="expression" dxfId="2483" priority="48">
      <formula>$G31="en cours"</formula>
    </cfRule>
    <cfRule type="expression" dxfId="2482" priority="49">
      <formula>$G31="non compris"</formula>
    </cfRule>
  </conditionalFormatting>
  <conditionalFormatting sqref="D33">
    <cfRule type="expression" dxfId="2481" priority="44">
      <formula>$G33="réalisé"</formula>
    </cfRule>
    <cfRule type="expression" dxfId="2480" priority="45">
      <formula>$G33="en cours"</formula>
    </cfRule>
    <cfRule type="expression" dxfId="2479" priority="46">
      <formula>$G33="non compris"</formula>
    </cfRule>
  </conditionalFormatting>
  <conditionalFormatting sqref="D35">
    <cfRule type="expression" dxfId="2478" priority="41">
      <formula>$G35="réalisé"</formula>
    </cfRule>
    <cfRule type="expression" dxfId="2477" priority="42">
      <formula>$G35="en cours"</formula>
    </cfRule>
    <cfRule type="expression" dxfId="2476" priority="43">
      <formula>$G35="non compris"</formula>
    </cfRule>
  </conditionalFormatting>
  <conditionalFormatting sqref="D37">
    <cfRule type="expression" dxfId="2475" priority="38">
      <formula>$G37="réalisé"</formula>
    </cfRule>
    <cfRule type="expression" dxfId="2474" priority="39">
      <formula>$G37="en cours"</formula>
    </cfRule>
    <cfRule type="expression" dxfId="2473" priority="40">
      <formula>$G37="non compris"</formula>
    </cfRule>
  </conditionalFormatting>
  <conditionalFormatting sqref="D39">
    <cfRule type="expression" dxfId="2472" priority="35">
      <formula>$G39="réalisé"</formula>
    </cfRule>
    <cfRule type="expression" dxfId="2471" priority="36">
      <formula>$G39="en cours"</formula>
    </cfRule>
    <cfRule type="expression" dxfId="2470" priority="37">
      <formula>$G39="non compris"</formula>
    </cfRule>
  </conditionalFormatting>
  <conditionalFormatting sqref="D26">
    <cfRule type="expression" dxfId="2469" priority="32">
      <formula>$G26="réalisé"</formula>
    </cfRule>
    <cfRule type="expression" dxfId="2468" priority="33">
      <formula>$G26="en cours"</formula>
    </cfRule>
    <cfRule type="expression" dxfId="2467" priority="34">
      <formula>$G26="non compris"</formula>
    </cfRule>
  </conditionalFormatting>
  <conditionalFormatting sqref="D28">
    <cfRule type="expression" dxfId="2466" priority="29">
      <formula>$G28="réalisé"</formula>
    </cfRule>
    <cfRule type="expression" dxfId="2465" priority="30">
      <formula>$G28="en cours"</formula>
    </cfRule>
    <cfRule type="expression" dxfId="2464" priority="31">
      <formula>$G28="non compris"</formula>
    </cfRule>
  </conditionalFormatting>
  <conditionalFormatting sqref="D30">
    <cfRule type="expression" dxfId="2463" priority="26">
      <formula>$G30="réalisé"</formula>
    </cfRule>
    <cfRule type="expression" dxfId="2462" priority="27">
      <formula>$G30="en cours"</formula>
    </cfRule>
    <cfRule type="expression" dxfId="2461" priority="28">
      <formula>$G30="non compris"</formula>
    </cfRule>
  </conditionalFormatting>
  <conditionalFormatting sqref="D32">
    <cfRule type="expression" dxfId="2460" priority="23">
      <formula>$G32="réalisé"</formula>
    </cfRule>
    <cfRule type="expression" dxfId="2459" priority="24">
      <formula>$G32="en cours"</formula>
    </cfRule>
    <cfRule type="expression" dxfId="2458" priority="25">
      <formula>$G32="non compris"</formula>
    </cfRule>
  </conditionalFormatting>
  <conditionalFormatting sqref="D34">
    <cfRule type="expression" dxfId="2457" priority="20">
      <formula>$G34="réalisé"</formula>
    </cfRule>
    <cfRule type="expression" dxfId="2456" priority="21">
      <formula>$G34="en cours"</formula>
    </cfRule>
    <cfRule type="expression" dxfId="2455" priority="22">
      <formula>$G34="non compris"</formula>
    </cfRule>
  </conditionalFormatting>
  <conditionalFormatting sqref="D36">
    <cfRule type="expression" dxfId="2454" priority="17">
      <formula>$G36="réalisé"</formula>
    </cfRule>
    <cfRule type="expression" dxfId="2453" priority="18">
      <formula>$G36="en cours"</formula>
    </cfRule>
    <cfRule type="expression" dxfId="2452" priority="19">
      <formula>$G36="non compris"</formula>
    </cfRule>
  </conditionalFormatting>
  <conditionalFormatting sqref="D38">
    <cfRule type="expression" dxfId="2451" priority="14">
      <formula>$G38="réalisé"</formula>
    </cfRule>
    <cfRule type="expression" dxfId="2450" priority="15">
      <formula>$G38="en cours"</formula>
    </cfRule>
    <cfRule type="expression" dxfId="2449" priority="16">
      <formula>$G38="non compris"</formula>
    </cfRule>
  </conditionalFormatting>
  <conditionalFormatting sqref="D45">
    <cfRule type="expression" dxfId="2448" priority="11">
      <formula>$G45="réalisé"</formula>
    </cfRule>
    <cfRule type="expression" dxfId="2447" priority="12">
      <formula>$G45="en cours"</formula>
    </cfRule>
    <cfRule type="expression" dxfId="2446" priority="13">
      <formula>$G45="non compris"</formula>
    </cfRule>
  </conditionalFormatting>
  <conditionalFormatting sqref="D44">
    <cfRule type="expression" dxfId="2445" priority="8">
      <formula>$G44="réalisé"</formula>
    </cfRule>
    <cfRule type="expression" dxfId="2444" priority="9">
      <formula>$G44="en cours"</formula>
    </cfRule>
    <cfRule type="expression" dxfId="2443" priority="10">
      <formula>$G44="non compris"</formula>
    </cfRule>
  </conditionalFormatting>
  <conditionalFormatting sqref="D43">
    <cfRule type="expression" dxfId="2442" priority="5">
      <formula>$G43="réalisé"</formula>
    </cfRule>
    <cfRule type="expression" dxfId="2441" priority="6">
      <formula>$G43="en cours"</formula>
    </cfRule>
    <cfRule type="expression" dxfId="2440" priority="7">
      <formula>$G43="non compris"</formula>
    </cfRule>
  </conditionalFormatting>
  <conditionalFormatting sqref="D46">
    <cfRule type="expression" dxfId="2439" priority="2">
      <formula>$G46="réalisé"</formula>
    </cfRule>
    <cfRule type="expression" dxfId="2438" priority="3">
      <formula>$G46="en cours"</formula>
    </cfRule>
    <cfRule type="expression" dxfId="2437" priority="4">
      <formula>$G46="non compris"</formula>
    </cfRule>
  </conditionalFormatting>
  <conditionalFormatting sqref="D8:D21">
    <cfRule type="expression" dxfId="2436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B050"/>
    <pageSetUpPr fitToPage="1"/>
  </sheetPr>
  <dimension ref="A1:I68"/>
  <sheetViews>
    <sheetView topLeftCell="A16" zoomScaleNormal="100" workbookViewId="0">
      <selection activeCell="G38" sqref="G38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COUSIN-SCHMITT</v>
      </c>
      <c r="D2" s="5" t="s">
        <v>98</v>
      </c>
      <c r="E2" s="522">
        <v>42741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172</v>
      </c>
      <c r="D3" s="8" t="s">
        <v>3</v>
      </c>
      <c r="E3" s="525">
        <v>42788</v>
      </c>
      <c r="F3" s="526"/>
      <c r="G3" s="9"/>
      <c r="H3" s="527" t="str">
        <f ca="1">DATEDIF(E3,TODAY(),"m")&amp;"mois"&amp;-DATEDIF(E3,TODAY(),"md")&amp;"jours"</f>
        <v>6mois-1jours</v>
      </c>
      <c r="I3" s="528"/>
    </row>
    <row r="4" spans="1:9" ht="18.75" x14ac:dyDescent="0.25">
      <c r="A4" s="127" t="s">
        <v>173</v>
      </c>
      <c r="B4" s="215"/>
      <c r="C4" s="11"/>
      <c r="D4" s="12" t="s">
        <v>4</v>
      </c>
      <c r="E4" s="529">
        <f>E3+60</f>
        <v>42848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7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90" t="s">
        <v>90</v>
      </c>
      <c r="E9" s="33">
        <v>7</v>
      </c>
      <c r="F9" s="34"/>
      <c r="G9" s="35" t="s">
        <v>55</v>
      </c>
      <c r="H9" s="31"/>
      <c r="I9" s="21"/>
    </row>
    <row r="10" spans="1:9" ht="15" customHeight="1" x14ac:dyDescent="0.25">
      <c r="A10" s="243">
        <v>9026.57</v>
      </c>
      <c r="B10" s="260">
        <f>A10-7522.14-1504.43</f>
        <v>0</v>
      </c>
      <c r="C10" s="32" t="s">
        <v>13</v>
      </c>
      <c r="D10" s="89" t="s">
        <v>57</v>
      </c>
      <c r="E10" s="28">
        <v>8</v>
      </c>
      <c r="F10" s="36"/>
      <c r="G10" s="35" t="s">
        <v>55</v>
      </c>
      <c r="H10" s="31"/>
      <c r="I10" s="21"/>
    </row>
    <row r="11" spans="1:9" x14ac:dyDescent="0.25">
      <c r="A11" s="261"/>
      <c r="B11" s="262"/>
      <c r="C11" s="32" t="s">
        <v>88</v>
      </c>
      <c r="D11" s="90" t="s">
        <v>90</v>
      </c>
      <c r="E11" s="28">
        <f>E10+4</f>
        <v>12</v>
      </c>
      <c r="F11" s="34"/>
      <c r="G11" s="35" t="s">
        <v>96</v>
      </c>
      <c r="H11" s="31"/>
      <c r="I11" s="21"/>
    </row>
    <row r="12" spans="1:9" x14ac:dyDescent="0.25">
      <c r="A12" s="261"/>
      <c r="B12" s="262"/>
      <c r="C12" s="32" t="s">
        <v>14</v>
      </c>
      <c r="D12" s="89" t="s">
        <v>90</v>
      </c>
      <c r="E12" s="28">
        <f>E11</f>
        <v>12</v>
      </c>
      <c r="F12" s="34"/>
      <c r="G12" s="35" t="s">
        <v>96</v>
      </c>
      <c r="H12" s="31"/>
      <c r="I12" s="21"/>
    </row>
    <row r="13" spans="1:9" x14ac:dyDescent="0.25">
      <c r="A13" s="261"/>
      <c r="B13" s="262"/>
      <c r="C13" s="32" t="s">
        <v>15</v>
      </c>
      <c r="D13" s="90" t="s">
        <v>57</v>
      </c>
      <c r="E13" s="28">
        <f>E12+1</f>
        <v>13</v>
      </c>
      <c r="F13" s="34"/>
      <c r="G13" s="35" t="s">
        <v>55</v>
      </c>
      <c r="H13" s="31"/>
      <c r="I13" s="21"/>
    </row>
    <row r="14" spans="1:9" x14ac:dyDescent="0.25">
      <c r="A14" s="243">
        <v>477.8</v>
      </c>
      <c r="B14" s="260">
        <f>A14-477.8</f>
        <v>0</v>
      </c>
      <c r="C14" s="32" t="s">
        <v>16</v>
      </c>
      <c r="D14" s="89" t="s">
        <v>61</v>
      </c>
      <c r="E14" s="28">
        <f>IF(E13="","",MOD(E13+1,52))</f>
        <v>14</v>
      </c>
      <c r="F14" s="34"/>
      <c r="G14" s="35" t="s">
        <v>55</v>
      </c>
      <c r="H14" s="31"/>
      <c r="I14" s="21"/>
    </row>
    <row r="15" spans="1:9" x14ac:dyDescent="0.25">
      <c r="A15" s="261"/>
      <c r="B15" s="262"/>
      <c r="C15" s="32" t="s">
        <v>100</v>
      </c>
      <c r="D15" s="90" t="str">
        <f>D10</f>
        <v>TEMA</v>
      </c>
      <c r="E15" s="28">
        <v>13</v>
      </c>
      <c r="F15" s="34"/>
      <c r="G15" s="35" t="s">
        <v>55</v>
      </c>
      <c r="H15" s="31"/>
      <c r="I15" s="21"/>
    </row>
    <row r="16" spans="1:9" x14ac:dyDescent="0.25">
      <c r="A16" s="243">
        <v>529.34</v>
      </c>
      <c r="B16" s="260">
        <f>A16-529.34</f>
        <v>0</v>
      </c>
      <c r="C16" s="32" t="s">
        <v>85</v>
      </c>
      <c r="D16" s="89" t="s">
        <v>61</v>
      </c>
      <c r="E16" s="28">
        <v>14</v>
      </c>
      <c r="F16" s="34"/>
      <c r="G16" s="35" t="s">
        <v>55</v>
      </c>
      <c r="H16" s="31"/>
      <c r="I16" s="21"/>
    </row>
    <row r="17" spans="1:9" x14ac:dyDescent="0.25">
      <c r="A17" s="559">
        <v>627.79999999999995</v>
      </c>
      <c r="B17" s="561">
        <f>A17-627.8</f>
        <v>0</v>
      </c>
      <c r="C17" s="32" t="s">
        <v>86</v>
      </c>
      <c r="D17" s="91" t="s">
        <v>64</v>
      </c>
      <c r="E17" s="28">
        <f>E16</f>
        <v>14</v>
      </c>
      <c r="F17" s="34"/>
      <c r="G17" s="35" t="s">
        <v>55</v>
      </c>
      <c r="H17" s="86"/>
      <c r="I17" s="21"/>
    </row>
    <row r="18" spans="1:9" x14ac:dyDescent="0.25">
      <c r="A18" s="560"/>
      <c r="B18" s="562"/>
      <c r="C18" s="284" t="s">
        <v>17</v>
      </c>
      <c r="D18" s="285" t="s">
        <v>64</v>
      </c>
      <c r="E18" s="286">
        <f>E16</f>
        <v>14</v>
      </c>
      <c r="F18" s="287"/>
      <c r="G18" s="288" t="s">
        <v>55</v>
      </c>
      <c r="H18" s="259"/>
      <c r="I18" s="21"/>
    </row>
    <row r="19" spans="1:9" x14ac:dyDescent="0.25">
      <c r="A19" s="243">
        <v>1072.56</v>
      </c>
      <c r="B19" s="260">
        <f>A19-1072.56</f>
        <v>0</v>
      </c>
      <c r="C19" s="37" t="s">
        <v>18</v>
      </c>
      <c r="D19" s="89" t="s">
        <v>65</v>
      </c>
      <c r="E19" s="28">
        <v>17</v>
      </c>
      <c r="F19" s="34"/>
      <c r="G19" s="35" t="s">
        <v>55</v>
      </c>
      <c r="H19" s="31"/>
      <c r="I19" s="21"/>
    </row>
    <row r="20" spans="1:9" x14ac:dyDescent="0.25">
      <c r="A20" s="261"/>
      <c r="B20" s="262"/>
      <c r="C20" s="32" t="s">
        <v>19</v>
      </c>
      <c r="D20" s="90" t="str">
        <f>D13</f>
        <v>TEMA</v>
      </c>
      <c r="E20" s="28">
        <v>15</v>
      </c>
      <c r="F20" s="34"/>
      <c r="G20" s="35" t="s">
        <v>55</v>
      </c>
      <c r="H20" s="31"/>
      <c r="I20" s="21"/>
    </row>
    <row r="21" spans="1:9" x14ac:dyDescent="0.25">
      <c r="A21" s="243">
        <v>0</v>
      </c>
      <c r="B21" s="291">
        <v>0</v>
      </c>
      <c r="C21" s="132" t="s">
        <v>20</v>
      </c>
      <c r="D21" s="90" t="s">
        <v>81</v>
      </c>
      <c r="E21" s="28">
        <f>E19</f>
        <v>17</v>
      </c>
      <c r="F21" s="34"/>
      <c r="G21" s="133" t="s">
        <v>55</v>
      </c>
      <c r="H21" s="31"/>
      <c r="I21" s="21"/>
    </row>
    <row r="22" spans="1:9" x14ac:dyDescent="0.25">
      <c r="A22" s="263"/>
      <c r="B22" s="264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65"/>
      <c r="B23" s="266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61"/>
      <c r="B24" s="262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43">
        <v>410.77</v>
      </c>
      <c r="B25" s="260">
        <f>A25-410.77</f>
        <v>0</v>
      </c>
      <c r="C25" s="141" t="s">
        <v>92</v>
      </c>
      <c r="D25" s="89" t="s">
        <v>71</v>
      </c>
      <c r="E25" s="142">
        <v>17</v>
      </c>
      <c r="F25" s="29"/>
      <c r="G25" s="30" t="s">
        <v>55</v>
      </c>
      <c r="H25" s="31"/>
      <c r="I25" s="21"/>
    </row>
    <row r="26" spans="1:9" x14ac:dyDescent="0.25">
      <c r="A26" s="243">
        <v>1454.92</v>
      </c>
      <c r="B26" s="260">
        <f>A26-1454.92</f>
        <v>0</v>
      </c>
      <c r="C26" s="32" t="s">
        <v>93</v>
      </c>
      <c r="D26" s="90" t="s">
        <v>68</v>
      </c>
      <c r="E26" s="28">
        <v>17</v>
      </c>
      <c r="F26" s="34"/>
      <c r="G26" s="35" t="s">
        <v>55</v>
      </c>
      <c r="H26" s="31"/>
      <c r="I26" s="21"/>
    </row>
    <row r="27" spans="1:9" x14ac:dyDescent="0.25">
      <c r="A27" s="261"/>
      <c r="B27" s="262"/>
      <c r="C27" s="102" t="s">
        <v>22</v>
      </c>
      <c r="D27" s="89" t="str">
        <f>D25</f>
        <v>BENELEC</v>
      </c>
      <c r="E27" s="28">
        <v>23</v>
      </c>
      <c r="F27" s="34"/>
      <c r="G27" s="35" t="s">
        <v>55</v>
      </c>
      <c r="H27" s="31"/>
      <c r="I27" s="21"/>
    </row>
    <row r="28" spans="1:9" x14ac:dyDescent="0.25">
      <c r="A28" s="243">
        <v>0</v>
      </c>
      <c r="B28" s="260">
        <v>0</v>
      </c>
      <c r="C28" s="143" t="s">
        <v>23</v>
      </c>
      <c r="D28" s="90" t="s">
        <v>74</v>
      </c>
      <c r="E28" s="28">
        <v>21</v>
      </c>
      <c r="F28" s="34"/>
      <c r="G28" s="35" t="s">
        <v>55</v>
      </c>
      <c r="H28" s="31"/>
      <c r="I28" s="21"/>
    </row>
    <row r="29" spans="1:9" x14ac:dyDescent="0.25">
      <c r="A29" s="243"/>
      <c r="B29" s="260"/>
      <c r="C29" s="102" t="s">
        <v>24</v>
      </c>
      <c r="D29" s="89" t="s">
        <v>71</v>
      </c>
      <c r="E29" s="28">
        <v>24</v>
      </c>
      <c r="F29" s="34"/>
      <c r="G29" s="35" t="s">
        <v>55</v>
      </c>
      <c r="H29" s="31"/>
      <c r="I29" s="21"/>
    </row>
    <row r="30" spans="1:9" x14ac:dyDescent="0.25">
      <c r="A30" s="243"/>
      <c r="B30" s="260"/>
      <c r="C30" s="32" t="s">
        <v>25</v>
      </c>
      <c r="D30" s="90" t="s">
        <v>71</v>
      </c>
      <c r="E30" s="28">
        <v>24</v>
      </c>
      <c r="F30" s="34"/>
      <c r="G30" s="35" t="s">
        <v>55</v>
      </c>
      <c r="H30" s="31"/>
      <c r="I30" s="21"/>
    </row>
    <row r="31" spans="1:9" x14ac:dyDescent="0.25">
      <c r="A31" s="261"/>
      <c r="B31" s="262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43">
        <v>0</v>
      </c>
      <c r="B32" s="260">
        <v>0</v>
      </c>
      <c r="C32" s="32" t="s">
        <v>27</v>
      </c>
      <c r="D32" s="90" t="s">
        <v>76</v>
      </c>
      <c r="E32" s="28">
        <f>IF(E30="","",MOD(E30+1,52))</f>
        <v>25</v>
      </c>
      <c r="F32" s="34"/>
      <c r="G32" s="35" t="s">
        <v>55</v>
      </c>
      <c r="H32" s="31"/>
      <c r="I32" s="21"/>
    </row>
    <row r="33" spans="1:9" x14ac:dyDescent="0.25">
      <c r="A33" s="261"/>
      <c r="B33" s="262"/>
      <c r="C33" s="32" t="s">
        <v>28</v>
      </c>
      <c r="D33" s="89" t="str">
        <f>D26</f>
        <v>SOARES</v>
      </c>
      <c r="E33" s="28">
        <f>IF(E32="","",MOD(E32+1,52))</f>
        <v>26</v>
      </c>
      <c r="F33" s="34"/>
      <c r="G33" s="35" t="s">
        <v>55</v>
      </c>
      <c r="H33" s="31"/>
      <c r="I33" s="21"/>
    </row>
    <row r="34" spans="1:9" x14ac:dyDescent="0.25">
      <c r="A34" s="261"/>
      <c r="B34" s="262"/>
      <c r="C34" s="32" t="s">
        <v>29</v>
      </c>
      <c r="D34" s="90" t="str">
        <f>D25</f>
        <v>BENELEC</v>
      </c>
      <c r="E34" s="28">
        <v>34</v>
      </c>
      <c r="F34" s="34"/>
      <c r="G34" s="35" t="s">
        <v>55</v>
      </c>
      <c r="H34" s="31"/>
      <c r="I34" s="21"/>
    </row>
    <row r="35" spans="1:9" x14ac:dyDescent="0.25">
      <c r="A35" s="261"/>
      <c r="B35" s="262"/>
      <c r="C35" s="32" t="s">
        <v>30</v>
      </c>
      <c r="D35" s="89" t="str">
        <f>D28</f>
        <v>WAGNER</v>
      </c>
      <c r="E35" s="28">
        <v>35</v>
      </c>
      <c r="F35" s="34"/>
      <c r="G35" s="35"/>
      <c r="H35" s="31"/>
      <c r="I35" s="21"/>
    </row>
    <row r="36" spans="1:9" x14ac:dyDescent="0.25">
      <c r="A36" s="261"/>
      <c r="B36" s="262"/>
      <c r="C36" s="32" t="s">
        <v>31</v>
      </c>
      <c r="D36" s="90" t="s">
        <v>90</v>
      </c>
      <c r="E36" s="28">
        <f>E32+4</f>
        <v>29</v>
      </c>
      <c r="F36" s="34"/>
      <c r="G36" s="35" t="s">
        <v>96</v>
      </c>
      <c r="H36" s="31"/>
      <c r="I36" s="21"/>
    </row>
    <row r="37" spans="1:9" x14ac:dyDescent="0.25">
      <c r="A37" s="261"/>
      <c r="B37" s="262"/>
      <c r="C37" s="32" t="s">
        <v>32</v>
      </c>
      <c r="D37" s="89" t="s">
        <v>90</v>
      </c>
      <c r="E37" s="28">
        <f>E35+1</f>
        <v>36</v>
      </c>
      <c r="F37" s="34"/>
      <c r="G37" s="35" t="s">
        <v>96</v>
      </c>
      <c r="H37" s="31"/>
      <c r="I37" s="21"/>
    </row>
    <row r="38" spans="1:9" x14ac:dyDescent="0.25">
      <c r="A38" s="261"/>
      <c r="B38" s="262"/>
      <c r="C38" s="32" t="s">
        <v>33</v>
      </c>
      <c r="D38" s="90" t="s">
        <v>71</v>
      </c>
      <c r="E38" s="28">
        <v>34</v>
      </c>
      <c r="F38" s="34"/>
      <c r="G38" s="35" t="s">
        <v>55</v>
      </c>
      <c r="H38" s="31"/>
      <c r="I38" s="21"/>
    </row>
    <row r="39" spans="1:9" x14ac:dyDescent="0.25">
      <c r="A39" s="260"/>
      <c r="B39" s="260"/>
      <c r="C39" s="144" t="s">
        <v>34</v>
      </c>
      <c r="D39" s="89" t="s">
        <v>90</v>
      </c>
      <c r="E39" s="145">
        <f>IF(E38="","",MOD(E38+1,52))</f>
        <v>35</v>
      </c>
      <c r="F39" s="146"/>
      <c r="G39" s="133" t="s">
        <v>96</v>
      </c>
      <c r="H39" s="31"/>
      <c r="I39" s="21"/>
    </row>
    <row r="40" spans="1:9" x14ac:dyDescent="0.25">
      <c r="A40" s="263"/>
      <c r="B40" s="264"/>
      <c r="C40" s="134"/>
      <c r="D40" s="147"/>
      <c r="E40" s="134"/>
      <c r="F40" s="134"/>
      <c r="G40" s="134"/>
      <c r="H40" s="134"/>
      <c r="I40" s="21"/>
    </row>
    <row r="41" spans="1:9" x14ac:dyDescent="0.25">
      <c r="A41" s="265"/>
      <c r="B41" s="266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61"/>
      <c r="B42" s="267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60"/>
      <c r="B43" s="260"/>
      <c r="C43" s="153" t="s">
        <v>35</v>
      </c>
      <c r="D43" s="89" t="s">
        <v>90</v>
      </c>
      <c r="E43" s="154">
        <f>E28+1</f>
        <v>22</v>
      </c>
      <c r="F43" s="29"/>
      <c r="G43" s="30" t="s">
        <v>96</v>
      </c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23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23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25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42751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81">
        <v>42772</v>
      </c>
      <c r="E51" s="76"/>
      <c r="F51" s="2" t="s">
        <v>169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4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  <mergeCell ref="A17:A18"/>
    <mergeCell ref="B17:B18"/>
  </mergeCells>
  <conditionalFormatting sqref="C47:G47 D22 C40:G40">
    <cfRule type="expression" dxfId="2393" priority="72">
      <formula>$F22="réalisé"</formula>
    </cfRule>
  </conditionalFormatting>
  <conditionalFormatting sqref="C43:C46 E43:H46 C8:H21 E25:H39">
    <cfRule type="expression" dxfId="2392" priority="69">
      <formula>$G8="réalisé"</formula>
    </cfRule>
    <cfRule type="expression" dxfId="2391" priority="70">
      <formula>$G8="en cours"</formula>
    </cfRule>
    <cfRule type="expression" dxfId="2390" priority="71">
      <formula>$G8="non compris"</formula>
    </cfRule>
  </conditionalFormatting>
  <conditionalFormatting sqref="C22:G22 C40:G40">
    <cfRule type="expression" dxfId="2389" priority="68">
      <formula>$F22="non cpris"</formula>
    </cfRule>
  </conditionalFormatting>
  <conditionalFormatting sqref="C22:G22">
    <cfRule type="expression" dxfId="2388" priority="67">
      <formula>$F22="en cours"</formula>
    </cfRule>
  </conditionalFormatting>
  <conditionalFormatting sqref="C25:C39">
    <cfRule type="expression" dxfId="2387" priority="64">
      <formula>$G25="réalisé"</formula>
    </cfRule>
    <cfRule type="expression" dxfId="2386" priority="65">
      <formula>$G25="en cours"</formula>
    </cfRule>
    <cfRule type="expression" dxfId="2385" priority="66">
      <formula>$G25="non compris"</formula>
    </cfRule>
  </conditionalFormatting>
  <conditionalFormatting sqref="C50:F53">
    <cfRule type="expression" dxfId="2384" priority="63">
      <formula>$F50="réalisé"</formula>
    </cfRule>
  </conditionalFormatting>
  <conditionalFormatting sqref="G9">
    <cfRule type="expression" dxfId="2383" priority="62">
      <formula>$G$10="réalisé"</formula>
    </cfRule>
  </conditionalFormatting>
  <conditionalFormatting sqref="G10">
    <cfRule type="expression" dxfId="2382" priority="61">
      <formula>$G$11="réalisé"</formula>
    </cfRule>
  </conditionalFormatting>
  <conditionalFormatting sqref="G16:G17">
    <cfRule type="expression" dxfId="2381" priority="60">
      <formula>$G$18="réalisé"</formula>
    </cfRule>
  </conditionalFormatting>
  <conditionalFormatting sqref="G26">
    <cfRule type="expression" dxfId="2380" priority="59">
      <formula>$G$27="réalisé"</formula>
    </cfRule>
  </conditionalFormatting>
  <conditionalFormatting sqref="D25">
    <cfRule type="expression" dxfId="2379" priority="56">
      <formula>$G25="réalisé"</formula>
    </cfRule>
    <cfRule type="expression" dxfId="2378" priority="57">
      <formula>$G25="en cours"</formula>
    </cfRule>
    <cfRule type="expression" dxfId="2377" priority="58">
      <formula>$G25="non compris"</formula>
    </cfRule>
  </conditionalFormatting>
  <conditionalFormatting sqref="D27">
    <cfRule type="expression" dxfId="2376" priority="53">
      <formula>$G27="réalisé"</formula>
    </cfRule>
    <cfRule type="expression" dxfId="2375" priority="54">
      <formula>$G27="en cours"</formula>
    </cfRule>
    <cfRule type="expression" dxfId="2374" priority="55">
      <formula>$G27="non compris"</formula>
    </cfRule>
  </conditionalFormatting>
  <conditionalFormatting sqref="D29">
    <cfRule type="expression" dxfId="2373" priority="50">
      <formula>$G29="réalisé"</formula>
    </cfRule>
    <cfRule type="expression" dxfId="2372" priority="51">
      <formula>$G29="en cours"</formula>
    </cfRule>
    <cfRule type="expression" dxfId="2371" priority="52">
      <formula>$G29="non compris"</formula>
    </cfRule>
  </conditionalFormatting>
  <conditionalFormatting sqref="D31">
    <cfRule type="expression" dxfId="2370" priority="47">
      <formula>$G31="réalisé"</formula>
    </cfRule>
    <cfRule type="expression" dxfId="2369" priority="48">
      <formula>$G31="en cours"</formula>
    </cfRule>
    <cfRule type="expression" dxfId="2368" priority="49">
      <formula>$G31="non compris"</formula>
    </cfRule>
  </conditionalFormatting>
  <conditionalFormatting sqref="D33">
    <cfRule type="expression" dxfId="2367" priority="44">
      <formula>$G33="réalisé"</formula>
    </cfRule>
    <cfRule type="expression" dxfId="2366" priority="45">
      <formula>$G33="en cours"</formula>
    </cfRule>
    <cfRule type="expression" dxfId="2365" priority="46">
      <formula>$G33="non compris"</formula>
    </cfRule>
  </conditionalFormatting>
  <conditionalFormatting sqref="D35">
    <cfRule type="expression" dxfId="2364" priority="41">
      <formula>$G35="réalisé"</formula>
    </cfRule>
    <cfRule type="expression" dxfId="2363" priority="42">
      <formula>$G35="en cours"</formula>
    </cfRule>
    <cfRule type="expression" dxfId="2362" priority="43">
      <formula>$G35="non compris"</formula>
    </cfRule>
  </conditionalFormatting>
  <conditionalFormatting sqref="D37">
    <cfRule type="expression" dxfId="2361" priority="38">
      <formula>$G37="réalisé"</formula>
    </cfRule>
    <cfRule type="expression" dxfId="2360" priority="39">
      <formula>$G37="en cours"</formula>
    </cfRule>
    <cfRule type="expression" dxfId="2359" priority="40">
      <formula>$G37="non compris"</formula>
    </cfRule>
  </conditionalFormatting>
  <conditionalFormatting sqref="D39">
    <cfRule type="expression" dxfId="2358" priority="35">
      <formula>$G39="réalisé"</formula>
    </cfRule>
    <cfRule type="expression" dxfId="2357" priority="36">
      <formula>$G39="en cours"</formula>
    </cfRule>
    <cfRule type="expression" dxfId="2356" priority="37">
      <formula>$G39="non compris"</formula>
    </cfRule>
  </conditionalFormatting>
  <conditionalFormatting sqref="D26">
    <cfRule type="expression" dxfId="2355" priority="32">
      <formula>$G26="réalisé"</formula>
    </cfRule>
    <cfRule type="expression" dxfId="2354" priority="33">
      <formula>$G26="en cours"</formula>
    </cfRule>
    <cfRule type="expression" dxfId="2353" priority="34">
      <formula>$G26="non compris"</formula>
    </cfRule>
  </conditionalFormatting>
  <conditionalFormatting sqref="D28">
    <cfRule type="expression" dxfId="2352" priority="29">
      <formula>$G28="réalisé"</formula>
    </cfRule>
    <cfRule type="expression" dxfId="2351" priority="30">
      <formula>$G28="en cours"</formula>
    </cfRule>
    <cfRule type="expression" dxfId="2350" priority="31">
      <formula>$G28="non compris"</formula>
    </cfRule>
  </conditionalFormatting>
  <conditionalFormatting sqref="D30">
    <cfRule type="expression" dxfId="2349" priority="26">
      <formula>$G30="réalisé"</formula>
    </cfRule>
    <cfRule type="expression" dxfId="2348" priority="27">
      <formula>$G30="en cours"</formula>
    </cfRule>
    <cfRule type="expression" dxfId="2347" priority="28">
      <formula>$G30="non compris"</formula>
    </cfRule>
  </conditionalFormatting>
  <conditionalFormatting sqref="D32">
    <cfRule type="expression" dxfId="2346" priority="23">
      <formula>$G32="réalisé"</formula>
    </cfRule>
    <cfRule type="expression" dxfId="2345" priority="24">
      <formula>$G32="en cours"</formula>
    </cfRule>
    <cfRule type="expression" dxfId="2344" priority="25">
      <formula>$G32="non compris"</formula>
    </cfRule>
  </conditionalFormatting>
  <conditionalFormatting sqref="D34">
    <cfRule type="expression" dxfId="2343" priority="20">
      <formula>$G34="réalisé"</formula>
    </cfRule>
    <cfRule type="expression" dxfId="2342" priority="21">
      <formula>$G34="en cours"</formula>
    </cfRule>
    <cfRule type="expression" dxfId="2341" priority="22">
      <formula>$G34="non compris"</formula>
    </cfRule>
  </conditionalFormatting>
  <conditionalFormatting sqref="D36">
    <cfRule type="expression" dxfId="2340" priority="17">
      <formula>$G36="réalisé"</formula>
    </cfRule>
    <cfRule type="expression" dxfId="2339" priority="18">
      <formula>$G36="en cours"</formula>
    </cfRule>
    <cfRule type="expression" dxfId="2338" priority="19">
      <formula>$G36="non compris"</formula>
    </cfRule>
  </conditionalFormatting>
  <conditionalFormatting sqref="D38">
    <cfRule type="expression" dxfId="2337" priority="14">
      <formula>$G38="réalisé"</formula>
    </cfRule>
    <cfRule type="expression" dxfId="2336" priority="15">
      <formula>$G38="en cours"</formula>
    </cfRule>
    <cfRule type="expression" dxfId="2335" priority="16">
      <formula>$G38="non compris"</formula>
    </cfRule>
  </conditionalFormatting>
  <conditionalFormatting sqref="D45">
    <cfRule type="expression" dxfId="2334" priority="11">
      <formula>$G45="réalisé"</formula>
    </cfRule>
    <cfRule type="expression" dxfId="2333" priority="12">
      <formula>$G45="en cours"</formula>
    </cfRule>
    <cfRule type="expression" dxfId="2332" priority="13">
      <formula>$G45="non compris"</formula>
    </cfRule>
  </conditionalFormatting>
  <conditionalFormatting sqref="D44">
    <cfRule type="expression" dxfId="2331" priority="8">
      <formula>$G44="réalisé"</formula>
    </cfRule>
    <cfRule type="expression" dxfId="2330" priority="9">
      <formula>$G44="en cours"</formula>
    </cfRule>
    <cfRule type="expression" dxfId="2329" priority="10">
      <formula>$G44="non compris"</formula>
    </cfRule>
  </conditionalFormatting>
  <conditionalFormatting sqref="D43">
    <cfRule type="expression" dxfId="2328" priority="5">
      <formula>$G43="réalisé"</formula>
    </cfRule>
    <cfRule type="expression" dxfId="2327" priority="6">
      <formula>$G43="en cours"</formula>
    </cfRule>
    <cfRule type="expression" dxfId="2326" priority="7">
      <formula>$G43="non compris"</formula>
    </cfRule>
  </conditionalFormatting>
  <conditionalFormatting sqref="D46">
    <cfRule type="expression" dxfId="2325" priority="2">
      <formula>$G46="réalisé"</formula>
    </cfRule>
    <cfRule type="expression" dxfId="2324" priority="3">
      <formula>$G46="en cours"</formula>
    </cfRule>
    <cfRule type="expression" dxfId="2323" priority="4">
      <formula>$G46="non compris"</formula>
    </cfRule>
  </conditionalFormatting>
  <conditionalFormatting sqref="D8:D21">
    <cfRule type="expression" dxfId="2322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  <pageSetUpPr fitToPage="1"/>
  </sheetPr>
  <dimension ref="A1:I68"/>
  <sheetViews>
    <sheetView view="pageLayout" topLeftCell="A28" zoomScaleNormal="100" workbookViewId="0">
      <selection activeCell="E40" sqref="E40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855468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ht="15.75" x14ac:dyDescent="0.25">
      <c r="A2" s="553" t="s">
        <v>2</v>
      </c>
      <c r="B2" s="554"/>
      <c r="C2" s="4" t="s">
        <v>101</v>
      </c>
      <c r="D2" s="5" t="s">
        <v>98</v>
      </c>
      <c r="E2" s="522">
        <v>42373</v>
      </c>
      <c r="F2" s="522"/>
      <c r="G2" s="6"/>
      <c r="H2" s="523" t="s">
        <v>305</v>
      </c>
      <c r="I2" s="524"/>
    </row>
    <row r="3" spans="1:9" ht="15.75" x14ac:dyDescent="0.25">
      <c r="A3" s="555" t="s">
        <v>159</v>
      </c>
      <c r="B3" s="556"/>
      <c r="C3" s="7" t="s">
        <v>102</v>
      </c>
      <c r="D3" s="8" t="s">
        <v>3</v>
      </c>
      <c r="E3" s="525">
        <v>42397</v>
      </c>
      <c r="F3" s="526"/>
      <c r="G3" s="9"/>
      <c r="H3" s="527" t="str">
        <f ca="1">DATEDIF(E3,TODAY(),"m")&amp;"mois"&amp;-DATEDIF(E3,TODAY(),"md")&amp;"jours"</f>
        <v>18mois-26jours</v>
      </c>
      <c r="I3" s="528"/>
    </row>
    <row r="4" spans="1:9" ht="18.75" x14ac:dyDescent="0.25">
      <c r="A4" s="10"/>
      <c r="B4" s="12"/>
      <c r="C4" s="11" t="s">
        <v>103</v>
      </c>
      <c r="D4" s="12" t="s">
        <v>4</v>
      </c>
      <c r="E4" s="529">
        <f>E3+60</f>
        <v>42457</v>
      </c>
      <c r="F4" s="529"/>
      <c r="G4" s="13"/>
      <c r="H4" s="14"/>
      <c r="I4" s="15"/>
    </row>
    <row r="5" spans="1:9" x14ac:dyDescent="0.25">
      <c r="A5" s="16"/>
      <c r="B5" s="1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24" t="s">
        <v>6</v>
      </c>
      <c r="E7" s="25" t="s">
        <v>7</v>
      </c>
      <c r="F7" s="23" t="s">
        <v>8</v>
      </c>
      <c r="G7" s="24" t="s">
        <v>9</v>
      </c>
      <c r="H7" s="26" t="s">
        <v>89</v>
      </c>
      <c r="I7" s="21"/>
    </row>
    <row r="8" spans="1:9" x14ac:dyDescent="0.25">
      <c r="A8" s="208"/>
      <c r="B8" s="213"/>
      <c r="C8" s="27" t="s">
        <v>10</v>
      </c>
      <c r="D8" s="89" t="s">
        <v>90</v>
      </c>
      <c r="E8" s="28">
        <f>E9</f>
        <v>4</v>
      </c>
      <c r="F8" s="29"/>
      <c r="G8" s="30" t="s">
        <v>55</v>
      </c>
      <c r="H8" s="31"/>
      <c r="I8" s="21"/>
    </row>
    <row r="9" spans="1:9" x14ac:dyDescent="0.25">
      <c r="A9" s="208"/>
      <c r="B9" s="213"/>
      <c r="C9" s="32" t="s">
        <v>12</v>
      </c>
      <c r="D9" s="90" t="s">
        <v>90</v>
      </c>
      <c r="E9" s="33">
        <v>4</v>
      </c>
      <c r="F9" s="34"/>
      <c r="G9" s="35" t="s">
        <v>55</v>
      </c>
      <c r="H9" s="31"/>
      <c r="I9" s="21"/>
    </row>
    <row r="10" spans="1:9" ht="15" customHeight="1" x14ac:dyDescent="0.25">
      <c r="A10" s="207">
        <v>21425.63</v>
      </c>
      <c r="B10" s="207">
        <v>0</v>
      </c>
      <c r="C10" s="32" t="s">
        <v>13</v>
      </c>
      <c r="D10" s="89" t="s">
        <v>57</v>
      </c>
      <c r="E10" s="28">
        <f>E9</f>
        <v>4</v>
      </c>
      <c r="F10" s="36"/>
      <c r="G10" s="35" t="s">
        <v>55</v>
      </c>
      <c r="H10" s="31"/>
      <c r="I10" s="21"/>
    </row>
    <row r="11" spans="1:9" x14ac:dyDescent="0.25">
      <c r="A11" s="208"/>
      <c r="B11" s="213"/>
      <c r="C11" s="94" t="s">
        <v>88</v>
      </c>
      <c r="D11" s="95" t="s">
        <v>90</v>
      </c>
      <c r="E11" s="101">
        <f>E10+3</f>
        <v>7</v>
      </c>
      <c r="F11" s="97"/>
      <c r="G11" s="98" t="s">
        <v>55</v>
      </c>
      <c r="H11" s="99"/>
      <c r="I11" s="21"/>
    </row>
    <row r="12" spans="1:9" x14ac:dyDescent="0.25">
      <c r="A12" s="208"/>
      <c r="B12" s="213"/>
      <c r="C12" s="94" t="s">
        <v>14</v>
      </c>
      <c r="D12" s="100" t="s">
        <v>90</v>
      </c>
      <c r="E12" s="101">
        <f>E11</f>
        <v>7</v>
      </c>
      <c r="F12" s="97"/>
      <c r="G12" s="98" t="s">
        <v>55</v>
      </c>
      <c r="H12" s="99"/>
      <c r="I12" s="21"/>
    </row>
    <row r="13" spans="1:9" x14ac:dyDescent="0.25">
      <c r="A13" s="208"/>
      <c r="B13" s="213"/>
      <c r="C13" s="32" t="s">
        <v>15</v>
      </c>
      <c r="D13" s="90" t="s">
        <v>57</v>
      </c>
      <c r="E13" s="28">
        <f>E12+1</f>
        <v>8</v>
      </c>
      <c r="F13" s="34"/>
      <c r="G13" s="35" t="s">
        <v>55</v>
      </c>
      <c r="H13" s="31"/>
      <c r="I13" s="21"/>
    </row>
    <row r="14" spans="1:9" x14ac:dyDescent="0.25">
      <c r="A14" s="208"/>
      <c r="B14" s="213"/>
      <c r="C14" s="32" t="s">
        <v>16</v>
      </c>
      <c r="D14" s="89" t="s">
        <v>61</v>
      </c>
      <c r="E14" s="28">
        <f>IF(E13="","",MOD(E13+1,52))</f>
        <v>9</v>
      </c>
      <c r="F14" s="34"/>
      <c r="G14" s="35" t="s">
        <v>55</v>
      </c>
      <c r="H14" s="31"/>
      <c r="I14" s="21"/>
    </row>
    <row r="15" spans="1:9" x14ac:dyDescent="0.25">
      <c r="A15" s="208"/>
      <c r="B15" s="213"/>
      <c r="C15" s="32" t="s">
        <v>100</v>
      </c>
      <c r="D15" s="90" t="str">
        <f>D10</f>
        <v>TEMA</v>
      </c>
      <c r="E15" s="28">
        <f>IF(E14="","",MOD(E14+1,52))</f>
        <v>10</v>
      </c>
      <c r="F15" s="34"/>
      <c r="G15" s="35" t="s">
        <v>55</v>
      </c>
      <c r="H15" s="31"/>
      <c r="I15" s="21"/>
    </row>
    <row r="16" spans="1:9" x14ac:dyDescent="0.25">
      <c r="A16" s="208"/>
      <c r="B16" s="213"/>
      <c r="C16" s="94" t="s">
        <v>85</v>
      </c>
      <c r="D16" s="100" t="s">
        <v>90</v>
      </c>
      <c r="E16" s="101">
        <f>IF(E15="","",MOD(E15+1,52))</f>
        <v>11</v>
      </c>
      <c r="F16" s="97"/>
      <c r="G16" s="98" t="s">
        <v>55</v>
      </c>
      <c r="H16" s="99"/>
      <c r="I16" s="21"/>
    </row>
    <row r="17" spans="1:9" x14ac:dyDescent="0.25">
      <c r="A17" s="208"/>
      <c r="B17" s="213"/>
      <c r="C17" s="94" t="s">
        <v>86</v>
      </c>
      <c r="D17" s="103" t="s">
        <v>90</v>
      </c>
      <c r="E17" s="101">
        <v>12</v>
      </c>
      <c r="F17" s="97"/>
      <c r="G17" s="98" t="s">
        <v>55</v>
      </c>
      <c r="H17" s="104"/>
      <c r="I17" s="21"/>
    </row>
    <row r="18" spans="1:9" x14ac:dyDescent="0.25">
      <c r="A18" s="208"/>
      <c r="B18" s="213"/>
      <c r="C18" s="94" t="s">
        <v>17</v>
      </c>
      <c r="D18" s="95" t="s">
        <v>90</v>
      </c>
      <c r="E18" s="101">
        <v>13</v>
      </c>
      <c r="F18" s="97"/>
      <c r="G18" s="98" t="s">
        <v>55</v>
      </c>
      <c r="H18" s="99"/>
      <c r="I18" s="21"/>
    </row>
    <row r="19" spans="1:9" x14ac:dyDescent="0.25">
      <c r="A19" s="207">
        <v>3760.72</v>
      </c>
      <c r="B19" s="207">
        <v>0</v>
      </c>
      <c r="C19" s="37" t="s">
        <v>18</v>
      </c>
      <c r="D19" s="89" t="s">
        <v>65</v>
      </c>
      <c r="E19" s="28">
        <f>IF(E16="","",MOD(E16+1,52))</f>
        <v>12</v>
      </c>
      <c r="F19" s="34"/>
      <c r="G19" s="35" t="s">
        <v>55</v>
      </c>
      <c r="H19" s="31"/>
      <c r="I19" s="21"/>
    </row>
    <row r="20" spans="1:9" x14ac:dyDescent="0.25">
      <c r="A20" s="208"/>
      <c r="B20" s="213"/>
      <c r="C20" s="32" t="s">
        <v>19</v>
      </c>
      <c r="D20" s="90" t="str">
        <f>D13</f>
        <v>TEMA</v>
      </c>
      <c r="E20" s="28">
        <f>IF(E16="","",MOD(E16+1,52))</f>
        <v>12</v>
      </c>
      <c r="F20" s="34"/>
      <c r="G20" s="35" t="s">
        <v>55</v>
      </c>
      <c r="H20" s="31"/>
      <c r="I20" s="21"/>
    </row>
    <row r="21" spans="1:9" x14ac:dyDescent="0.25">
      <c r="A21" s="207">
        <v>0</v>
      </c>
      <c r="B21" s="207">
        <v>0</v>
      </c>
      <c r="C21" s="38" t="s">
        <v>20</v>
      </c>
      <c r="D21" s="93" t="s">
        <v>80</v>
      </c>
      <c r="E21" s="39">
        <f>E19</f>
        <v>12</v>
      </c>
      <c r="F21" s="40"/>
      <c r="G21" s="43" t="s">
        <v>55</v>
      </c>
      <c r="H21" s="42"/>
      <c r="I21" s="21"/>
    </row>
    <row r="22" spans="1:9" x14ac:dyDescent="0.25">
      <c r="A22" s="209"/>
      <c r="B22" s="210"/>
      <c r="C22" s="20"/>
      <c r="D22" s="45"/>
      <c r="E22" s="20"/>
      <c r="F22" s="20"/>
      <c r="G22" s="20"/>
      <c r="H22" s="20"/>
      <c r="I22" s="21"/>
    </row>
    <row r="23" spans="1:9" ht="18.75" x14ac:dyDescent="0.3">
      <c r="A23" s="211"/>
      <c r="B23" s="212"/>
      <c r="C23" s="46"/>
      <c r="D23" s="46"/>
      <c r="E23" s="46"/>
      <c r="F23" s="46"/>
      <c r="G23" s="46"/>
      <c r="H23" s="46"/>
      <c r="I23" s="21"/>
    </row>
    <row r="24" spans="1:9" ht="15.75" thickBot="1" x14ac:dyDescent="0.3">
      <c r="A24" s="208"/>
      <c r="B24" s="213"/>
      <c r="C24" s="23" t="s">
        <v>5</v>
      </c>
      <c r="D24" s="24" t="s">
        <v>6</v>
      </c>
      <c r="E24" s="47" t="s">
        <v>7</v>
      </c>
      <c r="F24" s="23" t="s">
        <v>56</v>
      </c>
      <c r="G24" s="24" t="s">
        <v>53</v>
      </c>
      <c r="H24" s="87" t="s">
        <v>89</v>
      </c>
      <c r="I24" s="21"/>
    </row>
    <row r="25" spans="1:9" x14ac:dyDescent="0.25">
      <c r="A25" s="208"/>
      <c r="B25" s="213"/>
      <c r="C25" s="105" t="s">
        <v>92</v>
      </c>
      <c r="D25" s="100" t="s">
        <v>90</v>
      </c>
      <c r="E25" s="106">
        <f>IF(E19="","",MOD(E19+1,52))</f>
        <v>13</v>
      </c>
      <c r="F25" s="107"/>
      <c r="G25" s="108" t="s">
        <v>55</v>
      </c>
      <c r="H25" s="99"/>
      <c r="I25" s="21"/>
    </row>
    <row r="26" spans="1:9" x14ac:dyDescent="0.25">
      <c r="A26" s="207">
        <v>2551.6799999999998</v>
      </c>
      <c r="B26" s="207">
        <v>0</v>
      </c>
      <c r="C26" s="54" t="s">
        <v>93</v>
      </c>
      <c r="D26" s="93" t="s">
        <v>68</v>
      </c>
      <c r="E26" s="39">
        <f>IF(E25="","",MOD(E25+1,52))</f>
        <v>14</v>
      </c>
      <c r="F26" s="40"/>
      <c r="G26" s="41" t="s">
        <v>55</v>
      </c>
      <c r="H26" s="42"/>
      <c r="I26" s="21"/>
    </row>
    <row r="27" spans="1:9" x14ac:dyDescent="0.25">
      <c r="A27" s="208"/>
      <c r="B27" s="213"/>
      <c r="C27" s="116" t="s">
        <v>22</v>
      </c>
      <c r="D27" s="110" t="str">
        <f>D25</f>
        <v>A CHARGE CLIENT</v>
      </c>
      <c r="E27" s="111">
        <f>IF(E26="","",MOD(E26+2,52))</f>
        <v>16</v>
      </c>
      <c r="F27" s="112"/>
      <c r="G27" s="113" t="s">
        <v>55</v>
      </c>
      <c r="H27" s="114"/>
      <c r="I27" s="21"/>
    </row>
    <row r="28" spans="1:9" x14ac:dyDescent="0.25">
      <c r="A28" s="207">
        <v>0</v>
      </c>
      <c r="B28" s="207">
        <v>0</v>
      </c>
      <c r="C28" s="52" t="s">
        <v>23</v>
      </c>
      <c r="D28" s="93" t="s">
        <v>74</v>
      </c>
      <c r="E28" s="39">
        <f>IF(E26="","",MOD(E26+2,52))</f>
        <v>16</v>
      </c>
      <c r="F28" s="40"/>
      <c r="G28" s="41" t="s">
        <v>55</v>
      </c>
      <c r="H28" s="42"/>
      <c r="I28" s="21"/>
    </row>
    <row r="29" spans="1:9" x14ac:dyDescent="0.25">
      <c r="A29" s="208"/>
      <c r="B29" s="213"/>
      <c r="C29" s="116" t="s">
        <v>24</v>
      </c>
      <c r="D29" s="110" t="s">
        <v>90</v>
      </c>
      <c r="E29" s="111">
        <v>51</v>
      </c>
      <c r="F29" s="112"/>
      <c r="G29" s="113" t="s">
        <v>55</v>
      </c>
      <c r="H29" s="114"/>
      <c r="I29" s="21"/>
    </row>
    <row r="30" spans="1:9" x14ac:dyDescent="0.25">
      <c r="A30" s="208"/>
      <c r="B30" s="213"/>
      <c r="C30" s="109" t="s">
        <v>25</v>
      </c>
      <c r="D30" s="115" t="s">
        <v>90</v>
      </c>
      <c r="E30" s="111">
        <v>6</v>
      </c>
      <c r="F30" s="112"/>
      <c r="G30" s="113" t="s">
        <v>55</v>
      </c>
      <c r="H30" s="114"/>
      <c r="I30" s="21"/>
    </row>
    <row r="31" spans="1:9" x14ac:dyDescent="0.25">
      <c r="A31" s="208"/>
      <c r="B31" s="213"/>
      <c r="C31" s="94" t="s">
        <v>26</v>
      </c>
      <c r="D31" s="100" t="s">
        <v>94</v>
      </c>
      <c r="E31" s="101"/>
      <c r="F31" s="97"/>
      <c r="G31" s="98"/>
      <c r="H31" s="99"/>
      <c r="I31" s="21"/>
    </row>
    <row r="32" spans="1:9" x14ac:dyDescent="0.25">
      <c r="A32" s="207">
        <v>550.45000000000005</v>
      </c>
      <c r="B32" s="207">
        <f>A32-550.45</f>
        <v>0</v>
      </c>
      <c r="C32" s="55" t="s">
        <v>27</v>
      </c>
      <c r="D32" s="93" t="s">
        <v>76</v>
      </c>
      <c r="E32" s="39">
        <v>10</v>
      </c>
      <c r="F32" s="40"/>
      <c r="G32" s="41" t="s">
        <v>55</v>
      </c>
      <c r="H32" s="42"/>
      <c r="I32" s="21"/>
    </row>
    <row r="33" spans="1:9" x14ac:dyDescent="0.25">
      <c r="A33" s="208"/>
      <c r="B33" s="213"/>
      <c r="C33" s="55" t="s">
        <v>28</v>
      </c>
      <c r="D33" s="92" t="str">
        <f>D26</f>
        <v>SOARES</v>
      </c>
      <c r="E33" s="39">
        <f>IF(E32="","",MOD(E32+1,52))</f>
        <v>11</v>
      </c>
      <c r="F33" s="40"/>
      <c r="G33" s="41" t="s">
        <v>55</v>
      </c>
      <c r="H33" s="42"/>
      <c r="I33" s="21"/>
    </row>
    <row r="34" spans="1:9" x14ac:dyDescent="0.25">
      <c r="A34" s="208"/>
      <c r="B34" s="213"/>
      <c r="C34" s="109" t="s">
        <v>29</v>
      </c>
      <c r="D34" s="115" t="str">
        <f>D25</f>
        <v>A CHARGE CLIENT</v>
      </c>
      <c r="E34" s="111">
        <f>IF(E33="","",MOD(E33+1,52))</f>
        <v>12</v>
      </c>
      <c r="F34" s="112"/>
      <c r="G34" s="113" t="s">
        <v>55</v>
      </c>
      <c r="H34" s="114"/>
      <c r="I34" s="21"/>
    </row>
    <row r="35" spans="1:9" x14ac:dyDescent="0.25">
      <c r="A35" s="208"/>
      <c r="B35" s="213"/>
      <c r="C35" s="55" t="s">
        <v>30</v>
      </c>
      <c r="D35" s="92" t="str">
        <f>D28</f>
        <v>WAGNER</v>
      </c>
      <c r="E35" s="39">
        <v>18</v>
      </c>
      <c r="F35" s="40"/>
      <c r="G35" s="41" t="s">
        <v>55</v>
      </c>
      <c r="H35" s="42"/>
      <c r="I35" s="21"/>
    </row>
    <row r="36" spans="1:9" ht="15" customHeight="1" x14ac:dyDescent="0.25">
      <c r="A36" s="208"/>
      <c r="B36" s="213"/>
      <c r="C36" s="109" t="s">
        <v>31</v>
      </c>
      <c r="D36" s="115" t="s">
        <v>90</v>
      </c>
      <c r="E36" s="111">
        <f>E32+5</f>
        <v>15</v>
      </c>
      <c r="F36" s="112"/>
      <c r="G36" s="113"/>
      <c r="H36" s="114"/>
      <c r="I36" s="21"/>
    </row>
    <row r="37" spans="1:9" x14ac:dyDescent="0.25">
      <c r="A37" s="208"/>
      <c r="B37" s="213"/>
      <c r="C37" s="109" t="s">
        <v>32</v>
      </c>
      <c r="D37" s="110" t="s">
        <v>90</v>
      </c>
      <c r="E37" s="111">
        <f>E35+1</f>
        <v>19</v>
      </c>
      <c r="F37" s="112"/>
      <c r="G37" s="113"/>
      <c r="H37" s="114"/>
      <c r="I37" s="21"/>
    </row>
    <row r="38" spans="1:9" x14ac:dyDescent="0.25">
      <c r="A38" s="208"/>
      <c r="B38" s="213"/>
      <c r="C38" s="109" t="s">
        <v>33</v>
      </c>
      <c r="D38" s="115" t="s">
        <v>90</v>
      </c>
      <c r="E38" s="111">
        <f>IF(E37="","",MOD(E37+1,52))</f>
        <v>20</v>
      </c>
      <c r="F38" s="112"/>
      <c r="G38" s="113"/>
      <c r="H38" s="114"/>
      <c r="I38" s="21"/>
    </row>
    <row r="39" spans="1:9" x14ac:dyDescent="0.25">
      <c r="A39" s="207">
        <v>0</v>
      </c>
      <c r="B39" s="207">
        <v>0</v>
      </c>
      <c r="C39" s="56" t="s">
        <v>34</v>
      </c>
      <c r="D39" s="92" t="s">
        <v>79</v>
      </c>
      <c r="E39" s="57">
        <v>35</v>
      </c>
      <c r="F39" s="58"/>
      <c r="G39" s="43"/>
      <c r="H39" s="42" t="s">
        <v>210</v>
      </c>
      <c r="I39" s="21"/>
    </row>
    <row r="40" spans="1:9" x14ac:dyDescent="0.25">
      <c r="A40" s="209"/>
      <c r="B40" s="210"/>
      <c r="C40" s="20"/>
      <c r="D40" s="59"/>
      <c r="E40" s="20"/>
      <c r="F40" s="20"/>
      <c r="G40" s="20"/>
      <c r="H40" s="20"/>
      <c r="I40" s="21"/>
    </row>
    <row r="41" spans="1:9" x14ac:dyDescent="0.25">
      <c r="A41" s="211"/>
      <c r="B41" s="212"/>
      <c r="C41" s="60"/>
      <c r="D41" s="60"/>
      <c r="E41" s="60"/>
      <c r="F41" s="60"/>
      <c r="G41" s="60"/>
      <c r="H41" s="20"/>
      <c r="I41" s="21"/>
    </row>
    <row r="42" spans="1:9" ht="15.75" thickBot="1" x14ac:dyDescent="0.3">
      <c r="A42" s="208"/>
      <c r="B42" s="213"/>
      <c r="C42" s="61" t="s">
        <v>5</v>
      </c>
      <c r="D42" s="61" t="s">
        <v>6</v>
      </c>
      <c r="E42" s="62" t="s">
        <v>11</v>
      </c>
      <c r="F42" s="63" t="s">
        <v>56</v>
      </c>
      <c r="G42" s="61" t="s">
        <v>53</v>
      </c>
      <c r="H42" s="88" t="s">
        <v>89</v>
      </c>
      <c r="I42" s="21"/>
    </row>
    <row r="43" spans="1:9" x14ac:dyDescent="0.25">
      <c r="A43" s="208"/>
      <c r="B43" s="213"/>
      <c r="C43" s="117" t="s">
        <v>35</v>
      </c>
      <c r="D43" s="110" t="s">
        <v>90</v>
      </c>
      <c r="E43" s="118">
        <f>E28+1</f>
        <v>17</v>
      </c>
      <c r="F43" s="119"/>
      <c r="G43" s="120"/>
      <c r="H43" s="114"/>
      <c r="I43" s="21"/>
    </row>
    <row r="44" spans="1:9" x14ac:dyDescent="0.25">
      <c r="A44" s="208"/>
      <c r="B44" s="213"/>
      <c r="C44" s="116" t="s">
        <v>95</v>
      </c>
      <c r="D44" s="110" t="s">
        <v>90</v>
      </c>
      <c r="E44" s="121">
        <f>E43+1</f>
        <v>18</v>
      </c>
      <c r="F44" s="112"/>
      <c r="G44" s="113"/>
      <c r="H44" s="114"/>
      <c r="I44" s="21"/>
    </row>
    <row r="45" spans="1:9" x14ac:dyDescent="0.25">
      <c r="A45" s="208"/>
      <c r="B45" s="213"/>
      <c r="C45" s="94" t="s">
        <v>87</v>
      </c>
      <c r="D45" s="95" t="s">
        <v>94</v>
      </c>
      <c r="E45" s="96">
        <f>E43+1</f>
        <v>18</v>
      </c>
      <c r="F45" s="97"/>
      <c r="G45" s="98"/>
      <c r="H45" s="99"/>
      <c r="I45" s="21"/>
    </row>
    <row r="46" spans="1:9" x14ac:dyDescent="0.25">
      <c r="A46" s="208"/>
      <c r="B46" s="213"/>
      <c r="C46" s="122" t="s">
        <v>36</v>
      </c>
      <c r="D46" s="110" t="str">
        <f>D43</f>
        <v>A CHARGE CLIENT</v>
      </c>
      <c r="E46" s="121">
        <f>E43+3</f>
        <v>20</v>
      </c>
      <c r="F46" s="112"/>
      <c r="G46" s="123"/>
      <c r="H46" s="114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42397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81">
        <v>42398</v>
      </c>
      <c r="E51" s="76"/>
      <c r="F51" s="2" t="s">
        <v>169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342">
        <v>42430</v>
      </c>
      <c r="E52" s="76"/>
      <c r="F52" s="2" t="s">
        <v>169</v>
      </c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dataConsolidate/>
  <mergeCells count="11">
    <mergeCell ref="C6:H6"/>
    <mergeCell ref="C55:I60"/>
    <mergeCell ref="A1:G1"/>
    <mergeCell ref="E2:F2"/>
    <mergeCell ref="H2:I2"/>
    <mergeCell ref="E3:F3"/>
    <mergeCell ref="H3:I3"/>
    <mergeCell ref="E4:F4"/>
    <mergeCell ref="A2:B2"/>
    <mergeCell ref="A3:B3"/>
    <mergeCell ref="A6:B6"/>
  </mergeCells>
  <conditionalFormatting sqref="C47:G47 D22 C40:G40">
    <cfRule type="expression" dxfId="2279" priority="71">
      <formula>$F22="réalisé"</formula>
    </cfRule>
  </conditionalFormatting>
  <conditionalFormatting sqref="C43:C46 E43:H46 C8:H21 E25:H39">
    <cfRule type="expression" dxfId="2278" priority="68">
      <formula>$G8="réalisé"</formula>
    </cfRule>
    <cfRule type="expression" dxfId="2277" priority="69">
      <formula>$G8="en cours"</formula>
    </cfRule>
    <cfRule type="expression" dxfId="2276" priority="70">
      <formula>$G8="non cpris"</formula>
    </cfRule>
  </conditionalFormatting>
  <conditionalFormatting sqref="C22:G22 C40:G40">
    <cfRule type="expression" dxfId="2275" priority="67">
      <formula>$F22="non cpris"</formula>
    </cfRule>
  </conditionalFormatting>
  <conditionalFormatting sqref="C22:G22">
    <cfRule type="expression" dxfId="2274" priority="66">
      <formula>$F22="en cours"</formula>
    </cfRule>
  </conditionalFormatting>
  <conditionalFormatting sqref="C25:C39">
    <cfRule type="expression" dxfId="2273" priority="63">
      <formula>$G25="réalisé"</formula>
    </cfRule>
    <cfRule type="expression" dxfId="2272" priority="64">
      <formula>$G25="en cours"</formula>
    </cfRule>
    <cfRule type="expression" dxfId="2271" priority="65">
      <formula>$G25="non cpris"</formula>
    </cfRule>
  </conditionalFormatting>
  <conditionalFormatting sqref="C50:F53">
    <cfRule type="expression" dxfId="2270" priority="62">
      <formula>$F50="réalisé"</formula>
    </cfRule>
  </conditionalFormatting>
  <conditionalFormatting sqref="G9">
    <cfRule type="expression" dxfId="2269" priority="61">
      <formula>$G$10="réalisé"</formula>
    </cfRule>
  </conditionalFormatting>
  <conditionalFormatting sqref="G10">
    <cfRule type="expression" dxfId="2268" priority="60">
      <formula>$G$11="réalisé"</formula>
    </cfRule>
  </conditionalFormatting>
  <conditionalFormatting sqref="G16:G17">
    <cfRule type="expression" dxfId="2267" priority="59">
      <formula>$G$18="réalisé"</formula>
    </cfRule>
  </conditionalFormatting>
  <conditionalFormatting sqref="G26">
    <cfRule type="expression" dxfId="2266" priority="58">
      <formula>$G$27="réalisé"</formula>
    </cfRule>
  </conditionalFormatting>
  <conditionalFormatting sqref="D25">
    <cfRule type="expression" dxfId="2265" priority="55">
      <formula>$G25="réalisé"</formula>
    </cfRule>
    <cfRule type="expression" dxfId="2264" priority="56">
      <formula>$G25="en cours"</formula>
    </cfRule>
    <cfRule type="expression" dxfId="2263" priority="57">
      <formula>$G25="non cpris"</formula>
    </cfRule>
  </conditionalFormatting>
  <conditionalFormatting sqref="D27">
    <cfRule type="expression" dxfId="2262" priority="52">
      <formula>$G27="réalisé"</formula>
    </cfRule>
    <cfRule type="expression" dxfId="2261" priority="53">
      <formula>$G27="en cours"</formula>
    </cfRule>
    <cfRule type="expression" dxfId="2260" priority="54">
      <formula>$G27="non cpris"</formula>
    </cfRule>
  </conditionalFormatting>
  <conditionalFormatting sqref="D29">
    <cfRule type="expression" dxfId="2259" priority="49">
      <formula>$G29="réalisé"</formula>
    </cfRule>
    <cfRule type="expression" dxfId="2258" priority="50">
      <formula>$G29="en cours"</formula>
    </cfRule>
    <cfRule type="expression" dxfId="2257" priority="51">
      <formula>$G29="non cpris"</formula>
    </cfRule>
  </conditionalFormatting>
  <conditionalFormatting sqref="D31">
    <cfRule type="expression" dxfId="2256" priority="46">
      <formula>$G31="réalisé"</formula>
    </cfRule>
    <cfRule type="expression" dxfId="2255" priority="47">
      <formula>$G31="en cours"</formula>
    </cfRule>
    <cfRule type="expression" dxfId="2254" priority="48">
      <formula>$G31="non cpris"</formula>
    </cfRule>
  </conditionalFormatting>
  <conditionalFormatting sqref="D33">
    <cfRule type="expression" dxfId="2253" priority="43">
      <formula>$G33="réalisé"</formula>
    </cfRule>
    <cfRule type="expression" dxfId="2252" priority="44">
      <formula>$G33="en cours"</formula>
    </cfRule>
    <cfRule type="expression" dxfId="2251" priority="45">
      <formula>$G33="non cpris"</formula>
    </cfRule>
  </conditionalFormatting>
  <conditionalFormatting sqref="D35">
    <cfRule type="expression" dxfId="2250" priority="40">
      <formula>$G35="réalisé"</formula>
    </cfRule>
    <cfRule type="expression" dxfId="2249" priority="41">
      <formula>$G35="en cours"</formula>
    </cfRule>
    <cfRule type="expression" dxfId="2248" priority="42">
      <formula>$G35="non cpris"</formula>
    </cfRule>
  </conditionalFormatting>
  <conditionalFormatting sqref="D37">
    <cfRule type="expression" dxfId="2247" priority="37">
      <formula>$G37="réalisé"</formula>
    </cfRule>
    <cfRule type="expression" dxfId="2246" priority="38">
      <formula>$G37="en cours"</formula>
    </cfRule>
    <cfRule type="expression" dxfId="2245" priority="39">
      <formula>$G37="non cpris"</formula>
    </cfRule>
  </conditionalFormatting>
  <conditionalFormatting sqref="D39">
    <cfRule type="expression" dxfId="2244" priority="34">
      <formula>$G39="réalisé"</formula>
    </cfRule>
    <cfRule type="expression" dxfId="2243" priority="35">
      <formula>$G39="en cours"</formula>
    </cfRule>
    <cfRule type="expression" dxfId="2242" priority="36">
      <formula>$G39="non cpris"</formula>
    </cfRule>
  </conditionalFormatting>
  <conditionalFormatting sqref="D26">
    <cfRule type="expression" dxfId="2241" priority="31">
      <formula>$G26="réalisé"</formula>
    </cfRule>
    <cfRule type="expression" dxfId="2240" priority="32">
      <formula>$G26="en cours"</formula>
    </cfRule>
    <cfRule type="expression" dxfId="2239" priority="33">
      <formula>$G26="non cpris"</formula>
    </cfRule>
  </conditionalFormatting>
  <conditionalFormatting sqref="D28">
    <cfRule type="expression" dxfId="2238" priority="28">
      <formula>$G28="réalisé"</formula>
    </cfRule>
    <cfRule type="expression" dxfId="2237" priority="29">
      <formula>$G28="en cours"</formula>
    </cfRule>
    <cfRule type="expression" dxfId="2236" priority="30">
      <formula>$G28="non cpris"</formula>
    </cfRule>
  </conditionalFormatting>
  <conditionalFormatting sqref="D30">
    <cfRule type="expression" dxfId="2235" priority="25">
      <formula>$G30="réalisé"</formula>
    </cfRule>
    <cfRule type="expression" dxfId="2234" priority="26">
      <formula>$G30="en cours"</formula>
    </cfRule>
    <cfRule type="expression" dxfId="2233" priority="27">
      <formula>$G30="non cpris"</formula>
    </cfRule>
  </conditionalFormatting>
  <conditionalFormatting sqref="D32">
    <cfRule type="expression" dxfId="2232" priority="22">
      <formula>$G32="réalisé"</formula>
    </cfRule>
    <cfRule type="expression" dxfId="2231" priority="23">
      <formula>$G32="en cours"</formula>
    </cfRule>
    <cfRule type="expression" dxfId="2230" priority="24">
      <formula>$G32="non cpris"</formula>
    </cfRule>
  </conditionalFormatting>
  <conditionalFormatting sqref="D34">
    <cfRule type="expression" dxfId="2229" priority="19">
      <formula>$G34="réalisé"</formula>
    </cfRule>
    <cfRule type="expression" dxfId="2228" priority="20">
      <formula>$G34="en cours"</formula>
    </cfRule>
    <cfRule type="expression" dxfId="2227" priority="21">
      <formula>$G34="non cpris"</formula>
    </cfRule>
  </conditionalFormatting>
  <conditionalFormatting sqref="D36">
    <cfRule type="expression" dxfId="2226" priority="16">
      <formula>$G36="réalisé"</formula>
    </cfRule>
    <cfRule type="expression" dxfId="2225" priority="17">
      <formula>$G36="en cours"</formula>
    </cfRule>
    <cfRule type="expression" dxfId="2224" priority="18">
      <formula>$G36="non cpris"</formula>
    </cfRule>
  </conditionalFormatting>
  <conditionalFormatting sqref="D38">
    <cfRule type="expression" dxfId="2223" priority="13">
      <formula>$G38="réalisé"</formula>
    </cfRule>
    <cfRule type="expression" dxfId="2222" priority="14">
      <formula>$G38="en cours"</formula>
    </cfRule>
    <cfRule type="expression" dxfId="2221" priority="15">
      <formula>$G38="non cpris"</formula>
    </cfRule>
  </conditionalFormatting>
  <conditionalFormatting sqref="D45">
    <cfRule type="expression" dxfId="2220" priority="10">
      <formula>$G45="réalisé"</formula>
    </cfRule>
    <cfRule type="expression" dxfId="2219" priority="11">
      <formula>$G45="en cours"</formula>
    </cfRule>
    <cfRule type="expression" dxfId="2218" priority="12">
      <formula>$G45="non cpris"</formula>
    </cfRule>
  </conditionalFormatting>
  <conditionalFormatting sqref="D44">
    <cfRule type="expression" dxfId="2217" priority="7">
      <formula>$G44="réalisé"</formula>
    </cfRule>
    <cfRule type="expression" dxfId="2216" priority="8">
      <formula>$G44="en cours"</formula>
    </cfRule>
    <cfRule type="expression" dxfId="2215" priority="9">
      <formula>$G44="non cpris"</formula>
    </cfRule>
  </conditionalFormatting>
  <conditionalFormatting sqref="D43">
    <cfRule type="expression" dxfId="2214" priority="4">
      <formula>$G43="réalisé"</formula>
    </cfRule>
    <cfRule type="expression" dxfId="2213" priority="5">
      <formula>$G43="en cours"</formula>
    </cfRule>
    <cfRule type="expression" dxfId="2212" priority="6">
      <formula>$G43="non cpris"</formula>
    </cfRule>
  </conditionalFormatting>
  <conditionalFormatting sqref="D46">
    <cfRule type="expression" dxfId="2211" priority="1">
      <formula>$G46="réalisé"</formula>
    </cfRule>
    <cfRule type="expression" dxfId="2210" priority="2">
      <formula>$G46="en cours"</formula>
    </cfRule>
    <cfRule type="expression" dxfId="2209" priority="3">
      <formula>$G46="non cpris"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B050"/>
    <pageSetUpPr fitToPage="1"/>
  </sheetPr>
  <dimension ref="A1:I69"/>
  <sheetViews>
    <sheetView topLeftCell="A4" zoomScaleNormal="100" workbookViewId="0">
      <selection activeCell="A41" sqref="A41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FARVACQUES</v>
      </c>
      <c r="D2" s="5" t="s">
        <v>98</v>
      </c>
      <c r="E2" s="522"/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241</v>
      </c>
      <c r="D3" s="8" t="s">
        <v>3</v>
      </c>
      <c r="E3" s="525"/>
      <c r="F3" s="526"/>
      <c r="G3" s="9"/>
      <c r="H3" s="527" t="str">
        <f ca="1">DATEDIF(E3,TODAY(),"m")&amp;"mois"&amp;-DATEDIF(E3,TODAY(),"md")&amp;"jours"</f>
        <v>1411mois-23jours</v>
      </c>
      <c r="I3" s="528"/>
    </row>
    <row r="4" spans="1:9" ht="18.75" x14ac:dyDescent="0.25">
      <c r="A4" s="127" t="s">
        <v>222</v>
      </c>
      <c r="B4" s="215"/>
      <c r="C4" s="11"/>
      <c r="D4" s="12" t="s">
        <v>4</v>
      </c>
      <c r="E4" s="529">
        <f>E3+60</f>
        <v>60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35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238</v>
      </c>
      <c r="D9" s="90" t="str">
        <f>D10</f>
        <v>TEMA</v>
      </c>
      <c r="E9" s="33">
        <v>35</v>
      </c>
      <c r="F9" s="34"/>
      <c r="G9" s="35" t="s">
        <v>11</v>
      </c>
      <c r="H9" s="31"/>
      <c r="I9" s="21"/>
    </row>
    <row r="10" spans="1:9" ht="15" customHeight="1" x14ac:dyDescent="0.25">
      <c r="A10" s="217"/>
      <c r="B10" s="217"/>
      <c r="C10" s="32" t="s">
        <v>13</v>
      </c>
      <c r="D10" s="89" t="s">
        <v>57</v>
      </c>
      <c r="E10" s="28">
        <f>E9</f>
        <v>35</v>
      </c>
      <c r="F10" s="36"/>
      <c r="G10" s="35" t="s">
        <v>11</v>
      </c>
      <c r="H10" s="31"/>
      <c r="I10" s="21"/>
    </row>
    <row r="11" spans="1:9" x14ac:dyDescent="0.25">
      <c r="A11" s="218"/>
      <c r="B11" s="219"/>
      <c r="C11" s="32" t="s">
        <v>88</v>
      </c>
      <c r="D11" s="90" t="s">
        <v>90</v>
      </c>
      <c r="E11" s="28">
        <f>E10+4</f>
        <v>39</v>
      </c>
      <c r="F11" s="34"/>
      <c r="G11" s="35" t="s">
        <v>96</v>
      </c>
      <c r="H11" s="31"/>
      <c r="I11" s="21"/>
    </row>
    <row r="12" spans="1:9" x14ac:dyDescent="0.25">
      <c r="A12" s="218"/>
      <c r="B12" s="219"/>
      <c r="C12" s="32" t="s">
        <v>14</v>
      </c>
      <c r="D12" s="89" t="s">
        <v>90</v>
      </c>
      <c r="E12" s="28">
        <f>E11</f>
        <v>39</v>
      </c>
      <c r="F12" s="34"/>
      <c r="G12" s="35" t="s">
        <v>96</v>
      </c>
      <c r="H12" s="31"/>
      <c r="I12" s="21"/>
    </row>
    <row r="13" spans="1:9" x14ac:dyDescent="0.25">
      <c r="A13" s="218"/>
      <c r="B13" s="219"/>
      <c r="C13" s="32" t="s">
        <v>15</v>
      </c>
      <c r="D13" s="90" t="s">
        <v>57</v>
      </c>
      <c r="E13" s="28">
        <f>E12+1</f>
        <v>40</v>
      </c>
      <c r="F13" s="34"/>
      <c r="G13" s="35" t="s">
        <v>11</v>
      </c>
      <c r="H13" s="31"/>
      <c r="I13" s="21"/>
    </row>
    <row r="14" spans="1:9" x14ac:dyDescent="0.25">
      <c r="A14" s="217"/>
      <c r="B14" s="217"/>
      <c r="C14" s="32" t="s">
        <v>16</v>
      </c>
      <c r="D14" s="89" t="s">
        <v>60</v>
      </c>
      <c r="E14" s="28">
        <f>IF(E13="","",MOD(E13+1,52))</f>
        <v>41</v>
      </c>
      <c r="F14" s="34"/>
      <c r="G14" s="35" t="s">
        <v>11</v>
      </c>
      <c r="H14" s="31"/>
      <c r="I14" s="21"/>
    </row>
    <row r="15" spans="1:9" x14ac:dyDescent="0.25">
      <c r="A15" s="218"/>
      <c r="B15" s="219"/>
      <c r="C15" s="32" t="s">
        <v>100</v>
      </c>
      <c r="D15" s="90" t="str">
        <f>D10</f>
        <v>TEMA</v>
      </c>
      <c r="E15" s="28">
        <f>IF(E14="","",MOD(E14+1,52))</f>
        <v>42</v>
      </c>
      <c r="F15" s="34"/>
      <c r="G15" s="35" t="s">
        <v>11</v>
      </c>
      <c r="H15" s="31"/>
      <c r="I15" s="21"/>
    </row>
    <row r="16" spans="1:9" x14ac:dyDescent="0.25">
      <c r="A16" s="225"/>
      <c r="B16" s="217"/>
      <c r="C16" s="32" t="s">
        <v>85</v>
      </c>
      <c r="D16" s="89" t="s">
        <v>62</v>
      </c>
      <c r="E16" s="28">
        <f>IF(E15="","",MOD(E15+1,52))</f>
        <v>43</v>
      </c>
      <c r="F16" s="34"/>
      <c r="G16" s="35"/>
      <c r="H16" s="31"/>
      <c r="I16" s="21"/>
    </row>
    <row r="17" spans="1:9" x14ac:dyDescent="0.25">
      <c r="A17" s="225"/>
      <c r="B17" s="217"/>
      <c r="C17" s="32" t="s">
        <v>86</v>
      </c>
      <c r="D17" s="91" t="s">
        <v>62</v>
      </c>
      <c r="E17" s="28">
        <f>E16</f>
        <v>43</v>
      </c>
      <c r="F17" s="34"/>
      <c r="G17" s="35"/>
      <c r="H17" s="86"/>
      <c r="I17" s="21"/>
    </row>
    <row r="18" spans="1:9" x14ac:dyDescent="0.25">
      <c r="A18" s="218"/>
      <c r="B18" s="219"/>
      <c r="C18" s="157" t="s">
        <v>17</v>
      </c>
      <c r="D18" s="164" t="s">
        <v>94</v>
      </c>
      <c r="E18" s="159">
        <f>E16</f>
        <v>43</v>
      </c>
      <c r="F18" s="160"/>
      <c r="G18" s="161"/>
      <c r="H18" s="162"/>
      <c r="I18" s="21"/>
    </row>
    <row r="19" spans="1:9" x14ac:dyDescent="0.25">
      <c r="A19" s="217"/>
      <c r="B19" s="217"/>
      <c r="C19" s="37" t="s">
        <v>18</v>
      </c>
      <c r="D19" s="89" t="s">
        <v>65</v>
      </c>
      <c r="E19" s="28">
        <f>IF(E16="","",MOD(E16+2,52))</f>
        <v>45</v>
      </c>
      <c r="F19" s="34"/>
      <c r="G19" s="35"/>
      <c r="H19" s="31"/>
      <c r="I19" s="21"/>
    </row>
    <row r="20" spans="1:9" x14ac:dyDescent="0.25">
      <c r="A20" s="218"/>
      <c r="B20" s="219"/>
      <c r="C20" s="32" t="s">
        <v>19</v>
      </c>
      <c r="D20" s="90" t="str">
        <f>D13</f>
        <v>TEMA</v>
      </c>
      <c r="E20" s="28">
        <f>IF(E16="","",MOD(E16+2,52))</f>
        <v>45</v>
      </c>
      <c r="F20" s="34"/>
      <c r="G20" s="35"/>
      <c r="H20" s="31"/>
      <c r="I20" s="21"/>
    </row>
    <row r="21" spans="1:9" x14ac:dyDescent="0.25">
      <c r="A21" s="217"/>
      <c r="B21" s="217"/>
      <c r="C21" s="132" t="s">
        <v>20</v>
      </c>
      <c r="D21" s="90" t="s">
        <v>81</v>
      </c>
      <c r="E21" s="28">
        <f>E19</f>
        <v>45</v>
      </c>
      <c r="F21" s="34"/>
      <c r="G21" s="133"/>
      <c r="H21" s="31"/>
      <c r="I21" s="21"/>
    </row>
    <row r="22" spans="1:9" x14ac:dyDescent="0.25">
      <c r="A22" s="220"/>
      <c r="B22" s="221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22"/>
      <c r="B23" s="223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18"/>
      <c r="B24" s="219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17"/>
      <c r="B25" s="217"/>
      <c r="C25" s="141" t="s">
        <v>92</v>
      </c>
      <c r="D25" s="89" t="s">
        <v>129</v>
      </c>
      <c r="E25" s="142">
        <f>IF(E19="","",MOD(E19+1,52))</f>
        <v>46</v>
      </c>
      <c r="F25" s="29"/>
      <c r="G25" s="30" t="s">
        <v>11</v>
      </c>
      <c r="H25" s="31"/>
      <c r="I25" s="21"/>
    </row>
    <row r="26" spans="1:9" x14ac:dyDescent="0.25">
      <c r="A26" s="217"/>
      <c r="B26" s="217"/>
      <c r="C26" s="32" t="s">
        <v>93</v>
      </c>
      <c r="D26" s="90" t="s">
        <v>68</v>
      </c>
      <c r="E26" s="28">
        <f>IF(E25="","",MOD(E25+1,52))</f>
        <v>47</v>
      </c>
      <c r="F26" s="34"/>
      <c r="G26" s="35"/>
      <c r="H26" s="31"/>
      <c r="I26" s="21"/>
    </row>
    <row r="27" spans="1:9" x14ac:dyDescent="0.25">
      <c r="A27" s="218"/>
      <c r="B27" s="219"/>
      <c r="C27" s="102" t="s">
        <v>22</v>
      </c>
      <c r="D27" s="89" t="str">
        <f>D25</f>
        <v>ELECTRO HECKER</v>
      </c>
      <c r="E27" s="28">
        <f>IF(E26="","",MOD(E26+2,52))</f>
        <v>49</v>
      </c>
      <c r="F27" s="34"/>
      <c r="G27" s="35"/>
      <c r="H27" s="31"/>
      <c r="I27" s="21"/>
    </row>
    <row r="28" spans="1:9" x14ac:dyDescent="0.25">
      <c r="A28" s="217"/>
      <c r="B28" s="217"/>
      <c r="C28" s="143" t="s">
        <v>23</v>
      </c>
      <c r="D28" s="90" t="s">
        <v>73</v>
      </c>
      <c r="E28" s="28">
        <f>IF(E26="","",MOD(E26+2,52))</f>
        <v>49</v>
      </c>
      <c r="F28" s="34"/>
      <c r="G28" s="35"/>
      <c r="H28" s="31"/>
      <c r="I28" s="21"/>
    </row>
    <row r="29" spans="1:9" x14ac:dyDescent="0.25">
      <c r="A29" s="217"/>
      <c r="B29" s="217"/>
      <c r="C29" s="102" t="s">
        <v>24</v>
      </c>
      <c r="D29" s="89" t="s">
        <v>73</v>
      </c>
      <c r="E29" s="28">
        <f>IF(E28="","",MOD(E28+1,52))</f>
        <v>50</v>
      </c>
      <c r="F29" s="34"/>
      <c r="G29" s="35"/>
      <c r="H29" s="31"/>
      <c r="I29" s="21"/>
    </row>
    <row r="30" spans="1:9" x14ac:dyDescent="0.25">
      <c r="A30" s="217"/>
      <c r="B30" s="217"/>
      <c r="C30" s="32" t="s">
        <v>25</v>
      </c>
      <c r="D30" s="90" t="s">
        <v>73</v>
      </c>
      <c r="E30" s="28">
        <f>IF(E28="","",MOD(E28+1,52))</f>
        <v>50</v>
      </c>
      <c r="F30" s="34"/>
      <c r="G30" s="35"/>
      <c r="H30" s="31"/>
      <c r="I30" s="21"/>
    </row>
    <row r="31" spans="1:9" x14ac:dyDescent="0.25">
      <c r="A31" s="218"/>
      <c r="B31" s="219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17"/>
      <c r="B32" s="217"/>
      <c r="C32" s="32" t="s">
        <v>27</v>
      </c>
      <c r="D32" s="90" t="s">
        <v>78</v>
      </c>
      <c r="E32" s="28">
        <f>IF(E30="","",MOD(E30+1,52))</f>
        <v>51</v>
      </c>
      <c r="F32" s="34"/>
      <c r="G32" s="35"/>
      <c r="H32" s="31"/>
      <c r="I32" s="21"/>
    </row>
    <row r="33" spans="1:9" x14ac:dyDescent="0.25">
      <c r="A33" s="218"/>
      <c r="B33" s="219"/>
      <c r="C33" s="32" t="s">
        <v>28</v>
      </c>
      <c r="D33" s="89" t="str">
        <f>D26</f>
        <v>SOARES</v>
      </c>
      <c r="E33" s="28">
        <f>IF(E32="","",MOD(E32+1,52))</f>
        <v>0</v>
      </c>
      <c r="F33" s="34"/>
      <c r="G33" s="35"/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ELECTRO HECKER</v>
      </c>
      <c r="E34" s="28">
        <f>IF(E33="","",MOD(E33+1,52))</f>
        <v>1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HERTFELDER</v>
      </c>
      <c r="E35" s="28">
        <f>IF(E33="","",MOD(E33+1,52))</f>
        <v>1</v>
      </c>
      <c r="F35" s="34"/>
      <c r="G35" s="35"/>
      <c r="H35" s="31"/>
      <c r="I35" s="21"/>
    </row>
    <row r="36" spans="1:9" x14ac:dyDescent="0.25">
      <c r="A36" s="218"/>
      <c r="B36" s="219"/>
      <c r="C36" s="32" t="s">
        <v>31</v>
      </c>
      <c r="D36" s="90" t="s">
        <v>78</v>
      </c>
      <c r="E36" s="28">
        <f>E32+4</f>
        <v>55</v>
      </c>
      <c r="F36" s="34"/>
      <c r="G36" s="35" t="s">
        <v>11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2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">
        <v>73</v>
      </c>
      <c r="E38" s="28">
        <f>IF(E37="","",MOD(E37+1,52))</f>
        <v>3</v>
      </c>
      <c r="F38" s="34"/>
      <c r="G38" s="35"/>
      <c r="H38" s="31"/>
      <c r="I38" s="21"/>
    </row>
    <row r="39" spans="1:9" x14ac:dyDescent="0.25">
      <c r="A39" s="217"/>
      <c r="B39" s="217"/>
      <c r="C39" s="144" t="s">
        <v>34</v>
      </c>
      <c r="D39" s="89" t="s">
        <v>79</v>
      </c>
      <c r="E39" s="145">
        <f>IF(E38="","",MOD(E38+1,52))</f>
        <v>4</v>
      </c>
      <c r="F39" s="146"/>
      <c r="G39" s="133"/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17"/>
      <c r="B43" s="217"/>
      <c r="C43" s="153" t="s">
        <v>35</v>
      </c>
      <c r="D43" s="89" t="s">
        <v>90</v>
      </c>
      <c r="E43" s="154">
        <f>E28+1</f>
        <v>50</v>
      </c>
      <c r="F43" s="29"/>
      <c r="G43" s="30" t="s">
        <v>96</v>
      </c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51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51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53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229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05"/>
      <c r="C51" s="40" t="s">
        <v>230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15" customFormat="1" x14ac:dyDescent="0.25">
      <c r="A62" s="382"/>
      <c r="B62" s="382"/>
      <c r="C62" s="66"/>
      <c r="D62" s="66"/>
      <c r="E62" s="66"/>
      <c r="F62" s="66"/>
      <c r="G62" s="66"/>
      <c r="H62" s="66"/>
      <c r="I62" s="66"/>
    </row>
    <row r="63" spans="1:9" s="415" customFormat="1" x14ac:dyDescent="0.25">
      <c r="A63" s="66"/>
      <c r="B63" s="66"/>
      <c r="C63" s="382"/>
      <c r="D63" s="416"/>
      <c r="E63" s="66"/>
      <c r="F63" s="416"/>
      <c r="G63" s="66"/>
      <c r="H63" s="66"/>
      <c r="I63" s="66"/>
    </row>
    <row r="64" spans="1:9" s="415" customFormat="1" x14ac:dyDescent="0.25">
      <c r="A64" s="66"/>
      <c r="B64" s="66"/>
      <c r="C64" s="382"/>
      <c r="D64" s="416"/>
      <c r="E64" s="66"/>
      <c r="F64" s="416"/>
      <c r="G64" s="66"/>
      <c r="H64" s="66"/>
      <c r="I64" s="66"/>
    </row>
    <row r="65" spans="1:9" s="415" customFormat="1" x14ac:dyDescent="0.25">
      <c r="A65" s="66"/>
      <c r="B65" s="66"/>
      <c r="C65" s="382"/>
      <c r="D65" s="66"/>
      <c r="E65" s="66"/>
      <c r="F65" s="66"/>
      <c r="G65" s="66"/>
      <c r="H65" s="66"/>
      <c r="I65" s="66"/>
    </row>
    <row r="66" spans="1:9" s="415" customFormat="1" x14ac:dyDescent="0.25">
      <c r="A66" s="66"/>
      <c r="B66" s="66"/>
      <c r="C66" s="382"/>
      <c r="D66" s="66"/>
      <c r="E66" s="66"/>
      <c r="F66" s="66"/>
      <c r="G66" s="66"/>
      <c r="H66" s="66"/>
      <c r="I66" s="66"/>
    </row>
    <row r="67" spans="1:9" s="415" customFormat="1" x14ac:dyDescent="0.25">
      <c r="A67" s="66"/>
      <c r="B67" s="66"/>
      <c r="C67" s="382"/>
      <c r="D67" s="66"/>
      <c r="E67" s="66"/>
      <c r="F67" s="66"/>
      <c r="G67" s="66"/>
      <c r="H67" s="66"/>
      <c r="I67" s="66"/>
    </row>
    <row r="68" spans="1:9" s="415" customFormat="1" x14ac:dyDescent="0.25">
      <c r="A68" s="66"/>
      <c r="B68" s="66"/>
      <c r="C68" s="382"/>
      <c r="D68" s="417"/>
      <c r="E68" s="66"/>
      <c r="F68" s="66"/>
      <c r="G68" s="66"/>
      <c r="H68" s="66"/>
      <c r="I68" s="66"/>
    </row>
    <row r="69" spans="1:9" s="415" customFormat="1" x14ac:dyDescent="0.25"/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2166" priority="72">
      <formula>$F22="réalisé"</formula>
    </cfRule>
  </conditionalFormatting>
  <conditionalFormatting sqref="C43:C46 E43:H46 C8:H21 E25:H39">
    <cfRule type="expression" dxfId="2165" priority="69">
      <formula>$G8="réalisé"</formula>
    </cfRule>
    <cfRule type="expression" dxfId="2164" priority="70">
      <formula>$G8="en cours"</formula>
    </cfRule>
    <cfRule type="expression" dxfId="2163" priority="71">
      <formula>$G8="non compris"</formula>
    </cfRule>
  </conditionalFormatting>
  <conditionalFormatting sqref="C22:G22 C40:G40">
    <cfRule type="expression" dxfId="2162" priority="68">
      <formula>$F22="non cpris"</formula>
    </cfRule>
  </conditionalFormatting>
  <conditionalFormatting sqref="C22:G22">
    <cfRule type="expression" dxfId="2161" priority="67">
      <formula>$F22="en cours"</formula>
    </cfRule>
  </conditionalFormatting>
  <conditionalFormatting sqref="C25:C39">
    <cfRule type="expression" dxfId="2160" priority="64">
      <formula>$G25="réalisé"</formula>
    </cfRule>
    <cfRule type="expression" dxfId="2159" priority="65">
      <formula>$G25="en cours"</formula>
    </cfRule>
    <cfRule type="expression" dxfId="2158" priority="66">
      <formula>$G25="non compris"</formula>
    </cfRule>
  </conditionalFormatting>
  <conditionalFormatting sqref="C50:F53">
    <cfRule type="expression" dxfId="2157" priority="63">
      <formula>$F50="réalisé"</formula>
    </cfRule>
  </conditionalFormatting>
  <conditionalFormatting sqref="G9">
    <cfRule type="expression" dxfId="2156" priority="62">
      <formula>$G$10="réalisé"</formula>
    </cfRule>
  </conditionalFormatting>
  <conditionalFormatting sqref="G10">
    <cfRule type="expression" dxfId="2155" priority="61">
      <formula>$G$11="réalisé"</formula>
    </cfRule>
  </conditionalFormatting>
  <conditionalFormatting sqref="G16:G17">
    <cfRule type="expression" dxfId="2154" priority="60">
      <formula>$G$18="réalisé"</formula>
    </cfRule>
  </conditionalFormatting>
  <conditionalFormatting sqref="G26">
    <cfRule type="expression" dxfId="2153" priority="59">
      <formula>$G$27="réalisé"</formula>
    </cfRule>
  </conditionalFormatting>
  <conditionalFormatting sqref="D25">
    <cfRule type="expression" dxfId="2152" priority="56">
      <formula>$G25="réalisé"</formula>
    </cfRule>
    <cfRule type="expression" dxfId="2151" priority="57">
      <formula>$G25="en cours"</formula>
    </cfRule>
    <cfRule type="expression" dxfId="2150" priority="58">
      <formula>$G25="non compris"</formula>
    </cfRule>
  </conditionalFormatting>
  <conditionalFormatting sqref="D27">
    <cfRule type="expression" dxfId="2149" priority="53">
      <formula>$G27="réalisé"</formula>
    </cfRule>
    <cfRule type="expression" dxfId="2148" priority="54">
      <formula>$G27="en cours"</formula>
    </cfRule>
    <cfRule type="expression" dxfId="2147" priority="55">
      <formula>$G27="non compris"</formula>
    </cfRule>
  </conditionalFormatting>
  <conditionalFormatting sqref="D29">
    <cfRule type="expression" dxfId="2146" priority="50">
      <formula>$G29="réalisé"</formula>
    </cfRule>
    <cfRule type="expression" dxfId="2145" priority="51">
      <formula>$G29="en cours"</formula>
    </cfRule>
    <cfRule type="expression" dxfId="2144" priority="52">
      <formula>$G29="non compris"</formula>
    </cfRule>
  </conditionalFormatting>
  <conditionalFormatting sqref="D31">
    <cfRule type="expression" dxfId="2143" priority="47">
      <formula>$G31="réalisé"</formula>
    </cfRule>
    <cfRule type="expression" dxfId="2142" priority="48">
      <formula>$G31="en cours"</formula>
    </cfRule>
    <cfRule type="expression" dxfId="2141" priority="49">
      <formula>$G31="non compris"</formula>
    </cfRule>
  </conditionalFormatting>
  <conditionalFormatting sqref="D33">
    <cfRule type="expression" dxfId="2140" priority="44">
      <formula>$G33="réalisé"</formula>
    </cfRule>
    <cfRule type="expression" dxfId="2139" priority="45">
      <formula>$G33="en cours"</formula>
    </cfRule>
    <cfRule type="expression" dxfId="2138" priority="46">
      <formula>$G33="non compris"</formula>
    </cfRule>
  </conditionalFormatting>
  <conditionalFormatting sqref="D35">
    <cfRule type="expression" dxfId="2137" priority="41">
      <formula>$G35="réalisé"</formula>
    </cfRule>
    <cfRule type="expression" dxfId="2136" priority="42">
      <formula>$G35="en cours"</formula>
    </cfRule>
    <cfRule type="expression" dxfId="2135" priority="43">
      <formula>$G35="non compris"</formula>
    </cfRule>
  </conditionalFormatting>
  <conditionalFormatting sqref="D37">
    <cfRule type="expression" dxfId="2134" priority="38">
      <formula>$G37="réalisé"</formula>
    </cfRule>
    <cfRule type="expression" dxfId="2133" priority="39">
      <formula>$G37="en cours"</formula>
    </cfRule>
    <cfRule type="expression" dxfId="2132" priority="40">
      <formula>$G37="non compris"</formula>
    </cfRule>
  </conditionalFormatting>
  <conditionalFormatting sqref="D39">
    <cfRule type="expression" dxfId="2131" priority="35">
      <formula>$G39="réalisé"</formula>
    </cfRule>
    <cfRule type="expression" dxfId="2130" priority="36">
      <formula>$G39="en cours"</formula>
    </cfRule>
    <cfRule type="expression" dxfId="2129" priority="37">
      <formula>$G39="non compris"</formula>
    </cfRule>
  </conditionalFormatting>
  <conditionalFormatting sqref="D26">
    <cfRule type="expression" dxfId="2128" priority="32">
      <formula>$G26="réalisé"</formula>
    </cfRule>
    <cfRule type="expression" dxfId="2127" priority="33">
      <formula>$G26="en cours"</formula>
    </cfRule>
    <cfRule type="expression" dxfId="2126" priority="34">
      <formula>$G26="non compris"</formula>
    </cfRule>
  </conditionalFormatting>
  <conditionalFormatting sqref="D28">
    <cfRule type="expression" dxfId="2125" priority="29">
      <formula>$G28="réalisé"</formula>
    </cfRule>
    <cfRule type="expression" dxfId="2124" priority="30">
      <formula>$G28="en cours"</formula>
    </cfRule>
    <cfRule type="expression" dxfId="2123" priority="31">
      <formula>$G28="non compris"</formula>
    </cfRule>
  </conditionalFormatting>
  <conditionalFormatting sqref="D30">
    <cfRule type="expression" dxfId="2122" priority="26">
      <formula>$G30="réalisé"</formula>
    </cfRule>
    <cfRule type="expression" dxfId="2121" priority="27">
      <formula>$G30="en cours"</formula>
    </cfRule>
    <cfRule type="expression" dxfId="2120" priority="28">
      <formula>$G30="non compris"</formula>
    </cfRule>
  </conditionalFormatting>
  <conditionalFormatting sqref="D32">
    <cfRule type="expression" dxfId="2119" priority="23">
      <formula>$G32="réalisé"</formula>
    </cfRule>
    <cfRule type="expression" dxfId="2118" priority="24">
      <formula>$G32="en cours"</formula>
    </cfRule>
    <cfRule type="expression" dxfId="2117" priority="25">
      <formula>$G32="non compris"</formula>
    </cfRule>
  </conditionalFormatting>
  <conditionalFormatting sqref="D34">
    <cfRule type="expression" dxfId="2116" priority="20">
      <formula>$G34="réalisé"</formula>
    </cfRule>
    <cfRule type="expression" dxfId="2115" priority="21">
      <formula>$G34="en cours"</formula>
    </cfRule>
    <cfRule type="expression" dxfId="2114" priority="22">
      <formula>$G34="non compris"</formula>
    </cfRule>
  </conditionalFormatting>
  <conditionalFormatting sqref="D36">
    <cfRule type="expression" dxfId="2113" priority="17">
      <formula>$G36="réalisé"</formula>
    </cfRule>
    <cfRule type="expression" dxfId="2112" priority="18">
      <formula>$G36="en cours"</formula>
    </cfRule>
    <cfRule type="expression" dxfId="2111" priority="19">
      <formula>$G36="non compris"</formula>
    </cfRule>
  </conditionalFormatting>
  <conditionalFormatting sqref="D38">
    <cfRule type="expression" dxfId="2110" priority="14">
      <formula>$G38="réalisé"</formula>
    </cfRule>
    <cfRule type="expression" dxfId="2109" priority="15">
      <formula>$G38="en cours"</formula>
    </cfRule>
    <cfRule type="expression" dxfId="2108" priority="16">
      <formula>$G38="non compris"</formula>
    </cfRule>
  </conditionalFormatting>
  <conditionalFormatting sqref="D45">
    <cfRule type="expression" dxfId="2107" priority="11">
      <formula>$G45="réalisé"</formula>
    </cfRule>
    <cfRule type="expression" dxfId="2106" priority="12">
      <formula>$G45="en cours"</formula>
    </cfRule>
    <cfRule type="expression" dxfId="2105" priority="13">
      <formula>$G45="non compris"</formula>
    </cfRule>
  </conditionalFormatting>
  <conditionalFormatting sqref="D44">
    <cfRule type="expression" dxfId="2104" priority="8">
      <formula>$G44="réalisé"</formula>
    </cfRule>
    <cfRule type="expression" dxfId="2103" priority="9">
      <formula>$G44="en cours"</formula>
    </cfRule>
    <cfRule type="expression" dxfId="2102" priority="10">
      <formula>$G44="non compris"</formula>
    </cfRule>
  </conditionalFormatting>
  <conditionalFormatting sqref="D43">
    <cfRule type="expression" dxfId="2101" priority="5">
      <formula>$G43="réalisé"</formula>
    </cfRule>
    <cfRule type="expression" dxfId="2100" priority="6">
      <formula>$G43="en cours"</formula>
    </cfRule>
    <cfRule type="expression" dxfId="2099" priority="7">
      <formula>$G43="non compris"</formula>
    </cfRule>
  </conditionalFormatting>
  <conditionalFormatting sqref="D46">
    <cfRule type="expression" dxfId="2098" priority="2">
      <formula>$G46="réalisé"</formula>
    </cfRule>
    <cfRule type="expression" dxfId="2097" priority="3">
      <formula>$G46="en cours"</formula>
    </cfRule>
    <cfRule type="expression" dxfId="2096" priority="4">
      <formula>$G46="non compris"</formula>
    </cfRule>
  </conditionalFormatting>
  <conditionalFormatting sqref="D8:D21">
    <cfRule type="expression" dxfId="2095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B050"/>
    <pageSetUpPr fitToPage="1"/>
  </sheetPr>
  <dimension ref="A1:I68"/>
  <sheetViews>
    <sheetView topLeftCell="A7" zoomScaleNormal="100" workbookViewId="0">
      <selection activeCell="B18" sqref="B18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FERNANDES</v>
      </c>
      <c r="D2" s="5" t="s">
        <v>98</v>
      </c>
      <c r="E2" s="522"/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/>
      <c r="D3" s="8" t="s">
        <v>3</v>
      </c>
      <c r="E3" s="525">
        <v>42884</v>
      </c>
      <c r="F3" s="526"/>
      <c r="G3" s="9"/>
      <c r="H3" s="527" t="str">
        <f ca="1">DATEDIF(E3,TODAY(),"m")&amp;"mois"&amp;-DATEDIF(E3,TODAY(),"md")&amp;"jours"</f>
        <v>2mois-25jours</v>
      </c>
      <c r="I3" s="528"/>
    </row>
    <row r="4" spans="1:9" ht="18.75" x14ac:dyDescent="0.25">
      <c r="A4" s="127" t="s">
        <v>222</v>
      </c>
      <c r="B4" s="215"/>
      <c r="C4" s="11"/>
      <c r="D4" s="12" t="s">
        <v>4</v>
      </c>
      <c r="E4" s="529">
        <f>E3+60</f>
        <v>42944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22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90" t="s">
        <v>57</v>
      </c>
      <c r="E9" s="33">
        <v>22</v>
      </c>
      <c r="F9" s="34"/>
      <c r="G9" s="35" t="s">
        <v>55</v>
      </c>
      <c r="H9" s="31"/>
      <c r="I9" s="21"/>
    </row>
    <row r="10" spans="1:9" ht="15" customHeight="1" x14ac:dyDescent="0.25">
      <c r="A10" s="289">
        <v>17723.71</v>
      </c>
      <c r="B10" s="217">
        <f>A10-7089.48-7680.28-1476.97</f>
        <v>1476.9799999999998</v>
      </c>
      <c r="C10" s="32" t="s">
        <v>13</v>
      </c>
      <c r="D10" s="89" t="s">
        <v>57</v>
      </c>
      <c r="E10" s="28">
        <f>E9</f>
        <v>22</v>
      </c>
      <c r="F10" s="36"/>
      <c r="G10" s="35" t="s">
        <v>55</v>
      </c>
      <c r="H10" s="31"/>
      <c r="I10" s="21"/>
    </row>
    <row r="11" spans="1:9" x14ac:dyDescent="0.25">
      <c r="A11" s="218"/>
      <c r="B11" s="219"/>
      <c r="C11" s="32" t="s">
        <v>88</v>
      </c>
      <c r="D11" s="90" t="s">
        <v>90</v>
      </c>
      <c r="E11" s="28">
        <f>E10+4</f>
        <v>26</v>
      </c>
      <c r="F11" s="34"/>
      <c r="G11" s="35" t="s">
        <v>96</v>
      </c>
      <c r="H11" s="31"/>
      <c r="I11" s="21"/>
    </row>
    <row r="12" spans="1:9" x14ac:dyDescent="0.25">
      <c r="A12" s="218"/>
      <c r="B12" s="219"/>
      <c r="C12" s="32" t="s">
        <v>14</v>
      </c>
      <c r="D12" s="89" t="s">
        <v>90</v>
      </c>
      <c r="E12" s="28">
        <f>E11</f>
        <v>26</v>
      </c>
      <c r="F12" s="34"/>
      <c r="G12" s="35" t="s">
        <v>96</v>
      </c>
      <c r="H12" s="31"/>
      <c r="I12" s="21"/>
    </row>
    <row r="13" spans="1:9" x14ac:dyDescent="0.25">
      <c r="A13" s="218"/>
      <c r="B13" s="219"/>
      <c r="C13" s="32" t="s">
        <v>15</v>
      </c>
      <c r="D13" s="90" t="s">
        <v>57</v>
      </c>
      <c r="E13" s="28">
        <f>E12+1</f>
        <v>27</v>
      </c>
      <c r="F13" s="34"/>
      <c r="G13" s="35" t="s">
        <v>55</v>
      </c>
      <c r="H13" s="31"/>
      <c r="I13" s="21"/>
    </row>
    <row r="14" spans="1:9" x14ac:dyDescent="0.25">
      <c r="A14" s="289">
        <v>1304.27</v>
      </c>
      <c r="B14" s="217">
        <f>A14-1304.27</f>
        <v>0</v>
      </c>
      <c r="C14" s="32" t="s">
        <v>16</v>
      </c>
      <c r="D14" s="89" t="s">
        <v>61</v>
      </c>
      <c r="E14" s="28">
        <f>IF(E13="","",MOD(E13+1,52))</f>
        <v>28</v>
      </c>
      <c r="F14" s="34"/>
      <c r="G14" s="35" t="s">
        <v>55</v>
      </c>
      <c r="H14" s="31"/>
      <c r="I14" s="21"/>
    </row>
    <row r="15" spans="1:9" x14ac:dyDescent="0.25">
      <c r="A15" s="218"/>
      <c r="B15" s="219"/>
      <c r="C15" s="32" t="s">
        <v>100</v>
      </c>
      <c r="D15" s="90" t="str">
        <f>D10</f>
        <v>TEMA</v>
      </c>
      <c r="E15" s="28">
        <f>IF(E14="","",MOD(E14+1,52))</f>
        <v>29</v>
      </c>
      <c r="F15" s="34"/>
      <c r="G15" s="35" t="s">
        <v>55</v>
      </c>
      <c r="H15" s="31"/>
      <c r="I15" s="21"/>
    </row>
    <row r="16" spans="1:9" x14ac:dyDescent="0.25">
      <c r="A16" s="444">
        <v>957.41</v>
      </c>
      <c r="B16" s="217">
        <f>A16-957.41</f>
        <v>0</v>
      </c>
      <c r="C16" s="32" t="s">
        <v>85</v>
      </c>
      <c r="D16" s="89" t="s">
        <v>61</v>
      </c>
      <c r="E16" s="28">
        <f>IF(E15="","",MOD(E15+1,52))</f>
        <v>30</v>
      </c>
      <c r="F16" s="34"/>
      <c r="G16" s="35" t="s">
        <v>55</v>
      </c>
      <c r="H16" s="31"/>
      <c r="I16" s="21"/>
    </row>
    <row r="17" spans="1:9" x14ac:dyDescent="0.25">
      <c r="A17" s="444">
        <v>1427.18</v>
      </c>
      <c r="B17" s="217">
        <f>A17-1427.18</f>
        <v>0</v>
      </c>
      <c r="C17" s="32" t="s">
        <v>86</v>
      </c>
      <c r="D17" s="91" t="s">
        <v>64</v>
      </c>
      <c r="E17" s="28">
        <f>E16</f>
        <v>30</v>
      </c>
      <c r="F17" s="34"/>
      <c r="G17" s="35" t="s">
        <v>55</v>
      </c>
      <c r="H17" s="86"/>
      <c r="I17" s="21"/>
    </row>
    <row r="18" spans="1:9" x14ac:dyDescent="0.25">
      <c r="A18" s="218"/>
      <c r="B18" s="219"/>
      <c r="C18" s="157" t="s">
        <v>17</v>
      </c>
      <c r="D18" s="164" t="s">
        <v>94</v>
      </c>
      <c r="E18" s="159">
        <f>E16</f>
        <v>30</v>
      </c>
      <c r="F18" s="160"/>
      <c r="G18" s="161"/>
      <c r="H18" s="162"/>
      <c r="I18" s="21"/>
    </row>
    <row r="19" spans="1:9" x14ac:dyDescent="0.25">
      <c r="A19" s="289">
        <v>2992.32</v>
      </c>
      <c r="B19" s="217">
        <f>A19-2992.32</f>
        <v>0</v>
      </c>
      <c r="C19" s="37" t="s">
        <v>18</v>
      </c>
      <c r="D19" s="89" t="s">
        <v>65</v>
      </c>
      <c r="E19" s="28">
        <v>35</v>
      </c>
      <c r="F19" s="34"/>
      <c r="G19" s="35"/>
      <c r="H19" s="31"/>
      <c r="I19" s="21"/>
    </row>
    <row r="20" spans="1:9" x14ac:dyDescent="0.25">
      <c r="A20" s="218"/>
      <c r="B20" s="219"/>
      <c r="C20" s="32" t="s">
        <v>19</v>
      </c>
      <c r="D20" s="90" t="str">
        <f>D13</f>
        <v>TEMA</v>
      </c>
      <c r="E20" s="28">
        <f>IF(E16="","",MOD(E16+2,52))</f>
        <v>32</v>
      </c>
      <c r="F20" s="34"/>
      <c r="G20" s="35" t="s">
        <v>55</v>
      </c>
      <c r="H20" s="31"/>
      <c r="I20" s="21"/>
    </row>
    <row r="21" spans="1:9" x14ac:dyDescent="0.25">
      <c r="A21" s="289"/>
      <c r="B21" s="217"/>
      <c r="C21" s="132" t="s">
        <v>20</v>
      </c>
      <c r="D21" s="90" t="s">
        <v>81</v>
      </c>
      <c r="E21" s="28">
        <f>E19</f>
        <v>35</v>
      </c>
      <c r="F21" s="34"/>
      <c r="G21" s="133"/>
      <c r="H21" s="31"/>
      <c r="I21" s="21"/>
    </row>
    <row r="22" spans="1:9" x14ac:dyDescent="0.25">
      <c r="A22" s="220"/>
      <c r="B22" s="221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22"/>
      <c r="B23" s="223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18"/>
      <c r="B24" s="219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89">
        <v>988.66</v>
      </c>
      <c r="B25" s="217">
        <f>A25</f>
        <v>988.66</v>
      </c>
      <c r="C25" s="141" t="s">
        <v>92</v>
      </c>
      <c r="D25" s="89" t="s">
        <v>71</v>
      </c>
      <c r="E25" s="142">
        <f>IF(E19="","",MOD(E19+1,52))</f>
        <v>36</v>
      </c>
      <c r="F25" s="29"/>
      <c r="G25" s="30" t="s">
        <v>11</v>
      </c>
      <c r="H25" s="31"/>
      <c r="I25" s="21"/>
    </row>
    <row r="26" spans="1:9" x14ac:dyDescent="0.25">
      <c r="A26" s="289">
        <v>1563.42</v>
      </c>
      <c r="B26" s="217">
        <f>A26</f>
        <v>1563.42</v>
      </c>
      <c r="C26" s="32" t="s">
        <v>93</v>
      </c>
      <c r="D26" s="90" t="s">
        <v>68</v>
      </c>
      <c r="E26" s="28">
        <f>IF(E25="","",MOD(E25+1,52))</f>
        <v>37</v>
      </c>
      <c r="F26" s="34"/>
      <c r="G26" s="35"/>
      <c r="H26" s="31"/>
      <c r="I26" s="21"/>
    </row>
    <row r="27" spans="1:9" x14ac:dyDescent="0.25">
      <c r="A27" s="218"/>
      <c r="B27" s="219"/>
      <c r="C27" s="102" t="s">
        <v>22</v>
      </c>
      <c r="D27" s="89" t="str">
        <f>D25</f>
        <v>BENELEC</v>
      </c>
      <c r="E27" s="28">
        <f>IF(E26="","",MOD(E26+2,52))</f>
        <v>39</v>
      </c>
      <c r="F27" s="34"/>
      <c r="G27" s="35"/>
      <c r="H27" s="31"/>
      <c r="I27" s="21"/>
    </row>
    <row r="28" spans="1:9" x14ac:dyDescent="0.25">
      <c r="A28" s="217"/>
      <c r="B28" s="217"/>
      <c r="C28" s="143" t="s">
        <v>23</v>
      </c>
      <c r="D28" s="90" t="s">
        <v>90</v>
      </c>
      <c r="E28" s="28">
        <f>IF(E26="","",MOD(E26+2,52))</f>
        <v>39</v>
      </c>
      <c r="F28" s="34"/>
      <c r="G28" s="35" t="s">
        <v>96</v>
      </c>
      <c r="H28" s="31"/>
      <c r="I28" s="21"/>
    </row>
    <row r="29" spans="1:9" x14ac:dyDescent="0.25">
      <c r="A29" s="217"/>
      <c r="B29" s="217"/>
      <c r="C29" s="102" t="s">
        <v>24</v>
      </c>
      <c r="D29" s="89" t="s">
        <v>71</v>
      </c>
      <c r="E29" s="28">
        <f>IF(E28="","",MOD(E28+1,52))</f>
        <v>40</v>
      </c>
      <c r="F29" s="34"/>
      <c r="G29" s="35"/>
      <c r="H29" s="31"/>
      <c r="I29" s="21"/>
    </row>
    <row r="30" spans="1:9" x14ac:dyDescent="0.25">
      <c r="A30" s="289">
        <v>958.49</v>
      </c>
      <c r="B30" s="217">
        <f>A30</f>
        <v>958.49</v>
      </c>
      <c r="C30" s="32" t="s">
        <v>25</v>
      </c>
      <c r="D30" s="90" t="s">
        <v>71</v>
      </c>
      <c r="E30" s="28">
        <f>IF(E28="","",MOD(E28+1,52))</f>
        <v>40</v>
      </c>
      <c r="F30" s="34"/>
      <c r="G30" s="35"/>
      <c r="H30" s="31"/>
      <c r="I30" s="21"/>
    </row>
    <row r="31" spans="1:9" x14ac:dyDescent="0.25">
      <c r="A31" s="218"/>
      <c r="B31" s="219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89"/>
      <c r="B32" s="217"/>
      <c r="C32" s="32" t="s">
        <v>27</v>
      </c>
      <c r="D32" s="90" t="s">
        <v>76</v>
      </c>
      <c r="E32" s="28">
        <f>IF(E30="","",MOD(E30+1,52))</f>
        <v>41</v>
      </c>
      <c r="F32" s="34"/>
      <c r="G32" s="35"/>
      <c r="H32" s="31"/>
      <c r="I32" s="21"/>
    </row>
    <row r="33" spans="1:9" x14ac:dyDescent="0.25">
      <c r="A33" s="218"/>
      <c r="B33" s="219"/>
      <c r="C33" s="32" t="s">
        <v>28</v>
      </c>
      <c r="D33" s="89" t="str">
        <f>D26</f>
        <v>SOARES</v>
      </c>
      <c r="E33" s="28">
        <f>IF(E32="","",MOD(E32+1,52))</f>
        <v>42</v>
      </c>
      <c r="F33" s="34"/>
      <c r="G33" s="35"/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BENELEC</v>
      </c>
      <c r="E34" s="28">
        <f>IF(E33="","",MOD(E33+1,52))</f>
        <v>43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A CHARGE CLIENT</v>
      </c>
      <c r="E35" s="28">
        <f>IF(E33="","",MOD(E33+1,52))</f>
        <v>43</v>
      </c>
      <c r="F35" s="34"/>
      <c r="G35" s="35" t="s">
        <v>96</v>
      </c>
      <c r="H35" s="31"/>
      <c r="I35" s="21"/>
    </row>
    <row r="36" spans="1:9" x14ac:dyDescent="0.25">
      <c r="A36" s="218"/>
      <c r="B36" s="219"/>
      <c r="C36" s="32" t="s">
        <v>31</v>
      </c>
      <c r="D36" s="90" t="s">
        <v>90</v>
      </c>
      <c r="E36" s="28">
        <f>E32+4</f>
        <v>45</v>
      </c>
      <c r="F36" s="34"/>
      <c r="G36" s="35" t="s">
        <v>96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44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">
        <v>71</v>
      </c>
      <c r="E38" s="28">
        <f>IF(E37="","",MOD(E37+1,52))</f>
        <v>45</v>
      </c>
      <c r="F38" s="34"/>
      <c r="G38" s="35"/>
      <c r="H38" s="31"/>
      <c r="I38" s="21"/>
    </row>
    <row r="39" spans="1:9" x14ac:dyDescent="0.25">
      <c r="A39" s="289"/>
      <c r="B39" s="217"/>
      <c r="C39" s="144" t="s">
        <v>34</v>
      </c>
      <c r="D39" s="89" t="s">
        <v>79</v>
      </c>
      <c r="E39" s="145">
        <f>IF(E38="","",MOD(E38+1,52))</f>
        <v>46</v>
      </c>
      <c r="F39" s="146"/>
      <c r="G39" s="133"/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17"/>
      <c r="B43" s="217"/>
      <c r="C43" s="153" t="s">
        <v>35</v>
      </c>
      <c r="D43" s="89" t="s">
        <v>90</v>
      </c>
      <c r="E43" s="154">
        <f>E28+1</f>
        <v>40</v>
      </c>
      <c r="F43" s="29"/>
      <c r="G43" s="30" t="s">
        <v>96</v>
      </c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41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41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43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42853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15" customFormat="1" x14ac:dyDescent="0.25">
      <c r="A62" s="382"/>
      <c r="B62" s="382"/>
      <c r="C62" s="66"/>
      <c r="D62" s="66"/>
      <c r="E62" s="66"/>
      <c r="F62" s="66"/>
      <c r="G62" s="66"/>
      <c r="H62" s="66"/>
      <c r="I62" s="66"/>
    </row>
    <row r="63" spans="1:9" s="415" customFormat="1" x14ac:dyDescent="0.25">
      <c r="A63" s="66"/>
      <c r="B63" s="66"/>
      <c r="C63" s="382"/>
      <c r="D63" s="416"/>
      <c r="E63" s="66"/>
      <c r="F63" s="416"/>
      <c r="G63" s="66"/>
      <c r="H63" s="66"/>
      <c r="I63" s="66"/>
    </row>
    <row r="64" spans="1:9" s="415" customFormat="1" x14ac:dyDescent="0.25">
      <c r="A64" s="66"/>
      <c r="B64" s="66"/>
      <c r="C64" s="382"/>
      <c r="D64" s="416"/>
      <c r="E64" s="66"/>
      <c r="F64" s="416"/>
      <c r="G64" s="66"/>
      <c r="H64" s="66"/>
      <c r="I64" s="66"/>
    </row>
    <row r="65" spans="1:9" s="415" customFormat="1" x14ac:dyDescent="0.25">
      <c r="A65" s="66"/>
      <c r="B65" s="66"/>
      <c r="C65" s="382"/>
      <c r="D65" s="66"/>
      <c r="E65" s="66"/>
      <c r="F65" s="66"/>
      <c r="G65" s="66"/>
      <c r="H65" s="66"/>
      <c r="I65" s="66"/>
    </row>
    <row r="66" spans="1:9" s="415" customFormat="1" x14ac:dyDescent="0.25">
      <c r="A66" s="66"/>
      <c r="B66" s="66"/>
      <c r="C66" s="382"/>
      <c r="D66" s="66"/>
      <c r="E66" s="66"/>
      <c r="F66" s="66"/>
      <c r="G66" s="66"/>
      <c r="H66" s="66"/>
      <c r="I66" s="66"/>
    </row>
    <row r="67" spans="1:9" s="415" customFormat="1" x14ac:dyDescent="0.25">
      <c r="A67" s="66"/>
      <c r="B67" s="66"/>
      <c r="C67" s="382"/>
      <c r="D67" s="66"/>
      <c r="E67" s="66"/>
      <c r="F67" s="66"/>
      <c r="G67" s="66"/>
      <c r="H67" s="66"/>
      <c r="I67" s="66"/>
    </row>
    <row r="68" spans="1:9" s="415" customFormat="1" x14ac:dyDescent="0.25">
      <c r="A68" s="66"/>
      <c r="B68" s="66"/>
      <c r="C68" s="382"/>
      <c r="D68" s="417"/>
      <c r="E68" s="66"/>
      <c r="F68" s="66"/>
      <c r="G68" s="66"/>
      <c r="H68" s="66"/>
      <c r="I68" s="66"/>
    </row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2052" priority="72">
      <formula>$F22="réalisé"</formula>
    </cfRule>
  </conditionalFormatting>
  <conditionalFormatting sqref="C43:C46 E43:H46 C8:H21 E25:H39">
    <cfRule type="expression" dxfId="2051" priority="69">
      <formula>$G8="réalisé"</formula>
    </cfRule>
    <cfRule type="expression" dxfId="2050" priority="70">
      <formula>$G8="en cours"</formula>
    </cfRule>
    <cfRule type="expression" dxfId="2049" priority="71">
      <formula>$G8="non compris"</formula>
    </cfRule>
  </conditionalFormatting>
  <conditionalFormatting sqref="C22:G22 C40:G40">
    <cfRule type="expression" dxfId="2048" priority="68">
      <formula>$F22="non cpris"</formula>
    </cfRule>
  </conditionalFormatting>
  <conditionalFormatting sqref="C22:G22">
    <cfRule type="expression" dxfId="2047" priority="67">
      <formula>$F22="en cours"</formula>
    </cfRule>
  </conditionalFormatting>
  <conditionalFormatting sqref="C25:C39">
    <cfRule type="expression" dxfId="2046" priority="64">
      <formula>$G25="réalisé"</formula>
    </cfRule>
    <cfRule type="expression" dxfId="2045" priority="65">
      <formula>$G25="en cours"</formula>
    </cfRule>
    <cfRule type="expression" dxfId="2044" priority="66">
      <formula>$G25="non compris"</formula>
    </cfRule>
  </conditionalFormatting>
  <conditionalFormatting sqref="C50:F53">
    <cfRule type="expression" dxfId="2043" priority="63">
      <formula>$F50="réalisé"</formula>
    </cfRule>
  </conditionalFormatting>
  <conditionalFormatting sqref="G9">
    <cfRule type="expression" dxfId="2042" priority="62">
      <formula>$G$10="réalisé"</formula>
    </cfRule>
  </conditionalFormatting>
  <conditionalFormatting sqref="G10">
    <cfRule type="expression" dxfId="2041" priority="61">
      <formula>$G$11="réalisé"</formula>
    </cfRule>
  </conditionalFormatting>
  <conditionalFormatting sqref="G16:G17">
    <cfRule type="expression" dxfId="2040" priority="60">
      <formula>$G$18="réalisé"</formula>
    </cfRule>
  </conditionalFormatting>
  <conditionalFormatting sqref="G26">
    <cfRule type="expression" dxfId="2039" priority="59">
      <formula>$G$27="réalisé"</formula>
    </cfRule>
  </conditionalFormatting>
  <conditionalFormatting sqref="D25">
    <cfRule type="expression" dxfId="2038" priority="56">
      <formula>$G25="réalisé"</formula>
    </cfRule>
    <cfRule type="expression" dxfId="2037" priority="57">
      <formula>$G25="en cours"</formula>
    </cfRule>
    <cfRule type="expression" dxfId="2036" priority="58">
      <formula>$G25="non compris"</formula>
    </cfRule>
  </conditionalFormatting>
  <conditionalFormatting sqref="D27">
    <cfRule type="expression" dxfId="2035" priority="53">
      <formula>$G27="réalisé"</formula>
    </cfRule>
    <cfRule type="expression" dxfId="2034" priority="54">
      <formula>$G27="en cours"</formula>
    </cfRule>
    <cfRule type="expression" dxfId="2033" priority="55">
      <formula>$G27="non compris"</formula>
    </cfRule>
  </conditionalFormatting>
  <conditionalFormatting sqref="D29">
    <cfRule type="expression" dxfId="2032" priority="50">
      <formula>$G29="réalisé"</formula>
    </cfRule>
    <cfRule type="expression" dxfId="2031" priority="51">
      <formula>$G29="en cours"</formula>
    </cfRule>
    <cfRule type="expression" dxfId="2030" priority="52">
      <formula>$G29="non compris"</formula>
    </cfRule>
  </conditionalFormatting>
  <conditionalFormatting sqref="D31">
    <cfRule type="expression" dxfId="2029" priority="47">
      <formula>$G31="réalisé"</formula>
    </cfRule>
    <cfRule type="expression" dxfId="2028" priority="48">
      <formula>$G31="en cours"</formula>
    </cfRule>
    <cfRule type="expression" dxfId="2027" priority="49">
      <formula>$G31="non compris"</formula>
    </cfRule>
  </conditionalFormatting>
  <conditionalFormatting sqref="D33">
    <cfRule type="expression" dxfId="2026" priority="44">
      <formula>$G33="réalisé"</formula>
    </cfRule>
    <cfRule type="expression" dxfId="2025" priority="45">
      <formula>$G33="en cours"</formula>
    </cfRule>
    <cfRule type="expression" dxfId="2024" priority="46">
      <formula>$G33="non compris"</formula>
    </cfRule>
  </conditionalFormatting>
  <conditionalFormatting sqref="D35">
    <cfRule type="expression" dxfId="2023" priority="41">
      <formula>$G35="réalisé"</formula>
    </cfRule>
    <cfRule type="expression" dxfId="2022" priority="42">
      <formula>$G35="en cours"</formula>
    </cfRule>
    <cfRule type="expression" dxfId="2021" priority="43">
      <formula>$G35="non compris"</formula>
    </cfRule>
  </conditionalFormatting>
  <conditionalFormatting sqref="D37">
    <cfRule type="expression" dxfId="2020" priority="38">
      <formula>$G37="réalisé"</formula>
    </cfRule>
    <cfRule type="expression" dxfId="2019" priority="39">
      <formula>$G37="en cours"</formula>
    </cfRule>
    <cfRule type="expression" dxfId="2018" priority="40">
      <formula>$G37="non compris"</formula>
    </cfRule>
  </conditionalFormatting>
  <conditionalFormatting sqref="D39">
    <cfRule type="expression" dxfId="2017" priority="35">
      <formula>$G39="réalisé"</formula>
    </cfRule>
    <cfRule type="expression" dxfId="2016" priority="36">
      <formula>$G39="en cours"</formula>
    </cfRule>
    <cfRule type="expression" dxfId="2015" priority="37">
      <formula>$G39="non compris"</formula>
    </cfRule>
  </conditionalFormatting>
  <conditionalFormatting sqref="D26">
    <cfRule type="expression" dxfId="2014" priority="32">
      <formula>$G26="réalisé"</formula>
    </cfRule>
    <cfRule type="expression" dxfId="2013" priority="33">
      <formula>$G26="en cours"</formula>
    </cfRule>
    <cfRule type="expression" dxfId="2012" priority="34">
      <formula>$G26="non compris"</formula>
    </cfRule>
  </conditionalFormatting>
  <conditionalFormatting sqref="D28">
    <cfRule type="expression" dxfId="2011" priority="29">
      <formula>$G28="réalisé"</formula>
    </cfRule>
    <cfRule type="expression" dxfId="2010" priority="30">
      <formula>$G28="en cours"</formula>
    </cfRule>
    <cfRule type="expression" dxfId="2009" priority="31">
      <formula>$G28="non compris"</formula>
    </cfRule>
  </conditionalFormatting>
  <conditionalFormatting sqref="D30">
    <cfRule type="expression" dxfId="2008" priority="26">
      <formula>$G30="réalisé"</formula>
    </cfRule>
    <cfRule type="expression" dxfId="2007" priority="27">
      <formula>$G30="en cours"</formula>
    </cfRule>
    <cfRule type="expression" dxfId="2006" priority="28">
      <formula>$G30="non compris"</formula>
    </cfRule>
  </conditionalFormatting>
  <conditionalFormatting sqref="D32">
    <cfRule type="expression" dxfId="2005" priority="23">
      <formula>$G32="réalisé"</formula>
    </cfRule>
    <cfRule type="expression" dxfId="2004" priority="24">
      <formula>$G32="en cours"</formula>
    </cfRule>
    <cfRule type="expression" dxfId="2003" priority="25">
      <formula>$G32="non compris"</formula>
    </cfRule>
  </conditionalFormatting>
  <conditionalFormatting sqref="D34">
    <cfRule type="expression" dxfId="2002" priority="20">
      <formula>$G34="réalisé"</formula>
    </cfRule>
    <cfRule type="expression" dxfId="2001" priority="21">
      <formula>$G34="en cours"</formula>
    </cfRule>
    <cfRule type="expression" dxfId="2000" priority="22">
      <formula>$G34="non compris"</formula>
    </cfRule>
  </conditionalFormatting>
  <conditionalFormatting sqref="D36">
    <cfRule type="expression" dxfId="1999" priority="17">
      <formula>$G36="réalisé"</formula>
    </cfRule>
    <cfRule type="expression" dxfId="1998" priority="18">
      <formula>$G36="en cours"</formula>
    </cfRule>
    <cfRule type="expression" dxfId="1997" priority="19">
      <formula>$G36="non compris"</formula>
    </cfRule>
  </conditionalFormatting>
  <conditionalFormatting sqref="D38">
    <cfRule type="expression" dxfId="1996" priority="14">
      <formula>$G38="réalisé"</formula>
    </cfRule>
    <cfRule type="expression" dxfId="1995" priority="15">
      <formula>$G38="en cours"</formula>
    </cfRule>
    <cfRule type="expression" dxfId="1994" priority="16">
      <formula>$G38="non compris"</formula>
    </cfRule>
  </conditionalFormatting>
  <conditionalFormatting sqref="D45">
    <cfRule type="expression" dxfId="1993" priority="11">
      <formula>$G45="réalisé"</formula>
    </cfRule>
    <cfRule type="expression" dxfId="1992" priority="12">
      <formula>$G45="en cours"</formula>
    </cfRule>
    <cfRule type="expression" dxfId="1991" priority="13">
      <formula>$G45="non compris"</formula>
    </cfRule>
  </conditionalFormatting>
  <conditionalFormatting sqref="D44">
    <cfRule type="expression" dxfId="1990" priority="8">
      <formula>$G44="réalisé"</formula>
    </cfRule>
    <cfRule type="expression" dxfId="1989" priority="9">
      <formula>$G44="en cours"</formula>
    </cfRule>
    <cfRule type="expression" dxfId="1988" priority="10">
      <formula>$G44="non compris"</formula>
    </cfRule>
  </conditionalFormatting>
  <conditionalFormatting sqref="D43">
    <cfRule type="expression" dxfId="1987" priority="5">
      <formula>$G43="réalisé"</formula>
    </cfRule>
    <cfRule type="expression" dxfId="1986" priority="6">
      <formula>$G43="en cours"</formula>
    </cfRule>
    <cfRule type="expression" dxfId="1985" priority="7">
      <formula>$G43="non compris"</formula>
    </cfRule>
  </conditionalFormatting>
  <conditionalFormatting sqref="D46">
    <cfRule type="expression" dxfId="1984" priority="2">
      <formula>$G46="réalisé"</formula>
    </cfRule>
    <cfRule type="expression" dxfId="1983" priority="3">
      <formula>$G46="en cours"</formula>
    </cfRule>
    <cfRule type="expression" dxfId="1982" priority="4">
      <formula>$G46="non compris"</formula>
    </cfRule>
  </conditionalFormatting>
  <conditionalFormatting sqref="D8:D21">
    <cfRule type="expression" dxfId="1981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I69"/>
  <sheetViews>
    <sheetView zoomScaleNormal="100" workbookViewId="0">
      <selection activeCell="G13" sqref="G13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FISCHBACH-SCHMITT</v>
      </c>
      <c r="D2" s="5" t="s">
        <v>98</v>
      </c>
      <c r="E2" s="522"/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239</v>
      </c>
      <c r="D3" s="8" t="s">
        <v>3</v>
      </c>
      <c r="E3" s="525">
        <v>42928</v>
      </c>
      <c r="F3" s="526"/>
      <c r="G3" s="9"/>
      <c r="H3" s="527" t="str">
        <f ca="1">DATEDIF(E3,TODAY(),"m")&amp;"mois"&amp;-DATEDIF(E3,TODAY(),"md")&amp;"jours"</f>
        <v>1mois-11jours</v>
      </c>
      <c r="I3" s="528"/>
    </row>
    <row r="4" spans="1:9" ht="18.75" x14ac:dyDescent="0.25">
      <c r="A4" s="127" t="s">
        <v>222</v>
      </c>
      <c r="B4" s="215"/>
      <c r="C4" s="11"/>
      <c r="D4" s="12" t="s">
        <v>4</v>
      </c>
      <c r="E4" s="529">
        <f>E3+60</f>
        <v>42988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28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238</v>
      </c>
      <c r="D9" s="90" t="str">
        <f>D10</f>
        <v>TEMA</v>
      </c>
      <c r="E9" s="33">
        <v>28</v>
      </c>
      <c r="F9" s="34"/>
      <c r="G9" s="35" t="s">
        <v>55</v>
      </c>
      <c r="H9" s="31"/>
      <c r="I9" s="21"/>
    </row>
    <row r="10" spans="1:9" ht="15" customHeight="1" x14ac:dyDescent="0.25">
      <c r="A10" s="480">
        <v>12598.45</v>
      </c>
      <c r="B10" s="466">
        <f>A10-7349.1</f>
        <v>5249.35</v>
      </c>
      <c r="C10" s="32" t="s">
        <v>13</v>
      </c>
      <c r="D10" s="89" t="s">
        <v>57</v>
      </c>
      <c r="E10" s="28">
        <f>E9</f>
        <v>28</v>
      </c>
      <c r="F10" s="36"/>
      <c r="G10" s="35" t="s">
        <v>54</v>
      </c>
      <c r="H10" s="31"/>
      <c r="I10" s="21"/>
    </row>
    <row r="11" spans="1:9" x14ac:dyDescent="0.25">
      <c r="A11" s="467"/>
      <c r="B11" s="468"/>
      <c r="C11" s="32" t="s">
        <v>88</v>
      </c>
      <c r="D11" s="90" t="s">
        <v>90</v>
      </c>
      <c r="E11" s="28">
        <f>E10+4</f>
        <v>32</v>
      </c>
      <c r="F11" s="34"/>
      <c r="G11" s="35" t="s">
        <v>96</v>
      </c>
      <c r="H11" s="31"/>
      <c r="I11" s="21"/>
    </row>
    <row r="12" spans="1:9" x14ac:dyDescent="0.25">
      <c r="A12" s="467"/>
      <c r="B12" s="468"/>
      <c r="C12" s="32" t="s">
        <v>14</v>
      </c>
      <c r="D12" s="89" t="s">
        <v>90</v>
      </c>
      <c r="E12" s="28">
        <f>E11</f>
        <v>32</v>
      </c>
      <c r="F12" s="34"/>
      <c r="G12" s="35" t="s">
        <v>96</v>
      </c>
      <c r="H12" s="31"/>
      <c r="I12" s="21"/>
    </row>
    <row r="13" spans="1:9" x14ac:dyDescent="0.25">
      <c r="A13" s="467"/>
      <c r="B13" s="468"/>
      <c r="C13" s="32" t="s">
        <v>15</v>
      </c>
      <c r="D13" s="90" t="s">
        <v>57</v>
      </c>
      <c r="E13" s="28">
        <v>34</v>
      </c>
      <c r="F13" s="34"/>
      <c r="G13" s="35" t="s">
        <v>11</v>
      </c>
      <c r="H13" s="31"/>
      <c r="I13" s="21"/>
    </row>
    <row r="14" spans="1:9" x14ac:dyDescent="0.25">
      <c r="A14" s="480">
        <v>942.88</v>
      </c>
      <c r="B14" s="466">
        <v>942.88</v>
      </c>
      <c r="C14" s="32" t="s">
        <v>16</v>
      </c>
      <c r="D14" s="89" t="s">
        <v>61</v>
      </c>
      <c r="E14" s="28">
        <f>IF(E13="","",MOD(E13+1,52))</f>
        <v>35</v>
      </c>
      <c r="F14" s="34"/>
      <c r="G14" s="35" t="s">
        <v>11</v>
      </c>
      <c r="H14" s="31"/>
      <c r="I14" s="21"/>
    </row>
    <row r="15" spans="1:9" x14ac:dyDescent="0.25">
      <c r="A15" s="467"/>
      <c r="B15" s="468"/>
      <c r="C15" s="32" t="s">
        <v>100</v>
      </c>
      <c r="D15" s="90" t="str">
        <f>D10</f>
        <v>TEMA</v>
      </c>
      <c r="E15" s="28">
        <f>IF(E14="","",MOD(E14+1,52))</f>
        <v>36</v>
      </c>
      <c r="F15" s="34"/>
      <c r="G15" s="35" t="s">
        <v>11</v>
      </c>
      <c r="H15" s="31"/>
      <c r="I15" s="21"/>
    </row>
    <row r="16" spans="1:9" x14ac:dyDescent="0.25">
      <c r="A16" s="480">
        <v>794.77</v>
      </c>
      <c r="B16" s="466">
        <v>794.77</v>
      </c>
      <c r="C16" s="32" t="s">
        <v>85</v>
      </c>
      <c r="D16" s="89" t="s">
        <v>61</v>
      </c>
      <c r="E16" s="28">
        <f>IF(E15="","",MOD(E15+1,52))</f>
        <v>37</v>
      </c>
      <c r="F16" s="34"/>
      <c r="G16" s="35"/>
      <c r="H16" s="31"/>
      <c r="I16" s="21"/>
    </row>
    <row r="17" spans="1:9" x14ac:dyDescent="0.25">
      <c r="A17" s="480">
        <v>583.9</v>
      </c>
      <c r="B17" s="466">
        <v>583.9</v>
      </c>
      <c r="C17" s="32" t="s">
        <v>86</v>
      </c>
      <c r="D17" s="91" t="s">
        <v>64</v>
      </c>
      <c r="E17" s="28">
        <f>E16</f>
        <v>37</v>
      </c>
      <c r="F17" s="34"/>
      <c r="G17" s="35"/>
      <c r="H17" s="86"/>
      <c r="I17" s="21"/>
    </row>
    <row r="18" spans="1:9" x14ac:dyDescent="0.25">
      <c r="A18" s="467"/>
      <c r="B18" s="468"/>
      <c r="C18" s="157" t="s">
        <v>17</v>
      </c>
      <c r="D18" s="164" t="s">
        <v>94</v>
      </c>
      <c r="E18" s="159">
        <f>E16</f>
        <v>37</v>
      </c>
      <c r="F18" s="160"/>
      <c r="G18" s="161"/>
      <c r="H18" s="162"/>
      <c r="I18" s="21"/>
    </row>
    <row r="19" spans="1:9" x14ac:dyDescent="0.25">
      <c r="A19" s="480">
        <v>1459.78</v>
      </c>
      <c r="B19" s="466" t="s">
        <v>319</v>
      </c>
      <c r="C19" s="37" t="s">
        <v>18</v>
      </c>
      <c r="D19" s="89" t="s">
        <v>65</v>
      </c>
      <c r="E19" s="28">
        <f>IF(E16="","",MOD(E16+2,52))</f>
        <v>39</v>
      </c>
      <c r="F19" s="34"/>
      <c r="G19" s="35"/>
      <c r="H19" s="31"/>
      <c r="I19" s="21"/>
    </row>
    <row r="20" spans="1:9" x14ac:dyDescent="0.25">
      <c r="A20" s="467"/>
      <c r="B20" s="468"/>
      <c r="C20" s="32" t="s">
        <v>19</v>
      </c>
      <c r="D20" s="90" t="str">
        <f>D13</f>
        <v>TEMA</v>
      </c>
      <c r="E20" s="28">
        <f>IF(E16="","",MOD(E16+2,52))</f>
        <v>39</v>
      </c>
      <c r="F20" s="34"/>
      <c r="G20" s="35"/>
      <c r="H20" s="31"/>
      <c r="I20" s="21"/>
    </row>
    <row r="21" spans="1:9" x14ac:dyDescent="0.25">
      <c r="A21" s="480"/>
      <c r="B21" s="466"/>
      <c r="C21" s="132" t="s">
        <v>20</v>
      </c>
      <c r="D21" s="90" t="s">
        <v>81</v>
      </c>
      <c r="E21" s="28">
        <f>E19</f>
        <v>39</v>
      </c>
      <c r="F21" s="34"/>
      <c r="G21" s="133"/>
      <c r="H21" s="31"/>
      <c r="I21" s="21"/>
    </row>
    <row r="22" spans="1:9" x14ac:dyDescent="0.25">
      <c r="A22" s="469"/>
      <c r="B22" s="470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471"/>
      <c r="B23" s="472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467"/>
      <c r="B24" s="468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480">
        <v>447.48</v>
      </c>
      <c r="B25" s="466">
        <f>A25</f>
        <v>447.48</v>
      </c>
      <c r="C25" s="141" t="s">
        <v>92</v>
      </c>
      <c r="D25" s="89" t="s">
        <v>129</v>
      </c>
      <c r="E25" s="142">
        <f>IF(E19="","",MOD(E19+1,52))</f>
        <v>40</v>
      </c>
      <c r="F25" s="29"/>
      <c r="G25" s="30" t="s">
        <v>11</v>
      </c>
      <c r="H25" s="31"/>
      <c r="I25" s="21"/>
    </row>
    <row r="26" spans="1:9" x14ac:dyDescent="0.25">
      <c r="A26" s="480">
        <v>894.37</v>
      </c>
      <c r="B26" s="466">
        <v>894.37</v>
      </c>
      <c r="C26" s="32" t="s">
        <v>93</v>
      </c>
      <c r="D26" s="90" t="s">
        <v>68</v>
      </c>
      <c r="E26" s="28">
        <f>IF(E25="","",MOD(E25+1,52))</f>
        <v>41</v>
      </c>
      <c r="F26" s="34"/>
      <c r="G26" s="35"/>
      <c r="H26" s="31"/>
      <c r="I26" s="21"/>
    </row>
    <row r="27" spans="1:9" x14ac:dyDescent="0.25">
      <c r="A27" s="467"/>
      <c r="B27" s="468"/>
      <c r="C27" s="102" t="s">
        <v>22</v>
      </c>
      <c r="D27" s="89" t="str">
        <f>D25</f>
        <v>ELECTRO HECKER</v>
      </c>
      <c r="E27" s="28">
        <f>IF(E26="","",MOD(E26+2,52))</f>
        <v>43</v>
      </c>
      <c r="F27" s="34"/>
      <c r="G27" s="35"/>
      <c r="H27" s="31"/>
      <c r="I27" s="21"/>
    </row>
    <row r="28" spans="1:9" x14ac:dyDescent="0.25">
      <c r="A28" s="481"/>
      <c r="B28" s="463"/>
      <c r="C28" s="143" t="s">
        <v>23</v>
      </c>
      <c r="D28" s="90" t="s">
        <v>73</v>
      </c>
      <c r="E28" s="28">
        <f>IF(E26="","",MOD(E26+2,52))</f>
        <v>43</v>
      </c>
      <c r="F28" s="34"/>
      <c r="G28" s="35"/>
      <c r="H28" s="31"/>
      <c r="I28" s="21"/>
    </row>
    <row r="29" spans="1:9" x14ac:dyDescent="0.25">
      <c r="A29" s="481"/>
      <c r="B29" s="463"/>
      <c r="C29" s="102" t="s">
        <v>24</v>
      </c>
      <c r="D29" s="89" t="s">
        <v>129</v>
      </c>
      <c r="E29" s="28">
        <f>IF(E28="","",MOD(E28+1,52))</f>
        <v>44</v>
      </c>
      <c r="F29" s="34"/>
      <c r="G29" s="35"/>
      <c r="H29" s="31"/>
      <c r="I29" s="21"/>
    </row>
    <row r="30" spans="1:9" x14ac:dyDescent="0.25">
      <c r="A30" s="481"/>
      <c r="B30" s="463"/>
      <c r="C30" s="32" t="s">
        <v>25</v>
      </c>
      <c r="D30" s="90" t="s">
        <v>129</v>
      </c>
      <c r="E30" s="28">
        <f>IF(E28="","",MOD(E28+1,52))</f>
        <v>44</v>
      </c>
      <c r="F30" s="34"/>
      <c r="G30" s="35"/>
      <c r="H30" s="31"/>
      <c r="I30" s="21"/>
    </row>
    <row r="31" spans="1:9" x14ac:dyDescent="0.25">
      <c r="A31" s="464"/>
      <c r="B31" s="465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304"/>
      <c r="B32" s="294"/>
      <c r="C32" s="32" t="s">
        <v>27</v>
      </c>
      <c r="D32" s="90" t="s">
        <v>76</v>
      </c>
      <c r="E32" s="28">
        <f>IF(E30="","",MOD(E30+1,52))</f>
        <v>45</v>
      </c>
      <c r="F32" s="34"/>
      <c r="G32" s="35"/>
      <c r="H32" s="31"/>
      <c r="I32" s="21"/>
    </row>
    <row r="33" spans="1:9" x14ac:dyDescent="0.25">
      <c r="A33" s="240"/>
      <c r="B33" s="241"/>
      <c r="C33" s="32" t="s">
        <v>28</v>
      </c>
      <c r="D33" s="89" t="str">
        <f>D26</f>
        <v>SOARES</v>
      </c>
      <c r="E33" s="28">
        <f>IF(E32="","",MOD(E32+1,52))</f>
        <v>46</v>
      </c>
      <c r="F33" s="34"/>
      <c r="G33" s="35"/>
      <c r="H33" s="31"/>
      <c r="I33" s="21"/>
    </row>
    <row r="34" spans="1:9" x14ac:dyDescent="0.25">
      <c r="A34" s="473"/>
      <c r="B34" s="241"/>
      <c r="C34" s="32" t="s">
        <v>29</v>
      </c>
      <c r="D34" s="90" t="str">
        <f>D25</f>
        <v>ELECTRO HECKER</v>
      </c>
      <c r="E34" s="28">
        <f>IF(E33="","",MOD(E33+1,52))</f>
        <v>47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HERTFELDER</v>
      </c>
      <c r="E35" s="28">
        <f>IF(E33="","",MOD(E33+1,52))</f>
        <v>47</v>
      </c>
      <c r="F35" s="34"/>
      <c r="G35" s="35"/>
      <c r="H35" s="31"/>
      <c r="I35" s="21"/>
    </row>
    <row r="36" spans="1:9" x14ac:dyDescent="0.25">
      <c r="A36" s="218"/>
      <c r="B36" s="219"/>
      <c r="C36" s="32" t="s">
        <v>31</v>
      </c>
      <c r="D36" s="90" t="s">
        <v>90</v>
      </c>
      <c r="E36" s="28">
        <f>E32+4</f>
        <v>49</v>
      </c>
      <c r="F36" s="34"/>
      <c r="G36" s="35" t="s">
        <v>96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48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tr">
        <f>D30</f>
        <v>ELECTRO HECKER</v>
      </c>
      <c r="E38" s="28">
        <f>IF(E37="","",MOD(E37+1,52))</f>
        <v>49</v>
      </c>
      <c r="F38" s="34"/>
      <c r="G38" s="35"/>
      <c r="H38" s="31"/>
      <c r="I38" s="21"/>
    </row>
    <row r="39" spans="1:9" x14ac:dyDescent="0.25">
      <c r="A39" s="289"/>
      <c r="B39" s="217"/>
      <c r="C39" s="144" t="s">
        <v>34</v>
      </c>
      <c r="D39" s="89" t="s">
        <v>79</v>
      </c>
      <c r="E39" s="145">
        <f>IF(E38="","",MOD(E38+1,52))</f>
        <v>50</v>
      </c>
      <c r="F39" s="146"/>
      <c r="G39" s="133"/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89"/>
      <c r="B43" s="217"/>
      <c r="C43" s="153" t="s">
        <v>35</v>
      </c>
      <c r="D43" s="89" t="s">
        <v>82</v>
      </c>
      <c r="E43" s="154">
        <f>E28+1</f>
        <v>44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45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45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47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229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05"/>
      <c r="C51" s="40" t="s">
        <v>230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15" customFormat="1" x14ac:dyDescent="0.25">
      <c r="A62" s="382"/>
      <c r="B62" s="382"/>
      <c r="C62" s="66"/>
      <c r="D62" s="66"/>
      <c r="E62" s="66"/>
      <c r="F62" s="66"/>
      <c r="G62" s="66"/>
      <c r="H62" s="66"/>
      <c r="I62" s="66"/>
    </row>
    <row r="63" spans="1:9" s="415" customFormat="1" x14ac:dyDescent="0.25">
      <c r="A63" s="66"/>
      <c r="B63" s="66"/>
      <c r="C63" s="382"/>
      <c r="D63" s="416"/>
      <c r="E63" s="66"/>
      <c r="F63" s="416"/>
      <c r="G63" s="66"/>
      <c r="H63" s="66"/>
      <c r="I63" s="66"/>
    </row>
    <row r="64" spans="1:9" s="415" customFormat="1" x14ac:dyDescent="0.25">
      <c r="A64" s="66"/>
      <c r="B64" s="66"/>
      <c r="C64" s="382"/>
      <c r="D64" s="416"/>
      <c r="E64" s="66"/>
      <c r="F64" s="416"/>
      <c r="G64" s="66"/>
      <c r="H64" s="66"/>
      <c r="I64" s="66"/>
    </row>
    <row r="65" spans="1:9" s="415" customFormat="1" x14ac:dyDescent="0.25">
      <c r="A65" s="66"/>
      <c r="B65" s="66"/>
      <c r="C65" s="382"/>
      <c r="D65" s="66"/>
      <c r="E65" s="66"/>
      <c r="F65" s="66"/>
      <c r="G65" s="66"/>
      <c r="H65" s="66"/>
      <c r="I65" s="66"/>
    </row>
    <row r="66" spans="1:9" s="415" customFormat="1" x14ac:dyDescent="0.25">
      <c r="A66" s="66"/>
      <c r="B66" s="66"/>
      <c r="C66" s="382"/>
      <c r="D66" s="66"/>
      <c r="E66" s="66"/>
      <c r="F66" s="66"/>
      <c r="G66" s="66"/>
      <c r="H66" s="66"/>
      <c r="I66" s="66"/>
    </row>
    <row r="67" spans="1:9" s="415" customFormat="1" x14ac:dyDescent="0.25">
      <c r="A67" s="66"/>
      <c r="B67" s="66"/>
      <c r="C67" s="382"/>
      <c r="D67" s="66"/>
      <c r="E67" s="66"/>
      <c r="F67" s="66"/>
      <c r="G67" s="66"/>
      <c r="H67" s="66"/>
      <c r="I67" s="66"/>
    </row>
    <row r="68" spans="1:9" s="415" customFormat="1" x14ac:dyDescent="0.25">
      <c r="A68" s="66"/>
      <c r="B68" s="66"/>
      <c r="C68" s="382"/>
      <c r="D68" s="417"/>
      <c r="E68" s="66"/>
      <c r="F68" s="66"/>
      <c r="G68" s="66"/>
      <c r="H68" s="66"/>
      <c r="I68" s="66"/>
    </row>
    <row r="69" spans="1:9" s="415" customFormat="1" x14ac:dyDescent="0.25"/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1938" priority="72">
      <formula>$F22="réalisé"</formula>
    </cfRule>
  </conditionalFormatting>
  <conditionalFormatting sqref="C43:C46 E43:H46 C8:H21 E25:H39">
    <cfRule type="expression" dxfId="1937" priority="69">
      <formula>$G8="réalisé"</formula>
    </cfRule>
    <cfRule type="expression" dxfId="1936" priority="70">
      <formula>$G8="en cours"</formula>
    </cfRule>
    <cfRule type="expression" dxfId="1935" priority="71">
      <formula>$G8="non compris"</formula>
    </cfRule>
  </conditionalFormatting>
  <conditionalFormatting sqref="C22:G22 C40:G40">
    <cfRule type="expression" dxfId="1934" priority="68">
      <formula>$F22="non cpris"</formula>
    </cfRule>
  </conditionalFormatting>
  <conditionalFormatting sqref="C22:G22">
    <cfRule type="expression" dxfId="1933" priority="67">
      <formula>$F22="en cours"</formula>
    </cfRule>
  </conditionalFormatting>
  <conditionalFormatting sqref="C25:C39">
    <cfRule type="expression" dxfId="1932" priority="64">
      <formula>$G25="réalisé"</formula>
    </cfRule>
    <cfRule type="expression" dxfId="1931" priority="65">
      <formula>$G25="en cours"</formula>
    </cfRule>
    <cfRule type="expression" dxfId="1930" priority="66">
      <formula>$G25="non compris"</formula>
    </cfRule>
  </conditionalFormatting>
  <conditionalFormatting sqref="C50:F53">
    <cfRule type="expression" dxfId="1929" priority="63">
      <formula>$F50="réalisé"</formula>
    </cfRule>
  </conditionalFormatting>
  <conditionalFormatting sqref="G9">
    <cfRule type="expression" dxfId="1928" priority="62">
      <formula>$G$10="réalisé"</formula>
    </cfRule>
  </conditionalFormatting>
  <conditionalFormatting sqref="G10">
    <cfRule type="expression" dxfId="1927" priority="61">
      <formula>$G$11="réalisé"</formula>
    </cfRule>
  </conditionalFormatting>
  <conditionalFormatting sqref="G16:G17">
    <cfRule type="expression" dxfId="1926" priority="60">
      <formula>$G$18="réalisé"</formula>
    </cfRule>
  </conditionalFormatting>
  <conditionalFormatting sqref="G26">
    <cfRule type="expression" dxfId="1925" priority="59">
      <formula>$G$27="réalisé"</formula>
    </cfRule>
  </conditionalFormatting>
  <conditionalFormatting sqref="D25">
    <cfRule type="expression" dxfId="1924" priority="56">
      <formula>$G25="réalisé"</formula>
    </cfRule>
    <cfRule type="expression" dxfId="1923" priority="57">
      <formula>$G25="en cours"</formula>
    </cfRule>
    <cfRule type="expression" dxfId="1922" priority="58">
      <formula>$G25="non compris"</formula>
    </cfRule>
  </conditionalFormatting>
  <conditionalFormatting sqref="D27">
    <cfRule type="expression" dxfId="1921" priority="53">
      <formula>$G27="réalisé"</formula>
    </cfRule>
    <cfRule type="expression" dxfId="1920" priority="54">
      <formula>$G27="en cours"</formula>
    </cfRule>
    <cfRule type="expression" dxfId="1919" priority="55">
      <formula>$G27="non compris"</formula>
    </cfRule>
  </conditionalFormatting>
  <conditionalFormatting sqref="D29">
    <cfRule type="expression" dxfId="1918" priority="50">
      <formula>$G29="réalisé"</formula>
    </cfRule>
    <cfRule type="expression" dxfId="1917" priority="51">
      <formula>$G29="en cours"</formula>
    </cfRule>
    <cfRule type="expression" dxfId="1916" priority="52">
      <formula>$G29="non compris"</formula>
    </cfRule>
  </conditionalFormatting>
  <conditionalFormatting sqref="D31">
    <cfRule type="expression" dxfId="1915" priority="47">
      <formula>$G31="réalisé"</formula>
    </cfRule>
    <cfRule type="expression" dxfId="1914" priority="48">
      <formula>$G31="en cours"</formula>
    </cfRule>
    <cfRule type="expression" dxfId="1913" priority="49">
      <formula>$G31="non compris"</formula>
    </cfRule>
  </conditionalFormatting>
  <conditionalFormatting sqref="D33">
    <cfRule type="expression" dxfId="1912" priority="44">
      <formula>$G33="réalisé"</formula>
    </cfRule>
    <cfRule type="expression" dxfId="1911" priority="45">
      <formula>$G33="en cours"</formula>
    </cfRule>
    <cfRule type="expression" dxfId="1910" priority="46">
      <formula>$G33="non compris"</formula>
    </cfRule>
  </conditionalFormatting>
  <conditionalFormatting sqref="D35">
    <cfRule type="expression" dxfId="1909" priority="41">
      <formula>$G35="réalisé"</formula>
    </cfRule>
    <cfRule type="expression" dxfId="1908" priority="42">
      <formula>$G35="en cours"</formula>
    </cfRule>
    <cfRule type="expression" dxfId="1907" priority="43">
      <formula>$G35="non compris"</formula>
    </cfRule>
  </conditionalFormatting>
  <conditionalFormatting sqref="D37">
    <cfRule type="expression" dxfId="1906" priority="38">
      <formula>$G37="réalisé"</formula>
    </cfRule>
    <cfRule type="expression" dxfId="1905" priority="39">
      <formula>$G37="en cours"</formula>
    </cfRule>
    <cfRule type="expression" dxfId="1904" priority="40">
      <formula>$G37="non compris"</formula>
    </cfRule>
  </conditionalFormatting>
  <conditionalFormatting sqref="D39">
    <cfRule type="expression" dxfId="1903" priority="35">
      <formula>$G39="réalisé"</formula>
    </cfRule>
    <cfRule type="expression" dxfId="1902" priority="36">
      <formula>$G39="en cours"</formula>
    </cfRule>
    <cfRule type="expression" dxfId="1901" priority="37">
      <formula>$G39="non compris"</formula>
    </cfRule>
  </conditionalFormatting>
  <conditionalFormatting sqref="D26">
    <cfRule type="expression" dxfId="1900" priority="32">
      <formula>$G26="réalisé"</formula>
    </cfRule>
    <cfRule type="expression" dxfId="1899" priority="33">
      <formula>$G26="en cours"</formula>
    </cfRule>
    <cfRule type="expression" dxfId="1898" priority="34">
      <formula>$G26="non compris"</formula>
    </cfRule>
  </conditionalFormatting>
  <conditionalFormatting sqref="D28">
    <cfRule type="expression" dxfId="1897" priority="29">
      <formula>$G28="réalisé"</formula>
    </cfRule>
    <cfRule type="expression" dxfId="1896" priority="30">
      <formula>$G28="en cours"</formula>
    </cfRule>
    <cfRule type="expression" dxfId="1895" priority="31">
      <formula>$G28="non compris"</formula>
    </cfRule>
  </conditionalFormatting>
  <conditionalFormatting sqref="D30">
    <cfRule type="expression" dxfId="1894" priority="26">
      <formula>$G30="réalisé"</formula>
    </cfRule>
    <cfRule type="expression" dxfId="1893" priority="27">
      <formula>$G30="en cours"</formula>
    </cfRule>
    <cfRule type="expression" dxfId="1892" priority="28">
      <formula>$G30="non compris"</formula>
    </cfRule>
  </conditionalFormatting>
  <conditionalFormatting sqref="D32">
    <cfRule type="expression" dxfId="1891" priority="23">
      <formula>$G32="réalisé"</formula>
    </cfRule>
    <cfRule type="expression" dxfId="1890" priority="24">
      <formula>$G32="en cours"</formula>
    </cfRule>
    <cfRule type="expression" dxfId="1889" priority="25">
      <formula>$G32="non compris"</formula>
    </cfRule>
  </conditionalFormatting>
  <conditionalFormatting sqref="D34">
    <cfRule type="expression" dxfId="1888" priority="20">
      <formula>$G34="réalisé"</formula>
    </cfRule>
    <cfRule type="expression" dxfId="1887" priority="21">
      <formula>$G34="en cours"</formula>
    </cfRule>
    <cfRule type="expression" dxfId="1886" priority="22">
      <formula>$G34="non compris"</formula>
    </cfRule>
  </conditionalFormatting>
  <conditionalFormatting sqref="D36">
    <cfRule type="expression" dxfId="1885" priority="17">
      <formula>$G36="réalisé"</formula>
    </cfRule>
    <cfRule type="expression" dxfId="1884" priority="18">
      <formula>$G36="en cours"</formula>
    </cfRule>
    <cfRule type="expression" dxfId="1883" priority="19">
      <formula>$G36="non compris"</formula>
    </cfRule>
  </conditionalFormatting>
  <conditionalFormatting sqref="D38">
    <cfRule type="expression" dxfId="1882" priority="14">
      <formula>$G38="réalisé"</formula>
    </cfRule>
    <cfRule type="expression" dxfId="1881" priority="15">
      <formula>$G38="en cours"</formula>
    </cfRule>
    <cfRule type="expression" dxfId="1880" priority="16">
      <formula>$G38="non compris"</formula>
    </cfRule>
  </conditionalFormatting>
  <conditionalFormatting sqref="D45">
    <cfRule type="expression" dxfId="1879" priority="11">
      <formula>$G45="réalisé"</formula>
    </cfRule>
    <cfRule type="expression" dxfId="1878" priority="12">
      <formula>$G45="en cours"</formula>
    </cfRule>
    <cfRule type="expression" dxfId="1877" priority="13">
      <formula>$G45="non compris"</formula>
    </cfRule>
  </conditionalFormatting>
  <conditionalFormatting sqref="D44">
    <cfRule type="expression" dxfId="1876" priority="8">
      <formula>$G44="réalisé"</formula>
    </cfRule>
    <cfRule type="expression" dxfId="1875" priority="9">
      <formula>$G44="en cours"</formula>
    </cfRule>
    <cfRule type="expression" dxfId="1874" priority="10">
      <formula>$G44="non compris"</formula>
    </cfRule>
  </conditionalFormatting>
  <conditionalFormatting sqref="D43">
    <cfRule type="expression" dxfId="1873" priority="5">
      <formula>$G43="réalisé"</formula>
    </cfRule>
    <cfRule type="expression" dxfId="1872" priority="6">
      <formula>$G43="en cours"</formula>
    </cfRule>
    <cfRule type="expression" dxfId="1871" priority="7">
      <formula>$G43="non compris"</formula>
    </cfRule>
  </conditionalFormatting>
  <conditionalFormatting sqref="D46">
    <cfRule type="expression" dxfId="1870" priority="2">
      <formula>$G46="réalisé"</formula>
    </cfRule>
    <cfRule type="expression" dxfId="1869" priority="3">
      <formula>$G46="en cours"</formula>
    </cfRule>
    <cfRule type="expression" dxfId="1868" priority="4">
      <formula>$G46="non compris"</formula>
    </cfRule>
  </conditionalFormatting>
  <conditionalFormatting sqref="D8:D21">
    <cfRule type="expression" dxfId="1867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B050"/>
    <pageSetUpPr fitToPage="1"/>
  </sheetPr>
  <dimension ref="A1:M68"/>
  <sheetViews>
    <sheetView tabSelected="1" topLeftCell="A7" zoomScaleNormal="100" workbookViewId="0">
      <selection activeCell="B25" sqref="B25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FREYMANN</v>
      </c>
      <c r="D2" s="5" t="s">
        <v>98</v>
      </c>
      <c r="E2" s="522">
        <v>42720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102</v>
      </c>
      <c r="D3" s="8" t="s">
        <v>3</v>
      </c>
      <c r="E3" s="525">
        <v>42754</v>
      </c>
      <c r="F3" s="526"/>
      <c r="G3" s="9"/>
      <c r="H3" s="527" t="str">
        <f ca="1">DATEDIF(E3,TODAY(),"m")&amp;"mois"&amp;-DATEDIF(E3,TODAY(),"md")&amp;"jours"</f>
        <v>7mois-4jours</v>
      </c>
      <c r="I3" s="528"/>
    </row>
    <row r="4" spans="1:9" ht="18.75" x14ac:dyDescent="0.25">
      <c r="A4" s="127"/>
      <c r="B4" s="215"/>
      <c r="C4" s="11"/>
      <c r="D4" s="12" t="s">
        <v>4</v>
      </c>
      <c r="E4" s="529">
        <f>E3+60</f>
        <v>42814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3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90" t="str">
        <f>D10</f>
        <v>TEMA</v>
      </c>
      <c r="E9" s="33">
        <v>3</v>
      </c>
      <c r="F9" s="34"/>
      <c r="G9" s="35" t="s">
        <v>55</v>
      </c>
      <c r="H9" s="31"/>
      <c r="I9" s="21"/>
    </row>
    <row r="10" spans="1:9" ht="15" customHeight="1" x14ac:dyDescent="0.25">
      <c r="A10" s="308">
        <v>15450.95</v>
      </c>
      <c r="B10" s="313">
        <f>A10-12875.79-2575.16</f>
        <v>0</v>
      </c>
      <c r="C10" s="32" t="s">
        <v>13</v>
      </c>
      <c r="D10" s="89" t="s">
        <v>57</v>
      </c>
      <c r="E10" s="28">
        <v>3</v>
      </c>
      <c r="F10" s="36"/>
      <c r="G10" s="35" t="s">
        <v>55</v>
      </c>
      <c r="H10" s="31"/>
      <c r="I10" s="21"/>
    </row>
    <row r="11" spans="1:9" x14ac:dyDescent="0.25">
      <c r="A11" s="309"/>
      <c r="B11" s="314"/>
      <c r="C11" s="32" t="s">
        <v>88</v>
      </c>
      <c r="D11" s="90" t="s">
        <v>90</v>
      </c>
      <c r="E11" s="28">
        <v>8</v>
      </c>
      <c r="F11" s="34"/>
      <c r="G11" s="35" t="s">
        <v>55</v>
      </c>
      <c r="H11" s="31"/>
      <c r="I11" s="21"/>
    </row>
    <row r="12" spans="1:9" x14ac:dyDescent="0.25">
      <c r="A12" s="309"/>
      <c r="B12" s="314"/>
      <c r="C12" s="32" t="s">
        <v>14</v>
      </c>
      <c r="D12" s="89" t="s">
        <v>90</v>
      </c>
      <c r="E12" s="28">
        <f>E11</f>
        <v>8</v>
      </c>
      <c r="F12" s="34"/>
      <c r="G12" s="35" t="s">
        <v>55</v>
      </c>
      <c r="H12" s="31"/>
      <c r="I12" s="21"/>
    </row>
    <row r="13" spans="1:9" x14ac:dyDescent="0.25">
      <c r="A13" s="310"/>
      <c r="B13" s="314"/>
      <c r="C13" s="32" t="s">
        <v>15</v>
      </c>
      <c r="D13" s="90" t="s">
        <v>57</v>
      </c>
      <c r="E13" s="28">
        <v>8</v>
      </c>
      <c r="F13" s="34"/>
      <c r="G13" s="35" t="s">
        <v>55</v>
      </c>
      <c r="H13" s="31"/>
      <c r="I13" s="21"/>
    </row>
    <row r="14" spans="1:9" x14ac:dyDescent="0.25">
      <c r="A14" s="308">
        <v>1205.54</v>
      </c>
      <c r="B14" s="313">
        <f>A14-1205.54</f>
        <v>0</v>
      </c>
      <c r="C14" s="32" t="s">
        <v>16</v>
      </c>
      <c r="D14" s="89" t="s">
        <v>61</v>
      </c>
      <c r="E14" s="28">
        <f>IF(E13="","",MOD(E13+1,52))</f>
        <v>9</v>
      </c>
      <c r="F14" s="34"/>
      <c r="G14" s="35" t="s">
        <v>55</v>
      </c>
      <c r="H14" s="31"/>
      <c r="I14" s="21"/>
    </row>
    <row r="15" spans="1:9" x14ac:dyDescent="0.25">
      <c r="A15" s="310"/>
      <c r="B15" s="314"/>
      <c r="C15" s="32" t="s">
        <v>100</v>
      </c>
      <c r="D15" s="90" t="str">
        <f>D10</f>
        <v>TEMA</v>
      </c>
      <c r="E15" s="28">
        <f>IF(E14="","",MOD(E14+1,52))</f>
        <v>10</v>
      </c>
      <c r="F15" s="34"/>
      <c r="G15" s="35" t="s">
        <v>55</v>
      </c>
      <c r="H15" s="31"/>
      <c r="I15" s="21"/>
    </row>
    <row r="16" spans="1:9" x14ac:dyDescent="0.25">
      <c r="A16" s="311">
        <v>1175.96</v>
      </c>
      <c r="B16" s="313">
        <f>A16-1175.96</f>
        <v>0</v>
      </c>
      <c r="C16" s="32" t="s">
        <v>85</v>
      </c>
      <c r="D16" s="89" t="s">
        <v>61</v>
      </c>
      <c r="E16" s="28">
        <v>10</v>
      </c>
      <c r="F16" s="34"/>
      <c r="G16" s="35" t="s">
        <v>55</v>
      </c>
      <c r="H16" s="31"/>
      <c r="I16" s="21"/>
    </row>
    <row r="17" spans="1:9" x14ac:dyDescent="0.25">
      <c r="A17" s="311">
        <v>642.83000000000004</v>
      </c>
      <c r="B17" s="313">
        <f>A17-642.83</f>
        <v>0</v>
      </c>
      <c r="C17" s="32" t="s">
        <v>86</v>
      </c>
      <c r="D17" s="91" t="s">
        <v>64</v>
      </c>
      <c r="E17" s="28">
        <f>E16</f>
        <v>10</v>
      </c>
      <c r="F17" s="34"/>
      <c r="G17" s="35" t="s">
        <v>55</v>
      </c>
      <c r="H17" s="86"/>
      <c r="I17" s="21"/>
    </row>
    <row r="18" spans="1:9" x14ac:dyDescent="0.25">
      <c r="A18" s="309"/>
      <c r="B18" s="314"/>
      <c r="C18" s="157" t="s">
        <v>17</v>
      </c>
      <c r="D18" s="164" t="s">
        <v>94</v>
      </c>
      <c r="E18" s="159">
        <f>E16</f>
        <v>10</v>
      </c>
      <c r="F18" s="160"/>
      <c r="G18" s="161"/>
      <c r="H18" s="162"/>
      <c r="I18" s="21"/>
    </row>
    <row r="19" spans="1:9" x14ac:dyDescent="0.25">
      <c r="A19" s="308">
        <v>3438.01</v>
      </c>
      <c r="B19" s="313">
        <f>A19-3438.01</f>
        <v>0</v>
      </c>
      <c r="C19" s="37" t="s">
        <v>18</v>
      </c>
      <c r="D19" s="89" t="s">
        <v>65</v>
      </c>
      <c r="E19" s="28">
        <v>12</v>
      </c>
      <c r="F19" s="34"/>
      <c r="G19" s="35" t="s">
        <v>55</v>
      </c>
      <c r="H19" s="31"/>
      <c r="I19" s="21"/>
    </row>
    <row r="20" spans="1:9" x14ac:dyDescent="0.25">
      <c r="A20" s="310"/>
      <c r="B20" s="314"/>
      <c r="C20" s="32" t="s">
        <v>19</v>
      </c>
      <c r="D20" s="90" t="str">
        <f>D13</f>
        <v>TEMA</v>
      </c>
      <c r="E20" s="28">
        <v>11</v>
      </c>
      <c r="F20" s="34"/>
      <c r="G20" s="35" t="s">
        <v>55</v>
      </c>
      <c r="H20" s="31"/>
      <c r="I20" s="21"/>
    </row>
    <row r="21" spans="1:9" x14ac:dyDescent="0.25">
      <c r="A21" s="308">
        <v>0</v>
      </c>
      <c r="B21" s="313">
        <f>A21</f>
        <v>0</v>
      </c>
      <c r="C21" s="132" t="s">
        <v>20</v>
      </c>
      <c r="D21" s="90" t="s">
        <v>81</v>
      </c>
      <c r="E21" s="28">
        <f>E19</f>
        <v>12</v>
      </c>
      <c r="F21" s="34"/>
      <c r="G21" s="133" t="s">
        <v>55</v>
      </c>
      <c r="H21" s="31"/>
      <c r="I21" s="21"/>
    </row>
    <row r="22" spans="1:9" x14ac:dyDescent="0.25">
      <c r="A22" s="312"/>
      <c r="B22" s="315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37"/>
      <c r="B23" s="238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309"/>
      <c r="B24" s="314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308">
        <v>1107.6400000000001</v>
      </c>
      <c r="B25" s="313">
        <f>A25-1107.65</f>
        <v>-9.9999999999909051E-3</v>
      </c>
      <c r="C25" s="141" t="s">
        <v>92</v>
      </c>
      <c r="D25" s="89" t="s">
        <v>71</v>
      </c>
      <c r="E25" s="142">
        <f>IF(E19="","",MOD(E19+1,52))</f>
        <v>13</v>
      </c>
      <c r="F25" s="29"/>
      <c r="G25" s="30" t="s">
        <v>55</v>
      </c>
      <c r="H25" s="31"/>
      <c r="I25" s="21"/>
    </row>
    <row r="26" spans="1:9" x14ac:dyDescent="0.25">
      <c r="A26" s="313"/>
      <c r="B26" s="313"/>
      <c r="C26" s="32" t="s">
        <v>93</v>
      </c>
      <c r="D26" s="90" t="s">
        <v>90</v>
      </c>
      <c r="E26" s="28">
        <v>25</v>
      </c>
      <c r="F26" s="34"/>
      <c r="G26" s="35" t="s">
        <v>54</v>
      </c>
      <c r="H26" s="128"/>
      <c r="I26" s="21"/>
    </row>
    <row r="27" spans="1:9" x14ac:dyDescent="0.25">
      <c r="A27" s="309"/>
      <c r="B27" s="314"/>
      <c r="C27" s="102" t="s">
        <v>22</v>
      </c>
      <c r="D27" s="89" t="str">
        <f>D25</f>
        <v>BENELEC</v>
      </c>
      <c r="E27" s="28">
        <v>32</v>
      </c>
      <c r="F27" s="34"/>
      <c r="G27" s="35" t="s">
        <v>55</v>
      </c>
      <c r="H27" s="31"/>
      <c r="I27" s="21"/>
    </row>
    <row r="28" spans="1:9" x14ac:dyDescent="0.25">
      <c r="A28" s="308">
        <v>871.09</v>
      </c>
      <c r="B28" s="313">
        <f>A28</f>
        <v>871.09</v>
      </c>
      <c r="C28" s="143" t="s">
        <v>23</v>
      </c>
      <c r="D28" s="90" t="s">
        <v>75</v>
      </c>
      <c r="E28" s="28">
        <v>33</v>
      </c>
      <c r="F28" s="34"/>
      <c r="G28" s="35"/>
      <c r="H28" s="31"/>
      <c r="I28" s="21"/>
    </row>
    <row r="29" spans="1:9" x14ac:dyDescent="0.25">
      <c r="A29" s="308">
        <v>0</v>
      </c>
      <c r="B29" s="313">
        <f>A29</f>
        <v>0</v>
      </c>
      <c r="C29" s="102" t="s">
        <v>24</v>
      </c>
      <c r="D29" s="89" t="s">
        <v>75</v>
      </c>
      <c r="E29" s="28">
        <f>IF(E28="","",MOD(E28+1,52))</f>
        <v>34</v>
      </c>
      <c r="F29" s="34"/>
      <c r="G29" s="35"/>
      <c r="H29" s="31"/>
      <c r="I29" s="21"/>
    </row>
    <row r="30" spans="1:9" x14ac:dyDescent="0.25">
      <c r="A30" s="308">
        <v>1117.45</v>
      </c>
      <c r="B30" s="313">
        <f>A30</f>
        <v>1117.45</v>
      </c>
      <c r="C30" s="32" t="s">
        <v>25</v>
      </c>
      <c r="D30" s="90" t="s">
        <v>75</v>
      </c>
      <c r="E30" s="28">
        <f>IF(E28="","",MOD(E28+1,52))</f>
        <v>34</v>
      </c>
      <c r="F30" s="34"/>
      <c r="G30" s="35"/>
      <c r="H30" s="31"/>
      <c r="I30" s="21"/>
    </row>
    <row r="31" spans="1:9" x14ac:dyDescent="0.25">
      <c r="A31" s="309"/>
      <c r="B31" s="314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308">
        <v>0</v>
      </c>
      <c r="B32" s="313">
        <f>A32</f>
        <v>0</v>
      </c>
      <c r="C32" s="32" t="s">
        <v>27</v>
      </c>
      <c r="D32" s="90" t="s">
        <v>76</v>
      </c>
      <c r="E32" s="28">
        <f>IF(E30="","",MOD(E30+1,52))</f>
        <v>35</v>
      </c>
      <c r="F32" s="34"/>
      <c r="G32" s="35"/>
      <c r="H32" s="31"/>
      <c r="I32" s="21"/>
    </row>
    <row r="33" spans="1:13" x14ac:dyDescent="0.25">
      <c r="A33" s="261"/>
      <c r="B33" s="262"/>
      <c r="C33" s="32" t="s">
        <v>28</v>
      </c>
      <c r="D33" s="89" t="str">
        <f>D26</f>
        <v>A CHARGE CLIENT</v>
      </c>
      <c r="E33" s="28">
        <f>IF(E32="","",MOD(E32+1,52))</f>
        <v>36</v>
      </c>
      <c r="F33" s="34"/>
      <c r="G33" s="35" t="s">
        <v>96</v>
      </c>
      <c r="H33" s="31"/>
      <c r="I33" s="21"/>
      <c r="M33" s="275"/>
    </row>
    <row r="34" spans="1:13" x14ac:dyDescent="0.25">
      <c r="A34" s="261"/>
      <c r="B34" s="262"/>
      <c r="C34" s="32" t="s">
        <v>29</v>
      </c>
      <c r="D34" s="90" t="str">
        <f>D25</f>
        <v>BENELEC</v>
      </c>
      <c r="E34" s="28">
        <f>IF(E33="","",MOD(E33+1,52))</f>
        <v>37</v>
      </c>
      <c r="F34" s="34"/>
      <c r="G34" s="35" t="s">
        <v>11</v>
      </c>
      <c r="H34" s="31"/>
      <c r="I34" s="21"/>
    </row>
    <row r="35" spans="1:13" x14ac:dyDescent="0.25">
      <c r="A35" s="261"/>
      <c r="B35" s="262"/>
      <c r="C35" s="32" t="s">
        <v>30</v>
      </c>
      <c r="D35" s="89" t="str">
        <f>D28</f>
        <v>EKOTHERM</v>
      </c>
      <c r="E35" s="28">
        <f>IF(E33="","",MOD(E33+1,52))</f>
        <v>37</v>
      </c>
      <c r="F35" s="34"/>
      <c r="G35" s="35"/>
      <c r="H35" s="31"/>
      <c r="I35" s="21"/>
    </row>
    <row r="36" spans="1:13" x14ac:dyDescent="0.25">
      <c r="A36" s="261"/>
      <c r="B36" s="262"/>
      <c r="C36" s="32" t="s">
        <v>31</v>
      </c>
      <c r="D36" s="90" t="s">
        <v>90</v>
      </c>
      <c r="E36" s="28">
        <f>E32+4</f>
        <v>39</v>
      </c>
      <c r="F36" s="34"/>
      <c r="G36" s="35" t="s">
        <v>96</v>
      </c>
      <c r="H36" s="31"/>
      <c r="I36" s="21"/>
    </row>
    <row r="37" spans="1:13" x14ac:dyDescent="0.25">
      <c r="A37" s="261"/>
      <c r="B37" s="262"/>
      <c r="C37" s="32" t="s">
        <v>32</v>
      </c>
      <c r="D37" s="89" t="s">
        <v>90</v>
      </c>
      <c r="E37" s="28">
        <f>E35+1</f>
        <v>38</v>
      </c>
      <c r="F37" s="34"/>
      <c r="G37" s="35" t="s">
        <v>96</v>
      </c>
      <c r="H37" s="31"/>
      <c r="I37" s="21"/>
    </row>
    <row r="38" spans="1:13" x14ac:dyDescent="0.25">
      <c r="A38" s="261"/>
      <c r="B38" s="262"/>
      <c r="C38" s="32" t="s">
        <v>33</v>
      </c>
      <c r="D38" s="90" t="str">
        <f>D30</f>
        <v>EKOTHERM</v>
      </c>
      <c r="E38" s="28">
        <f>IF(E37="","",MOD(E37+1,52))</f>
        <v>39</v>
      </c>
      <c r="F38" s="34"/>
      <c r="G38" s="35"/>
      <c r="H38" s="31"/>
      <c r="I38" s="21"/>
    </row>
    <row r="39" spans="1:13" x14ac:dyDescent="0.25">
      <c r="A39" s="261"/>
      <c r="B39" s="283"/>
      <c r="C39" s="144" t="s">
        <v>34</v>
      </c>
      <c r="D39" s="89" t="s">
        <v>90</v>
      </c>
      <c r="E39" s="145">
        <f>IF(E38="","",MOD(E38+1,52))</f>
        <v>40</v>
      </c>
      <c r="F39" s="146"/>
      <c r="G39" s="133" t="s">
        <v>96</v>
      </c>
      <c r="H39" s="31"/>
      <c r="I39" s="21"/>
    </row>
    <row r="40" spans="1:13" x14ac:dyDescent="0.25">
      <c r="A40" s="263"/>
      <c r="B40" s="264"/>
      <c r="C40" s="134"/>
      <c r="D40" s="147"/>
      <c r="E40" s="134"/>
      <c r="F40" s="134"/>
      <c r="G40" s="134"/>
      <c r="H40" s="134"/>
      <c r="I40" s="21"/>
    </row>
    <row r="41" spans="1:13" x14ac:dyDescent="0.25">
      <c r="A41" s="265"/>
      <c r="B41" s="266"/>
      <c r="C41" s="148"/>
      <c r="D41" s="148"/>
      <c r="E41" s="148"/>
      <c r="F41" s="148"/>
      <c r="G41" s="148"/>
      <c r="H41" s="134"/>
      <c r="I41" s="21"/>
    </row>
    <row r="42" spans="1:13" ht="15.75" thickBot="1" x14ac:dyDescent="0.3">
      <c r="A42" s="261"/>
      <c r="B42" s="267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13" x14ac:dyDescent="0.25">
      <c r="A43" s="243">
        <v>0</v>
      </c>
      <c r="B43" s="260">
        <f>A43</f>
        <v>0</v>
      </c>
      <c r="C43" s="153" t="s">
        <v>35</v>
      </c>
      <c r="D43" s="89" t="s">
        <v>82</v>
      </c>
      <c r="E43" s="154">
        <v>37</v>
      </c>
      <c r="F43" s="29"/>
      <c r="G43" s="30"/>
      <c r="H43" s="31"/>
      <c r="I43" s="21"/>
    </row>
    <row r="44" spans="1:13" x14ac:dyDescent="0.25">
      <c r="A44" s="201"/>
      <c r="B44" s="216"/>
      <c r="C44" s="167" t="s">
        <v>95</v>
      </c>
      <c r="D44" s="168" t="s">
        <v>90</v>
      </c>
      <c r="E44" s="169">
        <f>E43+1</f>
        <v>38</v>
      </c>
      <c r="F44" s="170"/>
      <c r="G44" s="171" t="s">
        <v>96</v>
      </c>
      <c r="H44" s="31"/>
      <c r="I44" s="21"/>
    </row>
    <row r="45" spans="1:13" x14ac:dyDescent="0.25">
      <c r="A45" s="201"/>
      <c r="B45" s="216"/>
      <c r="C45" s="157" t="s">
        <v>87</v>
      </c>
      <c r="D45" s="164" t="s">
        <v>94</v>
      </c>
      <c r="E45" s="166">
        <f>E43+1</f>
        <v>38</v>
      </c>
      <c r="F45" s="160"/>
      <c r="G45" s="161" t="s">
        <v>11</v>
      </c>
      <c r="H45" s="162"/>
      <c r="I45" s="21"/>
    </row>
    <row r="46" spans="1:13" x14ac:dyDescent="0.25">
      <c r="A46" s="201"/>
      <c r="B46" s="216"/>
      <c r="C46" s="156" t="s">
        <v>36</v>
      </c>
      <c r="D46" s="89" t="s">
        <v>90</v>
      </c>
      <c r="E46" s="155">
        <f>E43+3</f>
        <v>40</v>
      </c>
      <c r="F46" s="34"/>
      <c r="G46" s="133" t="s">
        <v>96</v>
      </c>
      <c r="H46" s="31"/>
      <c r="I46" s="21"/>
    </row>
    <row r="47" spans="1:13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13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42726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81">
        <v>42752</v>
      </c>
      <c r="E51" s="76"/>
      <c r="F51" s="2" t="s">
        <v>55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1824" priority="72">
      <formula>$F22="réalisé"</formula>
    </cfRule>
  </conditionalFormatting>
  <conditionalFormatting sqref="C43:C46 E43:H46 C8:H21 E25:H39">
    <cfRule type="expression" dxfId="1823" priority="69">
      <formula>$G8="réalisé"</formula>
    </cfRule>
    <cfRule type="expression" dxfId="1822" priority="70">
      <formula>$G8="en cours"</formula>
    </cfRule>
    <cfRule type="expression" dxfId="1821" priority="71">
      <formula>$G8="non compris"</formula>
    </cfRule>
  </conditionalFormatting>
  <conditionalFormatting sqref="C22:G22 C40:G40">
    <cfRule type="expression" dxfId="1820" priority="68">
      <formula>$F22="non cpris"</formula>
    </cfRule>
  </conditionalFormatting>
  <conditionalFormatting sqref="C22:G22">
    <cfRule type="expression" dxfId="1819" priority="67">
      <formula>$F22="en cours"</formula>
    </cfRule>
  </conditionalFormatting>
  <conditionalFormatting sqref="C25:C39">
    <cfRule type="expression" dxfId="1818" priority="64">
      <formula>$G25="réalisé"</formula>
    </cfRule>
    <cfRule type="expression" dxfId="1817" priority="65">
      <formula>$G25="en cours"</formula>
    </cfRule>
    <cfRule type="expression" dxfId="1816" priority="66">
      <formula>$G25="non compris"</formula>
    </cfRule>
  </conditionalFormatting>
  <conditionalFormatting sqref="C50:F53">
    <cfRule type="expression" dxfId="1815" priority="63">
      <formula>$F50="réalisé"</formula>
    </cfRule>
  </conditionalFormatting>
  <conditionalFormatting sqref="G9">
    <cfRule type="expression" dxfId="1814" priority="62">
      <formula>$G$10="réalisé"</formula>
    </cfRule>
  </conditionalFormatting>
  <conditionalFormatting sqref="G10">
    <cfRule type="expression" dxfId="1813" priority="61">
      <formula>$G$11="réalisé"</formula>
    </cfRule>
  </conditionalFormatting>
  <conditionalFormatting sqref="G16:G17">
    <cfRule type="expression" dxfId="1812" priority="60">
      <formula>$G$18="réalisé"</formula>
    </cfRule>
  </conditionalFormatting>
  <conditionalFormatting sqref="G26">
    <cfRule type="expression" dxfId="1811" priority="59">
      <formula>$G$27="réalisé"</formula>
    </cfRule>
  </conditionalFormatting>
  <conditionalFormatting sqref="D25">
    <cfRule type="expression" dxfId="1810" priority="56">
      <formula>$G25="réalisé"</formula>
    </cfRule>
    <cfRule type="expression" dxfId="1809" priority="57">
      <formula>$G25="en cours"</formula>
    </cfRule>
    <cfRule type="expression" dxfId="1808" priority="58">
      <formula>$G25="non compris"</formula>
    </cfRule>
  </conditionalFormatting>
  <conditionalFormatting sqref="D27">
    <cfRule type="expression" dxfId="1807" priority="53">
      <formula>$G27="réalisé"</formula>
    </cfRule>
    <cfRule type="expression" dxfId="1806" priority="54">
      <formula>$G27="en cours"</formula>
    </cfRule>
    <cfRule type="expression" dxfId="1805" priority="55">
      <formula>$G27="non compris"</formula>
    </cfRule>
  </conditionalFormatting>
  <conditionalFormatting sqref="D29">
    <cfRule type="expression" dxfId="1804" priority="50">
      <formula>$G29="réalisé"</formula>
    </cfRule>
    <cfRule type="expression" dxfId="1803" priority="51">
      <formula>$G29="en cours"</formula>
    </cfRule>
    <cfRule type="expression" dxfId="1802" priority="52">
      <formula>$G29="non compris"</formula>
    </cfRule>
  </conditionalFormatting>
  <conditionalFormatting sqref="D31">
    <cfRule type="expression" dxfId="1801" priority="47">
      <formula>$G31="réalisé"</formula>
    </cfRule>
    <cfRule type="expression" dxfId="1800" priority="48">
      <formula>$G31="en cours"</formula>
    </cfRule>
    <cfRule type="expression" dxfId="1799" priority="49">
      <formula>$G31="non compris"</formula>
    </cfRule>
  </conditionalFormatting>
  <conditionalFormatting sqref="D33">
    <cfRule type="expression" dxfId="1798" priority="44">
      <formula>$G33="réalisé"</formula>
    </cfRule>
    <cfRule type="expression" dxfId="1797" priority="45">
      <formula>$G33="en cours"</formula>
    </cfRule>
    <cfRule type="expression" dxfId="1796" priority="46">
      <formula>$G33="non compris"</formula>
    </cfRule>
  </conditionalFormatting>
  <conditionalFormatting sqref="D35">
    <cfRule type="expression" dxfId="1795" priority="41">
      <formula>$G35="réalisé"</formula>
    </cfRule>
    <cfRule type="expression" dxfId="1794" priority="42">
      <formula>$G35="en cours"</formula>
    </cfRule>
    <cfRule type="expression" dxfId="1793" priority="43">
      <formula>$G35="non compris"</formula>
    </cfRule>
  </conditionalFormatting>
  <conditionalFormatting sqref="D37">
    <cfRule type="expression" dxfId="1792" priority="38">
      <formula>$G37="réalisé"</formula>
    </cfRule>
    <cfRule type="expression" dxfId="1791" priority="39">
      <formula>$G37="en cours"</formula>
    </cfRule>
    <cfRule type="expression" dxfId="1790" priority="40">
      <formula>$G37="non compris"</formula>
    </cfRule>
  </conditionalFormatting>
  <conditionalFormatting sqref="D39">
    <cfRule type="expression" dxfId="1789" priority="35">
      <formula>$G39="réalisé"</formula>
    </cfRule>
    <cfRule type="expression" dxfId="1788" priority="36">
      <formula>$G39="en cours"</formula>
    </cfRule>
    <cfRule type="expression" dxfId="1787" priority="37">
      <formula>$G39="non compris"</formula>
    </cfRule>
  </conditionalFormatting>
  <conditionalFormatting sqref="D26">
    <cfRule type="expression" dxfId="1786" priority="32">
      <formula>$G26="réalisé"</formula>
    </cfRule>
    <cfRule type="expression" dxfId="1785" priority="33">
      <formula>$G26="en cours"</formula>
    </cfRule>
    <cfRule type="expression" dxfId="1784" priority="34">
      <formula>$G26="non compris"</formula>
    </cfRule>
  </conditionalFormatting>
  <conditionalFormatting sqref="D28">
    <cfRule type="expression" dxfId="1783" priority="29">
      <formula>$G28="réalisé"</formula>
    </cfRule>
    <cfRule type="expression" dxfId="1782" priority="30">
      <formula>$G28="en cours"</formula>
    </cfRule>
    <cfRule type="expression" dxfId="1781" priority="31">
      <formula>$G28="non compris"</formula>
    </cfRule>
  </conditionalFormatting>
  <conditionalFormatting sqref="D30">
    <cfRule type="expression" dxfId="1780" priority="26">
      <formula>$G30="réalisé"</formula>
    </cfRule>
    <cfRule type="expression" dxfId="1779" priority="27">
      <formula>$G30="en cours"</formula>
    </cfRule>
    <cfRule type="expression" dxfId="1778" priority="28">
      <formula>$G30="non compris"</formula>
    </cfRule>
  </conditionalFormatting>
  <conditionalFormatting sqref="D32">
    <cfRule type="expression" dxfId="1777" priority="23">
      <formula>$G32="réalisé"</formula>
    </cfRule>
    <cfRule type="expression" dxfId="1776" priority="24">
      <formula>$G32="en cours"</formula>
    </cfRule>
    <cfRule type="expression" dxfId="1775" priority="25">
      <formula>$G32="non compris"</formula>
    </cfRule>
  </conditionalFormatting>
  <conditionalFormatting sqref="D34">
    <cfRule type="expression" dxfId="1774" priority="20">
      <formula>$G34="réalisé"</formula>
    </cfRule>
    <cfRule type="expression" dxfId="1773" priority="21">
      <formula>$G34="en cours"</formula>
    </cfRule>
    <cfRule type="expression" dxfId="1772" priority="22">
      <formula>$G34="non compris"</formula>
    </cfRule>
  </conditionalFormatting>
  <conditionalFormatting sqref="D36">
    <cfRule type="expression" dxfId="1771" priority="17">
      <formula>$G36="réalisé"</formula>
    </cfRule>
    <cfRule type="expression" dxfId="1770" priority="18">
      <formula>$G36="en cours"</formula>
    </cfRule>
    <cfRule type="expression" dxfId="1769" priority="19">
      <formula>$G36="non compris"</formula>
    </cfRule>
  </conditionalFormatting>
  <conditionalFormatting sqref="D38">
    <cfRule type="expression" dxfId="1768" priority="14">
      <formula>$G38="réalisé"</formula>
    </cfRule>
    <cfRule type="expression" dxfId="1767" priority="15">
      <formula>$G38="en cours"</formula>
    </cfRule>
    <cfRule type="expression" dxfId="1766" priority="16">
      <formula>$G38="non compris"</formula>
    </cfRule>
  </conditionalFormatting>
  <conditionalFormatting sqref="D45">
    <cfRule type="expression" dxfId="1765" priority="11">
      <formula>$G45="réalisé"</formula>
    </cfRule>
    <cfRule type="expression" dxfId="1764" priority="12">
      <formula>$G45="en cours"</formula>
    </cfRule>
    <cfRule type="expression" dxfId="1763" priority="13">
      <formula>$G45="non compris"</formula>
    </cfRule>
  </conditionalFormatting>
  <conditionalFormatting sqref="D44">
    <cfRule type="expression" dxfId="1762" priority="8">
      <formula>$G44="réalisé"</formula>
    </cfRule>
    <cfRule type="expression" dxfId="1761" priority="9">
      <formula>$G44="en cours"</formula>
    </cfRule>
    <cfRule type="expression" dxfId="1760" priority="10">
      <formula>$G44="non compris"</formula>
    </cfRule>
  </conditionalFormatting>
  <conditionalFormatting sqref="D43">
    <cfRule type="expression" dxfId="1759" priority="5">
      <formula>$G43="réalisé"</formula>
    </cfRule>
    <cfRule type="expression" dxfId="1758" priority="6">
      <formula>$G43="en cours"</formula>
    </cfRule>
    <cfRule type="expression" dxfId="1757" priority="7">
      <formula>$G43="non compris"</formula>
    </cfRule>
  </conditionalFormatting>
  <conditionalFormatting sqref="D46">
    <cfRule type="expression" dxfId="1756" priority="2">
      <formula>$G46="réalisé"</formula>
    </cfRule>
    <cfRule type="expression" dxfId="1755" priority="3">
      <formula>$G46="en cours"</formula>
    </cfRule>
    <cfRule type="expression" dxfId="1754" priority="4">
      <formula>$G46="non compris"</formula>
    </cfRule>
  </conditionalFormatting>
  <conditionalFormatting sqref="D8:D21">
    <cfRule type="expression" dxfId="1753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I68"/>
  <sheetViews>
    <sheetView topLeftCell="A7" zoomScaleNormal="100" workbookViewId="0">
      <selection activeCell="G19" sqref="G19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FUGER</v>
      </c>
      <c r="D2" s="5" t="s">
        <v>98</v>
      </c>
      <c r="E2" s="522">
        <v>42761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99</v>
      </c>
      <c r="D3" s="8" t="s">
        <v>3</v>
      </c>
      <c r="E3" s="525">
        <v>42809</v>
      </c>
      <c r="F3" s="526"/>
      <c r="G3" s="488"/>
      <c r="H3" s="527" t="str">
        <f ca="1">DATEDIF(E3,TODAY(),"m")&amp;"mois"&amp;-DATEDIF(E3,TODAY(),"md")&amp;"jours"</f>
        <v>5mois-8jours</v>
      </c>
      <c r="I3" s="528"/>
    </row>
    <row r="4" spans="1:9" ht="18.75" x14ac:dyDescent="0.25">
      <c r="A4" s="127"/>
      <c r="B4" s="215"/>
      <c r="C4" s="11"/>
      <c r="D4" s="12" t="s">
        <v>4</v>
      </c>
      <c r="E4" s="529">
        <f>E3+60</f>
        <v>42869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10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90" t="str">
        <f>D10</f>
        <v>TEMA</v>
      </c>
      <c r="E9" s="33">
        <v>10</v>
      </c>
      <c r="F9" s="34"/>
      <c r="G9" s="35" t="s">
        <v>55</v>
      </c>
      <c r="H9" s="31"/>
      <c r="I9" s="21"/>
    </row>
    <row r="10" spans="1:9" ht="15" customHeight="1" x14ac:dyDescent="0.25">
      <c r="A10" s="341">
        <v>14702.33</v>
      </c>
      <c r="B10" s="338">
        <f>14702.33-12251.94-2450.39</f>
        <v>0</v>
      </c>
      <c r="C10" s="32" t="s">
        <v>13</v>
      </c>
      <c r="D10" s="89" t="s">
        <v>57</v>
      </c>
      <c r="E10" s="28">
        <v>11</v>
      </c>
      <c r="F10" s="36"/>
      <c r="G10" s="35" t="s">
        <v>55</v>
      </c>
      <c r="H10" s="31"/>
      <c r="I10" s="21"/>
    </row>
    <row r="11" spans="1:9" x14ac:dyDescent="0.25">
      <c r="A11" s="330"/>
      <c r="B11" s="331"/>
      <c r="C11" s="32" t="s">
        <v>88</v>
      </c>
      <c r="D11" s="90" t="s">
        <v>90</v>
      </c>
      <c r="E11" s="28">
        <f>E10+4</f>
        <v>15</v>
      </c>
      <c r="F11" s="34"/>
      <c r="G11" s="35" t="s">
        <v>96</v>
      </c>
      <c r="H11" s="31"/>
      <c r="I11" s="21"/>
    </row>
    <row r="12" spans="1:9" x14ac:dyDescent="0.25">
      <c r="A12" s="330"/>
      <c r="B12" s="331"/>
      <c r="C12" s="32" t="s">
        <v>14</v>
      </c>
      <c r="D12" s="89" t="s">
        <v>90</v>
      </c>
      <c r="E12" s="28">
        <f>E11</f>
        <v>15</v>
      </c>
      <c r="F12" s="34"/>
      <c r="G12" s="35" t="s">
        <v>96</v>
      </c>
      <c r="H12" s="31"/>
      <c r="I12" s="21"/>
    </row>
    <row r="13" spans="1:9" x14ac:dyDescent="0.25">
      <c r="A13" s="330"/>
      <c r="B13" s="331"/>
      <c r="C13" s="32" t="s">
        <v>15</v>
      </c>
      <c r="D13" s="90" t="s">
        <v>57</v>
      </c>
      <c r="E13" s="28">
        <f>E12+1</f>
        <v>16</v>
      </c>
      <c r="F13" s="34"/>
      <c r="G13" s="35" t="s">
        <v>55</v>
      </c>
      <c r="H13" s="31"/>
      <c r="I13" s="21"/>
    </row>
    <row r="14" spans="1:9" x14ac:dyDescent="0.25">
      <c r="A14" s="340">
        <v>740.57</v>
      </c>
      <c r="B14" s="329">
        <f>740.57-740.57</f>
        <v>0</v>
      </c>
      <c r="C14" s="32" t="s">
        <v>16</v>
      </c>
      <c r="D14" s="89" t="s">
        <v>60</v>
      </c>
      <c r="E14" s="28">
        <f>IF(E13="","",MOD(E13+1,52))</f>
        <v>17</v>
      </c>
      <c r="F14" s="34"/>
      <c r="G14" s="35" t="s">
        <v>55</v>
      </c>
      <c r="H14" s="31"/>
      <c r="I14" s="21"/>
    </row>
    <row r="15" spans="1:9" x14ac:dyDescent="0.25">
      <c r="A15" s="330"/>
      <c r="B15" s="331"/>
      <c r="C15" s="32" t="s">
        <v>100</v>
      </c>
      <c r="D15" s="90" t="str">
        <f>D10</f>
        <v>TEMA</v>
      </c>
      <c r="E15" s="28">
        <f>IF(E14="","",MOD(E14+1,52))</f>
        <v>18</v>
      </c>
      <c r="F15" s="34"/>
      <c r="G15" s="35" t="s">
        <v>55</v>
      </c>
      <c r="H15" s="31"/>
      <c r="I15" s="21"/>
    </row>
    <row r="16" spans="1:9" x14ac:dyDescent="0.25">
      <c r="A16" s="419">
        <v>870.66</v>
      </c>
      <c r="B16" s="563">
        <f>A16+A17-1909.62</f>
        <v>0</v>
      </c>
      <c r="C16" s="32" t="s">
        <v>85</v>
      </c>
      <c r="D16" s="89" t="s">
        <v>62</v>
      </c>
      <c r="E16" s="28">
        <v>17</v>
      </c>
      <c r="F16" s="34"/>
      <c r="G16" s="35" t="s">
        <v>55</v>
      </c>
      <c r="H16" s="31"/>
      <c r="I16" s="21"/>
    </row>
    <row r="17" spans="1:9" x14ac:dyDescent="0.25">
      <c r="A17" s="419">
        <v>1038.96</v>
      </c>
      <c r="B17" s="564"/>
      <c r="C17" s="32" t="s">
        <v>86</v>
      </c>
      <c r="D17" s="91" t="s">
        <v>62</v>
      </c>
      <c r="E17" s="28">
        <f>E16</f>
        <v>17</v>
      </c>
      <c r="F17" s="34"/>
      <c r="G17" s="35" t="s">
        <v>55</v>
      </c>
      <c r="H17" s="86"/>
      <c r="I17" s="21"/>
    </row>
    <row r="18" spans="1:9" x14ac:dyDescent="0.25">
      <c r="A18" s="329"/>
      <c r="B18" s="331"/>
      <c r="C18" s="284" t="s">
        <v>17</v>
      </c>
      <c r="D18" s="285" t="s">
        <v>62</v>
      </c>
      <c r="E18" s="286">
        <f>E16</f>
        <v>17</v>
      </c>
      <c r="F18" s="287"/>
      <c r="G18" s="288" t="s">
        <v>55</v>
      </c>
      <c r="H18" s="259" t="s">
        <v>211</v>
      </c>
      <c r="I18" s="21"/>
    </row>
    <row r="19" spans="1:9" x14ac:dyDescent="0.25">
      <c r="A19" s="340">
        <v>0</v>
      </c>
      <c r="B19" s="329">
        <v>0</v>
      </c>
      <c r="C19" s="423" t="s">
        <v>18</v>
      </c>
      <c r="D19" s="424" t="s">
        <v>65</v>
      </c>
      <c r="E19" s="33">
        <v>30</v>
      </c>
      <c r="F19" s="425"/>
      <c r="G19" s="426" t="s">
        <v>55</v>
      </c>
      <c r="H19" s="128"/>
      <c r="I19" s="21"/>
    </row>
    <row r="20" spans="1:9" x14ac:dyDescent="0.25">
      <c r="A20" s="330"/>
      <c r="B20" s="331"/>
      <c r="C20" s="32" t="s">
        <v>19</v>
      </c>
      <c r="D20" s="90" t="str">
        <f>D13</f>
        <v>TEMA</v>
      </c>
      <c r="E20" s="28">
        <v>19</v>
      </c>
      <c r="F20" s="34"/>
      <c r="G20" s="35" t="s">
        <v>55</v>
      </c>
      <c r="H20" s="31"/>
      <c r="I20" s="21"/>
    </row>
    <row r="21" spans="1:9" x14ac:dyDescent="0.25">
      <c r="A21" s="340"/>
      <c r="B21" s="329"/>
      <c r="C21" s="132" t="s">
        <v>20</v>
      </c>
      <c r="D21" s="90" t="s">
        <v>81</v>
      </c>
      <c r="E21" s="28">
        <v>18</v>
      </c>
      <c r="F21" s="34"/>
      <c r="G21" s="133" t="s">
        <v>55</v>
      </c>
      <c r="H21" s="31"/>
      <c r="I21" s="21"/>
    </row>
    <row r="22" spans="1:9" x14ac:dyDescent="0.25">
      <c r="A22" s="332"/>
      <c r="B22" s="333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334"/>
      <c r="B23" s="335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330"/>
      <c r="B24" s="331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340">
        <v>978.64</v>
      </c>
      <c r="B25" s="329">
        <f>A25-978.64</f>
        <v>0</v>
      </c>
      <c r="C25" s="141" t="s">
        <v>92</v>
      </c>
      <c r="D25" s="89" t="s">
        <v>129</v>
      </c>
      <c r="E25" s="142">
        <f>IF(E19="","",MOD(E19+1,52))</f>
        <v>31</v>
      </c>
      <c r="F25" s="29"/>
      <c r="G25" s="30" t="s">
        <v>55</v>
      </c>
      <c r="H25" s="31"/>
      <c r="I25" s="21"/>
    </row>
    <row r="26" spans="1:9" x14ac:dyDescent="0.25">
      <c r="A26" s="340">
        <v>1844.24</v>
      </c>
      <c r="B26" s="329">
        <f>1844.24</f>
        <v>1844.24</v>
      </c>
      <c r="C26" s="32" t="s">
        <v>93</v>
      </c>
      <c r="D26" s="90" t="s">
        <v>68</v>
      </c>
      <c r="E26" s="28">
        <v>34</v>
      </c>
      <c r="F26" s="34"/>
      <c r="G26" s="35" t="s">
        <v>54</v>
      </c>
      <c r="H26" s="31"/>
      <c r="I26" s="21"/>
    </row>
    <row r="27" spans="1:9" x14ac:dyDescent="0.25">
      <c r="A27" s="330"/>
      <c r="B27" s="331"/>
      <c r="C27" s="102" t="s">
        <v>22</v>
      </c>
      <c r="D27" s="89" t="str">
        <f>D25</f>
        <v>ELECTRO HECKER</v>
      </c>
      <c r="E27" s="28">
        <v>35</v>
      </c>
      <c r="F27" s="34"/>
      <c r="G27" s="35"/>
      <c r="H27" s="31" t="s">
        <v>187</v>
      </c>
      <c r="I27" s="21"/>
    </row>
    <row r="28" spans="1:9" x14ac:dyDescent="0.25">
      <c r="A28" s="340">
        <v>711.34</v>
      </c>
      <c r="B28" s="329">
        <f>711.34</f>
        <v>711.34</v>
      </c>
      <c r="C28" s="143" t="s">
        <v>23</v>
      </c>
      <c r="D28" s="90" t="s">
        <v>75</v>
      </c>
      <c r="E28" s="28">
        <v>35</v>
      </c>
      <c r="F28" s="34"/>
      <c r="G28" s="35"/>
      <c r="H28" s="31"/>
      <c r="I28" s="21"/>
    </row>
    <row r="29" spans="1:9" x14ac:dyDescent="0.25">
      <c r="A29" s="329"/>
      <c r="B29" s="329"/>
      <c r="C29" s="102" t="s">
        <v>24</v>
      </c>
      <c r="D29" s="89" t="s">
        <v>75</v>
      </c>
      <c r="E29" s="28">
        <f>IF(E28="","",MOD(E28+1,52))</f>
        <v>36</v>
      </c>
      <c r="F29" s="34"/>
      <c r="G29" s="35"/>
      <c r="H29" s="31" t="s">
        <v>188</v>
      </c>
      <c r="I29" s="21"/>
    </row>
    <row r="30" spans="1:9" x14ac:dyDescent="0.25">
      <c r="A30" s="340">
        <v>934.85</v>
      </c>
      <c r="B30" s="329">
        <f>934.85</f>
        <v>934.85</v>
      </c>
      <c r="C30" s="32" t="s">
        <v>25</v>
      </c>
      <c r="D30" s="90" t="s">
        <v>75</v>
      </c>
      <c r="E30" s="28">
        <f>IF(E28="","",MOD(E28+1,52))</f>
        <v>36</v>
      </c>
      <c r="F30" s="34"/>
      <c r="G30" s="35"/>
      <c r="H30" s="31" t="s">
        <v>188</v>
      </c>
      <c r="I30" s="21"/>
    </row>
    <row r="31" spans="1:9" x14ac:dyDescent="0.25">
      <c r="A31" s="330"/>
      <c r="B31" s="331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343">
        <v>0</v>
      </c>
      <c r="B32" s="344">
        <v>0</v>
      </c>
      <c r="C32" s="32" t="s">
        <v>27</v>
      </c>
      <c r="D32" s="90" t="s">
        <v>76</v>
      </c>
      <c r="E32" s="28">
        <f>IF(E30="","",MOD(E30+1,52))</f>
        <v>37</v>
      </c>
      <c r="F32" s="34"/>
      <c r="G32" s="35"/>
      <c r="H32" s="31" t="s">
        <v>188</v>
      </c>
      <c r="I32" s="21"/>
    </row>
    <row r="33" spans="1:9" x14ac:dyDescent="0.25">
      <c r="A33" s="336"/>
      <c r="B33" s="337"/>
      <c r="C33" s="32" t="s">
        <v>28</v>
      </c>
      <c r="D33" s="89" t="str">
        <f>D26</f>
        <v>SOARES</v>
      </c>
      <c r="E33" s="28">
        <f>IF(E32="","",MOD(E32+1,52))</f>
        <v>38</v>
      </c>
      <c r="F33" s="34"/>
      <c r="G33" s="35"/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ELECTRO HECKER</v>
      </c>
      <c r="E34" s="28">
        <f>IF(E33="","",MOD(E33+1,52))</f>
        <v>39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EKOTHERM</v>
      </c>
      <c r="E35" s="28">
        <f>IF(E33="","",MOD(E33+1,52))</f>
        <v>39</v>
      </c>
      <c r="F35" s="34"/>
      <c r="G35" s="35"/>
      <c r="H35" s="31"/>
      <c r="I35" s="21"/>
    </row>
    <row r="36" spans="1:9" x14ac:dyDescent="0.25">
      <c r="A36" s="218"/>
      <c r="B36" s="219"/>
      <c r="C36" s="32" t="s">
        <v>31</v>
      </c>
      <c r="D36" s="90" t="s">
        <v>90</v>
      </c>
      <c r="E36" s="28">
        <f>E32+4</f>
        <v>41</v>
      </c>
      <c r="F36" s="34"/>
      <c r="G36" s="35" t="s">
        <v>96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40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">
        <v>75</v>
      </c>
      <c r="E38" s="28">
        <f>IF(E37="","",MOD(E37+1,52))</f>
        <v>41</v>
      </c>
      <c r="F38" s="34"/>
      <c r="G38" s="35"/>
      <c r="H38" s="31"/>
      <c r="I38" s="21"/>
    </row>
    <row r="39" spans="1:9" x14ac:dyDescent="0.25">
      <c r="A39" s="289">
        <v>0</v>
      </c>
      <c r="B39" s="217">
        <v>0</v>
      </c>
      <c r="C39" s="144" t="s">
        <v>34</v>
      </c>
      <c r="D39" s="89" t="s">
        <v>79</v>
      </c>
      <c r="E39" s="145">
        <f>IF(E38="","",MOD(E38+1,52))</f>
        <v>42</v>
      </c>
      <c r="F39" s="146"/>
      <c r="G39" s="133"/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339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89">
        <v>0</v>
      </c>
      <c r="B43" s="217">
        <v>0</v>
      </c>
      <c r="C43" s="153" t="s">
        <v>35</v>
      </c>
      <c r="D43" s="89" t="s">
        <v>82</v>
      </c>
      <c r="E43" s="154">
        <v>25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26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26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28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43078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81">
        <v>42801</v>
      </c>
      <c r="E51" s="76"/>
      <c r="F51" s="2" t="s">
        <v>169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3">
    <mergeCell ref="E4:F4"/>
    <mergeCell ref="A5:B5"/>
    <mergeCell ref="A6:B6"/>
    <mergeCell ref="C6:H6"/>
    <mergeCell ref="C55:I60"/>
    <mergeCell ref="B16:B17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1710" priority="72">
      <formula>$F22="réalisé"</formula>
    </cfRule>
  </conditionalFormatting>
  <conditionalFormatting sqref="C43:C46 E43:H46 C8:H21 E25:H39">
    <cfRule type="expression" dxfId="1709" priority="69">
      <formula>$G8="réalisé"</formula>
    </cfRule>
    <cfRule type="expression" dxfId="1708" priority="70">
      <formula>$G8="en cours"</formula>
    </cfRule>
    <cfRule type="expression" dxfId="1707" priority="71">
      <formula>$G8="non compris"</formula>
    </cfRule>
  </conditionalFormatting>
  <conditionalFormatting sqref="C22:G22 C40:G40">
    <cfRule type="expression" dxfId="1706" priority="68">
      <formula>$F22="non cpris"</formula>
    </cfRule>
  </conditionalFormatting>
  <conditionalFormatting sqref="C22:G22">
    <cfRule type="expression" dxfId="1705" priority="67">
      <formula>$F22="en cours"</formula>
    </cfRule>
  </conditionalFormatting>
  <conditionalFormatting sqref="C25:C39">
    <cfRule type="expression" dxfId="1704" priority="64">
      <formula>$G25="réalisé"</formula>
    </cfRule>
    <cfRule type="expression" dxfId="1703" priority="65">
      <formula>$G25="en cours"</formula>
    </cfRule>
    <cfRule type="expression" dxfId="1702" priority="66">
      <formula>$G25="non compris"</formula>
    </cfRule>
  </conditionalFormatting>
  <conditionalFormatting sqref="C50:F53">
    <cfRule type="expression" dxfId="1701" priority="63">
      <formula>$F50="réalisé"</formula>
    </cfRule>
  </conditionalFormatting>
  <conditionalFormatting sqref="G9">
    <cfRule type="expression" dxfId="1700" priority="62">
      <formula>$G$10="réalisé"</formula>
    </cfRule>
  </conditionalFormatting>
  <conditionalFormatting sqref="G10">
    <cfRule type="expression" dxfId="1699" priority="61">
      <formula>$G$11="réalisé"</formula>
    </cfRule>
  </conditionalFormatting>
  <conditionalFormatting sqref="G16:G17">
    <cfRule type="expression" dxfId="1698" priority="60">
      <formula>$G$18="réalisé"</formula>
    </cfRule>
  </conditionalFormatting>
  <conditionalFormatting sqref="G26">
    <cfRule type="expression" dxfId="1697" priority="59">
      <formula>$G$27="réalisé"</formula>
    </cfRule>
  </conditionalFormatting>
  <conditionalFormatting sqref="D25">
    <cfRule type="expression" dxfId="1696" priority="56">
      <formula>$G25="réalisé"</formula>
    </cfRule>
    <cfRule type="expression" dxfId="1695" priority="57">
      <formula>$G25="en cours"</formula>
    </cfRule>
    <cfRule type="expression" dxfId="1694" priority="58">
      <formula>$G25="non compris"</formula>
    </cfRule>
  </conditionalFormatting>
  <conditionalFormatting sqref="D27">
    <cfRule type="expression" dxfId="1693" priority="53">
      <formula>$G27="réalisé"</formula>
    </cfRule>
    <cfRule type="expression" dxfId="1692" priority="54">
      <formula>$G27="en cours"</formula>
    </cfRule>
    <cfRule type="expression" dxfId="1691" priority="55">
      <formula>$G27="non compris"</formula>
    </cfRule>
  </conditionalFormatting>
  <conditionalFormatting sqref="D29">
    <cfRule type="expression" dxfId="1690" priority="50">
      <formula>$G29="réalisé"</formula>
    </cfRule>
    <cfRule type="expression" dxfId="1689" priority="51">
      <formula>$G29="en cours"</formula>
    </cfRule>
    <cfRule type="expression" dxfId="1688" priority="52">
      <formula>$G29="non compris"</formula>
    </cfRule>
  </conditionalFormatting>
  <conditionalFormatting sqref="D31">
    <cfRule type="expression" dxfId="1687" priority="47">
      <formula>$G31="réalisé"</formula>
    </cfRule>
    <cfRule type="expression" dxfId="1686" priority="48">
      <formula>$G31="en cours"</formula>
    </cfRule>
    <cfRule type="expression" dxfId="1685" priority="49">
      <formula>$G31="non compris"</formula>
    </cfRule>
  </conditionalFormatting>
  <conditionalFormatting sqref="D33">
    <cfRule type="expression" dxfId="1684" priority="44">
      <formula>$G33="réalisé"</formula>
    </cfRule>
    <cfRule type="expression" dxfId="1683" priority="45">
      <formula>$G33="en cours"</formula>
    </cfRule>
    <cfRule type="expression" dxfId="1682" priority="46">
      <formula>$G33="non compris"</formula>
    </cfRule>
  </conditionalFormatting>
  <conditionalFormatting sqref="D35">
    <cfRule type="expression" dxfId="1681" priority="41">
      <formula>$G35="réalisé"</formula>
    </cfRule>
    <cfRule type="expression" dxfId="1680" priority="42">
      <formula>$G35="en cours"</formula>
    </cfRule>
    <cfRule type="expression" dxfId="1679" priority="43">
      <formula>$G35="non compris"</formula>
    </cfRule>
  </conditionalFormatting>
  <conditionalFormatting sqref="D37">
    <cfRule type="expression" dxfId="1678" priority="38">
      <formula>$G37="réalisé"</formula>
    </cfRule>
    <cfRule type="expression" dxfId="1677" priority="39">
      <formula>$G37="en cours"</formula>
    </cfRule>
    <cfRule type="expression" dxfId="1676" priority="40">
      <formula>$G37="non compris"</formula>
    </cfRule>
  </conditionalFormatting>
  <conditionalFormatting sqref="D39">
    <cfRule type="expression" dxfId="1675" priority="35">
      <formula>$G39="réalisé"</formula>
    </cfRule>
    <cfRule type="expression" dxfId="1674" priority="36">
      <formula>$G39="en cours"</formula>
    </cfRule>
    <cfRule type="expression" dxfId="1673" priority="37">
      <formula>$G39="non compris"</formula>
    </cfRule>
  </conditionalFormatting>
  <conditionalFormatting sqref="D26">
    <cfRule type="expression" dxfId="1672" priority="32">
      <formula>$G26="réalisé"</formula>
    </cfRule>
    <cfRule type="expression" dxfId="1671" priority="33">
      <formula>$G26="en cours"</formula>
    </cfRule>
    <cfRule type="expression" dxfId="1670" priority="34">
      <formula>$G26="non compris"</formula>
    </cfRule>
  </conditionalFormatting>
  <conditionalFormatting sqref="D28">
    <cfRule type="expression" dxfId="1669" priority="29">
      <formula>$G28="réalisé"</formula>
    </cfRule>
    <cfRule type="expression" dxfId="1668" priority="30">
      <formula>$G28="en cours"</formula>
    </cfRule>
    <cfRule type="expression" dxfId="1667" priority="31">
      <formula>$G28="non compris"</formula>
    </cfRule>
  </conditionalFormatting>
  <conditionalFormatting sqref="D30">
    <cfRule type="expression" dxfId="1666" priority="26">
      <formula>$G30="réalisé"</formula>
    </cfRule>
    <cfRule type="expression" dxfId="1665" priority="27">
      <formula>$G30="en cours"</formula>
    </cfRule>
    <cfRule type="expression" dxfId="1664" priority="28">
      <formula>$G30="non compris"</formula>
    </cfRule>
  </conditionalFormatting>
  <conditionalFormatting sqref="D32">
    <cfRule type="expression" dxfId="1663" priority="23">
      <formula>$G32="réalisé"</formula>
    </cfRule>
    <cfRule type="expression" dxfId="1662" priority="24">
      <formula>$G32="en cours"</formula>
    </cfRule>
    <cfRule type="expression" dxfId="1661" priority="25">
      <formula>$G32="non compris"</formula>
    </cfRule>
  </conditionalFormatting>
  <conditionalFormatting sqref="D34">
    <cfRule type="expression" dxfId="1660" priority="20">
      <formula>$G34="réalisé"</formula>
    </cfRule>
    <cfRule type="expression" dxfId="1659" priority="21">
      <formula>$G34="en cours"</formula>
    </cfRule>
    <cfRule type="expression" dxfId="1658" priority="22">
      <formula>$G34="non compris"</formula>
    </cfRule>
  </conditionalFormatting>
  <conditionalFormatting sqref="D36">
    <cfRule type="expression" dxfId="1657" priority="17">
      <formula>$G36="réalisé"</formula>
    </cfRule>
    <cfRule type="expression" dxfId="1656" priority="18">
      <formula>$G36="en cours"</formula>
    </cfRule>
    <cfRule type="expression" dxfId="1655" priority="19">
      <formula>$G36="non compris"</formula>
    </cfRule>
  </conditionalFormatting>
  <conditionalFormatting sqref="D38">
    <cfRule type="expression" dxfId="1654" priority="14">
      <formula>$G38="réalisé"</formula>
    </cfRule>
    <cfRule type="expression" dxfId="1653" priority="15">
      <formula>$G38="en cours"</formula>
    </cfRule>
    <cfRule type="expression" dxfId="1652" priority="16">
      <formula>$G38="non compris"</formula>
    </cfRule>
  </conditionalFormatting>
  <conditionalFormatting sqref="D45">
    <cfRule type="expression" dxfId="1651" priority="11">
      <formula>$G45="réalisé"</formula>
    </cfRule>
    <cfRule type="expression" dxfId="1650" priority="12">
      <formula>$G45="en cours"</formula>
    </cfRule>
    <cfRule type="expression" dxfId="1649" priority="13">
      <formula>$G45="non compris"</formula>
    </cfRule>
  </conditionalFormatting>
  <conditionalFormatting sqref="D44">
    <cfRule type="expression" dxfId="1648" priority="8">
      <formula>$G44="réalisé"</formula>
    </cfRule>
    <cfRule type="expression" dxfId="1647" priority="9">
      <formula>$G44="en cours"</formula>
    </cfRule>
    <cfRule type="expression" dxfId="1646" priority="10">
      <formula>$G44="non compris"</formula>
    </cfRule>
  </conditionalFormatting>
  <conditionalFormatting sqref="D43">
    <cfRule type="expression" dxfId="1645" priority="5">
      <formula>$G43="réalisé"</formula>
    </cfRule>
    <cfRule type="expression" dxfId="1644" priority="6">
      <formula>$G43="en cours"</formula>
    </cfRule>
    <cfRule type="expression" dxfId="1643" priority="7">
      <formula>$G43="non compris"</formula>
    </cfRule>
  </conditionalFormatting>
  <conditionalFormatting sqref="D46">
    <cfRule type="expression" dxfId="1642" priority="2">
      <formula>$G46="réalisé"</formula>
    </cfRule>
    <cfRule type="expression" dxfId="1641" priority="3">
      <formula>$G46="en cours"</formula>
    </cfRule>
    <cfRule type="expression" dxfId="1640" priority="4">
      <formula>$G46="non compris"</formula>
    </cfRule>
  </conditionalFormatting>
  <conditionalFormatting sqref="D8:D21">
    <cfRule type="expression" dxfId="1639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  <pageSetUpPr fitToPage="1"/>
  </sheetPr>
  <dimension ref="A1:I68"/>
  <sheetViews>
    <sheetView view="pageLayout" topLeftCell="A25" zoomScaleNormal="100" workbookViewId="0">
      <selection activeCell="G38" sqref="G38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ht="15.75" x14ac:dyDescent="0.25">
      <c r="A2" s="553" t="s">
        <v>2</v>
      </c>
      <c r="B2" s="554"/>
      <c r="C2" s="4" t="s">
        <v>104</v>
      </c>
      <c r="D2" s="5" t="s">
        <v>98</v>
      </c>
      <c r="E2" s="522">
        <v>42646</v>
      </c>
      <c r="F2" s="522"/>
      <c r="G2" s="6"/>
      <c r="H2" s="523" t="s">
        <v>305</v>
      </c>
      <c r="I2" s="524"/>
    </row>
    <row r="3" spans="1:9" ht="15.75" x14ac:dyDescent="0.25">
      <c r="A3" s="555" t="s">
        <v>159</v>
      </c>
      <c r="B3" s="556"/>
      <c r="C3" s="7" t="s">
        <v>105</v>
      </c>
      <c r="D3" s="8" t="s">
        <v>3</v>
      </c>
      <c r="E3" s="525">
        <v>42674</v>
      </c>
      <c r="F3" s="526"/>
      <c r="G3" s="9"/>
      <c r="H3" s="527" t="str">
        <f ca="1">DATEDIF(E3,TODAY(),"m")&amp;"mois"&amp;-DATEDIF(E3,TODAY(),"md")&amp;"jours"</f>
        <v>9mois-23jours</v>
      </c>
      <c r="I3" s="528"/>
    </row>
    <row r="4" spans="1:9" ht="18.75" x14ac:dyDescent="0.25">
      <c r="A4" s="10"/>
      <c r="B4" s="12"/>
      <c r="C4" s="11" t="s">
        <v>107</v>
      </c>
      <c r="D4" s="12" t="s">
        <v>4</v>
      </c>
      <c r="E4" s="529">
        <f>E3+40</f>
        <v>42714</v>
      </c>
      <c r="F4" s="529"/>
      <c r="G4" s="13"/>
      <c r="H4" s="14"/>
      <c r="I4" s="15"/>
    </row>
    <row r="5" spans="1:9" x14ac:dyDescent="0.25">
      <c r="A5" s="16"/>
      <c r="B5" s="1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249" t="s">
        <v>160</v>
      </c>
      <c r="B7" s="250" t="s">
        <v>161</v>
      </c>
      <c r="C7" s="23" t="s">
        <v>5</v>
      </c>
      <c r="D7" s="24" t="s">
        <v>6</v>
      </c>
      <c r="E7" s="25" t="s">
        <v>7</v>
      </c>
      <c r="F7" s="23" t="s">
        <v>8</v>
      </c>
      <c r="G7" s="24" t="s">
        <v>9</v>
      </c>
      <c r="H7" s="26" t="s">
        <v>89</v>
      </c>
      <c r="I7" s="21"/>
    </row>
    <row r="8" spans="1:9" x14ac:dyDescent="0.25">
      <c r="A8" s="249"/>
      <c r="B8" s="250"/>
      <c r="C8" s="27" t="s">
        <v>10</v>
      </c>
      <c r="D8" s="89" t="s">
        <v>90</v>
      </c>
      <c r="E8" s="28">
        <f>E9</f>
        <v>40</v>
      </c>
      <c r="F8" s="29"/>
      <c r="G8" s="30" t="s">
        <v>55</v>
      </c>
      <c r="H8" s="31"/>
      <c r="I8" s="21"/>
    </row>
    <row r="9" spans="1:9" x14ac:dyDescent="0.25">
      <c r="A9" s="247"/>
      <c r="B9" s="250"/>
      <c r="C9" s="32" t="s">
        <v>12</v>
      </c>
      <c r="D9" s="90" t="s">
        <v>57</v>
      </c>
      <c r="E9" s="33">
        <v>40</v>
      </c>
      <c r="F9" s="34"/>
      <c r="G9" s="35" t="s">
        <v>55</v>
      </c>
      <c r="H9" s="31"/>
      <c r="I9" s="21"/>
    </row>
    <row r="10" spans="1:9" ht="15" customHeight="1" x14ac:dyDescent="0.25">
      <c r="A10" s="248">
        <v>21145.22</v>
      </c>
      <c r="B10" s="255">
        <f>A10-17621.02-3524.2</f>
        <v>0</v>
      </c>
      <c r="C10" s="32" t="s">
        <v>13</v>
      </c>
      <c r="D10" s="89" t="s">
        <v>57</v>
      </c>
      <c r="E10" s="28">
        <f>E9</f>
        <v>40</v>
      </c>
      <c r="F10" s="36"/>
      <c r="G10" s="35" t="s">
        <v>55</v>
      </c>
      <c r="H10" s="31"/>
      <c r="I10" s="21"/>
    </row>
    <row r="11" spans="1:9" x14ac:dyDescent="0.25">
      <c r="A11" s="249"/>
      <c r="B11" s="250"/>
      <c r="C11" s="32" t="s">
        <v>88</v>
      </c>
      <c r="D11" s="90" t="s">
        <v>90</v>
      </c>
      <c r="E11" s="28">
        <f>E10+4</f>
        <v>44</v>
      </c>
      <c r="F11" s="34"/>
      <c r="G11" s="35" t="s">
        <v>55</v>
      </c>
      <c r="H11" s="31"/>
      <c r="I11" s="21"/>
    </row>
    <row r="12" spans="1:9" x14ac:dyDescent="0.25">
      <c r="A12" s="249"/>
      <c r="B12" s="250"/>
      <c r="C12" s="32" t="s">
        <v>14</v>
      </c>
      <c r="D12" s="89" t="s">
        <v>90</v>
      </c>
      <c r="E12" s="28">
        <f>E11</f>
        <v>44</v>
      </c>
      <c r="F12" s="34"/>
      <c r="G12" s="35" t="s">
        <v>55</v>
      </c>
      <c r="H12" s="31"/>
      <c r="I12" s="21"/>
    </row>
    <row r="13" spans="1:9" x14ac:dyDescent="0.25">
      <c r="A13" s="247"/>
      <c r="B13" s="250"/>
      <c r="C13" s="32" t="s">
        <v>15</v>
      </c>
      <c r="D13" s="90" t="s">
        <v>57</v>
      </c>
      <c r="E13" s="28">
        <f>E12+1</f>
        <v>45</v>
      </c>
      <c r="F13" s="34"/>
      <c r="G13" s="35" t="s">
        <v>55</v>
      </c>
      <c r="H13" s="31"/>
      <c r="I13" s="21"/>
    </row>
    <row r="14" spans="1:9" x14ac:dyDescent="0.25">
      <c r="A14" s="248">
        <v>1672.28</v>
      </c>
      <c r="B14" s="255">
        <v>0</v>
      </c>
      <c r="C14" s="32" t="s">
        <v>16</v>
      </c>
      <c r="D14" s="89" t="s">
        <v>60</v>
      </c>
      <c r="E14" s="28">
        <f>IF(E13="","",MOD(E13+1,52))</f>
        <v>46</v>
      </c>
      <c r="F14" s="34"/>
      <c r="G14" s="35" t="s">
        <v>55</v>
      </c>
      <c r="H14" s="31"/>
      <c r="I14" s="21"/>
    </row>
    <row r="15" spans="1:9" x14ac:dyDescent="0.25">
      <c r="A15" s="247"/>
      <c r="B15" s="250"/>
      <c r="C15" s="32" t="s">
        <v>100</v>
      </c>
      <c r="D15" s="90" t="str">
        <f>D10</f>
        <v>TEMA</v>
      </c>
      <c r="E15" s="28">
        <f>IF(E14="","",MOD(E14+1,52))</f>
        <v>47</v>
      </c>
      <c r="F15" s="34"/>
      <c r="G15" s="35" t="s">
        <v>55</v>
      </c>
      <c r="H15" s="31"/>
      <c r="I15" s="21"/>
    </row>
    <row r="16" spans="1:9" x14ac:dyDescent="0.25">
      <c r="A16" s="248">
        <v>1583.9</v>
      </c>
      <c r="B16" s="255">
        <v>0</v>
      </c>
      <c r="C16" s="32" t="s">
        <v>85</v>
      </c>
      <c r="D16" s="89" t="s">
        <v>62</v>
      </c>
      <c r="E16" s="28">
        <v>51</v>
      </c>
      <c r="F16" s="34"/>
      <c r="G16" s="35" t="s">
        <v>55</v>
      </c>
      <c r="H16" s="31"/>
      <c r="I16" s="21"/>
    </row>
    <row r="17" spans="1:9" x14ac:dyDescent="0.25">
      <c r="A17" s="248">
        <v>1402.64</v>
      </c>
      <c r="B17" s="255">
        <f>A17-1402.64</f>
        <v>0</v>
      </c>
      <c r="C17" s="32" t="s">
        <v>86</v>
      </c>
      <c r="D17" s="91" t="s">
        <v>62</v>
      </c>
      <c r="E17" s="28">
        <f>E16</f>
        <v>51</v>
      </c>
      <c r="F17" s="34"/>
      <c r="G17" s="35" t="s">
        <v>55</v>
      </c>
      <c r="H17" s="86"/>
      <c r="I17" s="21"/>
    </row>
    <row r="18" spans="1:9" x14ac:dyDescent="0.25">
      <c r="A18" s="248">
        <v>0</v>
      </c>
      <c r="B18" s="255">
        <v>0</v>
      </c>
      <c r="C18" s="32" t="s">
        <v>17</v>
      </c>
      <c r="D18" s="90" t="s">
        <v>63</v>
      </c>
      <c r="E18" s="28">
        <v>7</v>
      </c>
      <c r="F18" s="34"/>
      <c r="G18" s="35" t="s">
        <v>55</v>
      </c>
      <c r="H18" s="31"/>
      <c r="I18" s="21"/>
    </row>
    <row r="19" spans="1:9" x14ac:dyDescent="0.25">
      <c r="A19" s="248">
        <v>222.46</v>
      </c>
      <c r="B19" s="255">
        <v>0</v>
      </c>
      <c r="C19" s="37" t="s">
        <v>18</v>
      </c>
      <c r="D19" s="89" t="s">
        <v>65</v>
      </c>
      <c r="E19" s="28">
        <v>6</v>
      </c>
      <c r="F19" s="34"/>
      <c r="G19" s="35" t="s">
        <v>55</v>
      </c>
      <c r="H19" s="31" t="s">
        <v>180</v>
      </c>
      <c r="I19" s="21"/>
    </row>
    <row r="20" spans="1:9" x14ac:dyDescent="0.25">
      <c r="A20" s="247"/>
      <c r="B20" s="250"/>
      <c r="C20" s="32" t="s">
        <v>19</v>
      </c>
      <c r="D20" s="90" t="str">
        <f>D13</f>
        <v>TEMA</v>
      </c>
      <c r="E20" s="28">
        <v>3</v>
      </c>
      <c r="F20" s="34"/>
      <c r="G20" s="35" t="s">
        <v>55</v>
      </c>
      <c r="H20" s="31"/>
      <c r="I20" s="21"/>
    </row>
    <row r="21" spans="1:9" x14ac:dyDescent="0.25">
      <c r="A21" s="248">
        <v>0</v>
      </c>
      <c r="B21" s="255">
        <v>0</v>
      </c>
      <c r="C21" s="38" t="s">
        <v>20</v>
      </c>
      <c r="D21" s="93" t="s">
        <v>80</v>
      </c>
      <c r="E21" s="39">
        <f>E19</f>
        <v>6</v>
      </c>
      <c r="F21" s="40"/>
      <c r="G21" s="43" t="s">
        <v>55</v>
      </c>
      <c r="H21" s="42"/>
      <c r="I21" s="21"/>
    </row>
    <row r="22" spans="1:9" x14ac:dyDescent="0.25">
      <c r="A22" s="251"/>
      <c r="B22" s="252"/>
      <c r="C22" s="20"/>
      <c r="D22" s="45"/>
      <c r="E22" s="20"/>
      <c r="F22" s="20"/>
      <c r="G22" s="20"/>
      <c r="H22" s="20"/>
      <c r="I22" s="21"/>
    </row>
    <row r="23" spans="1:9" ht="18.75" x14ac:dyDescent="0.3">
      <c r="A23" s="253"/>
      <c r="B23" s="254"/>
      <c r="C23" s="46"/>
      <c r="D23" s="46"/>
      <c r="E23" s="46"/>
      <c r="F23" s="46"/>
      <c r="G23" s="46"/>
      <c r="H23" s="46"/>
      <c r="I23" s="21"/>
    </row>
    <row r="24" spans="1:9" ht="15.75" thickBot="1" x14ac:dyDescent="0.3">
      <c r="A24" s="249"/>
      <c r="B24" s="250"/>
      <c r="C24" s="23" t="s">
        <v>5</v>
      </c>
      <c r="D24" s="24" t="s">
        <v>6</v>
      </c>
      <c r="E24" s="47" t="s">
        <v>7</v>
      </c>
      <c r="F24" s="23" t="s">
        <v>56</v>
      </c>
      <c r="G24" s="24" t="s">
        <v>53</v>
      </c>
      <c r="H24" s="87" t="s">
        <v>89</v>
      </c>
      <c r="I24" s="21"/>
    </row>
    <row r="25" spans="1:9" x14ac:dyDescent="0.25">
      <c r="A25" s="248">
        <v>180.04</v>
      </c>
      <c r="B25" s="255">
        <f>A25-180.04</f>
        <v>0</v>
      </c>
      <c r="C25" s="48" t="s">
        <v>92</v>
      </c>
      <c r="D25" s="92" t="s">
        <v>72</v>
      </c>
      <c r="E25" s="49">
        <v>7</v>
      </c>
      <c r="F25" s="50"/>
      <c r="G25" s="51" t="s">
        <v>55</v>
      </c>
      <c r="H25" s="42"/>
      <c r="I25" s="21"/>
    </row>
    <row r="26" spans="1:9" x14ac:dyDescent="0.25">
      <c r="A26" s="248">
        <v>2072.69</v>
      </c>
      <c r="B26" s="255">
        <f>A26-2072.69</f>
        <v>0</v>
      </c>
      <c r="C26" s="54" t="s">
        <v>93</v>
      </c>
      <c r="D26" s="93" t="s">
        <v>68</v>
      </c>
      <c r="E26" s="39">
        <f>IF(E25="","",MOD(E25+1,52))</f>
        <v>8</v>
      </c>
      <c r="F26" s="40"/>
      <c r="G26" s="41" t="s">
        <v>55</v>
      </c>
      <c r="H26" s="42"/>
      <c r="I26" s="21"/>
    </row>
    <row r="27" spans="1:9" x14ac:dyDescent="0.25">
      <c r="A27" s="249"/>
      <c r="B27" s="250"/>
      <c r="C27" s="53" t="s">
        <v>22</v>
      </c>
      <c r="D27" s="92" t="str">
        <f>D25</f>
        <v>HECKER</v>
      </c>
      <c r="E27" s="39">
        <f>IF(E26="","",MOD(E26+2,52))</f>
        <v>10</v>
      </c>
      <c r="F27" s="40"/>
      <c r="G27" s="41" t="s">
        <v>55</v>
      </c>
      <c r="H27" s="42"/>
      <c r="I27" s="21"/>
    </row>
    <row r="28" spans="1:9" x14ac:dyDescent="0.25">
      <c r="A28" s="255">
        <v>0</v>
      </c>
      <c r="B28" s="255">
        <v>0</v>
      </c>
      <c r="C28" s="52" t="s">
        <v>23</v>
      </c>
      <c r="D28" s="93" t="s">
        <v>73</v>
      </c>
      <c r="E28" s="39">
        <f>IF(E26="","",MOD(E26+2,52))</f>
        <v>10</v>
      </c>
      <c r="F28" s="40"/>
      <c r="G28" s="41" t="s">
        <v>55</v>
      </c>
      <c r="H28" s="42"/>
      <c r="I28" s="21"/>
    </row>
    <row r="29" spans="1:9" x14ac:dyDescent="0.25">
      <c r="A29" s="249"/>
      <c r="B29" s="250"/>
      <c r="C29" s="53" t="s">
        <v>24</v>
      </c>
      <c r="D29" s="92" t="s">
        <v>72</v>
      </c>
      <c r="E29" s="39">
        <f>IF(E28="","",MOD(E28+1,52))</f>
        <v>11</v>
      </c>
      <c r="F29" s="40"/>
      <c r="G29" s="41" t="s">
        <v>55</v>
      </c>
      <c r="H29" s="42"/>
      <c r="I29" s="21"/>
    </row>
    <row r="30" spans="1:9" x14ac:dyDescent="0.25">
      <c r="A30" s="255">
        <v>0</v>
      </c>
      <c r="B30" s="255">
        <v>0</v>
      </c>
      <c r="C30" s="54" t="s">
        <v>25</v>
      </c>
      <c r="D30" s="93" t="s">
        <v>72</v>
      </c>
      <c r="E30" s="39">
        <f>IF(E28="","",MOD(E28+1,52))</f>
        <v>11</v>
      </c>
      <c r="F30" s="40"/>
      <c r="G30" s="41" t="s">
        <v>55</v>
      </c>
      <c r="H30" s="42"/>
      <c r="I30" s="21"/>
    </row>
    <row r="31" spans="1:9" x14ac:dyDescent="0.25">
      <c r="A31" s="249"/>
      <c r="B31" s="250"/>
      <c r="C31" s="94" t="s">
        <v>26</v>
      </c>
      <c r="D31" s="100" t="s">
        <v>94</v>
      </c>
      <c r="E31" s="101"/>
      <c r="F31" s="97"/>
      <c r="G31" s="98"/>
      <c r="H31" s="99"/>
      <c r="I31" s="21"/>
    </row>
    <row r="32" spans="1:9" x14ac:dyDescent="0.25">
      <c r="A32" s="255">
        <v>0</v>
      </c>
      <c r="B32" s="255">
        <v>0</v>
      </c>
      <c r="C32" s="55" t="s">
        <v>27</v>
      </c>
      <c r="D32" s="354" t="s">
        <v>78</v>
      </c>
      <c r="E32" s="39">
        <v>13</v>
      </c>
      <c r="F32" s="40"/>
      <c r="G32" s="41" t="s">
        <v>55</v>
      </c>
      <c r="H32" s="42"/>
      <c r="I32" s="21"/>
    </row>
    <row r="33" spans="1:9" x14ac:dyDescent="0.25">
      <c r="A33" s="249"/>
      <c r="B33" s="250"/>
      <c r="C33" s="55" t="s">
        <v>28</v>
      </c>
      <c r="D33" s="92" t="str">
        <f>D26</f>
        <v>SOARES</v>
      </c>
      <c r="E33" s="39">
        <f>IF(E32="","",MOD(E32+1,52))</f>
        <v>14</v>
      </c>
      <c r="F33" s="40"/>
      <c r="G33" s="41" t="s">
        <v>55</v>
      </c>
      <c r="H33" s="42"/>
      <c r="I33" s="21"/>
    </row>
    <row r="34" spans="1:9" x14ac:dyDescent="0.25">
      <c r="A34" s="249"/>
      <c r="B34" s="250"/>
      <c r="C34" s="55" t="s">
        <v>29</v>
      </c>
      <c r="D34" s="93" t="str">
        <f>D25</f>
        <v>HECKER</v>
      </c>
      <c r="E34" s="39">
        <f>IF(E33="","",MOD(E33+1,52))</f>
        <v>15</v>
      </c>
      <c r="F34" s="40"/>
      <c r="G34" s="41" t="s">
        <v>55</v>
      </c>
      <c r="H34" s="42"/>
      <c r="I34" s="21"/>
    </row>
    <row r="35" spans="1:9" x14ac:dyDescent="0.25">
      <c r="A35" s="249"/>
      <c r="B35" s="250"/>
      <c r="C35" s="55" t="s">
        <v>30</v>
      </c>
      <c r="D35" s="92" t="str">
        <f>D28</f>
        <v>HERTFELDER</v>
      </c>
      <c r="E35" s="39">
        <f>IF(E33="","",MOD(E33+1,52))</f>
        <v>15</v>
      </c>
      <c r="F35" s="40"/>
      <c r="G35" s="41" t="s">
        <v>55</v>
      </c>
      <c r="H35" s="42"/>
      <c r="I35" s="21"/>
    </row>
    <row r="36" spans="1:9" x14ac:dyDescent="0.25">
      <c r="A36" s="249"/>
      <c r="B36" s="250"/>
      <c r="C36" s="109" t="s">
        <v>31</v>
      </c>
      <c r="D36" s="115" t="s">
        <v>90</v>
      </c>
      <c r="E36" s="111">
        <f>E32+4</f>
        <v>17</v>
      </c>
      <c r="F36" s="112"/>
      <c r="G36" s="113"/>
      <c r="H36" s="114"/>
      <c r="I36" s="21"/>
    </row>
    <row r="37" spans="1:9" x14ac:dyDescent="0.25">
      <c r="A37" s="249"/>
      <c r="B37" s="250"/>
      <c r="C37" s="109" t="s">
        <v>32</v>
      </c>
      <c r="D37" s="110" t="s">
        <v>90</v>
      </c>
      <c r="E37" s="111">
        <f>E35+1</f>
        <v>16</v>
      </c>
      <c r="F37" s="112"/>
      <c r="G37" s="113"/>
      <c r="H37" s="114"/>
      <c r="I37" s="21"/>
    </row>
    <row r="38" spans="1:9" x14ac:dyDescent="0.25">
      <c r="A38" s="249"/>
      <c r="B38" s="250"/>
      <c r="C38" s="54" t="s">
        <v>33</v>
      </c>
      <c r="D38" s="93" t="s">
        <v>72</v>
      </c>
      <c r="E38" s="39">
        <f>IF(E37="","",MOD(E37+1,52))</f>
        <v>17</v>
      </c>
      <c r="F38" s="40"/>
      <c r="G38" s="41" t="s">
        <v>55</v>
      </c>
      <c r="H38" s="42" t="s">
        <v>237</v>
      </c>
      <c r="I38" s="21"/>
    </row>
    <row r="39" spans="1:9" x14ac:dyDescent="0.25">
      <c r="A39" s="249"/>
      <c r="B39" s="250"/>
      <c r="C39" s="124" t="s">
        <v>34</v>
      </c>
      <c r="D39" s="110" t="s">
        <v>90</v>
      </c>
      <c r="E39" s="125">
        <f>IF(E38="","",MOD(E38+1,52))</f>
        <v>18</v>
      </c>
      <c r="F39" s="126"/>
      <c r="G39" s="123"/>
      <c r="H39" s="114"/>
      <c r="I39" s="21"/>
    </row>
    <row r="40" spans="1:9" x14ac:dyDescent="0.25">
      <c r="A40" s="251"/>
      <c r="B40" s="252"/>
      <c r="C40" s="20"/>
      <c r="D40" s="59"/>
      <c r="E40" s="20"/>
      <c r="F40" s="20"/>
      <c r="G40" s="20"/>
      <c r="H40" s="20"/>
      <c r="I40" s="21"/>
    </row>
    <row r="41" spans="1:9" x14ac:dyDescent="0.25">
      <c r="A41" s="253"/>
      <c r="B41" s="254"/>
      <c r="C41" s="60"/>
      <c r="D41" s="60"/>
      <c r="E41" s="60"/>
      <c r="F41" s="60"/>
      <c r="G41" s="60"/>
      <c r="H41" s="20"/>
      <c r="I41" s="21"/>
    </row>
    <row r="42" spans="1:9" ht="15.75" thickBot="1" x14ac:dyDescent="0.3">
      <c r="A42" s="249"/>
      <c r="B42" s="250"/>
      <c r="C42" s="61" t="s">
        <v>5</v>
      </c>
      <c r="D42" s="61" t="s">
        <v>6</v>
      </c>
      <c r="E42" s="62" t="s">
        <v>11</v>
      </c>
      <c r="F42" s="63" t="s">
        <v>56</v>
      </c>
      <c r="G42" s="61" t="s">
        <v>53</v>
      </c>
      <c r="H42" s="88" t="s">
        <v>89</v>
      </c>
      <c r="I42" s="21"/>
    </row>
    <row r="43" spans="1:9" x14ac:dyDescent="0.25">
      <c r="A43" s="255">
        <v>0</v>
      </c>
      <c r="B43" s="255">
        <v>0</v>
      </c>
      <c r="C43" s="64" t="s">
        <v>35</v>
      </c>
      <c r="D43" s="92" t="s">
        <v>82</v>
      </c>
      <c r="E43" s="65">
        <v>23</v>
      </c>
      <c r="F43" s="50"/>
      <c r="G43" s="51" t="s">
        <v>55</v>
      </c>
      <c r="H43" s="42"/>
      <c r="I43" s="21"/>
    </row>
    <row r="44" spans="1:9" x14ac:dyDescent="0.25">
      <c r="A44" s="249"/>
      <c r="B44" s="250"/>
      <c r="C44" s="116" t="s">
        <v>95</v>
      </c>
      <c r="D44" s="110" t="s">
        <v>90</v>
      </c>
      <c r="E44" s="121">
        <f>E43+1</f>
        <v>24</v>
      </c>
      <c r="F44" s="112"/>
      <c r="G44" s="113"/>
      <c r="H44" s="114"/>
      <c r="I44" s="21"/>
    </row>
    <row r="45" spans="1:9" x14ac:dyDescent="0.25">
      <c r="A45" s="249"/>
      <c r="B45" s="250"/>
      <c r="C45" s="94" t="s">
        <v>87</v>
      </c>
      <c r="D45" s="95" t="s">
        <v>94</v>
      </c>
      <c r="E45" s="96">
        <f>E43+1</f>
        <v>24</v>
      </c>
      <c r="F45" s="97"/>
      <c r="G45" s="98"/>
      <c r="H45" s="99"/>
      <c r="I45" s="21"/>
    </row>
    <row r="46" spans="1:9" x14ac:dyDescent="0.25">
      <c r="A46" s="249"/>
      <c r="B46" s="250"/>
      <c r="C46" s="122" t="s">
        <v>36</v>
      </c>
      <c r="D46" s="110" t="s">
        <v>90</v>
      </c>
      <c r="E46" s="121">
        <f>E43+3</f>
        <v>26</v>
      </c>
      <c r="F46" s="112"/>
      <c r="G46" s="123"/>
      <c r="H46" s="114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05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dataConsolidate/>
  <mergeCells count="11">
    <mergeCell ref="C6:H6"/>
    <mergeCell ref="C55:I60"/>
    <mergeCell ref="A1:G1"/>
    <mergeCell ref="E2:F2"/>
    <mergeCell ref="H2:I2"/>
    <mergeCell ref="E3:F3"/>
    <mergeCell ref="H3:I3"/>
    <mergeCell ref="E4:F4"/>
    <mergeCell ref="A2:B2"/>
    <mergeCell ref="A3:B3"/>
    <mergeCell ref="A6:B6"/>
  </mergeCells>
  <conditionalFormatting sqref="C47:G47 D22 C40:G40">
    <cfRule type="expression" dxfId="1596" priority="71">
      <formula>$F22="réalisé"</formula>
    </cfRule>
  </conditionalFormatting>
  <conditionalFormatting sqref="C43:C46 E43:H46 C8:H21 E25:H39">
    <cfRule type="expression" dxfId="1595" priority="68">
      <formula>$G8="réalisé"</formula>
    </cfRule>
    <cfRule type="expression" dxfId="1594" priority="69">
      <formula>$G8="en cours"</formula>
    </cfRule>
    <cfRule type="expression" dxfId="1593" priority="70">
      <formula>$G8="non cpris"</formula>
    </cfRule>
  </conditionalFormatting>
  <conditionalFormatting sqref="C22:G22 C40:G40">
    <cfRule type="expression" dxfId="1592" priority="67">
      <formula>$F22="non cpris"</formula>
    </cfRule>
  </conditionalFormatting>
  <conditionalFormatting sqref="C22:G22">
    <cfRule type="expression" dxfId="1591" priority="66">
      <formula>$F22="en cours"</formula>
    </cfRule>
  </conditionalFormatting>
  <conditionalFormatting sqref="C25:C39">
    <cfRule type="expression" dxfId="1590" priority="63">
      <formula>$G25="réalisé"</formula>
    </cfRule>
    <cfRule type="expression" dxfId="1589" priority="64">
      <formula>$G25="en cours"</formula>
    </cfRule>
    <cfRule type="expression" dxfId="1588" priority="65">
      <formula>$G25="non cpris"</formula>
    </cfRule>
  </conditionalFormatting>
  <conditionalFormatting sqref="C50:F53">
    <cfRule type="expression" dxfId="1587" priority="62">
      <formula>$F50="réalisé"</formula>
    </cfRule>
  </conditionalFormatting>
  <conditionalFormatting sqref="G9">
    <cfRule type="expression" dxfId="1586" priority="61">
      <formula>$G$10="réalisé"</formula>
    </cfRule>
  </conditionalFormatting>
  <conditionalFormatting sqref="G10">
    <cfRule type="expression" dxfId="1585" priority="60">
      <formula>$G$11="réalisé"</formula>
    </cfRule>
  </conditionalFormatting>
  <conditionalFormatting sqref="G16:G17">
    <cfRule type="expression" dxfId="1584" priority="59">
      <formula>$G$18="réalisé"</formula>
    </cfRule>
  </conditionalFormatting>
  <conditionalFormatting sqref="G26">
    <cfRule type="expression" dxfId="1583" priority="58">
      <formula>$G$27="réalisé"</formula>
    </cfRule>
  </conditionalFormatting>
  <conditionalFormatting sqref="D25">
    <cfRule type="expression" dxfId="1582" priority="55">
      <formula>$G25="réalisé"</formula>
    </cfRule>
    <cfRule type="expression" dxfId="1581" priority="56">
      <formula>$G25="en cours"</formula>
    </cfRule>
    <cfRule type="expression" dxfId="1580" priority="57">
      <formula>$G25="non cpris"</formula>
    </cfRule>
  </conditionalFormatting>
  <conditionalFormatting sqref="D27">
    <cfRule type="expression" dxfId="1579" priority="52">
      <formula>$G27="réalisé"</formula>
    </cfRule>
    <cfRule type="expression" dxfId="1578" priority="53">
      <formula>$G27="en cours"</formula>
    </cfRule>
    <cfRule type="expression" dxfId="1577" priority="54">
      <formula>$G27="non cpris"</formula>
    </cfRule>
  </conditionalFormatting>
  <conditionalFormatting sqref="D29">
    <cfRule type="expression" dxfId="1576" priority="49">
      <formula>$G29="réalisé"</formula>
    </cfRule>
    <cfRule type="expression" dxfId="1575" priority="50">
      <formula>$G29="en cours"</formula>
    </cfRule>
    <cfRule type="expression" dxfId="1574" priority="51">
      <formula>$G29="non cpris"</formula>
    </cfRule>
  </conditionalFormatting>
  <conditionalFormatting sqref="D31">
    <cfRule type="expression" dxfId="1573" priority="46">
      <formula>$G31="réalisé"</formula>
    </cfRule>
    <cfRule type="expression" dxfId="1572" priority="47">
      <formula>$G31="en cours"</formula>
    </cfRule>
    <cfRule type="expression" dxfId="1571" priority="48">
      <formula>$G31="non cpris"</formula>
    </cfRule>
  </conditionalFormatting>
  <conditionalFormatting sqref="D33">
    <cfRule type="expression" dxfId="1570" priority="43">
      <formula>$G33="réalisé"</formula>
    </cfRule>
    <cfRule type="expression" dxfId="1569" priority="44">
      <formula>$G33="en cours"</formula>
    </cfRule>
    <cfRule type="expression" dxfId="1568" priority="45">
      <formula>$G33="non cpris"</formula>
    </cfRule>
  </conditionalFormatting>
  <conditionalFormatting sqref="D35">
    <cfRule type="expression" dxfId="1567" priority="40">
      <formula>$G35="réalisé"</formula>
    </cfRule>
    <cfRule type="expression" dxfId="1566" priority="41">
      <formula>$G35="en cours"</formula>
    </cfRule>
    <cfRule type="expression" dxfId="1565" priority="42">
      <formula>$G35="non cpris"</formula>
    </cfRule>
  </conditionalFormatting>
  <conditionalFormatting sqref="D37">
    <cfRule type="expression" dxfId="1564" priority="37">
      <formula>$G37="réalisé"</formula>
    </cfRule>
    <cfRule type="expression" dxfId="1563" priority="38">
      <formula>$G37="en cours"</formula>
    </cfRule>
    <cfRule type="expression" dxfId="1562" priority="39">
      <formula>$G37="non cpris"</formula>
    </cfRule>
  </conditionalFormatting>
  <conditionalFormatting sqref="D39">
    <cfRule type="expression" dxfId="1561" priority="34">
      <formula>$G39="réalisé"</formula>
    </cfRule>
    <cfRule type="expression" dxfId="1560" priority="35">
      <formula>$G39="en cours"</formula>
    </cfRule>
    <cfRule type="expression" dxfId="1559" priority="36">
      <formula>$G39="non cpris"</formula>
    </cfRule>
  </conditionalFormatting>
  <conditionalFormatting sqref="D26">
    <cfRule type="expression" dxfId="1558" priority="31">
      <formula>$G26="réalisé"</formula>
    </cfRule>
    <cfRule type="expression" dxfId="1557" priority="32">
      <formula>$G26="en cours"</formula>
    </cfRule>
    <cfRule type="expression" dxfId="1556" priority="33">
      <formula>$G26="non cpris"</formula>
    </cfRule>
  </conditionalFormatting>
  <conditionalFormatting sqref="D28">
    <cfRule type="expression" dxfId="1555" priority="28">
      <formula>$G28="réalisé"</formula>
    </cfRule>
    <cfRule type="expression" dxfId="1554" priority="29">
      <formula>$G28="en cours"</formula>
    </cfRule>
    <cfRule type="expression" dxfId="1553" priority="30">
      <formula>$G28="non cpris"</formula>
    </cfRule>
  </conditionalFormatting>
  <conditionalFormatting sqref="D30">
    <cfRule type="expression" dxfId="1552" priority="25">
      <formula>$G30="réalisé"</formula>
    </cfRule>
    <cfRule type="expression" dxfId="1551" priority="26">
      <formula>$G30="en cours"</formula>
    </cfRule>
    <cfRule type="expression" dxfId="1550" priority="27">
      <formula>$G30="non cpris"</formula>
    </cfRule>
  </conditionalFormatting>
  <conditionalFormatting sqref="D32">
    <cfRule type="expression" dxfId="1549" priority="22">
      <formula>$G32="réalisé"</formula>
    </cfRule>
    <cfRule type="expression" dxfId="1548" priority="23">
      <formula>$G32="en cours"</formula>
    </cfRule>
    <cfRule type="expression" dxfId="1547" priority="24">
      <formula>$G32="non cpris"</formula>
    </cfRule>
  </conditionalFormatting>
  <conditionalFormatting sqref="D34">
    <cfRule type="expression" dxfId="1546" priority="19">
      <formula>$G34="réalisé"</formula>
    </cfRule>
    <cfRule type="expression" dxfId="1545" priority="20">
      <formula>$G34="en cours"</formula>
    </cfRule>
    <cfRule type="expression" dxfId="1544" priority="21">
      <formula>$G34="non cpris"</formula>
    </cfRule>
  </conditionalFormatting>
  <conditionalFormatting sqref="D36">
    <cfRule type="expression" dxfId="1543" priority="16">
      <formula>$G36="réalisé"</formula>
    </cfRule>
    <cfRule type="expression" dxfId="1542" priority="17">
      <formula>$G36="en cours"</formula>
    </cfRule>
    <cfRule type="expression" dxfId="1541" priority="18">
      <formula>$G36="non cpris"</formula>
    </cfRule>
  </conditionalFormatting>
  <conditionalFormatting sqref="D38">
    <cfRule type="expression" dxfId="1540" priority="13">
      <formula>$G38="réalisé"</formula>
    </cfRule>
    <cfRule type="expression" dxfId="1539" priority="14">
      <formula>$G38="en cours"</formula>
    </cfRule>
    <cfRule type="expression" dxfId="1538" priority="15">
      <formula>$G38="non cpris"</formula>
    </cfRule>
  </conditionalFormatting>
  <conditionalFormatting sqref="D45">
    <cfRule type="expression" dxfId="1537" priority="10">
      <formula>$G45="réalisé"</formula>
    </cfRule>
    <cfRule type="expression" dxfId="1536" priority="11">
      <formula>$G45="en cours"</formula>
    </cfRule>
    <cfRule type="expression" dxfId="1535" priority="12">
      <formula>$G45="non cpris"</formula>
    </cfRule>
  </conditionalFormatting>
  <conditionalFormatting sqref="D44">
    <cfRule type="expression" dxfId="1534" priority="7">
      <formula>$G44="réalisé"</formula>
    </cfRule>
    <cfRule type="expression" dxfId="1533" priority="8">
      <formula>$G44="en cours"</formula>
    </cfRule>
    <cfRule type="expression" dxfId="1532" priority="9">
      <formula>$G44="non cpris"</formula>
    </cfRule>
  </conditionalFormatting>
  <conditionalFormatting sqref="D43">
    <cfRule type="expression" dxfId="1531" priority="4">
      <formula>$G43="réalisé"</formula>
    </cfRule>
    <cfRule type="expression" dxfId="1530" priority="5">
      <formula>$G43="en cours"</formula>
    </cfRule>
    <cfRule type="expression" dxfId="1529" priority="6">
      <formula>$G43="non cpris"</formula>
    </cfRule>
  </conditionalFormatting>
  <conditionalFormatting sqref="D46">
    <cfRule type="expression" dxfId="1528" priority="1">
      <formula>$G46="réalisé"</formula>
    </cfRule>
    <cfRule type="expression" dxfId="1527" priority="2">
      <formula>$G46="en cours"</formula>
    </cfRule>
    <cfRule type="expression" dxfId="1526" priority="3">
      <formula>$G46="non cpris"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1:I69"/>
  <sheetViews>
    <sheetView topLeftCell="A13" zoomScaleNormal="100" workbookViewId="0">
      <selection activeCell="B20" sqref="B2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GEISLER</v>
      </c>
      <c r="D2" s="5" t="s">
        <v>98</v>
      </c>
      <c r="E2" s="522">
        <v>42896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239</v>
      </c>
      <c r="D3" s="8" t="s">
        <v>3</v>
      </c>
      <c r="E3" s="525"/>
      <c r="F3" s="526"/>
      <c r="G3" s="9"/>
      <c r="H3" s="527" t="str">
        <f ca="1">DATEDIF(E3,TODAY(),"m")&amp;"mois"&amp;-DATEDIF(E3,TODAY(),"md")&amp;"jours"</f>
        <v>1411mois-23jours</v>
      </c>
      <c r="I3" s="528"/>
    </row>
    <row r="4" spans="1:9" ht="18.75" x14ac:dyDescent="0.25">
      <c r="A4" s="127" t="s">
        <v>222</v>
      </c>
      <c r="B4" s="215"/>
      <c r="C4" s="11"/>
      <c r="D4" s="12" t="s">
        <v>4</v>
      </c>
      <c r="E4" s="529">
        <f>E3+60</f>
        <v>60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40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238</v>
      </c>
      <c r="D9" s="90" t="str">
        <f>D10</f>
        <v>TEMA</v>
      </c>
      <c r="E9" s="448">
        <v>40</v>
      </c>
      <c r="F9" s="34"/>
      <c r="G9" s="35" t="s">
        <v>11</v>
      </c>
      <c r="H9" s="31"/>
      <c r="I9" s="21"/>
    </row>
    <row r="10" spans="1:9" ht="15" customHeight="1" x14ac:dyDescent="0.25">
      <c r="A10" s="304">
        <v>13413.32</v>
      </c>
      <c r="B10" s="294">
        <f>A10</f>
        <v>13413.32</v>
      </c>
      <c r="C10" s="32" t="s">
        <v>13</v>
      </c>
      <c r="D10" s="89" t="s">
        <v>57</v>
      </c>
      <c r="E10" s="28">
        <f>E9</f>
        <v>40</v>
      </c>
      <c r="F10" s="36"/>
      <c r="G10" s="35" t="s">
        <v>11</v>
      </c>
      <c r="H10" s="31"/>
      <c r="I10" s="21"/>
    </row>
    <row r="11" spans="1:9" x14ac:dyDescent="0.25">
      <c r="A11" s="240"/>
      <c r="B11" s="241"/>
      <c r="C11" s="32" t="s">
        <v>88</v>
      </c>
      <c r="D11" s="90" t="s">
        <v>90</v>
      </c>
      <c r="E11" s="28">
        <f>E10+4</f>
        <v>44</v>
      </c>
      <c r="F11" s="34"/>
      <c r="G11" s="35" t="s">
        <v>96</v>
      </c>
      <c r="H11" s="31"/>
      <c r="I11" s="21"/>
    </row>
    <row r="12" spans="1:9" x14ac:dyDescent="0.25">
      <c r="A12" s="240"/>
      <c r="B12" s="241"/>
      <c r="C12" s="32" t="s">
        <v>14</v>
      </c>
      <c r="D12" s="89" t="s">
        <v>90</v>
      </c>
      <c r="E12" s="28">
        <f>E11</f>
        <v>44</v>
      </c>
      <c r="F12" s="34"/>
      <c r="G12" s="35" t="s">
        <v>96</v>
      </c>
      <c r="H12" s="31"/>
      <c r="I12" s="21"/>
    </row>
    <row r="13" spans="1:9" x14ac:dyDescent="0.25">
      <c r="A13" s="240"/>
      <c r="B13" s="241"/>
      <c r="C13" s="32" t="s">
        <v>15</v>
      </c>
      <c r="D13" s="90" t="s">
        <v>57</v>
      </c>
      <c r="E13" s="28">
        <f>E12+1</f>
        <v>45</v>
      </c>
      <c r="F13" s="34"/>
      <c r="G13" s="35" t="s">
        <v>11</v>
      </c>
      <c r="H13" s="31"/>
      <c r="I13" s="21"/>
    </row>
    <row r="14" spans="1:9" x14ac:dyDescent="0.25">
      <c r="A14" s="304">
        <v>560.4</v>
      </c>
      <c r="B14" s="294">
        <f>A14</f>
        <v>560.4</v>
      </c>
      <c r="C14" s="32" t="s">
        <v>16</v>
      </c>
      <c r="D14" s="89" t="s">
        <v>61</v>
      </c>
      <c r="E14" s="28">
        <f>IF(E13="","",MOD(E13+1,52))</f>
        <v>46</v>
      </c>
      <c r="F14" s="34"/>
      <c r="G14" s="35" t="s">
        <v>11</v>
      </c>
      <c r="H14" s="31"/>
      <c r="I14" s="21"/>
    </row>
    <row r="15" spans="1:9" x14ac:dyDescent="0.25">
      <c r="A15" s="240"/>
      <c r="B15" s="241"/>
      <c r="C15" s="32" t="s">
        <v>100</v>
      </c>
      <c r="D15" s="90" t="str">
        <f>D10</f>
        <v>TEMA</v>
      </c>
      <c r="E15" s="28">
        <f>IF(E14="","",MOD(E14+1,52))</f>
        <v>47</v>
      </c>
      <c r="F15" s="34"/>
      <c r="G15" s="35" t="s">
        <v>11</v>
      </c>
      <c r="H15" s="31"/>
      <c r="I15" s="21"/>
    </row>
    <row r="16" spans="1:9" x14ac:dyDescent="0.25">
      <c r="A16" s="349">
        <v>748.19</v>
      </c>
      <c r="B16" s="294">
        <f>A16</f>
        <v>748.19</v>
      </c>
      <c r="C16" s="32" t="s">
        <v>85</v>
      </c>
      <c r="D16" s="89" t="s">
        <v>61</v>
      </c>
      <c r="E16" s="28">
        <f>IF(E15="","",MOD(E15+1,52))</f>
        <v>48</v>
      </c>
      <c r="F16" s="34"/>
      <c r="G16" s="35"/>
      <c r="H16" s="31"/>
      <c r="I16" s="21"/>
    </row>
    <row r="17" spans="1:9" x14ac:dyDescent="0.25">
      <c r="A17" s="349">
        <v>628.48</v>
      </c>
      <c r="B17" s="294">
        <f>A17</f>
        <v>628.48</v>
      </c>
      <c r="C17" s="32" t="s">
        <v>86</v>
      </c>
      <c r="D17" s="91" t="s">
        <v>64</v>
      </c>
      <c r="E17" s="28">
        <f>E16</f>
        <v>48</v>
      </c>
      <c r="F17" s="34"/>
      <c r="G17" s="35"/>
      <c r="H17" s="86"/>
      <c r="I17" s="21"/>
    </row>
    <row r="18" spans="1:9" x14ac:dyDescent="0.25">
      <c r="A18" s="359"/>
      <c r="B18" s="241"/>
      <c r="C18" s="446" t="s">
        <v>17</v>
      </c>
      <c r="D18" s="447" t="s">
        <v>64</v>
      </c>
      <c r="E18" s="448">
        <f>E16</f>
        <v>48</v>
      </c>
      <c r="F18" s="449"/>
      <c r="G18" s="450"/>
      <c r="H18" s="451"/>
      <c r="I18" s="21"/>
    </row>
    <row r="19" spans="1:9" x14ac:dyDescent="0.25">
      <c r="A19" s="304">
        <v>2634.49</v>
      </c>
      <c r="B19" s="294">
        <f>A19-2634.49</f>
        <v>0</v>
      </c>
      <c r="C19" s="37" t="s">
        <v>18</v>
      </c>
      <c r="D19" s="89" t="s">
        <v>65</v>
      </c>
      <c r="E19" s="28">
        <f>IF(E16="","",MOD(E16+2,52))</f>
        <v>50</v>
      </c>
      <c r="F19" s="34"/>
      <c r="G19" s="35"/>
      <c r="H19" s="31"/>
      <c r="I19" s="21"/>
    </row>
    <row r="20" spans="1:9" x14ac:dyDescent="0.25">
      <c r="A20" s="240"/>
      <c r="B20" s="241"/>
      <c r="C20" s="32" t="s">
        <v>19</v>
      </c>
      <c r="D20" s="90" t="str">
        <f>D13</f>
        <v>TEMA</v>
      </c>
      <c r="E20" s="28">
        <f>IF(E16="","",MOD(E16+2,52))</f>
        <v>50</v>
      </c>
      <c r="F20" s="34"/>
      <c r="G20" s="35"/>
      <c r="H20" s="31"/>
      <c r="I20" s="21"/>
    </row>
    <row r="21" spans="1:9" x14ac:dyDescent="0.25">
      <c r="A21" s="304"/>
      <c r="B21" s="294">
        <f>A21</f>
        <v>0</v>
      </c>
      <c r="C21" s="132" t="s">
        <v>20</v>
      </c>
      <c r="D21" s="90" t="s">
        <v>81</v>
      </c>
      <c r="E21" s="28">
        <f>E19</f>
        <v>50</v>
      </c>
      <c r="F21" s="34"/>
      <c r="G21" s="133"/>
      <c r="H21" s="31"/>
      <c r="I21" s="21"/>
    </row>
    <row r="22" spans="1:9" x14ac:dyDescent="0.25">
      <c r="A22" s="295"/>
      <c r="B22" s="305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306"/>
      <c r="B23" s="307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40"/>
      <c r="B24" s="241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304"/>
      <c r="B25" s="294">
        <f>A25</f>
        <v>0</v>
      </c>
      <c r="C25" s="141" t="s">
        <v>92</v>
      </c>
      <c r="D25" s="89" t="s">
        <v>129</v>
      </c>
      <c r="E25" s="142">
        <f>IF(E19="","",MOD(E19+1,52))</f>
        <v>51</v>
      </c>
      <c r="F25" s="29"/>
      <c r="G25" s="30" t="s">
        <v>11</v>
      </c>
      <c r="H25" s="31"/>
      <c r="I25" s="21"/>
    </row>
    <row r="26" spans="1:9" x14ac:dyDescent="0.25">
      <c r="A26" s="294">
        <v>1730.89</v>
      </c>
      <c r="B26" s="294">
        <f>A26</f>
        <v>1730.89</v>
      </c>
      <c r="C26" s="32" t="s">
        <v>93</v>
      </c>
      <c r="D26" s="90" t="s">
        <v>68</v>
      </c>
      <c r="E26" s="28">
        <f>IF(E25="","",MOD(E25+1,52))</f>
        <v>0</v>
      </c>
      <c r="F26" s="34"/>
      <c r="G26" s="35"/>
      <c r="H26" s="31"/>
      <c r="I26" s="21"/>
    </row>
    <row r="27" spans="1:9" x14ac:dyDescent="0.25">
      <c r="A27" s="240">
        <v>963.98</v>
      </c>
      <c r="B27" s="294">
        <f>A27</f>
        <v>963.98</v>
      </c>
      <c r="C27" s="102" t="s">
        <v>22</v>
      </c>
      <c r="D27" s="89" t="str">
        <f>D25</f>
        <v>ELECTRO HECKER</v>
      </c>
      <c r="E27" s="28">
        <f>IF(E26="","",MOD(E26+2,52))</f>
        <v>2</v>
      </c>
      <c r="F27" s="34"/>
      <c r="G27" s="35"/>
      <c r="H27" s="31"/>
      <c r="I27" s="21"/>
    </row>
    <row r="28" spans="1:9" x14ac:dyDescent="0.25">
      <c r="A28" s="304">
        <v>599.57000000000005</v>
      </c>
      <c r="B28" s="294">
        <f>A28</f>
        <v>599.57000000000005</v>
      </c>
      <c r="C28" s="143" t="s">
        <v>23</v>
      </c>
      <c r="D28" s="90" t="s">
        <v>73</v>
      </c>
      <c r="E28" s="28">
        <f>IF(E26="","",MOD(E26+2,52))</f>
        <v>2</v>
      </c>
      <c r="F28" s="34"/>
      <c r="G28" s="35"/>
      <c r="H28" s="31"/>
      <c r="I28" s="21"/>
    </row>
    <row r="29" spans="1:9" x14ac:dyDescent="0.25">
      <c r="A29" s="294"/>
      <c r="B29" s="294"/>
      <c r="C29" s="102" t="s">
        <v>24</v>
      </c>
      <c r="D29" s="89" t="s">
        <v>73</v>
      </c>
      <c r="E29" s="28">
        <f>IF(E28="","",MOD(E28+1,52))</f>
        <v>3</v>
      </c>
      <c r="F29" s="34"/>
      <c r="G29" s="35"/>
      <c r="H29" s="31"/>
      <c r="I29" s="21"/>
    </row>
    <row r="30" spans="1:9" x14ac:dyDescent="0.25">
      <c r="A30" s="304">
        <v>868.88</v>
      </c>
      <c r="B30" s="294">
        <f>A30</f>
        <v>868.88</v>
      </c>
      <c r="C30" s="32" t="s">
        <v>292</v>
      </c>
      <c r="D30" s="90" t="s">
        <v>73</v>
      </c>
      <c r="E30" s="28">
        <f>IF(E28="","",MOD(E28+1,52))</f>
        <v>3</v>
      </c>
      <c r="F30" s="34"/>
      <c r="G30" s="35"/>
      <c r="H30" s="31"/>
      <c r="I30" s="21"/>
    </row>
    <row r="31" spans="1:9" x14ac:dyDescent="0.25">
      <c r="A31" s="240"/>
      <c r="B31" s="241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94"/>
      <c r="B32" s="294">
        <f>A32</f>
        <v>0</v>
      </c>
      <c r="C32" s="32" t="s">
        <v>27</v>
      </c>
      <c r="D32" s="90" t="s">
        <v>78</v>
      </c>
      <c r="E32" s="28">
        <f>IF(E30="","",MOD(E30+1,52))</f>
        <v>4</v>
      </c>
      <c r="F32" s="34"/>
      <c r="G32" s="35"/>
      <c r="H32" s="31"/>
      <c r="I32" s="21"/>
    </row>
    <row r="33" spans="1:9" x14ac:dyDescent="0.25">
      <c r="A33" s="240"/>
      <c r="B33" s="241"/>
      <c r="C33" s="32" t="s">
        <v>28</v>
      </c>
      <c r="D33" s="89" t="str">
        <f>D26</f>
        <v>SOARES</v>
      </c>
      <c r="E33" s="28">
        <f>IF(E32="","",MOD(E32+1,52))</f>
        <v>5</v>
      </c>
      <c r="F33" s="34"/>
      <c r="G33" s="35"/>
      <c r="H33" s="31"/>
      <c r="I33" s="21"/>
    </row>
    <row r="34" spans="1:9" x14ac:dyDescent="0.25">
      <c r="A34" s="240"/>
      <c r="B34" s="241"/>
      <c r="C34" s="32" t="s">
        <v>29</v>
      </c>
      <c r="D34" s="90" t="str">
        <f>D25</f>
        <v>ELECTRO HECKER</v>
      </c>
      <c r="E34" s="28">
        <f>IF(E33="","",MOD(E33+1,52))</f>
        <v>6</v>
      </c>
      <c r="F34" s="34"/>
      <c r="G34" s="35" t="s">
        <v>11</v>
      </c>
      <c r="H34" s="31"/>
      <c r="I34" s="21"/>
    </row>
    <row r="35" spans="1:9" x14ac:dyDescent="0.25">
      <c r="A35" s="240"/>
      <c r="B35" s="241"/>
      <c r="C35" s="32" t="s">
        <v>30</v>
      </c>
      <c r="D35" s="89" t="str">
        <f>D28</f>
        <v>HERTFELDER</v>
      </c>
      <c r="E35" s="28">
        <f>IF(E33="","",MOD(E33+1,52))</f>
        <v>6</v>
      </c>
      <c r="F35" s="34"/>
      <c r="G35" s="35"/>
      <c r="H35" s="31"/>
      <c r="I35" s="21"/>
    </row>
    <row r="36" spans="1:9" x14ac:dyDescent="0.25">
      <c r="A36" s="240"/>
      <c r="B36" s="241"/>
      <c r="C36" s="32" t="s">
        <v>31</v>
      </c>
      <c r="D36" s="90" t="s">
        <v>78</v>
      </c>
      <c r="E36" s="28">
        <f>E32+4</f>
        <v>8</v>
      </c>
      <c r="F36" s="34"/>
      <c r="G36" s="35" t="s">
        <v>11</v>
      </c>
      <c r="H36" s="31"/>
      <c r="I36" s="21"/>
    </row>
    <row r="37" spans="1:9" x14ac:dyDescent="0.25">
      <c r="A37" s="240"/>
      <c r="B37" s="241"/>
      <c r="C37" s="32" t="s">
        <v>32</v>
      </c>
      <c r="D37" s="89" t="s">
        <v>90</v>
      </c>
      <c r="E37" s="28">
        <f>E35+1</f>
        <v>7</v>
      </c>
      <c r="F37" s="34"/>
      <c r="G37" s="35" t="s">
        <v>96</v>
      </c>
      <c r="H37" s="31"/>
      <c r="I37" s="21"/>
    </row>
    <row r="38" spans="1:9" x14ac:dyDescent="0.25">
      <c r="A38" s="240"/>
      <c r="B38" s="241"/>
      <c r="C38" s="32" t="s">
        <v>33</v>
      </c>
      <c r="D38" s="90" t="str">
        <f>D30</f>
        <v>HERTFELDER</v>
      </c>
      <c r="E38" s="28">
        <f>IF(E37="","",MOD(E37+1,52))</f>
        <v>8</v>
      </c>
      <c r="F38" s="34"/>
      <c r="G38" s="35"/>
      <c r="H38" s="31"/>
      <c r="I38" s="21"/>
    </row>
    <row r="39" spans="1:9" x14ac:dyDescent="0.25">
      <c r="A39" s="304"/>
      <c r="B39" s="294">
        <f>A39</f>
        <v>0</v>
      </c>
      <c r="C39" s="144" t="s">
        <v>34</v>
      </c>
      <c r="D39" s="89" t="s">
        <v>79</v>
      </c>
      <c r="E39" s="145">
        <f>IF(E38="","",MOD(E38+1,52))</f>
        <v>9</v>
      </c>
      <c r="F39" s="146"/>
      <c r="G39" s="133"/>
      <c r="H39" s="31"/>
      <c r="I39" s="21"/>
    </row>
    <row r="40" spans="1:9" x14ac:dyDescent="0.25">
      <c r="A40" s="295"/>
      <c r="B40" s="305"/>
      <c r="C40" s="134"/>
      <c r="D40" s="147"/>
      <c r="E40" s="134"/>
      <c r="F40" s="134"/>
      <c r="G40" s="134"/>
      <c r="H40" s="134"/>
      <c r="I40" s="21"/>
    </row>
    <row r="41" spans="1:9" x14ac:dyDescent="0.25">
      <c r="A41" s="306"/>
      <c r="B41" s="307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40"/>
      <c r="B42" s="47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304"/>
      <c r="B43" s="294">
        <f>A43</f>
        <v>0</v>
      </c>
      <c r="C43" s="153" t="s">
        <v>35</v>
      </c>
      <c r="D43" s="89" t="s">
        <v>82</v>
      </c>
      <c r="E43" s="154">
        <f>E28+1</f>
        <v>3</v>
      </c>
      <c r="F43" s="29"/>
      <c r="G43" s="30"/>
      <c r="H43" s="31"/>
      <c r="I43" s="21"/>
    </row>
    <row r="44" spans="1:9" x14ac:dyDescent="0.25">
      <c r="A44" s="256"/>
      <c r="B44" s="459"/>
      <c r="C44" s="167" t="s">
        <v>95</v>
      </c>
      <c r="D44" s="168" t="str">
        <f>D46</f>
        <v>TASTEPER</v>
      </c>
      <c r="E44" s="169">
        <f>E43+1</f>
        <v>4</v>
      </c>
      <c r="F44" s="170"/>
      <c r="G44" s="171"/>
      <c r="H44" s="31"/>
      <c r="I44" s="21"/>
    </row>
    <row r="45" spans="1:9" x14ac:dyDescent="0.25">
      <c r="A45" s="256"/>
      <c r="B45" s="459"/>
      <c r="C45" s="157" t="s">
        <v>87</v>
      </c>
      <c r="D45" s="164" t="s">
        <v>94</v>
      </c>
      <c r="E45" s="166">
        <f>E43+1</f>
        <v>4</v>
      </c>
      <c r="F45" s="160"/>
      <c r="G45" s="161" t="s">
        <v>11</v>
      </c>
      <c r="H45" s="162"/>
      <c r="I45" s="21"/>
    </row>
    <row r="46" spans="1:9" x14ac:dyDescent="0.25">
      <c r="A46" s="256"/>
      <c r="B46" s="459"/>
      <c r="C46" s="156" t="s">
        <v>36</v>
      </c>
      <c r="D46" s="89" t="str">
        <f>D43</f>
        <v>TASTEPER</v>
      </c>
      <c r="E46" s="155">
        <f>E43+3</f>
        <v>6</v>
      </c>
      <c r="F46" s="34"/>
      <c r="G46" s="133"/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229</v>
      </c>
      <c r="D50" s="173">
        <v>42905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05"/>
      <c r="C51" s="40" t="s">
        <v>230</v>
      </c>
      <c r="D51" s="81">
        <v>42929</v>
      </c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76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77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15" customFormat="1" x14ac:dyDescent="0.25">
      <c r="A62" s="382"/>
      <c r="B62" s="382"/>
      <c r="C62" s="66"/>
      <c r="D62" s="66"/>
      <c r="E62" s="66"/>
      <c r="F62" s="66"/>
      <c r="G62" s="66"/>
      <c r="H62" s="66"/>
      <c r="I62" s="66"/>
    </row>
    <row r="63" spans="1:9" s="415" customFormat="1" x14ac:dyDescent="0.25">
      <c r="A63" s="66"/>
      <c r="B63" s="66"/>
      <c r="C63" s="382"/>
      <c r="D63" s="416"/>
      <c r="E63" s="66"/>
      <c r="F63" s="416"/>
      <c r="G63" s="66"/>
      <c r="H63" s="66"/>
      <c r="I63" s="66"/>
    </row>
    <row r="64" spans="1:9" s="415" customFormat="1" x14ac:dyDescent="0.25">
      <c r="A64" s="66"/>
      <c r="B64" s="66"/>
      <c r="C64" s="382"/>
      <c r="D64" s="416"/>
      <c r="E64" s="66"/>
      <c r="F64" s="416"/>
      <c r="G64" s="66"/>
      <c r="H64" s="66"/>
      <c r="I64" s="66"/>
    </row>
    <row r="65" spans="1:9" s="415" customFormat="1" x14ac:dyDescent="0.25">
      <c r="A65" s="66"/>
      <c r="B65" s="66"/>
      <c r="C65" s="382"/>
      <c r="D65" s="66"/>
      <c r="E65" s="66"/>
      <c r="F65" s="66"/>
      <c r="G65" s="66"/>
      <c r="H65" s="66"/>
      <c r="I65" s="66"/>
    </row>
    <row r="66" spans="1:9" s="415" customFormat="1" x14ac:dyDescent="0.25">
      <c r="A66" s="66"/>
      <c r="B66" s="66"/>
      <c r="C66" s="382"/>
      <c r="D66" s="66"/>
      <c r="E66" s="66"/>
      <c r="F66" s="66"/>
      <c r="G66" s="66"/>
      <c r="H66" s="66"/>
      <c r="I66" s="66"/>
    </row>
    <row r="67" spans="1:9" s="415" customFormat="1" x14ac:dyDescent="0.25">
      <c r="A67" s="66"/>
      <c r="B67" s="66"/>
      <c r="C67" s="382"/>
      <c r="D67" s="66"/>
      <c r="E67" s="66"/>
      <c r="F67" s="66"/>
      <c r="G67" s="66"/>
      <c r="H67" s="66"/>
      <c r="I67" s="66"/>
    </row>
    <row r="68" spans="1:9" s="415" customFormat="1" x14ac:dyDescent="0.25">
      <c r="A68" s="66"/>
      <c r="B68" s="66"/>
      <c r="C68" s="382"/>
      <c r="D68" s="417"/>
      <c r="E68" s="66"/>
      <c r="F68" s="66"/>
      <c r="G68" s="66"/>
      <c r="H68" s="66"/>
      <c r="I68" s="66"/>
    </row>
    <row r="69" spans="1:9" s="415" customFormat="1" x14ac:dyDescent="0.25"/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1483" priority="72">
      <formula>$F22="réalisé"</formula>
    </cfRule>
  </conditionalFormatting>
  <conditionalFormatting sqref="C43:C46 E43:H46 C8:H21 E25:H39">
    <cfRule type="expression" dxfId="1482" priority="69">
      <formula>$G8="réalisé"</formula>
    </cfRule>
    <cfRule type="expression" dxfId="1481" priority="70">
      <formula>$G8="en cours"</formula>
    </cfRule>
    <cfRule type="expression" dxfId="1480" priority="71">
      <formula>$G8="non compris"</formula>
    </cfRule>
  </conditionalFormatting>
  <conditionalFormatting sqref="C22:G22 C40:G40">
    <cfRule type="expression" dxfId="1479" priority="68">
      <formula>$F22="non cpris"</formula>
    </cfRule>
  </conditionalFormatting>
  <conditionalFormatting sqref="C22:G22">
    <cfRule type="expression" dxfId="1478" priority="67">
      <formula>$F22="en cours"</formula>
    </cfRule>
  </conditionalFormatting>
  <conditionalFormatting sqref="C25:C39">
    <cfRule type="expression" dxfId="1477" priority="64">
      <formula>$G25="réalisé"</formula>
    </cfRule>
    <cfRule type="expression" dxfId="1476" priority="65">
      <formula>$G25="en cours"</formula>
    </cfRule>
    <cfRule type="expression" dxfId="1475" priority="66">
      <formula>$G25="non compris"</formula>
    </cfRule>
  </conditionalFormatting>
  <conditionalFormatting sqref="C50:F53">
    <cfRule type="expression" dxfId="1474" priority="63">
      <formula>$F50="réalisé"</formula>
    </cfRule>
  </conditionalFormatting>
  <conditionalFormatting sqref="G9">
    <cfRule type="expression" dxfId="1473" priority="62">
      <formula>$G$10="réalisé"</formula>
    </cfRule>
  </conditionalFormatting>
  <conditionalFormatting sqref="G10">
    <cfRule type="expression" dxfId="1472" priority="61">
      <formula>$G$11="réalisé"</formula>
    </cfRule>
  </conditionalFormatting>
  <conditionalFormatting sqref="G16:G17">
    <cfRule type="expression" dxfId="1471" priority="60">
      <formula>$G$18="réalisé"</formula>
    </cfRule>
  </conditionalFormatting>
  <conditionalFormatting sqref="G26">
    <cfRule type="expression" dxfId="1470" priority="59">
      <formula>$G$27="réalisé"</formula>
    </cfRule>
  </conditionalFormatting>
  <conditionalFormatting sqref="D25">
    <cfRule type="expression" dxfId="1469" priority="56">
      <formula>$G25="réalisé"</formula>
    </cfRule>
    <cfRule type="expression" dxfId="1468" priority="57">
      <formula>$G25="en cours"</formula>
    </cfRule>
    <cfRule type="expression" dxfId="1467" priority="58">
      <formula>$G25="non compris"</formula>
    </cfRule>
  </conditionalFormatting>
  <conditionalFormatting sqref="D27">
    <cfRule type="expression" dxfId="1466" priority="53">
      <formula>$G27="réalisé"</formula>
    </cfRule>
    <cfRule type="expression" dxfId="1465" priority="54">
      <formula>$G27="en cours"</formula>
    </cfRule>
    <cfRule type="expression" dxfId="1464" priority="55">
      <formula>$G27="non compris"</formula>
    </cfRule>
  </conditionalFormatting>
  <conditionalFormatting sqref="D29">
    <cfRule type="expression" dxfId="1463" priority="50">
      <formula>$G29="réalisé"</formula>
    </cfRule>
    <cfRule type="expression" dxfId="1462" priority="51">
      <formula>$G29="en cours"</formula>
    </cfRule>
    <cfRule type="expression" dxfId="1461" priority="52">
      <formula>$G29="non compris"</formula>
    </cfRule>
  </conditionalFormatting>
  <conditionalFormatting sqref="D31">
    <cfRule type="expression" dxfId="1460" priority="47">
      <formula>$G31="réalisé"</formula>
    </cfRule>
    <cfRule type="expression" dxfId="1459" priority="48">
      <formula>$G31="en cours"</formula>
    </cfRule>
    <cfRule type="expression" dxfId="1458" priority="49">
      <formula>$G31="non compris"</formula>
    </cfRule>
  </conditionalFormatting>
  <conditionalFormatting sqref="D33">
    <cfRule type="expression" dxfId="1457" priority="44">
      <formula>$G33="réalisé"</formula>
    </cfRule>
    <cfRule type="expression" dxfId="1456" priority="45">
      <formula>$G33="en cours"</formula>
    </cfRule>
    <cfRule type="expression" dxfId="1455" priority="46">
      <formula>$G33="non compris"</formula>
    </cfRule>
  </conditionalFormatting>
  <conditionalFormatting sqref="D35">
    <cfRule type="expression" dxfId="1454" priority="41">
      <formula>$G35="réalisé"</formula>
    </cfRule>
    <cfRule type="expression" dxfId="1453" priority="42">
      <formula>$G35="en cours"</formula>
    </cfRule>
    <cfRule type="expression" dxfId="1452" priority="43">
      <formula>$G35="non compris"</formula>
    </cfRule>
  </conditionalFormatting>
  <conditionalFormatting sqref="D37">
    <cfRule type="expression" dxfId="1451" priority="38">
      <formula>$G37="réalisé"</formula>
    </cfRule>
    <cfRule type="expression" dxfId="1450" priority="39">
      <formula>$G37="en cours"</formula>
    </cfRule>
    <cfRule type="expression" dxfId="1449" priority="40">
      <formula>$G37="non compris"</formula>
    </cfRule>
  </conditionalFormatting>
  <conditionalFormatting sqref="D39">
    <cfRule type="expression" dxfId="1448" priority="35">
      <formula>$G39="réalisé"</formula>
    </cfRule>
    <cfRule type="expression" dxfId="1447" priority="36">
      <formula>$G39="en cours"</formula>
    </cfRule>
    <cfRule type="expression" dxfId="1446" priority="37">
      <formula>$G39="non compris"</formula>
    </cfRule>
  </conditionalFormatting>
  <conditionalFormatting sqref="D26">
    <cfRule type="expression" dxfId="1445" priority="32">
      <formula>$G26="réalisé"</formula>
    </cfRule>
    <cfRule type="expression" dxfId="1444" priority="33">
      <formula>$G26="en cours"</formula>
    </cfRule>
    <cfRule type="expression" dxfId="1443" priority="34">
      <formula>$G26="non compris"</formula>
    </cfRule>
  </conditionalFormatting>
  <conditionalFormatting sqref="D28">
    <cfRule type="expression" dxfId="1442" priority="29">
      <formula>$G28="réalisé"</formula>
    </cfRule>
    <cfRule type="expression" dxfId="1441" priority="30">
      <formula>$G28="en cours"</formula>
    </cfRule>
    <cfRule type="expression" dxfId="1440" priority="31">
      <formula>$G28="non compris"</formula>
    </cfRule>
  </conditionalFormatting>
  <conditionalFormatting sqref="D30">
    <cfRule type="expression" dxfId="1439" priority="26">
      <formula>$G30="réalisé"</formula>
    </cfRule>
    <cfRule type="expression" dxfId="1438" priority="27">
      <formula>$G30="en cours"</formula>
    </cfRule>
    <cfRule type="expression" dxfId="1437" priority="28">
      <formula>$G30="non compris"</formula>
    </cfRule>
  </conditionalFormatting>
  <conditionalFormatting sqref="D32">
    <cfRule type="expression" dxfId="1436" priority="23">
      <formula>$G32="réalisé"</formula>
    </cfRule>
    <cfRule type="expression" dxfId="1435" priority="24">
      <formula>$G32="en cours"</formula>
    </cfRule>
    <cfRule type="expression" dxfId="1434" priority="25">
      <formula>$G32="non compris"</formula>
    </cfRule>
  </conditionalFormatting>
  <conditionalFormatting sqref="D34">
    <cfRule type="expression" dxfId="1433" priority="20">
      <formula>$G34="réalisé"</formula>
    </cfRule>
    <cfRule type="expression" dxfId="1432" priority="21">
      <formula>$G34="en cours"</formula>
    </cfRule>
    <cfRule type="expression" dxfId="1431" priority="22">
      <formula>$G34="non compris"</formula>
    </cfRule>
  </conditionalFormatting>
  <conditionalFormatting sqref="D36">
    <cfRule type="expression" dxfId="1430" priority="17">
      <formula>$G36="réalisé"</formula>
    </cfRule>
    <cfRule type="expression" dxfId="1429" priority="18">
      <formula>$G36="en cours"</formula>
    </cfRule>
    <cfRule type="expression" dxfId="1428" priority="19">
      <formula>$G36="non compris"</formula>
    </cfRule>
  </conditionalFormatting>
  <conditionalFormatting sqref="D38">
    <cfRule type="expression" dxfId="1427" priority="14">
      <formula>$G38="réalisé"</formula>
    </cfRule>
    <cfRule type="expression" dxfId="1426" priority="15">
      <formula>$G38="en cours"</formula>
    </cfRule>
    <cfRule type="expression" dxfId="1425" priority="16">
      <formula>$G38="non compris"</formula>
    </cfRule>
  </conditionalFormatting>
  <conditionalFormatting sqref="D45">
    <cfRule type="expression" dxfId="1424" priority="11">
      <formula>$G45="réalisé"</formula>
    </cfRule>
    <cfRule type="expression" dxfId="1423" priority="12">
      <formula>$G45="en cours"</formula>
    </cfRule>
    <cfRule type="expression" dxfId="1422" priority="13">
      <formula>$G45="non compris"</formula>
    </cfRule>
  </conditionalFormatting>
  <conditionalFormatting sqref="D44">
    <cfRule type="expression" dxfId="1421" priority="8">
      <formula>$G44="réalisé"</formula>
    </cfRule>
    <cfRule type="expression" dxfId="1420" priority="9">
      <formula>$G44="en cours"</formula>
    </cfRule>
    <cfRule type="expression" dxfId="1419" priority="10">
      <formula>$G44="non compris"</formula>
    </cfRule>
  </conditionalFormatting>
  <conditionalFormatting sqref="D43">
    <cfRule type="expression" dxfId="1418" priority="5">
      <formula>$G43="réalisé"</formula>
    </cfRule>
    <cfRule type="expression" dxfId="1417" priority="6">
      <formula>$G43="en cours"</formula>
    </cfRule>
    <cfRule type="expression" dxfId="1416" priority="7">
      <formula>$G43="non compris"</formula>
    </cfRule>
  </conditionalFormatting>
  <conditionalFormatting sqref="D46">
    <cfRule type="expression" dxfId="1415" priority="2">
      <formula>$G46="réalisé"</formula>
    </cfRule>
    <cfRule type="expression" dxfId="1414" priority="3">
      <formula>$G46="en cours"</formula>
    </cfRule>
    <cfRule type="expression" dxfId="1413" priority="4">
      <formula>$G46="non compris"</formula>
    </cfRule>
  </conditionalFormatting>
  <conditionalFormatting sqref="D8:D21">
    <cfRule type="expression" dxfId="1412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  <pageSetUpPr fitToPage="1"/>
  </sheetPr>
  <dimension ref="A1:O68"/>
  <sheetViews>
    <sheetView view="pageLayout" topLeftCell="A10" zoomScaleNormal="100" workbookViewId="0">
      <selection activeCell="G32" sqref="G32"/>
    </sheetView>
  </sheetViews>
  <sheetFormatPr baseColWidth="10" defaultRowHeight="15" x14ac:dyDescent="0.25"/>
  <cols>
    <col min="1" max="1" width="9.140625" customWidth="1"/>
    <col min="2" max="2" width="9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  <col min="15" max="15" width="11.85546875" bestFit="1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GITZINGER</v>
      </c>
      <c r="D2" s="5" t="s">
        <v>98</v>
      </c>
      <c r="E2" s="522">
        <v>42737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163</v>
      </c>
      <c r="D3" s="8" t="s">
        <v>3</v>
      </c>
      <c r="E3" s="525">
        <v>42765</v>
      </c>
      <c r="F3" s="526"/>
      <c r="G3" s="9"/>
      <c r="H3" s="527" t="str">
        <f ca="1">DATEDIF(E3,TODAY(),"m")&amp;"mois"&amp;-DATEDIF(E3,TODAY(),"md")&amp;"jours"</f>
        <v>6mois-24jours</v>
      </c>
      <c r="I3" s="528"/>
    </row>
    <row r="4" spans="1:9" ht="18.75" x14ac:dyDescent="0.25">
      <c r="A4" s="127"/>
      <c r="B4" s="215"/>
      <c r="C4" s="11" t="s">
        <v>164</v>
      </c>
      <c r="D4" s="12" t="s">
        <v>4</v>
      </c>
      <c r="E4" s="529">
        <f>E3+60</f>
        <v>42825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4</v>
      </c>
      <c r="F8" s="29"/>
      <c r="G8" s="30" t="s">
        <v>96</v>
      </c>
      <c r="H8" s="31"/>
      <c r="I8" s="21"/>
    </row>
    <row r="9" spans="1:9" x14ac:dyDescent="0.25">
      <c r="A9" s="282"/>
      <c r="B9" s="216"/>
      <c r="C9" s="32" t="s">
        <v>12</v>
      </c>
      <c r="D9" s="90" t="s">
        <v>57</v>
      </c>
      <c r="E9" s="33">
        <v>4</v>
      </c>
      <c r="F9" s="34"/>
      <c r="G9" s="35" t="s">
        <v>55</v>
      </c>
      <c r="H9" s="31"/>
      <c r="I9" s="21"/>
    </row>
    <row r="10" spans="1:9" ht="15" customHeight="1" x14ac:dyDescent="0.25">
      <c r="A10" s="243">
        <v>12673.62</v>
      </c>
      <c r="B10" s="260">
        <f>A10-10561.35-1056.13-1056.14</f>
        <v>0</v>
      </c>
      <c r="C10" s="32" t="s">
        <v>13</v>
      </c>
      <c r="D10" s="89" t="s">
        <v>57</v>
      </c>
      <c r="E10" s="28">
        <v>5</v>
      </c>
      <c r="F10" s="36"/>
      <c r="G10" s="35" t="s">
        <v>55</v>
      </c>
      <c r="H10" s="31"/>
      <c r="I10" s="21"/>
    </row>
    <row r="11" spans="1:9" x14ac:dyDescent="0.25">
      <c r="A11" s="261"/>
      <c r="B11" s="278"/>
      <c r="C11" s="32" t="s">
        <v>88</v>
      </c>
      <c r="D11" s="90" t="s">
        <v>90</v>
      </c>
      <c r="E11" s="28">
        <f>E10+4</f>
        <v>9</v>
      </c>
      <c r="F11" s="34"/>
      <c r="G11" s="35" t="s">
        <v>55</v>
      </c>
      <c r="H11" s="31"/>
      <c r="I11" s="21"/>
    </row>
    <row r="12" spans="1:9" x14ac:dyDescent="0.25">
      <c r="A12" s="261"/>
      <c r="B12" s="278"/>
      <c r="C12" s="32" t="s">
        <v>14</v>
      </c>
      <c r="D12" s="89" t="s">
        <v>90</v>
      </c>
      <c r="E12" s="28">
        <f>E11</f>
        <v>9</v>
      </c>
      <c r="F12" s="34"/>
      <c r="G12" s="35" t="s">
        <v>55</v>
      </c>
      <c r="H12" s="31"/>
      <c r="I12" s="21"/>
    </row>
    <row r="13" spans="1:9" x14ac:dyDescent="0.25">
      <c r="A13" s="276"/>
      <c r="B13" s="278"/>
      <c r="C13" s="32" t="s">
        <v>15</v>
      </c>
      <c r="D13" s="90" t="s">
        <v>57</v>
      </c>
      <c r="E13" s="28">
        <f>E12+1</f>
        <v>10</v>
      </c>
      <c r="F13" s="34"/>
      <c r="G13" s="35" t="s">
        <v>55</v>
      </c>
      <c r="H13" s="31"/>
      <c r="I13" s="21"/>
    </row>
    <row r="14" spans="1:9" x14ac:dyDescent="0.25">
      <c r="A14" s="243">
        <v>860.76</v>
      </c>
      <c r="B14" s="277">
        <f>A14-860.76</f>
        <v>0</v>
      </c>
      <c r="C14" s="32" t="s">
        <v>16</v>
      </c>
      <c r="D14" s="89" t="s">
        <v>60</v>
      </c>
      <c r="E14" s="28">
        <f>IF(E13="","",MOD(E13+1,52))</f>
        <v>11</v>
      </c>
      <c r="F14" s="34"/>
      <c r="G14" s="35" t="s">
        <v>55</v>
      </c>
      <c r="H14" s="31" t="s">
        <v>202</v>
      </c>
      <c r="I14" s="21"/>
    </row>
    <row r="15" spans="1:9" x14ac:dyDescent="0.25">
      <c r="A15" s="276"/>
      <c r="B15" s="278"/>
      <c r="C15" s="32" t="s">
        <v>100</v>
      </c>
      <c r="D15" s="90" t="str">
        <f>D10</f>
        <v>TEMA</v>
      </c>
      <c r="E15" s="28">
        <v>11</v>
      </c>
      <c r="F15" s="34"/>
      <c r="G15" s="35" t="s">
        <v>55</v>
      </c>
      <c r="H15" s="31"/>
      <c r="I15" s="21"/>
    </row>
    <row r="16" spans="1:9" x14ac:dyDescent="0.25">
      <c r="A16" s="355">
        <v>829.45</v>
      </c>
      <c r="B16" s="277">
        <f>A16-829.45</f>
        <v>0</v>
      </c>
      <c r="C16" s="32" t="s">
        <v>85</v>
      </c>
      <c r="D16" s="89" t="s">
        <v>62</v>
      </c>
      <c r="E16" s="28">
        <v>13</v>
      </c>
      <c r="F16" s="34"/>
      <c r="G16" s="35" t="s">
        <v>55</v>
      </c>
      <c r="H16" s="31"/>
      <c r="I16" s="21"/>
    </row>
    <row r="17" spans="1:9" x14ac:dyDescent="0.25">
      <c r="A17" s="355">
        <v>535.55999999999995</v>
      </c>
      <c r="B17" s="277">
        <f>A17-535.56</f>
        <v>0</v>
      </c>
      <c r="C17" s="32" t="s">
        <v>86</v>
      </c>
      <c r="D17" s="91" t="s">
        <v>62</v>
      </c>
      <c r="E17" s="28">
        <f>E16</f>
        <v>13</v>
      </c>
      <c r="F17" s="34"/>
      <c r="G17" s="35" t="s">
        <v>55</v>
      </c>
      <c r="H17" s="86"/>
      <c r="I17" s="21"/>
    </row>
    <row r="18" spans="1:9" x14ac:dyDescent="0.25">
      <c r="A18" s="261"/>
      <c r="B18" s="278"/>
      <c r="C18" s="157" t="s">
        <v>17</v>
      </c>
      <c r="D18" s="164" t="s">
        <v>94</v>
      </c>
      <c r="E18" s="159">
        <f>E16</f>
        <v>13</v>
      </c>
      <c r="F18" s="160"/>
      <c r="G18" s="161"/>
      <c r="H18" s="162"/>
      <c r="I18" s="21"/>
    </row>
    <row r="19" spans="1:9" x14ac:dyDescent="0.25">
      <c r="A19" s="243">
        <v>188.27</v>
      </c>
      <c r="B19" s="277">
        <f>A19-188.27</f>
        <v>0</v>
      </c>
      <c r="C19" s="423" t="s">
        <v>18</v>
      </c>
      <c r="D19" s="424" t="s">
        <v>65</v>
      </c>
      <c r="E19" s="33">
        <v>30</v>
      </c>
      <c r="F19" s="425" t="s">
        <v>256</v>
      </c>
      <c r="G19" s="426" t="s">
        <v>55</v>
      </c>
      <c r="H19" s="128"/>
      <c r="I19" s="21"/>
    </row>
    <row r="20" spans="1:9" x14ac:dyDescent="0.25">
      <c r="A20" s="276"/>
      <c r="B20" s="278"/>
      <c r="C20" s="32" t="s">
        <v>19</v>
      </c>
      <c r="D20" s="90" t="str">
        <f>D13</f>
        <v>TEMA</v>
      </c>
      <c r="E20" s="28">
        <f>IF(E16="","",MOD(E16+2,52))</f>
        <v>15</v>
      </c>
      <c r="F20" s="34"/>
      <c r="G20" s="35" t="s">
        <v>55</v>
      </c>
      <c r="H20" s="31"/>
      <c r="I20" s="21"/>
    </row>
    <row r="21" spans="1:9" x14ac:dyDescent="0.25">
      <c r="A21" s="243"/>
      <c r="B21" s="277">
        <f>A21</f>
        <v>0</v>
      </c>
      <c r="C21" s="456" t="s">
        <v>20</v>
      </c>
      <c r="D21" s="447" t="s">
        <v>81</v>
      </c>
      <c r="E21" s="448">
        <v>26</v>
      </c>
      <c r="F21" s="425"/>
      <c r="G21" s="458" t="s">
        <v>55</v>
      </c>
      <c r="H21" s="31"/>
      <c r="I21" s="21"/>
    </row>
    <row r="22" spans="1:9" x14ac:dyDescent="0.25">
      <c r="A22" s="263"/>
      <c r="B22" s="279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65"/>
      <c r="B23" s="280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61"/>
      <c r="B24" s="278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43">
        <v>870.83</v>
      </c>
      <c r="B25" s="277">
        <f>A25-870.83</f>
        <v>0</v>
      </c>
      <c r="C25" s="141" t="s">
        <v>92</v>
      </c>
      <c r="D25" s="89" t="s">
        <v>129</v>
      </c>
      <c r="E25" s="142">
        <v>21</v>
      </c>
      <c r="F25" s="29"/>
      <c r="G25" s="30" t="s">
        <v>55</v>
      </c>
      <c r="H25" s="31"/>
      <c r="I25" s="21"/>
    </row>
    <row r="26" spans="1:9" x14ac:dyDescent="0.25">
      <c r="A26" s="243">
        <v>1898.99</v>
      </c>
      <c r="B26" s="277">
        <f>A26-1898.99</f>
        <v>0</v>
      </c>
      <c r="C26" s="32" t="s">
        <v>93</v>
      </c>
      <c r="D26" s="90" t="s">
        <v>68</v>
      </c>
      <c r="E26" s="28">
        <v>30</v>
      </c>
      <c r="F26" s="457" t="s">
        <v>257</v>
      </c>
      <c r="G26" s="35" t="s">
        <v>55</v>
      </c>
      <c r="H26" s="31"/>
      <c r="I26" s="21"/>
    </row>
    <row r="27" spans="1:9" x14ac:dyDescent="0.25">
      <c r="A27" s="261"/>
      <c r="B27" s="261"/>
      <c r="C27" s="102" t="s">
        <v>22</v>
      </c>
      <c r="D27" s="89" t="str">
        <f>D25</f>
        <v>ELECTRO HECKER</v>
      </c>
      <c r="E27" s="28">
        <v>31</v>
      </c>
      <c r="F27" s="34"/>
      <c r="G27" s="35" t="s">
        <v>55</v>
      </c>
      <c r="H27" s="31"/>
      <c r="I27" s="21"/>
    </row>
    <row r="28" spans="1:9" x14ac:dyDescent="0.25">
      <c r="A28" s="243">
        <v>750</v>
      </c>
      <c r="B28" s="277">
        <f>A28</f>
        <v>750</v>
      </c>
      <c r="C28" s="143" t="s">
        <v>23</v>
      </c>
      <c r="D28" s="90" t="s">
        <v>75</v>
      </c>
      <c r="E28" s="28">
        <v>32</v>
      </c>
      <c r="F28" s="34"/>
      <c r="G28" s="35" t="s">
        <v>55</v>
      </c>
      <c r="H28" s="31"/>
      <c r="I28" s="21"/>
    </row>
    <row r="29" spans="1:9" x14ac:dyDescent="0.25">
      <c r="A29" s="243">
        <v>0</v>
      </c>
      <c r="B29" s="277">
        <f>A29</f>
        <v>0</v>
      </c>
      <c r="C29" s="102" t="s">
        <v>24</v>
      </c>
      <c r="D29" s="89" t="s">
        <v>75</v>
      </c>
      <c r="E29" s="28">
        <v>32</v>
      </c>
      <c r="F29" s="34"/>
      <c r="G29" s="35" t="s">
        <v>55</v>
      </c>
      <c r="H29" s="31"/>
      <c r="I29" s="21"/>
    </row>
    <row r="30" spans="1:9" x14ac:dyDescent="0.25">
      <c r="A30" s="243">
        <v>1125.44</v>
      </c>
      <c r="B30" s="277">
        <f>A30</f>
        <v>1125.44</v>
      </c>
      <c r="C30" s="32" t="s">
        <v>25</v>
      </c>
      <c r="D30" s="90" t="s">
        <v>75</v>
      </c>
      <c r="E30" s="28">
        <v>32</v>
      </c>
      <c r="F30" s="34" t="s">
        <v>258</v>
      </c>
      <c r="G30" s="35" t="s">
        <v>55</v>
      </c>
      <c r="H30" s="31" t="s">
        <v>165</v>
      </c>
      <c r="I30" s="21"/>
    </row>
    <row r="31" spans="1:9" x14ac:dyDescent="0.25">
      <c r="A31" s="261"/>
      <c r="B31" s="278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43">
        <v>0</v>
      </c>
      <c r="B32" s="277">
        <f>A32</f>
        <v>0</v>
      </c>
      <c r="C32" s="32" t="s">
        <v>27</v>
      </c>
      <c r="D32" s="165" t="s">
        <v>78</v>
      </c>
      <c r="E32" s="28">
        <f>IF(E30="","",MOD(E30+1,52))</f>
        <v>33</v>
      </c>
      <c r="F32" s="34" t="s">
        <v>259</v>
      </c>
      <c r="G32" s="35" t="s">
        <v>55</v>
      </c>
      <c r="H32" s="31"/>
      <c r="I32" s="21"/>
    </row>
    <row r="33" spans="1:15" x14ac:dyDescent="0.25">
      <c r="A33" s="261"/>
      <c r="B33" s="278"/>
      <c r="C33" s="32" t="s">
        <v>28</v>
      </c>
      <c r="D33" s="89" t="str">
        <f>D26</f>
        <v>SOARES</v>
      </c>
      <c r="E33" s="28">
        <f>IF(E32="","",MOD(E32+1,52))</f>
        <v>34</v>
      </c>
      <c r="F33" s="34" t="s">
        <v>261</v>
      </c>
      <c r="G33" s="35"/>
      <c r="H33" s="31"/>
      <c r="I33" s="21"/>
    </row>
    <row r="34" spans="1:15" x14ac:dyDescent="0.25">
      <c r="A34" s="261"/>
      <c r="B34" s="278"/>
      <c r="C34" s="32" t="s">
        <v>29</v>
      </c>
      <c r="D34" s="90" t="str">
        <f>D25</f>
        <v>ELECTRO HECKER</v>
      </c>
      <c r="E34" s="28">
        <v>34</v>
      </c>
      <c r="F34" s="34" t="s">
        <v>262</v>
      </c>
      <c r="G34" s="35" t="s">
        <v>11</v>
      </c>
      <c r="H34" s="31" t="s">
        <v>263</v>
      </c>
      <c r="I34" s="21"/>
    </row>
    <row r="35" spans="1:15" x14ac:dyDescent="0.25">
      <c r="A35" s="261"/>
      <c r="B35" s="278"/>
      <c r="C35" s="32" t="s">
        <v>30</v>
      </c>
      <c r="D35" s="89" t="str">
        <f>D28</f>
        <v>EKOTHERM</v>
      </c>
      <c r="E35" s="28">
        <v>34</v>
      </c>
      <c r="F35" s="34"/>
      <c r="G35" s="35"/>
      <c r="H35" s="31" t="s">
        <v>260</v>
      </c>
      <c r="I35" s="21"/>
    </row>
    <row r="36" spans="1:15" x14ac:dyDescent="0.25">
      <c r="A36" s="261"/>
      <c r="B36" s="278"/>
      <c r="C36" s="32" t="s">
        <v>31</v>
      </c>
      <c r="D36" s="90" t="s">
        <v>90</v>
      </c>
      <c r="E36" s="28">
        <f>E32+4</f>
        <v>37</v>
      </c>
      <c r="F36" s="34"/>
      <c r="G36" s="35" t="s">
        <v>96</v>
      </c>
      <c r="H36" s="31"/>
      <c r="I36" s="21"/>
    </row>
    <row r="37" spans="1:15" x14ac:dyDescent="0.25">
      <c r="A37" s="261"/>
      <c r="B37" s="278"/>
      <c r="C37" s="32" t="s">
        <v>32</v>
      </c>
      <c r="D37" s="89" t="s">
        <v>90</v>
      </c>
      <c r="E37" s="28">
        <f>E35+1</f>
        <v>35</v>
      </c>
      <c r="F37" s="34"/>
      <c r="G37" s="35" t="s">
        <v>96</v>
      </c>
      <c r="H37" s="31"/>
      <c r="I37" s="21"/>
    </row>
    <row r="38" spans="1:15" x14ac:dyDescent="0.25">
      <c r="A38" s="261"/>
      <c r="B38" s="278"/>
      <c r="C38" s="32" t="s">
        <v>33</v>
      </c>
      <c r="D38" s="90" t="s">
        <v>75</v>
      </c>
      <c r="E38" s="28">
        <f>IF(E37="","",MOD(E37+1,52))</f>
        <v>36</v>
      </c>
      <c r="F38" s="34"/>
      <c r="G38" s="35"/>
      <c r="H38" s="31"/>
      <c r="I38" s="21"/>
    </row>
    <row r="39" spans="1:15" x14ac:dyDescent="0.25">
      <c r="A39" s="243">
        <v>0</v>
      </c>
      <c r="B39" s="277">
        <f>A39</f>
        <v>0</v>
      </c>
      <c r="C39" s="144" t="s">
        <v>34</v>
      </c>
      <c r="D39" s="89" t="s">
        <v>79</v>
      </c>
      <c r="E39" s="145">
        <f>IF(E38="","",MOD(E38+1,52))</f>
        <v>37</v>
      </c>
      <c r="F39" s="146"/>
      <c r="G39" s="133"/>
      <c r="H39" s="31"/>
      <c r="I39" s="21"/>
    </row>
    <row r="40" spans="1:15" x14ac:dyDescent="0.25">
      <c r="A40" s="263"/>
      <c r="B40" s="279"/>
      <c r="C40" s="134"/>
      <c r="D40" s="147"/>
      <c r="E40" s="134"/>
      <c r="F40" s="134"/>
      <c r="G40" s="134"/>
      <c r="H40" s="134"/>
      <c r="I40" s="21"/>
    </row>
    <row r="41" spans="1:15" x14ac:dyDescent="0.25">
      <c r="A41" s="265"/>
      <c r="B41" s="280"/>
      <c r="C41" s="148"/>
      <c r="D41" s="148"/>
      <c r="E41" s="148"/>
      <c r="F41" s="148"/>
      <c r="G41" s="148"/>
      <c r="H41" s="134"/>
      <c r="I41" s="21"/>
    </row>
    <row r="42" spans="1:15" ht="15.75" thickBot="1" x14ac:dyDescent="0.3">
      <c r="A42" s="261"/>
      <c r="B42" s="281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15" x14ac:dyDescent="0.25">
      <c r="A43" s="243">
        <v>0</v>
      </c>
      <c r="B43" s="277">
        <f>A43</f>
        <v>0</v>
      </c>
      <c r="C43" s="153" t="s">
        <v>35</v>
      </c>
      <c r="D43" s="89" t="s">
        <v>82</v>
      </c>
      <c r="E43" s="154">
        <v>34</v>
      </c>
      <c r="F43" s="29"/>
      <c r="G43" s="30"/>
      <c r="H43" s="31"/>
      <c r="I43" s="21"/>
    </row>
    <row r="44" spans="1:15" x14ac:dyDescent="0.25">
      <c r="A44" s="201"/>
      <c r="B44" s="216"/>
      <c r="C44" s="167" t="s">
        <v>95</v>
      </c>
      <c r="D44" s="168" t="s">
        <v>90</v>
      </c>
      <c r="E44" s="169">
        <f>E43+1</f>
        <v>35</v>
      </c>
      <c r="F44" s="170"/>
      <c r="G44" s="171" t="s">
        <v>96</v>
      </c>
      <c r="H44" s="31"/>
      <c r="I44" s="21"/>
    </row>
    <row r="45" spans="1:15" x14ac:dyDescent="0.25">
      <c r="A45" s="201"/>
      <c r="B45" s="216"/>
      <c r="C45" s="157" t="s">
        <v>87</v>
      </c>
      <c r="D45" s="164" t="s">
        <v>94</v>
      </c>
      <c r="E45" s="166">
        <f>E43+1</f>
        <v>35</v>
      </c>
      <c r="F45" s="160"/>
      <c r="G45" s="161" t="s">
        <v>11</v>
      </c>
      <c r="H45" s="162"/>
      <c r="I45" s="21"/>
    </row>
    <row r="46" spans="1:15" x14ac:dyDescent="0.25">
      <c r="A46" s="201"/>
      <c r="B46" s="216"/>
      <c r="C46" s="156" t="s">
        <v>36</v>
      </c>
      <c r="D46" s="89" t="s">
        <v>90</v>
      </c>
      <c r="E46" s="155">
        <f>E43+3</f>
        <v>37</v>
      </c>
      <c r="F46" s="34"/>
      <c r="G46" s="133" t="s">
        <v>96</v>
      </c>
      <c r="H46" s="31"/>
      <c r="I46" s="21"/>
    </row>
    <row r="47" spans="1:15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15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  <c r="O48" s="274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42739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273" t="s">
        <v>168</v>
      </c>
      <c r="E51" s="76"/>
      <c r="F51" s="2" t="s">
        <v>55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1369" priority="72">
      <formula>$F22="réalisé"</formula>
    </cfRule>
  </conditionalFormatting>
  <conditionalFormatting sqref="C43:C46 E43:H46 C8:H21 E25:H39">
    <cfRule type="expression" dxfId="1368" priority="69">
      <formula>$G8="réalisé"</formula>
    </cfRule>
    <cfRule type="expression" dxfId="1367" priority="70">
      <formula>$G8="en cours"</formula>
    </cfRule>
    <cfRule type="expression" dxfId="1366" priority="71">
      <formula>$G8="non compris"</formula>
    </cfRule>
  </conditionalFormatting>
  <conditionalFormatting sqref="C22:G22 C40:G40">
    <cfRule type="expression" dxfId="1365" priority="68">
      <formula>$F22="non cpris"</formula>
    </cfRule>
  </conditionalFormatting>
  <conditionalFormatting sqref="C22:G22">
    <cfRule type="expression" dxfId="1364" priority="67">
      <formula>$F22="en cours"</formula>
    </cfRule>
  </conditionalFormatting>
  <conditionalFormatting sqref="C25:C39">
    <cfRule type="expression" dxfId="1363" priority="64">
      <formula>$G25="réalisé"</formula>
    </cfRule>
    <cfRule type="expression" dxfId="1362" priority="65">
      <formula>$G25="en cours"</formula>
    </cfRule>
    <cfRule type="expression" dxfId="1361" priority="66">
      <formula>$G25="non compris"</formula>
    </cfRule>
  </conditionalFormatting>
  <conditionalFormatting sqref="C50:F53">
    <cfRule type="expression" dxfId="1360" priority="63">
      <formula>$F50="réalisé"</formula>
    </cfRule>
  </conditionalFormatting>
  <conditionalFormatting sqref="G9">
    <cfRule type="expression" dxfId="1359" priority="62">
      <formula>$G$10="réalisé"</formula>
    </cfRule>
  </conditionalFormatting>
  <conditionalFormatting sqref="G10">
    <cfRule type="expression" dxfId="1358" priority="61">
      <formula>$G$11="réalisé"</formula>
    </cfRule>
  </conditionalFormatting>
  <conditionalFormatting sqref="G16:G17">
    <cfRule type="expression" dxfId="1357" priority="60">
      <formula>$G$18="réalisé"</formula>
    </cfRule>
  </conditionalFormatting>
  <conditionalFormatting sqref="G26">
    <cfRule type="expression" dxfId="1356" priority="59">
      <formula>$G$27="réalisé"</formula>
    </cfRule>
  </conditionalFormatting>
  <conditionalFormatting sqref="D25">
    <cfRule type="expression" dxfId="1355" priority="56">
      <formula>$G25="réalisé"</formula>
    </cfRule>
    <cfRule type="expression" dxfId="1354" priority="57">
      <formula>$G25="en cours"</formula>
    </cfRule>
    <cfRule type="expression" dxfId="1353" priority="58">
      <formula>$G25="non compris"</formula>
    </cfRule>
  </conditionalFormatting>
  <conditionalFormatting sqref="D27">
    <cfRule type="expression" dxfId="1352" priority="53">
      <formula>$G27="réalisé"</formula>
    </cfRule>
    <cfRule type="expression" dxfId="1351" priority="54">
      <formula>$G27="en cours"</formula>
    </cfRule>
    <cfRule type="expression" dxfId="1350" priority="55">
      <formula>$G27="non compris"</formula>
    </cfRule>
  </conditionalFormatting>
  <conditionalFormatting sqref="D29">
    <cfRule type="expression" dxfId="1349" priority="50">
      <formula>$G29="réalisé"</formula>
    </cfRule>
    <cfRule type="expression" dxfId="1348" priority="51">
      <formula>$G29="en cours"</formula>
    </cfRule>
    <cfRule type="expression" dxfId="1347" priority="52">
      <formula>$G29="non compris"</formula>
    </cfRule>
  </conditionalFormatting>
  <conditionalFormatting sqref="D31">
    <cfRule type="expression" dxfId="1346" priority="47">
      <formula>$G31="réalisé"</formula>
    </cfRule>
    <cfRule type="expression" dxfId="1345" priority="48">
      <formula>$G31="en cours"</formula>
    </cfRule>
    <cfRule type="expression" dxfId="1344" priority="49">
      <formula>$G31="non compris"</formula>
    </cfRule>
  </conditionalFormatting>
  <conditionalFormatting sqref="D33">
    <cfRule type="expression" dxfId="1343" priority="44">
      <formula>$G33="réalisé"</formula>
    </cfRule>
    <cfRule type="expression" dxfId="1342" priority="45">
      <formula>$G33="en cours"</formula>
    </cfRule>
    <cfRule type="expression" dxfId="1341" priority="46">
      <formula>$G33="non compris"</formula>
    </cfRule>
  </conditionalFormatting>
  <conditionalFormatting sqref="D35">
    <cfRule type="expression" dxfId="1340" priority="41">
      <formula>$G35="réalisé"</formula>
    </cfRule>
    <cfRule type="expression" dxfId="1339" priority="42">
      <formula>$G35="en cours"</formula>
    </cfRule>
    <cfRule type="expression" dxfId="1338" priority="43">
      <formula>$G35="non compris"</formula>
    </cfRule>
  </conditionalFormatting>
  <conditionalFormatting sqref="D37">
    <cfRule type="expression" dxfId="1337" priority="38">
      <formula>$G37="réalisé"</formula>
    </cfRule>
    <cfRule type="expression" dxfId="1336" priority="39">
      <formula>$G37="en cours"</formula>
    </cfRule>
    <cfRule type="expression" dxfId="1335" priority="40">
      <formula>$G37="non compris"</formula>
    </cfRule>
  </conditionalFormatting>
  <conditionalFormatting sqref="D39">
    <cfRule type="expression" dxfId="1334" priority="35">
      <formula>$G39="réalisé"</formula>
    </cfRule>
    <cfRule type="expression" dxfId="1333" priority="36">
      <formula>$G39="en cours"</formula>
    </cfRule>
    <cfRule type="expression" dxfId="1332" priority="37">
      <formula>$G39="non compris"</formula>
    </cfRule>
  </conditionalFormatting>
  <conditionalFormatting sqref="D26">
    <cfRule type="expression" dxfId="1331" priority="32">
      <formula>$G26="réalisé"</formula>
    </cfRule>
    <cfRule type="expression" dxfId="1330" priority="33">
      <formula>$G26="en cours"</formula>
    </cfRule>
    <cfRule type="expression" dxfId="1329" priority="34">
      <formula>$G26="non compris"</formula>
    </cfRule>
  </conditionalFormatting>
  <conditionalFormatting sqref="D28">
    <cfRule type="expression" dxfId="1328" priority="29">
      <formula>$G28="réalisé"</formula>
    </cfRule>
    <cfRule type="expression" dxfId="1327" priority="30">
      <formula>$G28="en cours"</formula>
    </cfRule>
    <cfRule type="expression" dxfId="1326" priority="31">
      <formula>$G28="non compris"</formula>
    </cfRule>
  </conditionalFormatting>
  <conditionalFormatting sqref="D30">
    <cfRule type="expression" dxfId="1325" priority="26">
      <formula>$G30="réalisé"</formula>
    </cfRule>
    <cfRule type="expression" dxfId="1324" priority="27">
      <formula>$G30="en cours"</formula>
    </cfRule>
    <cfRule type="expression" dxfId="1323" priority="28">
      <formula>$G30="non compris"</formula>
    </cfRule>
  </conditionalFormatting>
  <conditionalFormatting sqref="D32">
    <cfRule type="expression" dxfId="1322" priority="23">
      <formula>$G32="réalisé"</formula>
    </cfRule>
    <cfRule type="expression" dxfId="1321" priority="24">
      <formula>$G32="en cours"</formula>
    </cfRule>
    <cfRule type="expression" dxfId="1320" priority="25">
      <formula>$G32="non compris"</formula>
    </cfRule>
  </conditionalFormatting>
  <conditionalFormatting sqref="D34">
    <cfRule type="expression" dxfId="1319" priority="20">
      <formula>$G34="réalisé"</formula>
    </cfRule>
    <cfRule type="expression" dxfId="1318" priority="21">
      <formula>$G34="en cours"</formula>
    </cfRule>
    <cfRule type="expression" dxfId="1317" priority="22">
      <formula>$G34="non compris"</formula>
    </cfRule>
  </conditionalFormatting>
  <conditionalFormatting sqref="D36">
    <cfRule type="expression" dxfId="1316" priority="17">
      <formula>$G36="réalisé"</formula>
    </cfRule>
    <cfRule type="expression" dxfId="1315" priority="18">
      <formula>$G36="en cours"</formula>
    </cfRule>
    <cfRule type="expression" dxfId="1314" priority="19">
      <formula>$G36="non compris"</formula>
    </cfRule>
  </conditionalFormatting>
  <conditionalFormatting sqref="D38">
    <cfRule type="expression" dxfId="1313" priority="14">
      <formula>$G38="réalisé"</formula>
    </cfRule>
    <cfRule type="expression" dxfId="1312" priority="15">
      <formula>$G38="en cours"</formula>
    </cfRule>
    <cfRule type="expression" dxfId="1311" priority="16">
      <formula>$G38="non compris"</formula>
    </cfRule>
  </conditionalFormatting>
  <conditionalFormatting sqref="D45">
    <cfRule type="expression" dxfId="1310" priority="11">
      <formula>$G45="réalisé"</formula>
    </cfRule>
    <cfRule type="expression" dxfId="1309" priority="12">
      <formula>$G45="en cours"</formula>
    </cfRule>
    <cfRule type="expression" dxfId="1308" priority="13">
      <formula>$G45="non compris"</formula>
    </cfRule>
  </conditionalFormatting>
  <conditionalFormatting sqref="D44">
    <cfRule type="expression" dxfId="1307" priority="8">
      <formula>$G44="réalisé"</formula>
    </cfRule>
    <cfRule type="expression" dxfId="1306" priority="9">
      <formula>$G44="en cours"</formula>
    </cfRule>
    <cfRule type="expression" dxfId="1305" priority="10">
      <formula>$G44="non compris"</formula>
    </cfRule>
  </conditionalFormatting>
  <conditionalFormatting sqref="D43">
    <cfRule type="expression" dxfId="1304" priority="5">
      <formula>$G43="réalisé"</formula>
    </cfRule>
    <cfRule type="expression" dxfId="1303" priority="6">
      <formula>$G43="en cours"</formula>
    </cfRule>
    <cfRule type="expression" dxfId="1302" priority="7">
      <formula>$G43="non compris"</formula>
    </cfRule>
  </conditionalFormatting>
  <conditionalFormatting sqref="D46">
    <cfRule type="expression" dxfId="1301" priority="2">
      <formula>$G46="réalisé"</formula>
    </cfRule>
    <cfRule type="expression" dxfId="1300" priority="3">
      <formula>$G46="en cours"</formula>
    </cfRule>
    <cfRule type="expression" dxfId="1299" priority="4">
      <formula>$G46="non compris"</formula>
    </cfRule>
  </conditionalFormatting>
  <conditionalFormatting sqref="D8:D21">
    <cfRule type="expression" dxfId="1298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I68"/>
  <sheetViews>
    <sheetView topLeftCell="A4" zoomScaleNormal="100" workbookViewId="0">
      <selection activeCell="H2" sqref="H2:I3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LICKEL</v>
      </c>
      <c r="D2" s="5" t="s">
        <v>98</v>
      </c>
      <c r="E2" s="522">
        <v>42772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195</v>
      </c>
      <c r="D3" s="8" t="s">
        <v>3</v>
      </c>
      <c r="E3" s="525">
        <v>42851</v>
      </c>
      <c r="F3" s="526"/>
      <c r="G3" s="9"/>
      <c r="H3" s="527" t="str">
        <f ca="1">DATEDIF(E3,TODAY(),"m")&amp;"mois"&amp;-DATEDIF(E3,TODAY(),"md")&amp;"jours"</f>
        <v>3mois-28jours</v>
      </c>
      <c r="I3" s="528"/>
    </row>
    <row r="4" spans="1:9" ht="18.75" x14ac:dyDescent="0.25">
      <c r="A4" s="127"/>
      <c r="B4" s="215"/>
      <c r="C4" s="11"/>
      <c r="D4" s="12" t="s">
        <v>4</v>
      </c>
      <c r="E4" s="529">
        <f>E3+60</f>
        <v>42911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16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165" t="str">
        <f>D10</f>
        <v>DEBÈS CONSTRUCTION</v>
      </c>
      <c r="E9" s="33">
        <v>16</v>
      </c>
      <c r="F9" s="34"/>
      <c r="G9" s="35" t="s">
        <v>55</v>
      </c>
      <c r="H9" s="31" t="s">
        <v>204</v>
      </c>
      <c r="I9" s="21"/>
    </row>
    <row r="10" spans="1:9" ht="15" customHeight="1" x14ac:dyDescent="0.25">
      <c r="A10" s="304">
        <v>12870.17</v>
      </c>
      <c r="B10" s="294">
        <f>12870.17-12870.17</f>
        <v>0</v>
      </c>
      <c r="C10" s="32" t="s">
        <v>13</v>
      </c>
      <c r="D10" s="89" t="s">
        <v>197</v>
      </c>
      <c r="E10" s="28">
        <v>16</v>
      </c>
      <c r="F10" s="36"/>
      <c r="G10" s="35" t="s">
        <v>55</v>
      </c>
      <c r="H10" s="31"/>
      <c r="I10" s="21"/>
    </row>
    <row r="11" spans="1:9" x14ac:dyDescent="0.25">
      <c r="A11" s="240"/>
      <c r="B11" s="241"/>
      <c r="C11" s="32" t="s">
        <v>88</v>
      </c>
      <c r="D11" s="90" t="s">
        <v>90</v>
      </c>
      <c r="E11" s="28">
        <f>E10+4</f>
        <v>20</v>
      </c>
      <c r="F11" s="34"/>
      <c r="G11" s="35" t="s">
        <v>96</v>
      </c>
      <c r="H11" s="31"/>
      <c r="I11" s="21"/>
    </row>
    <row r="12" spans="1:9" x14ac:dyDescent="0.25">
      <c r="A12" s="240"/>
      <c r="B12" s="241"/>
      <c r="C12" s="32" t="s">
        <v>14</v>
      </c>
      <c r="D12" s="89" t="s">
        <v>90</v>
      </c>
      <c r="E12" s="28">
        <f>E11</f>
        <v>20</v>
      </c>
      <c r="F12" s="34"/>
      <c r="G12" s="35" t="s">
        <v>96</v>
      </c>
      <c r="H12" s="31"/>
      <c r="I12" s="21"/>
    </row>
    <row r="13" spans="1:9" x14ac:dyDescent="0.25">
      <c r="A13" s="240"/>
      <c r="B13" s="241"/>
      <c r="C13" s="32" t="s">
        <v>15</v>
      </c>
      <c r="D13" s="90" t="s">
        <v>198</v>
      </c>
      <c r="E13" s="28">
        <v>25</v>
      </c>
      <c r="F13" s="34"/>
      <c r="G13" s="35" t="s">
        <v>55</v>
      </c>
      <c r="H13" s="31"/>
      <c r="I13" s="21"/>
    </row>
    <row r="14" spans="1:9" x14ac:dyDescent="0.25">
      <c r="A14" s="304">
        <v>1156.6199999999999</v>
      </c>
      <c r="B14" s="294">
        <f>1156.62-1156.62</f>
        <v>0</v>
      </c>
      <c r="C14" s="32" t="s">
        <v>16</v>
      </c>
      <c r="D14" s="89" t="s">
        <v>61</v>
      </c>
      <c r="E14" s="28">
        <f>IF(E13="","",MOD(E13+1,52))</f>
        <v>26</v>
      </c>
      <c r="F14" s="34"/>
      <c r="G14" s="35" t="s">
        <v>55</v>
      </c>
      <c r="H14" s="31"/>
      <c r="I14" s="21"/>
    </row>
    <row r="15" spans="1:9" x14ac:dyDescent="0.25">
      <c r="A15" s="240"/>
      <c r="B15" s="241"/>
      <c r="C15" s="32" t="s">
        <v>100</v>
      </c>
      <c r="D15" s="165" t="str">
        <f>D10</f>
        <v>DEBÈS CONSTRUCTION</v>
      </c>
      <c r="E15" s="28">
        <v>26</v>
      </c>
      <c r="F15" s="34"/>
      <c r="G15" s="35" t="s">
        <v>55</v>
      </c>
      <c r="H15" s="31"/>
      <c r="I15" s="21"/>
    </row>
    <row r="16" spans="1:9" x14ac:dyDescent="0.25">
      <c r="A16" s="349">
        <v>1427.33</v>
      </c>
      <c r="B16" s="294">
        <f>1427.33-1427.33</f>
        <v>0</v>
      </c>
      <c r="C16" s="32" t="s">
        <v>85</v>
      </c>
      <c r="D16" s="89" t="s">
        <v>61</v>
      </c>
      <c r="E16" s="28">
        <f>IF(E15="","",MOD(E15+1,52))</f>
        <v>27</v>
      </c>
      <c r="F16" s="34"/>
      <c r="G16" s="35" t="s">
        <v>55</v>
      </c>
      <c r="H16" s="31"/>
      <c r="I16" s="21"/>
    </row>
    <row r="17" spans="1:9" x14ac:dyDescent="0.25">
      <c r="A17" s="349">
        <v>435.94</v>
      </c>
      <c r="B17" s="294">
        <f>435.94-435.94</f>
        <v>0</v>
      </c>
      <c r="C17" s="32" t="s">
        <v>86</v>
      </c>
      <c r="D17" s="91" t="s">
        <v>64</v>
      </c>
      <c r="E17" s="28">
        <f>E16</f>
        <v>27</v>
      </c>
      <c r="F17" s="34"/>
      <c r="G17" s="35" t="s">
        <v>55</v>
      </c>
      <c r="H17" s="86"/>
      <c r="I17" s="21"/>
    </row>
    <row r="18" spans="1:9" x14ac:dyDescent="0.25">
      <c r="A18" s="240"/>
      <c r="B18" s="241"/>
      <c r="C18" s="157" t="s">
        <v>17</v>
      </c>
      <c r="D18" s="164" t="s">
        <v>94</v>
      </c>
      <c r="E18" s="159">
        <f>E16</f>
        <v>27</v>
      </c>
      <c r="F18" s="160"/>
      <c r="G18" s="161"/>
      <c r="H18" s="162"/>
      <c r="I18" s="21"/>
    </row>
    <row r="19" spans="1:9" x14ac:dyDescent="0.25">
      <c r="A19" s="294"/>
      <c r="B19" s="294"/>
      <c r="C19" s="37" t="s">
        <v>18</v>
      </c>
      <c r="D19" s="89" t="s">
        <v>67</v>
      </c>
      <c r="E19" s="28">
        <f>IF(E16="","",MOD(E16+2,52))</f>
        <v>29</v>
      </c>
      <c r="F19" s="34"/>
      <c r="G19" s="35" t="s">
        <v>96</v>
      </c>
      <c r="H19" s="31"/>
      <c r="I19" s="21"/>
    </row>
    <row r="20" spans="1:9" x14ac:dyDescent="0.25">
      <c r="A20" s="240"/>
      <c r="B20" s="294"/>
      <c r="C20" s="32" t="s">
        <v>19</v>
      </c>
      <c r="D20" s="90" t="str">
        <f>D13</f>
        <v>BARTOLO</v>
      </c>
      <c r="E20" s="28">
        <f>IF(E16="","",MOD(E16+2,52))</f>
        <v>29</v>
      </c>
      <c r="F20" s="34"/>
      <c r="G20" s="35" t="s">
        <v>55</v>
      </c>
      <c r="H20" s="31"/>
      <c r="I20" s="21"/>
    </row>
    <row r="21" spans="1:9" x14ac:dyDescent="0.25">
      <c r="A21" s="294"/>
      <c r="B21" s="294"/>
      <c r="C21" s="132" t="s">
        <v>20</v>
      </c>
      <c r="D21" s="90" t="s">
        <v>90</v>
      </c>
      <c r="E21" s="28">
        <f>E19</f>
        <v>29</v>
      </c>
      <c r="F21" s="34"/>
      <c r="G21" s="133" t="s">
        <v>96</v>
      </c>
      <c r="H21" s="31"/>
      <c r="I21" s="21"/>
    </row>
    <row r="22" spans="1:9" x14ac:dyDescent="0.25">
      <c r="A22" s="295"/>
      <c r="B22" s="305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306"/>
      <c r="B23" s="307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40"/>
      <c r="B24" s="241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94"/>
      <c r="B25" s="294"/>
      <c r="C25" s="141" t="s">
        <v>92</v>
      </c>
      <c r="D25" s="89" t="s">
        <v>90</v>
      </c>
      <c r="E25" s="142">
        <f>IF(E19="","",MOD(E19+1,52))</f>
        <v>30</v>
      </c>
      <c r="F25" s="29"/>
      <c r="G25" s="30" t="s">
        <v>96</v>
      </c>
      <c r="H25" s="31"/>
      <c r="I25" s="21"/>
    </row>
    <row r="26" spans="1:9" x14ac:dyDescent="0.25">
      <c r="A26" s="304">
        <v>1889.82</v>
      </c>
      <c r="B26" s="294">
        <f>1889.82</f>
        <v>1889.82</v>
      </c>
      <c r="C26" s="32" t="s">
        <v>93</v>
      </c>
      <c r="D26" s="90" t="s">
        <v>68</v>
      </c>
      <c r="E26" s="28">
        <f>IF(E25="","",MOD(E25+1,52))</f>
        <v>31</v>
      </c>
      <c r="F26" s="34"/>
      <c r="G26" s="35"/>
      <c r="H26" s="31"/>
      <c r="I26" s="21"/>
    </row>
    <row r="27" spans="1:9" x14ac:dyDescent="0.25">
      <c r="A27" s="240"/>
      <c r="B27" s="241"/>
      <c r="C27" s="102" t="s">
        <v>22</v>
      </c>
      <c r="D27" s="89" t="str">
        <f>D25</f>
        <v>A CHARGE CLIENT</v>
      </c>
      <c r="E27" s="28">
        <f>IF(E26="","",MOD(E26+2,52))</f>
        <v>33</v>
      </c>
      <c r="F27" s="34"/>
      <c r="G27" s="35"/>
      <c r="H27" s="31"/>
      <c r="I27" s="21"/>
    </row>
    <row r="28" spans="1:9" x14ac:dyDescent="0.25">
      <c r="A28" s="304"/>
      <c r="B28" s="294"/>
      <c r="C28" s="143" t="s">
        <v>23</v>
      </c>
      <c r="D28" s="90" t="s">
        <v>74</v>
      </c>
      <c r="E28" s="28">
        <f>IF(E26="","",MOD(E26+2,52))</f>
        <v>33</v>
      </c>
      <c r="F28" s="34"/>
      <c r="G28" s="35"/>
      <c r="H28" s="31"/>
      <c r="I28" s="21"/>
    </row>
    <row r="29" spans="1:9" x14ac:dyDescent="0.25">
      <c r="A29" s="294"/>
      <c r="B29" s="294"/>
      <c r="C29" s="102" t="s">
        <v>24</v>
      </c>
      <c r="D29" s="89" t="s">
        <v>71</v>
      </c>
      <c r="E29" s="28">
        <f>IF(E28="","",MOD(E28+1,52))</f>
        <v>34</v>
      </c>
      <c r="F29" s="34"/>
      <c r="G29" s="35"/>
      <c r="H29" s="31"/>
      <c r="I29" s="21"/>
    </row>
    <row r="30" spans="1:9" x14ac:dyDescent="0.25">
      <c r="A30" s="294"/>
      <c r="B30" s="294"/>
      <c r="C30" s="32" t="s">
        <v>25</v>
      </c>
      <c r="D30" s="90" t="s">
        <v>71</v>
      </c>
      <c r="E30" s="28">
        <f>IF(E28="","",MOD(E28+1,52))</f>
        <v>34</v>
      </c>
      <c r="F30" s="34"/>
      <c r="G30" s="35"/>
      <c r="H30" s="31"/>
      <c r="I30" s="21"/>
    </row>
    <row r="31" spans="1:9" x14ac:dyDescent="0.25">
      <c r="A31" s="240"/>
      <c r="B31" s="241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304"/>
      <c r="B32" s="294"/>
      <c r="C32" s="32" t="s">
        <v>27</v>
      </c>
      <c r="D32" s="90" t="s">
        <v>76</v>
      </c>
      <c r="E32" s="28">
        <f>IF(E30="","",MOD(E30+1,52))</f>
        <v>35</v>
      </c>
      <c r="F32" s="34"/>
      <c r="G32" s="35"/>
      <c r="H32" s="31"/>
      <c r="I32" s="21"/>
    </row>
    <row r="33" spans="1:9" x14ac:dyDescent="0.25">
      <c r="A33" s="240"/>
      <c r="B33" s="241"/>
      <c r="C33" s="32" t="s">
        <v>28</v>
      </c>
      <c r="D33" s="89" t="str">
        <f>D26</f>
        <v>SOARES</v>
      </c>
      <c r="E33" s="28">
        <f>IF(E32="","",MOD(E32+1,52))</f>
        <v>36</v>
      </c>
      <c r="F33" s="34"/>
      <c r="G33" s="35"/>
      <c r="H33" s="31"/>
      <c r="I33" s="21"/>
    </row>
    <row r="34" spans="1:9" x14ac:dyDescent="0.25">
      <c r="A34" s="240"/>
      <c r="B34" s="241"/>
      <c r="C34" s="32" t="s">
        <v>29</v>
      </c>
      <c r="D34" s="90" t="str">
        <f>D25</f>
        <v>A CHARGE CLIENT</v>
      </c>
      <c r="E34" s="28">
        <f>IF(E33="","",MOD(E33+1,52))</f>
        <v>37</v>
      </c>
      <c r="F34" s="34"/>
      <c r="G34" s="35" t="s">
        <v>96</v>
      </c>
      <c r="H34" s="31"/>
      <c r="I34" s="21"/>
    </row>
    <row r="35" spans="1:9" x14ac:dyDescent="0.25">
      <c r="A35" s="240"/>
      <c r="B35" s="241"/>
      <c r="C35" s="32" t="s">
        <v>30</v>
      </c>
      <c r="D35" s="89" t="str">
        <f>D28</f>
        <v>WAGNER</v>
      </c>
      <c r="E35" s="28">
        <f>IF(E33="","",MOD(E33+1,52))</f>
        <v>37</v>
      </c>
      <c r="F35" s="34"/>
      <c r="G35" s="35"/>
      <c r="H35" s="31"/>
      <c r="I35" s="21"/>
    </row>
    <row r="36" spans="1:9" x14ac:dyDescent="0.25">
      <c r="A36" s="240"/>
      <c r="B36" s="241"/>
      <c r="C36" s="32" t="s">
        <v>31</v>
      </c>
      <c r="D36" s="90" t="s">
        <v>90</v>
      </c>
      <c r="E36" s="28">
        <f>E32+4</f>
        <v>39</v>
      </c>
      <c r="F36" s="34"/>
      <c r="G36" s="35" t="s">
        <v>96</v>
      </c>
      <c r="H36" s="31"/>
      <c r="I36" s="21"/>
    </row>
    <row r="37" spans="1:9" x14ac:dyDescent="0.25">
      <c r="A37" s="240"/>
      <c r="B37" s="241"/>
      <c r="C37" s="32" t="s">
        <v>32</v>
      </c>
      <c r="D37" s="89" t="s">
        <v>90</v>
      </c>
      <c r="E37" s="28">
        <f>E35+1</f>
        <v>38</v>
      </c>
      <c r="F37" s="34"/>
      <c r="G37" s="35" t="s">
        <v>96</v>
      </c>
      <c r="H37" s="31"/>
      <c r="I37" s="21"/>
    </row>
    <row r="38" spans="1:9" x14ac:dyDescent="0.25">
      <c r="A38" s="240"/>
      <c r="B38" s="241"/>
      <c r="C38" s="32" t="s">
        <v>33</v>
      </c>
      <c r="D38" s="90" t="s">
        <v>71</v>
      </c>
      <c r="E38" s="28">
        <f>IF(E37="","",MOD(E37+1,52))</f>
        <v>39</v>
      </c>
      <c r="F38" s="34"/>
      <c r="G38" s="35"/>
      <c r="H38" s="31"/>
      <c r="I38" s="21"/>
    </row>
    <row r="39" spans="1:9" x14ac:dyDescent="0.25">
      <c r="A39" s="304">
        <v>0</v>
      </c>
      <c r="B39" s="294"/>
      <c r="C39" s="144" t="s">
        <v>34</v>
      </c>
      <c r="D39" s="89" t="s">
        <v>79</v>
      </c>
      <c r="E39" s="145">
        <f>IF(E38="","",MOD(E38+1,52))</f>
        <v>40</v>
      </c>
      <c r="F39" s="146"/>
      <c r="G39" s="133"/>
      <c r="H39" s="31"/>
      <c r="I39" s="21"/>
    </row>
    <row r="40" spans="1:9" x14ac:dyDescent="0.25">
      <c r="A40" s="295"/>
      <c r="B40" s="305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89"/>
      <c r="B43" s="217"/>
      <c r="C43" s="153" t="s">
        <v>35</v>
      </c>
      <c r="D43" s="89" t="s">
        <v>82</v>
      </c>
      <c r="E43" s="154">
        <f>E28+1</f>
        <v>34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35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35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37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42752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1255" priority="72">
      <formula>$F22="réalisé"</formula>
    </cfRule>
  </conditionalFormatting>
  <conditionalFormatting sqref="C43:C46 E43:H46 C8:H21 E25:H39">
    <cfRule type="expression" dxfId="1254" priority="69">
      <formula>$G8="réalisé"</formula>
    </cfRule>
    <cfRule type="expression" dxfId="1253" priority="70">
      <formula>$G8="en cours"</formula>
    </cfRule>
    <cfRule type="expression" dxfId="1252" priority="71">
      <formula>$G8="non compris"</formula>
    </cfRule>
  </conditionalFormatting>
  <conditionalFormatting sqref="C22:G22 C40:G40">
    <cfRule type="expression" dxfId="1251" priority="68">
      <formula>$F22="non cpris"</formula>
    </cfRule>
  </conditionalFormatting>
  <conditionalFormatting sqref="C22:G22">
    <cfRule type="expression" dxfId="1250" priority="67">
      <formula>$F22="en cours"</formula>
    </cfRule>
  </conditionalFormatting>
  <conditionalFormatting sqref="C25:C39">
    <cfRule type="expression" dxfId="1249" priority="64">
      <formula>$G25="réalisé"</formula>
    </cfRule>
    <cfRule type="expression" dxfId="1248" priority="65">
      <formula>$G25="en cours"</formula>
    </cfRule>
    <cfRule type="expression" dxfId="1247" priority="66">
      <formula>$G25="non compris"</formula>
    </cfRule>
  </conditionalFormatting>
  <conditionalFormatting sqref="C50:F53">
    <cfRule type="expression" dxfId="1246" priority="63">
      <formula>$F50="réalisé"</formula>
    </cfRule>
  </conditionalFormatting>
  <conditionalFormatting sqref="G9">
    <cfRule type="expression" dxfId="1245" priority="62">
      <formula>$G$10="réalisé"</formula>
    </cfRule>
  </conditionalFormatting>
  <conditionalFormatting sqref="G10">
    <cfRule type="expression" dxfId="1244" priority="61">
      <formula>$G$11="réalisé"</formula>
    </cfRule>
  </conditionalFormatting>
  <conditionalFormatting sqref="G16:G17">
    <cfRule type="expression" dxfId="1243" priority="60">
      <formula>$G$18="réalisé"</formula>
    </cfRule>
  </conditionalFormatting>
  <conditionalFormatting sqref="G26">
    <cfRule type="expression" dxfId="1242" priority="59">
      <formula>$G$27="réalisé"</formula>
    </cfRule>
  </conditionalFormatting>
  <conditionalFormatting sqref="D25">
    <cfRule type="expression" dxfId="1241" priority="56">
      <formula>$G25="réalisé"</formula>
    </cfRule>
    <cfRule type="expression" dxfId="1240" priority="57">
      <formula>$G25="en cours"</formula>
    </cfRule>
    <cfRule type="expression" dxfId="1239" priority="58">
      <formula>$G25="non compris"</formula>
    </cfRule>
  </conditionalFormatting>
  <conditionalFormatting sqref="D27">
    <cfRule type="expression" dxfId="1238" priority="53">
      <formula>$G27="réalisé"</formula>
    </cfRule>
    <cfRule type="expression" dxfId="1237" priority="54">
      <formula>$G27="en cours"</formula>
    </cfRule>
    <cfRule type="expression" dxfId="1236" priority="55">
      <formula>$G27="non compris"</formula>
    </cfRule>
  </conditionalFormatting>
  <conditionalFormatting sqref="D29">
    <cfRule type="expression" dxfId="1235" priority="50">
      <formula>$G29="réalisé"</formula>
    </cfRule>
    <cfRule type="expression" dxfId="1234" priority="51">
      <formula>$G29="en cours"</formula>
    </cfRule>
    <cfRule type="expression" dxfId="1233" priority="52">
      <formula>$G29="non compris"</formula>
    </cfRule>
  </conditionalFormatting>
  <conditionalFormatting sqref="D31">
    <cfRule type="expression" dxfId="1232" priority="47">
      <formula>$G31="réalisé"</formula>
    </cfRule>
    <cfRule type="expression" dxfId="1231" priority="48">
      <formula>$G31="en cours"</formula>
    </cfRule>
    <cfRule type="expression" dxfId="1230" priority="49">
      <formula>$G31="non compris"</formula>
    </cfRule>
  </conditionalFormatting>
  <conditionalFormatting sqref="D33">
    <cfRule type="expression" dxfId="1229" priority="44">
      <formula>$G33="réalisé"</formula>
    </cfRule>
    <cfRule type="expression" dxfId="1228" priority="45">
      <formula>$G33="en cours"</formula>
    </cfRule>
    <cfRule type="expression" dxfId="1227" priority="46">
      <formula>$G33="non compris"</formula>
    </cfRule>
  </conditionalFormatting>
  <conditionalFormatting sqref="D35">
    <cfRule type="expression" dxfId="1226" priority="41">
      <formula>$G35="réalisé"</formula>
    </cfRule>
    <cfRule type="expression" dxfId="1225" priority="42">
      <formula>$G35="en cours"</formula>
    </cfRule>
    <cfRule type="expression" dxfId="1224" priority="43">
      <formula>$G35="non compris"</formula>
    </cfRule>
  </conditionalFormatting>
  <conditionalFormatting sqref="D37">
    <cfRule type="expression" dxfId="1223" priority="38">
      <formula>$G37="réalisé"</formula>
    </cfRule>
    <cfRule type="expression" dxfId="1222" priority="39">
      <formula>$G37="en cours"</formula>
    </cfRule>
    <cfRule type="expression" dxfId="1221" priority="40">
      <formula>$G37="non compris"</formula>
    </cfRule>
  </conditionalFormatting>
  <conditionalFormatting sqref="D39">
    <cfRule type="expression" dxfId="1220" priority="35">
      <formula>$G39="réalisé"</formula>
    </cfRule>
    <cfRule type="expression" dxfId="1219" priority="36">
      <formula>$G39="en cours"</formula>
    </cfRule>
    <cfRule type="expression" dxfId="1218" priority="37">
      <formula>$G39="non compris"</formula>
    </cfRule>
  </conditionalFormatting>
  <conditionalFormatting sqref="D26">
    <cfRule type="expression" dxfId="1217" priority="32">
      <formula>$G26="réalisé"</formula>
    </cfRule>
    <cfRule type="expression" dxfId="1216" priority="33">
      <formula>$G26="en cours"</formula>
    </cfRule>
    <cfRule type="expression" dxfId="1215" priority="34">
      <formula>$G26="non compris"</formula>
    </cfRule>
  </conditionalFormatting>
  <conditionalFormatting sqref="D28">
    <cfRule type="expression" dxfId="1214" priority="29">
      <formula>$G28="réalisé"</formula>
    </cfRule>
    <cfRule type="expression" dxfId="1213" priority="30">
      <formula>$G28="en cours"</formula>
    </cfRule>
    <cfRule type="expression" dxfId="1212" priority="31">
      <formula>$G28="non compris"</formula>
    </cfRule>
  </conditionalFormatting>
  <conditionalFormatting sqref="D30">
    <cfRule type="expression" dxfId="1211" priority="26">
      <formula>$G30="réalisé"</formula>
    </cfRule>
    <cfRule type="expression" dxfId="1210" priority="27">
      <formula>$G30="en cours"</formula>
    </cfRule>
    <cfRule type="expression" dxfId="1209" priority="28">
      <formula>$G30="non compris"</formula>
    </cfRule>
  </conditionalFormatting>
  <conditionalFormatting sqref="D32">
    <cfRule type="expression" dxfId="1208" priority="23">
      <formula>$G32="réalisé"</formula>
    </cfRule>
    <cfRule type="expression" dxfId="1207" priority="24">
      <formula>$G32="en cours"</formula>
    </cfRule>
    <cfRule type="expression" dxfId="1206" priority="25">
      <formula>$G32="non compris"</formula>
    </cfRule>
  </conditionalFormatting>
  <conditionalFormatting sqref="D34">
    <cfRule type="expression" dxfId="1205" priority="20">
      <formula>$G34="réalisé"</formula>
    </cfRule>
    <cfRule type="expression" dxfId="1204" priority="21">
      <formula>$G34="en cours"</formula>
    </cfRule>
    <cfRule type="expression" dxfId="1203" priority="22">
      <formula>$G34="non compris"</formula>
    </cfRule>
  </conditionalFormatting>
  <conditionalFormatting sqref="D36">
    <cfRule type="expression" dxfId="1202" priority="17">
      <formula>$G36="réalisé"</formula>
    </cfRule>
    <cfRule type="expression" dxfId="1201" priority="18">
      <formula>$G36="en cours"</formula>
    </cfRule>
    <cfRule type="expression" dxfId="1200" priority="19">
      <formula>$G36="non compris"</formula>
    </cfRule>
  </conditionalFormatting>
  <conditionalFormatting sqref="D38">
    <cfRule type="expression" dxfId="1199" priority="14">
      <formula>$G38="réalisé"</formula>
    </cfRule>
    <cfRule type="expression" dxfId="1198" priority="15">
      <formula>$G38="en cours"</formula>
    </cfRule>
    <cfRule type="expression" dxfId="1197" priority="16">
      <formula>$G38="non compris"</formula>
    </cfRule>
  </conditionalFormatting>
  <conditionalFormatting sqref="D45">
    <cfRule type="expression" dxfId="1196" priority="11">
      <formula>$G45="réalisé"</formula>
    </cfRule>
    <cfRule type="expression" dxfId="1195" priority="12">
      <formula>$G45="en cours"</formula>
    </cfRule>
    <cfRule type="expression" dxfId="1194" priority="13">
      <formula>$G45="non compris"</formula>
    </cfRule>
  </conditionalFormatting>
  <conditionalFormatting sqref="D44">
    <cfRule type="expression" dxfId="1193" priority="8">
      <formula>$G44="réalisé"</formula>
    </cfRule>
    <cfRule type="expression" dxfId="1192" priority="9">
      <formula>$G44="en cours"</formula>
    </cfRule>
    <cfRule type="expression" dxfId="1191" priority="10">
      <formula>$G44="non compris"</formula>
    </cfRule>
  </conditionalFormatting>
  <conditionalFormatting sqref="D43">
    <cfRule type="expression" dxfId="1190" priority="5">
      <formula>$G43="réalisé"</formula>
    </cfRule>
    <cfRule type="expression" dxfId="1189" priority="6">
      <formula>$G43="en cours"</formula>
    </cfRule>
    <cfRule type="expression" dxfId="1188" priority="7">
      <formula>$G43="non compris"</formula>
    </cfRule>
  </conditionalFormatting>
  <conditionalFormatting sqref="D46">
    <cfRule type="expression" dxfId="1187" priority="2">
      <formula>$G46="réalisé"</formula>
    </cfRule>
    <cfRule type="expression" dxfId="1186" priority="3">
      <formula>$G46="en cours"</formula>
    </cfRule>
    <cfRule type="expression" dxfId="1185" priority="4">
      <formula>$G46="non compris"</formula>
    </cfRule>
  </conditionalFormatting>
  <conditionalFormatting sqref="D8:D21">
    <cfRule type="expression" dxfId="1184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  <pageSetUpPr fitToPage="1"/>
  </sheetPr>
  <dimension ref="A1:I68"/>
  <sheetViews>
    <sheetView topLeftCell="A16" zoomScaleNormal="100" workbookViewId="0">
      <selection activeCell="E40" sqref="E40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LEHMANN</v>
      </c>
      <c r="D2" s="5" t="s">
        <v>98</v>
      </c>
      <c r="E2" s="522">
        <v>42765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181</v>
      </c>
      <c r="D3" s="8" t="s">
        <v>3</v>
      </c>
      <c r="E3" s="525">
        <v>42796</v>
      </c>
      <c r="F3" s="526"/>
      <c r="G3" s="9"/>
      <c r="H3" s="527" t="str">
        <f ca="1">DATEDIF(E3,TODAY(),"m")&amp;"mois"&amp;-DATEDIF(E3,TODAY(),"md")&amp;"jours"</f>
        <v>5mois-21jours</v>
      </c>
      <c r="I3" s="528"/>
    </row>
    <row r="4" spans="1:9" ht="18.75" x14ac:dyDescent="0.25">
      <c r="A4" s="127"/>
      <c r="B4" s="215"/>
      <c r="C4" s="11"/>
      <c r="D4" s="12" t="s">
        <v>4</v>
      </c>
      <c r="E4" s="529">
        <f>E3+60</f>
        <v>42856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96"/>
      <c r="B8" s="216"/>
      <c r="C8" s="27" t="s">
        <v>10</v>
      </c>
      <c r="D8" s="89" t="s">
        <v>90</v>
      </c>
      <c r="E8" s="28">
        <f>E9</f>
        <v>9</v>
      </c>
      <c r="F8" s="29"/>
      <c r="G8" s="30" t="s">
        <v>96</v>
      </c>
      <c r="H8" s="31"/>
      <c r="I8" s="21"/>
    </row>
    <row r="9" spans="1:9" x14ac:dyDescent="0.25">
      <c r="A9" s="297"/>
      <c r="B9" s="216"/>
      <c r="C9" s="32" t="s">
        <v>12</v>
      </c>
      <c r="D9" s="90" t="str">
        <f>D10</f>
        <v>TEMA</v>
      </c>
      <c r="E9" s="33">
        <v>9</v>
      </c>
      <c r="F9" s="34"/>
      <c r="G9" s="35" t="s">
        <v>55</v>
      </c>
      <c r="H9" s="31"/>
      <c r="I9" s="21"/>
    </row>
    <row r="10" spans="1:9" ht="15" customHeight="1" x14ac:dyDescent="0.25">
      <c r="A10" s="316">
        <v>13047.97</v>
      </c>
      <c r="B10" s="298">
        <f>A10-10873.31-1087.33-1087.33</f>
        <v>0</v>
      </c>
      <c r="C10" s="32" t="s">
        <v>13</v>
      </c>
      <c r="D10" s="89" t="s">
        <v>57</v>
      </c>
      <c r="E10" s="28">
        <f>E9</f>
        <v>9</v>
      </c>
      <c r="F10" s="36"/>
      <c r="G10" s="35" t="s">
        <v>55</v>
      </c>
      <c r="H10" s="31"/>
      <c r="I10" s="21"/>
    </row>
    <row r="11" spans="1:9" x14ac:dyDescent="0.25">
      <c r="A11" s="299"/>
      <c r="B11" s="299"/>
      <c r="C11" s="32" t="s">
        <v>88</v>
      </c>
      <c r="D11" s="90" t="s">
        <v>90</v>
      </c>
      <c r="E11" s="28">
        <f>E10+4</f>
        <v>13</v>
      </c>
      <c r="F11" s="34"/>
      <c r="G11" s="35" t="s">
        <v>96</v>
      </c>
      <c r="H11" s="31"/>
      <c r="I11" s="21"/>
    </row>
    <row r="12" spans="1:9" x14ac:dyDescent="0.25">
      <c r="A12" s="299"/>
      <c r="B12" s="299"/>
      <c r="C12" s="32" t="s">
        <v>14</v>
      </c>
      <c r="D12" s="89" t="s">
        <v>90</v>
      </c>
      <c r="E12" s="28">
        <f>E11</f>
        <v>13</v>
      </c>
      <c r="F12" s="34"/>
      <c r="G12" s="35" t="s">
        <v>96</v>
      </c>
      <c r="H12" s="31"/>
      <c r="I12" s="21"/>
    </row>
    <row r="13" spans="1:9" x14ac:dyDescent="0.25">
      <c r="A13" s="299"/>
      <c r="B13" s="299"/>
      <c r="C13" s="32" t="s">
        <v>15</v>
      </c>
      <c r="D13" s="90" t="s">
        <v>57</v>
      </c>
      <c r="E13" s="28">
        <v>12</v>
      </c>
      <c r="F13" s="34"/>
      <c r="G13" s="35" t="s">
        <v>55</v>
      </c>
      <c r="H13" s="31"/>
      <c r="I13" s="21"/>
    </row>
    <row r="14" spans="1:9" x14ac:dyDescent="0.25">
      <c r="A14" s="316">
        <v>1065.31</v>
      </c>
      <c r="B14" s="298">
        <f>A14-1065.31</f>
        <v>0</v>
      </c>
      <c r="C14" s="32" t="s">
        <v>16</v>
      </c>
      <c r="D14" s="89" t="s">
        <v>60</v>
      </c>
      <c r="E14" s="28">
        <v>13</v>
      </c>
      <c r="F14" s="34"/>
      <c r="G14" s="35" t="s">
        <v>55</v>
      </c>
      <c r="H14" s="31"/>
      <c r="I14" s="21"/>
    </row>
    <row r="15" spans="1:9" x14ac:dyDescent="0.25">
      <c r="A15" s="299"/>
      <c r="B15" s="299"/>
      <c r="C15" s="32" t="s">
        <v>100</v>
      </c>
      <c r="D15" s="90" t="str">
        <f>D10</f>
        <v>TEMA</v>
      </c>
      <c r="E15" s="28">
        <v>13</v>
      </c>
      <c r="F15" s="34"/>
      <c r="G15" s="35" t="s">
        <v>55</v>
      </c>
      <c r="H15" s="31"/>
      <c r="I15" s="21"/>
    </row>
    <row r="16" spans="1:9" x14ac:dyDescent="0.25">
      <c r="A16" s="298">
        <v>779.9</v>
      </c>
      <c r="B16" s="565">
        <f>A16+A17-1757.36</f>
        <v>0</v>
      </c>
      <c r="C16" s="32" t="s">
        <v>85</v>
      </c>
      <c r="D16" s="89" t="s">
        <v>62</v>
      </c>
      <c r="E16" s="28">
        <v>14</v>
      </c>
      <c r="F16" s="34"/>
      <c r="G16" s="35" t="s">
        <v>55</v>
      </c>
      <c r="H16" s="31"/>
      <c r="I16" s="21"/>
    </row>
    <row r="17" spans="1:9" x14ac:dyDescent="0.25">
      <c r="A17" s="298">
        <v>977.46</v>
      </c>
      <c r="B17" s="566"/>
      <c r="C17" s="32" t="s">
        <v>86</v>
      </c>
      <c r="D17" s="91" t="s">
        <v>62</v>
      </c>
      <c r="E17" s="28">
        <f>E16</f>
        <v>14</v>
      </c>
      <c r="F17" s="34"/>
      <c r="G17" s="35" t="s">
        <v>55</v>
      </c>
      <c r="H17" s="86"/>
      <c r="I17" s="21"/>
    </row>
    <row r="18" spans="1:9" x14ac:dyDescent="0.25">
      <c r="A18" s="299"/>
      <c r="B18" s="299"/>
      <c r="C18" s="157" t="s">
        <v>17</v>
      </c>
      <c r="D18" s="164" t="s">
        <v>94</v>
      </c>
      <c r="E18" s="159">
        <f>E16</f>
        <v>14</v>
      </c>
      <c r="F18" s="160"/>
      <c r="G18" s="161"/>
      <c r="H18" s="162"/>
      <c r="I18" s="21"/>
    </row>
    <row r="19" spans="1:9" x14ac:dyDescent="0.25">
      <c r="A19" s="316">
        <v>1930.9</v>
      </c>
      <c r="B19" s="298">
        <f>A19-1930.9</f>
        <v>0</v>
      </c>
      <c r="C19" s="37" t="s">
        <v>18</v>
      </c>
      <c r="D19" s="89" t="s">
        <v>65</v>
      </c>
      <c r="E19" s="28">
        <v>19</v>
      </c>
      <c r="F19" s="34"/>
      <c r="G19" s="35" t="s">
        <v>55</v>
      </c>
      <c r="H19" s="31"/>
      <c r="I19" s="21"/>
    </row>
    <row r="20" spans="1:9" x14ac:dyDescent="0.25">
      <c r="A20" s="299"/>
      <c r="B20" s="299"/>
      <c r="C20" s="32" t="s">
        <v>19</v>
      </c>
      <c r="D20" s="90" t="str">
        <f>D13</f>
        <v>TEMA</v>
      </c>
      <c r="E20" s="28">
        <f>IF(E16="","",MOD(E16+2,52))</f>
        <v>16</v>
      </c>
      <c r="F20" s="34"/>
      <c r="G20" s="35" t="s">
        <v>55</v>
      </c>
      <c r="H20" s="31"/>
      <c r="I20" s="21"/>
    </row>
    <row r="21" spans="1:9" x14ac:dyDescent="0.25">
      <c r="A21" s="316">
        <v>0</v>
      </c>
      <c r="B21" s="298">
        <v>0</v>
      </c>
      <c r="C21" s="132" t="s">
        <v>20</v>
      </c>
      <c r="D21" s="90" t="s">
        <v>81</v>
      </c>
      <c r="E21" s="28">
        <v>18</v>
      </c>
      <c r="F21" s="34"/>
      <c r="G21" s="133" t="s">
        <v>55</v>
      </c>
      <c r="H21" s="31"/>
      <c r="I21" s="21"/>
    </row>
    <row r="22" spans="1:9" x14ac:dyDescent="0.25">
      <c r="A22" s="300"/>
      <c r="B22" s="300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301"/>
      <c r="B23" s="301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99"/>
      <c r="B24" s="299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316">
        <v>450.84</v>
      </c>
      <c r="B25" s="298">
        <f>A25-450.84</f>
        <v>0</v>
      </c>
      <c r="C25" s="141" t="s">
        <v>92</v>
      </c>
      <c r="D25" s="89" t="s">
        <v>129</v>
      </c>
      <c r="E25" s="142">
        <f>IF(E19="","",MOD(E19+1,52))</f>
        <v>20</v>
      </c>
      <c r="F25" s="29"/>
      <c r="G25" s="30" t="s">
        <v>55</v>
      </c>
      <c r="H25" s="31"/>
      <c r="I25" s="21"/>
    </row>
    <row r="26" spans="1:9" x14ac:dyDescent="0.25">
      <c r="A26" s="316">
        <v>964.6</v>
      </c>
      <c r="B26" s="298">
        <f>A26-964.6</f>
        <v>0</v>
      </c>
      <c r="C26" s="32" t="s">
        <v>93</v>
      </c>
      <c r="D26" s="90" t="s">
        <v>68</v>
      </c>
      <c r="E26" s="28">
        <f>IF(E25="","",MOD(E25+1,52))</f>
        <v>21</v>
      </c>
      <c r="F26" s="34"/>
      <c r="G26" s="35" t="s">
        <v>55</v>
      </c>
      <c r="H26" s="31"/>
      <c r="I26" s="21"/>
    </row>
    <row r="27" spans="1:9" x14ac:dyDescent="0.25">
      <c r="A27" s="299"/>
      <c r="B27" s="299"/>
      <c r="C27" s="102" t="s">
        <v>22</v>
      </c>
      <c r="D27" s="89" t="str">
        <f>D25</f>
        <v>ELECTRO HECKER</v>
      </c>
      <c r="E27" s="28">
        <v>22</v>
      </c>
      <c r="F27" s="34"/>
      <c r="G27" s="35" t="s">
        <v>55</v>
      </c>
      <c r="H27" s="31"/>
      <c r="I27" s="21"/>
    </row>
    <row r="28" spans="1:9" x14ac:dyDescent="0.25">
      <c r="A28" s="316">
        <v>0</v>
      </c>
      <c r="B28" s="217">
        <v>0</v>
      </c>
      <c r="C28" s="143" t="s">
        <v>23</v>
      </c>
      <c r="D28" s="90" t="s">
        <v>75</v>
      </c>
      <c r="E28" s="28">
        <f>IF(E26="","",MOD(E26+2,52))</f>
        <v>23</v>
      </c>
      <c r="F28" s="34"/>
      <c r="G28" s="35" t="s">
        <v>55</v>
      </c>
      <c r="H28" s="31"/>
      <c r="I28" s="21"/>
    </row>
    <row r="29" spans="1:9" x14ac:dyDescent="0.25">
      <c r="A29" s="298"/>
      <c r="B29" s="217"/>
      <c r="C29" s="102" t="s">
        <v>24</v>
      </c>
      <c r="D29" s="163" t="s">
        <v>75</v>
      </c>
      <c r="E29" s="28">
        <f>IF(E28="","",MOD(E28+1,52))</f>
        <v>24</v>
      </c>
      <c r="F29" s="34"/>
      <c r="G29" s="35" t="s">
        <v>55</v>
      </c>
      <c r="H29" s="31"/>
      <c r="I29" s="21"/>
    </row>
    <row r="30" spans="1:9" x14ac:dyDescent="0.25">
      <c r="A30" s="316">
        <v>0</v>
      </c>
      <c r="B30" s="217">
        <v>0</v>
      </c>
      <c r="C30" s="32" t="s">
        <v>182</v>
      </c>
      <c r="D30" s="165" t="s">
        <v>75</v>
      </c>
      <c r="E30" s="28">
        <f>IF(E28="","",MOD(E28+1,52))</f>
        <v>24</v>
      </c>
      <c r="F30" s="34"/>
      <c r="G30" s="35" t="s">
        <v>55</v>
      </c>
      <c r="H30" s="31"/>
      <c r="I30" s="21"/>
    </row>
    <row r="31" spans="1:9" x14ac:dyDescent="0.25">
      <c r="A31" s="299"/>
      <c r="B31" s="219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316">
        <v>0</v>
      </c>
      <c r="B32" s="217">
        <v>0</v>
      </c>
      <c r="C32" s="32" t="s">
        <v>27</v>
      </c>
      <c r="D32" s="165" t="s">
        <v>78</v>
      </c>
      <c r="E32" s="28">
        <f>IF(E30="","",MOD(E30+1,52))</f>
        <v>25</v>
      </c>
      <c r="F32" s="34"/>
      <c r="G32" s="35" t="s">
        <v>55</v>
      </c>
      <c r="H32" s="31"/>
      <c r="I32" s="21"/>
    </row>
    <row r="33" spans="1:9" x14ac:dyDescent="0.25">
      <c r="A33" s="298"/>
      <c r="B33" s="292"/>
      <c r="C33" s="32" t="s">
        <v>28</v>
      </c>
      <c r="D33" s="89" t="str">
        <f>D26</f>
        <v>SOARES</v>
      </c>
      <c r="E33" s="28">
        <f>IF(E32="","",MOD(E32+1,52))</f>
        <v>26</v>
      </c>
      <c r="F33" s="34"/>
      <c r="G33" s="35" t="s">
        <v>55</v>
      </c>
      <c r="H33" s="31"/>
      <c r="I33" s="21"/>
    </row>
    <row r="34" spans="1:9" x14ac:dyDescent="0.25">
      <c r="A34" s="298"/>
      <c r="B34" s="292"/>
      <c r="C34" s="32" t="s">
        <v>29</v>
      </c>
      <c r="D34" s="90" t="str">
        <f>D25</f>
        <v>ELECTRO HECKER</v>
      </c>
      <c r="E34" s="28">
        <f>IF(E33="","",MOD(E33+1,52))</f>
        <v>27</v>
      </c>
      <c r="F34" s="34"/>
      <c r="G34" s="35" t="s">
        <v>55</v>
      </c>
      <c r="H34" s="31"/>
      <c r="I34" s="21"/>
    </row>
    <row r="35" spans="1:9" x14ac:dyDescent="0.25">
      <c r="A35" s="302"/>
      <c r="B35" s="292"/>
      <c r="C35" s="32" t="s">
        <v>30</v>
      </c>
      <c r="D35" s="89" t="str">
        <f>D28</f>
        <v>EKOTHERM</v>
      </c>
      <c r="E35" s="28">
        <f>IF(E33="","",MOD(E33+1,52))</f>
        <v>27</v>
      </c>
      <c r="F35" s="34"/>
      <c r="G35" s="35" t="s">
        <v>55</v>
      </c>
      <c r="H35" s="31"/>
      <c r="I35" s="21"/>
    </row>
    <row r="36" spans="1:9" x14ac:dyDescent="0.25">
      <c r="A36" s="317">
        <v>0</v>
      </c>
      <c r="B36" s="292">
        <v>0</v>
      </c>
      <c r="C36" s="32" t="s">
        <v>186</v>
      </c>
      <c r="D36" s="165" t="s">
        <v>78</v>
      </c>
      <c r="E36" s="28">
        <v>35</v>
      </c>
      <c r="F36" s="34"/>
      <c r="G36" s="35" t="s">
        <v>11</v>
      </c>
      <c r="H36" s="31"/>
      <c r="I36" s="21"/>
    </row>
    <row r="37" spans="1:9" x14ac:dyDescent="0.25">
      <c r="A37" s="317">
        <v>0</v>
      </c>
      <c r="B37" s="292">
        <v>0</v>
      </c>
      <c r="C37" s="32" t="s">
        <v>32</v>
      </c>
      <c r="D37" s="89" t="s">
        <v>184</v>
      </c>
      <c r="E37" s="28">
        <v>37</v>
      </c>
      <c r="F37" s="34"/>
      <c r="G37" s="35" t="s">
        <v>11</v>
      </c>
      <c r="H37" s="31"/>
      <c r="I37" s="21"/>
    </row>
    <row r="38" spans="1:9" x14ac:dyDescent="0.25">
      <c r="A38" s="302"/>
      <c r="B38" s="292"/>
      <c r="C38" s="32" t="s">
        <v>33</v>
      </c>
      <c r="D38" s="90" t="s">
        <v>75</v>
      </c>
      <c r="E38" s="28">
        <f>IF(E37="","",MOD(E37+1,52))</f>
        <v>38</v>
      </c>
      <c r="F38" s="34"/>
      <c r="G38" s="35"/>
      <c r="H38" s="31"/>
      <c r="I38" s="21"/>
    </row>
    <row r="39" spans="1:9" x14ac:dyDescent="0.25">
      <c r="A39" s="317">
        <v>0</v>
      </c>
      <c r="B39" s="217">
        <v>0</v>
      </c>
      <c r="C39" s="144" t="s">
        <v>185</v>
      </c>
      <c r="D39" s="89" t="s">
        <v>79</v>
      </c>
      <c r="E39" s="145">
        <v>37</v>
      </c>
      <c r="F39" s="146"/>
      <c r="G39" s="133"/>
      <c r="H39" s="31"/>
      <c r="I39" s="21"/>
    </row>
    <row r="40" spans="1:9" x14ac:dyDescent="0.25">
      <c r="A40" s="303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89">
        <v>0</v>
      </c>
      <c r="B43" s="217">
        <v>0</v>
      </c>
      <c r="C43" s="153" t="s">
        <v>35</v>
      </c>
      <c r="D43" s="89" t="s">
        <v>82</v>
      </c>
      <c r="E43" s="154">
        <v>24</v>
      </c>
      <c r="F43" s="29"/>
      <c r="G43" s="30" t="s">
        <v>55</v>
      </c>
      <c r="H43" s="31"/>
      <c r="I43" s="21"/>
    </row>
    <row r="44" spans="1:9" x14ac:dyDescent="0.25">
      <c r="A44" s="201"/>
      <c r="B44" s="216"/>
      <c r="C44" s="318" t="s">
        <v>95</v>
      </c>
      <c r="D44" s="319" t="s">
        <v>90</v>
      </c>
      <c r="E44" s="320">
        <f>E43+1</f>
        <v>25</v>
      </c>
      <c r="F44" s="321"/>
      <c r="G44" s="322" t="s">
        <v>96</v>
      </c>
      <c r="H44" s="114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25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22" t="s">
        <v>36</v>
      </c>
      <c r="D46" s="110" t="s">
        <v>90</v>
      </c>
      <c r="E46" s="121">
        <f>E43+3</f>
        <v>27</v>
      </c>
      <c r="F46" s="112"/>
      <c r="G46" s="123" t="s">
        <v>96</v>
      </c>
      <c r="H46" s="114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42753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81">
        <v>42795</v>
      </c>
      <c r="E51" s="76"/>
      <c r="F51" s="2" t="s">
        <v>169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3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  <mergeCell ref="B16:B17"/>
  </mergeCells>
  <conditionalFormatting sqref="C47:G47 D22 C40:G40">
    <cfRule type="expression" dxfId="1141" priority="72">
      <formula>$F22="réalisé"</formula>
    </cfRule>
  </conditionalFormatting>
  <conditionalFormatting sqref="C43:C46 E43:H46 C8:H21 E25:H39">
    <cfRule type="expression" dxfId="1140" priority="69">
      <formula>$G8="réalisé"</formula>
    </cfRule>
    <cfRule type="expression" dxfId="1139" priority="70">
      <formula>$G8="en cours"</formula>
    </cfRule>
    <cfRule type="expression" dxfId="1138" priority="71">
      <formula>$G8="non compris"</formula>
    </cfRule>
  </conditionalFormatting>
  <conditionalFormatting sqref="C22:G22 C40:G40">
    <cfRule type="expression" dxfId="1137" priority="68">
      <formula>$F22="non cpris"</formula>
    </cfRule>
  </conditionalFormatting>
  <conditionalFormatting sqref="C22:G22">
    <cfRule type="expression" dxfId="1136" priority="67">
      <formula>$F22="en cours"</formula>
    </cfRule>
  </conditionalFormatting>
  <conditionalFormatting sqref="C25:C39">
    <cfRule type="expression" dxfId="1135" priority="64">
      <formula>$G25="réalisé"</formula>
    </cfRule>
    <cfRule type="expression" dxfId="1134" priority="65">
      <formula>$G25="en cours"</formula>
    </cfRule>
    <cfRule type="expression" dxfId="1133" priority="66">
      <formula>$G25="non compris"</formula>
    </cfRule>
  </conditionalFormatting>
  <conditionalFormatting sqref="C50:F53">
    <cfRule type="expression" dxfId="1132" priority="63">
      <formula>$F50="réalisé"</formula>
    </cfRule>
  </conditionalFormatting>
  <conditionalFormatting sqref="G9">
    <cfRule type="expression" dxfId="1131" priority="62">
      <formula>$G$10="réalisé"</formula>
    </cfRule>
  </conditionalFormatting>
  <conditionalFormatting sqref="G10">
    <cfRule type="expression" dxfId="1130" priority="61">
      <formula>$G$11="réalisé"</formula>
    </cfRule>
  </conditionalFormatting>
  <conditionalFormatting sqref="G16:G17">
    <cfRule type="expression" dxfId="1129" priority="60">
      <formula>$G$18="réalisé"</formula>
    </cfRule>
  </conditionalFormatting>
  <conditionalFormatting sqref="G26">
    <cfRule type="expression" dxfId="1128" priority="59">
      <formula>$G$27="réalisé"</formula>
    </cfRule>
  </conditionalFormatting>
  <conditionalFormatting sqref="D25">
    <cfRule type="expression" dxfId="1127" priority="56">
      <formula>$G25="réalisé"</formula>
    </cfRule>
    <cfRule type="expression" dxfId="1126" priority="57">
      <formula>$G25="en cours"</formula>
    </cfRule>
    <cfRule type="expression" dxfId="1125" priority="58">
      <formula>$G25="non compris"</formula>
    </cfRule>
  </conditionalFormatting>
  <conditionalFormatting sqref="D27">
    <cfRule type="expression" dxfId="1124" priority="53">
      <formula>$G27="réalisé"</formula>
    </cfRule>
    <cfRule type="expression" dxfId="1123" priority="54">
      <formula>$G27="en cours"</formula>
    </cfRule>
    <cfRule type="expression" dxfId="1122" priority="55">
      <formula>$G27="non compris"</formula>
    </cfRule>
  </conditionalFormatting>
  <conditionalFormatting sqref="D29">
    <cfRule type="expression" dxfId="1121" priority="50">
      <formula>$G29="réalisé"</formula>
    </cfRule>
    <cfRule type="expression" dxfId="1120" priority="51">
      <formula>$G29="en cours"</formula>
    </cfRule>
    <cfRule type="expression" dxfId="1119" priority="52">
      <formula>$G29="non compris"</formula>
    </cfRule>
  </conditionalFormatting>
  <conditionalFormatting sqref="D31">
    <cfRule type="expression" dxfId="1118" priority="47">
      <formula>$G31="réalisé"</formula>
    </cfRule>
    <cfRule type="expression" dxfId="1117" priority="48">
      <formula>$G31="en cours"</formula>
    </cfRule>
    <cfRule type="expression" dxfId="1116" priority="49">
      <formula>$G31="non compris"</formula>
    </cfRule>
  </conditionalFormatting>
  <conditionalFormatting sqref="D33">
    <cfRule type="expression" dxfId="1115" priority="44">
      <formula>$G33="réalisé"</formula>
    </cfRule>
    <cfRule type="expression" dxfId="1114" priority="45">
      <formula>$G33="en cours"</formula>
    </cfRule>
    <cfRule type="expression" dxfId="1113" priority="46">
      <formula>$G33="non compris"</formula>
    </cfRule>
  </conditionalFormatting>
  <conditionalFormatting sqref="D35">
    <cfRule type="expression" dxfId="1112" priority="41">
      <formula>$G35="réalisé"</formula>
    </cfRule>
    <cfRule type="expression" dxfId="1111" priority="42">
      <formula>$G35="en cours"</formula>
    </cfRule>
    <cfRule type="expression" dxfId="1110" priority="43">
      <formula>$G35="non compris"</formula>
    </cfRule>
  </conditionalFormatting>
  <conditionalFormatting sqref="D37">
    <cfRule type="expression" dxfId="1109" priority="38">
      <formula>$G37="réalisé"</formula>
    </cfRule>
    <cfRule type="expression" dxfId="1108" priority="39">
      <formula>$G37="en cours"</formula>
    </cfRule>
    <cfRule type="expression" dxfId="1107" priority="40">
      <formula>$G37="non compris"</formula>
    </cfRule>
  </conditionalFormatting>
  <conditionalFormatting sqref="D39">
    <cfRule type="expression" dxfId="1106" priority="35">
      <formula>$G39="réalisé"</formula>
    </cfRule>
    <cfRule type="expression" dxfId="1105" priority="36">
      <formula>$G39="en cours"</formula>
    </cfRule>
    <cfRule type="expression" dxfId="1104" priority="37">
      <formula>$G39="non compris"</formula>
    </cfRule>
  </conditionalFormatting>
  <conditionalFormatting sqref="D26">
    <cfRule type="expression" dxfId="1103" priority="32">
      <formula>$G26="réalisé"</formula>
    </cfRule>
    <cfRule type="expression" dxfId="1102" priority="33">
      <formula>$G26="en cours"</formula>
    </cfRule>
    <cfRule type="expression" dxfId="1101" priority="34">
      <formula>$G26="non compris"</formula>
    </cfRule>
  </conditionalFormatting>
  <conditionalFormatting sqref="D28">
    <cfRule type="expression" dxfId="1100" priority="29">
      <formula>$G28="réalisé"</formula>
    </cfRule>
    <cfRule type="expression" dxfId="1099" priority="30">
      <formula>$G28="en cours"</formula>
    </cfRule>
    <cfRule type="expression" dxfId="1098" priority="31">
      <formula>$G28="non compris"</formula>
    </cfRule>
  </conditionalFormatting>
  <conditionalFormatting sqref="D30">
    <cfRule type="expression" dxfId="1097" priority="26">
      <formula>$G30="réalisé"</formula>
    </cfRule>
    <cfRule type="expression" dxfId="1096" priority="27">
      <formula>$G30="en cours"</formula>
    </cfRule>
    <cfRule type="expression" dxfId="1095" priority="28">
      <formula>$G30="non compris"</formula>
    </cfRule>
  </conditionalFormatting>
  <conditionalFormatting sqref="D32">
    <cfRule type="expression" dxfId="1094" priority="23">
      <formula>$G32="réalisé"</formula>
    </cfRule>
    <cfRule type="expression" dxfId="1093" priority="24">
      <formula>$G32="en cours"</formula>
    </cfRule>
    <cfRule type="expression" dxfId="1092" priority="25">
      <formula>$G32="non compris"</formula>
    </cfRule>
  </conditionalFormatting>
  <conditionalFormatting sqref="D34">
    <cfRule type="expression" dxfId="1091" priority="20">
      <formula>$G34="réalisé"</formula>
    </cfRule>
    <cfRule type="expression" dxfId="1090" priority="21">
      <formula>$G34="en cours"</formula>
    </cfRule>
    <cfRule type="expression" dxfId="1089" priority="22">
      <formula>$G34="non compris"</formula>
    </cfRule>
  </conditionalFormatting>
  <conditionalFormatting sqref="D36">
    <cfRule type="expression" dxfId="1088" priority="17">
      <formula>$G36="réalisé"</formula>
    </cfRule>
    <cfRule type="expression" dxfId="1087" priority="18">
      <formula>$G36="en cours"</formula>
    </cfRule>
    <cfRule type="expression" dxfId="1086" priority="19">
      <formula>$G36="non compris"</formula>
    </cfRule>
  </conditionalFormatting>
  <conditionalFormatting sqref="D38">
    <cfRule type="expression" dxfId="1085" priority="14">
      <formula>$G38="réalisé"</formula>
    </cfRule>
    <cfRule type="expression" dxfId="1084" priority="15">
      <formula>$G38="en cours"</formula>
    </cfRule>
    <cfRule type="expression" dxfId="1083" priority="16">
      <formula>$G38="non compris"</formula>
    </cfRule>
  </conditionalFormatting>
  <conditionalFormatting sqref="D45">
    <cfRule type="expression" dxfId="1082" priority="11">
      <formula>$G45="réalisé"</formula>
    </cfRule>
    <cfRule type="expression" dxfId="1081" priority="12">
      <formula>$G45="en cours"</formula>
    </cfRule>
    <cfRule type="expression" dxfId="1080" priority="13">
      <formula>$G45="non compris"</formula>
    </cfRule>
  </conditionalFormatting>
  <conditionalFormatting sqref="D44">
    <cfRule type="expression" dxfId="1079" priority="8">
      <formula>$G44="réalisé"</formula>
    </cfRule>
    <cfRule type="expression" dxfId="1078" priority="9">
      <formula>$G44="en cours"</formula>
    </cfRule>
    <cfRule type="expression" dxfId="1077" priority="10">
      <formula>$G44="non compris"</formula>
    </cfRule>
  </conditionalFormatting>
  <conditionalFormatting sqref="D43">
    <cfRule type="expression" dxfId="1076" priority="5">
      <formula>$G43="réalisé"</formula>
    </cfRule>
    <cfRule type="expression" dxfId="1075" priority="6">
      <formula>$G43="en cours"</formula>
    </cfRule>
    <cfRule type="expression" dxfId="1074" priority="7">
      <formula>$G43="non compris"</formula>
    </cfRule>
  </conditionalFormatting>
  <conditionalFormatting sqref="D46">
    <cfRule type="expression" dxfId="1073" priority="2">
      <formula>$G46="réalisé"</formula>
    </cfRule>
    <cfRule type="expression" dxfId="1072" priority="3">
      <formula>$G46="en cours"</formula>
    </cfRule>
    <cfRule type="expression" dxfId="1071" priority="4">
      <formula>$G46="non compris"</formula>
    </cfRule>
  </conditionalFormatting>
  <conditionalFormatting sqref="D8:D21">
    <cfRule type="expression" dxfId="1070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  <pageSetUpPr fitToPage="1"/>
  </sheetPr>
  <dimension ref="A1:I68"/>
  <sheetViews>
    <sheetView topLeftCell="A7" zoomScaleNormal="100" workbookViewId="0">
      <selection activeCell="G20" sqref="G20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MADER</v>
      </c>
      <c r="D2" s="5" t="s">
        <v>98</v>
      </c>
      <c r="E2" s="522">
        <v>42838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227</v>
      </c>
      <c r="D3" s="8" t="s">
        <v>3</v>
      </c>
      <c r="E3" s="525">
        <v>42879</v>
      </c>
      <c r="F3" s="526"/>
      <c r="G3" s="9"/>
      <c r="H3" s="527" t="str">
        <f ca="1">DATEDIF(E3,TODAY(),"m")&amp;"mois"&amp;-DATEDIF(E3,TODAY(),"md")&amp;"jours"</f>
        <v>2mois-30jours</v>
      </c>
      <c r="I3" s="528"/>
    </row>
    <row r="4" spans="1:9" ht="18.75" x14ac:dyDescent="0.25">
      <c r="A4" s="127" t="s">
        <v>222</v>
      </c>
      <c r="B4" s="215"/>
      <c r="C4" s="11" t="s">
        <v>226</v>
      </c>
      <c r="D4" s="12" t="s">
        <v>228</v>
      </c>
      <c r="E4" s="529">
        <f>E3+60</f>
        <v>42939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21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90" t="str">
        <f>D10</f>
        <v>TEMA</v>
      </c>
      <c r="E9" s="33">
        <v>21</v>
      </c>
      <c r="F9" s="34"/>
      <c r="G9" s="35" t="s">
        <v>55</v>
      </c>
      <c r="H9" s="31"/>
      <c r="I9" s="21"/>
    </row>
    <row r="10" spans="1:9" ht="15" customHeight="1" x14ac:dyDescent="0.25">
      <c r="A10" s="289">
        <v>14807.7</v>
      </c>
      <c r="B10" s="217">
        <f>A10-4230.77-8108.98-2467.95</f>
        <v>0</v>
      </c>
      <c r="C10" s="32" t="s">
        <v>13</v>
      </c>
      <c r="D10" s="89" t="s">
        <v>57</v>
      </c>
      <c r="E10" s="28">
        <f>E9</f>
        <v>21</v>
      </c>
      <c r="F10" s="36"/>
      <c r="G10" s="35" t="s">
        <v>55</v>
      </c>
      <c r="H10" s="31"/>
      <c r="I10" s="21"/>
    </row>
    <row r="11" spans="1:9" x14ac:dyDescent="0.25">
      <c r="A11" s="218"/>
      <c r="B11" s="219"/>
      <c r="C11" s="32" t="s">
        <v>88</v>
      </c>
      <c r="D11" s="90" t="s">
        <v>90</v>
      </c>
      <c r="E11" s="28">
        <f>E10+4</f>
        <v>25</v>
      </c>
      <c r="F11" s="34"/>
      <c r="G11" s="35" t="s">
        <v>96</v>
      </c>
      <c r="H11" s="31"/>
      <c r="I11" s="21"/>
    </row>
    <row r="12" spans="1:9" x14ac:dyDescent="0.25">
      <c r="A12" s="218"/>
      <c r="B12" s="219"/>
      <c r="C12" s="32" t="s">
        <v>14</v>
      </c>
      <c r="D12" s="89" t="s">
        <v>90</v>
      </c>
      <c r="E12" s="28">
        <f>E11</f>
        <v>25</v>
      </c>
      <c r="F12" s="34"/>
      <c r="G12" s="35" t="s">
        <v>96</v>
      </c>
      <c r="H12" s="31"/>
      <c r="I12" s="21"/>
    </row>
    <row r="13" spans="1:9" x14ac:dyDescent="0.25">
      <c r="A13" s="218"/>
      <c r="B13" s="219"/>
      <c r="C13" s="32" t="s">
        <v>15</v>
      </c>
      <c r="D13" s="90" t="s">
        <v>57</v>
      </c>
      <c r="E13" s="28">
        <f>E12</f>
        <v>25</v>
      </c>
      <c r="F13" s="34"/>
      <c r="G13" s="35" t="s">
        <v>55</v>
      </c>
      <c r="H13" s="31"/>
      <c r="I13" s="21"/>
    </row>
    <row r="14" spans="1:9" x14ac:dyDescent="0.25">
      <c r="A14" s="289">
        <v>875.33</v>
      </c>
      <c r="B14" s="217">
        <f>A14-875.33</f>
        <v>0</v>
      </c>
      <c r="C14" s="32" t="s">
        <v>16</v>
      </c>
      <c r="D14" s="89" t="s">
        <v>60</v>
      </c>
      <c r="E14" s="28">
        <v>27</v>
      </c>
      <c r="F14" s="34"/>
      <c r="G14" s="35" t="s">
        <v>55</v>
      </c>
      <c r="H14" s="31"/>
      <c r="I14" s="21"/>
    </row>
    <row r="15" spans="1:9" x14ac:dyDescent="0.25">
      <c r="A15" s="218"/>
      <c r="B15" s="219"/>
      <c r="C15" s="32" t="s">
        <v>100</v>
      </c>
      <c r="D15" s="90" t="str">
        <f>D10</f>
        <v>TEMA</v>
      </c>
      <c r="E15" s="28">
        <f>IF(E14="","",MOD(E14+1,52))</f>
        <v>28</v>
      </c>
      <c r="F15" s="34"/>
      <c r="G15" s="35" t="s">
        <v>55</v>
      </c>
      <c r="H15" s="31"/>
      <c r="I15" s="21"/>
    </row>
    <row r="16" spans="1:9" x14ac:dyDescent="0.25">
      <c r="A16" s="444">
        <v>513.74</v>
      </c>
      <c r="B16" s="567">
        <f>A16+A17-1516.93</f>
        <v>0</v>
      </c>
      <c r="C16" s="32" t="s">
        <v>85</v>
      </c>
      <c r="D16" s="89" t="s">
        <v>62</v>
      </c>
      <c r="E16" s="28">
        <f>IF(E15="","",MOD(E15+1,52))</f>
        <v>29</v>
      </c>
      <c r="F16" s="34"/>
      <c r="G16" s="35" t="s">
        <v>55</v>
      </c>
      <c r="H16" s="31"/>
      <c r="I16" s="21"/>
    </row>
    <row r="17" spans="1:9" x14ac:dyDescent="0.25">
      <c r="A17" s="444">
        <v>1003.19</v>
      </c>
      <c r="B17" s="568"/>
      <c r="C17" s="32" t="s">
        <v>86</v>
      </c>
      <c r="D17" s="91" t="s">
        <v>62</v>
      </c>
      <c r="E17" s="28">
        <f>E16</f>
        <v>29</v>
      </c>
      <c r="F17" s="34"/>
      <c r="G17" s="35" t="s">
        <v>55</v>
      </c>
      <c r="H17" s="86"/>
      <c r="I17" s="21"/>
    </row>
    <row r="18" spans="1:9" x14ac:dyDescent="0.25">
      <c r="A18" s="429">
        <v>0</v>
      </c>
      <c r="B18" s="292"/>
      <c r="C18" s="143" t="s">
        <v>17</v>
      </c>
      <c r="D18" s="412" t="s">
        <v>63</v>
      </c>
      <c r="E18" s="413">
        <v>30</v>
      </c>
      <c r="F18" s="170"/>
      <c r="G18" s="171" t="s">
        <v>55</v>
      </c>
      <c r="H18" s="414"/>
      <c r="I18" s="21"/>
    </row>
    <row r="19" spans="1:9" x14ac:dyDescent="0.25">
      <c r="A19" s="289">
        <v>0</v>
      </c>
      <c r="B19" s="217"/>
      <c r="C19" s="37" t="s">
        <v>18</v>
      </c>
      <c r="D19" s="89" t="s">
        <v>65</v>
      </c>
      <c r="E19" s="28">
        <v>35</v>
      </c>
      <c r="F19" s="34"/>
      <c r="G19" s="35"/>
      <c r="H19" s="31"/>
      <c r="I19" s="21"/>
    </row>
    <row r="20" spans="1:9" x14ac:dyDescent="0.25">
      <c r="A20" s="218"/>
      <c r="B20" s="219"/>
      <c r="C20" s="32" t="s">
        <v>19</v>
      </c>
      <c r="D20" s="90" t="str">
        <f>D13</f>
        <v>TEMA</v>
      </c>
      <c r="E20" s="28">
        <f>IF(E16="","",MOD(E16+2,52))</f>
        <v>31</v>
      </c>
      <c r="F20" s="34"/>
      <c r="G20" s="35" t="s">
        <v>55</v>
      </c>
      <c r="H20" s="31"/>
      <c r="I20" s="21"/>
    </row>
    <row r="21" spans="1:9" x14ac:dyDescent="0.25">
      <c r="A21" s="217"/>
      <c r="B21" s="217"/>
      <c r="C21" s="132" t="s">
        <v>20</v>
      </c>
      <c r="D21" s="90" t="s">
        <v>80</v>
      </c>
      <c r="E21" s="28">
        <v>34</v>
      </c>
      <c r="F21" s="34"/>
      <c r="G21" s="133"/>
      <c r="H21" s="31"/>
      <c r="I21" s="21"/>
    </row>
    <row r="22" spans="1:9" x14ac:dyDescent="0.25">
      <c r="A22" s="220"/>
      <c r="B22" s="221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22"/>
      <c r="B23" s="223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18"/>
      <c r="B24" s="219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89">
        <v>1544.58</v>
      </c>
      <c r="B25" s="217"/>
      <c r="C25" s="141" t="s">
        <v>92</v>
      </c>
      <c r="D25" s="89" t="s">
        <v>129</v>
      </c>
      <c r="E25" s="142">
        <f>IF(E19="","",MOD(E19+1,52))</f>
        <v>36</v>
      </c>
      <c r="F25" s="29"/>
      <c r="G25" s="30" t="s">
        <v>11</v>
      </c>
      <c r="H25" s="31"/>
      <c r="I25" s="21"/>
    </row>
    <row r="26" spans="1:9" x14ac:dyDescent="0.25">
      <c r="A26" s="217"/>
      <c r="B26" s="217"/>
      <c r="C26" s="109" t="s">
        <v>93</v>
      </c>
      <c r="D26" s="115" t="s">
        <v>90</v>
      </c>
      <c r="E26" s="111">
        <f>IF(E25="","",MOD(E25+1,52))</f>
        <v>37</v>
      </c>
      <c r="F26" s="112"/>
      <c r="G26" s="113"/>
      <c r="H26" s="114"/>
      <c r="I26" s="21"/>
    </row>
    <row r="27" spans="1:9" x14ac:dyDescent="0.25">
      <c r="A27" s="218"/>
      <c r="B27" s="219"/>
      <c r="C27" s="102" t="s">
        <v>22</v>
      </c>
      <c r="D27" s="89" t="str">
        <f>D25</f>
        <v>ELECTRO HECKER</v>
      </c>
      <c r="E27" s="28">
        <f>IF(E26="","",MOD(E26+2,52))</f>
        <v>39</v>
      </c>
      <c r="F27" s="34"/>
      <c r="G27" s="35"/>
      <c r="H27" s="31"/>
      <c r="I27" s="21"/>
    </row>
    <row r="28" spans="1:9" x14ac:dyDescent="0.25">
      <c r="A28" s="217"/>
      <c r="B28" s="217"/>
      <c r="C28" s="143" t="s">
        <v>23</v>
      </c>
      <c r="D28" s="90" t="s">
        <v>90</v>
      </c>
      <c r="E28" s="28">
        <f>IF(E26="","",MOD(E26+2,52))</f>
        <v>39</v>
      </c>
      <c r="F28" s="34"/>
      <c r="G28" s="35"/>
      <c r="H28" s="31"/>
      <c r="I28" s="21"/>
    </row>
    <row r="29" spans="1:9" x14ac:dyDescent="0.25">
      <c r="A29" s="217"/>
      <c r="B29" s="217"/>
      <c r="C29" s="102" t="s">
        <v>24</v>
      </c>
      <c r="D29" s="89" t="s">
        <v>90</v>
      </c>
      <c r="E29" s="28">
        <f>IF(E28="","",MOD(E28+1,52))</f>
        <v>40</v>
      </c>
      <c r="F29" s="34"/>
      <c r="G29" s="35"/>
      <c r="H29" s="31"/>
      <c r="I29" s="21"/>
    </row>
    <row r="30" spans="1:9" x14ac:dyDescent="0.25">
      <c r="A30" s="217"/>
      <c r="B30" s="217"/>
      <c r="C30" s="32" t="s">
        <v>25</v>
      </c>
      <c r="D30" s="90" t="s">
        <v>90</v>
      </c>
      <c r="E30" s="28">
        <f>IF(E28="","",MOD(E28+1,52))</f>
        <v>40</v>
      </c>
      <c r="F30" s="34"/>
      <c r="G30" s="35"/>
      <c r="H30" s="31"/>
      <c r="I30" s="21"/>
    </row>
    <row r="31" spans="1:9" x14ac:dyDescent="0.25">
      <c r="A31" s="218"/>
      <c r="B31" s="219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89">
        <v>0</v>
      </c>
      <c r="B32" s="217"/>
      <c r="C32" s="32" t="s">
        <v>27</v>
      </c>
      <c r="D32" s="90" t="s">
        <v>76</v>
      </c>
      <c r="E32" s="28">
        <f>IF(E30="","",MOD(E30+1,52))</f>
        <v>41</v>
      </c>
      <c r="F32" s="34"/>
      <c r="G32" s="35"/>
      <c r="H32" s="31"/>
      <c r="I32" s="21"/>
    </row>
    <row r="33" spans="1:9" x14ac:dyDescent="0.25">
      <c r="A33" s="218"/>
      <c r="B33" s="219"/>
      <c r="C33" s="32" t="s">
        <v>28</v>
      </c>
      <c r="D33" s="89" t="str">
        <f>D26</f>
        <v>A CHARGE CLIENT</v>
      </c>
      <c r="E33" s="28">
        <f>IF(E32="","",MOD(E32+1,52))</f>
        <v>42</v>
      </c>
      <c r="F33" s="34"/>
      <c r="G33" s="35"/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ELECTRO HECKER</v>
      </c>
      <c r="E34" s="28">
        <f>IF(E33="","",MOD(E33+1,52))</f>
        <v>43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A CHARGE CLIENT</v>
      </c>
      <c r="E35" s="28">
        <f>IF(E33="","",MOD(E33+1,52))</f>
        <v>43</v>
      </c>
      <c r="F35" s="34"/>
      <c r="G35" s="35"/>
      <c r="H35" s="31"/>
      <c r="I35" s="21"/>
    </row>
    <row r="36" spans="1:9" x14ac:dyDescent="0.25">
      <c r="A36" s="218"/>
      <c r="B36" s="219"/>
      <c r="C36" s="32" t="s">
        <v>31</v>
      </c>
      <c r="D36" s="90" t="s">
        <v>90</v>
      </c>
      <c r="E36" s="28">
        <f>E32+4</f>
        <v>45</v>
      </c>
      <c r="F36" s="34"/>
      <c r="G36" s="35" t="s">
        <v>96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44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">
        <v>90</v>
      </c>
      <c r="E38" s="28">
        <f>IF(E37="","",MOD(E37+1,52))</f>
        <v>45</v>
      </c>
      <c r="F38" s="34"/>
      <c r="G38" s="35"/>
      <c r="H38" s="31"/>
      <c r="I38" s="21"/>
    </row>
    <row r="39" spans="1:9" x14ac:dyDescent="0.25">
      <c r="A39" s="289"/>
      <c r="B39" s="217"/>
      <c r="C39" s="144" t="s">
        <v>34</v>
      </c>
      <c r="D39" s="89" t="s">
        <v>79</v>
      </c>
      <c r="E39" s="145">
        <f>IF(E38="","",MOD(E38+1,52))</f>
        <v>46</v>
      </c>
      <c r="F39" s="146"/>
      <c r="G39" s="133"/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17"/>
      <c r="B43" s="217"/>
      <c r="C43" s="153" t="s">
        <v>35</v>
      </c>
      <c r="D43" s="89" t="s">
        <v>90</v>
      </c>
      <c r="E43" s="154">
        <f>E28+1</f>
        <v>40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41</v>
      </c>
      <c r="F44" s="170"/>
      <c r="G44" s="171"/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41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43</v>
      </c>
      <c r="F46" s="34"/>
      <c r="G46" s="133"/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229</v>
      </c>
      <c r="D50" s="173">
        <v>42786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81">
        <v>42836</v>
      </c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15" customFormat="1" x14ac:dyDescent="0.25">
      <c r="A62" s="382"/>
      <c r="B62" s="382"/>
      <c r="C62" s="66"/>
      <c r="D62" s="66"/>
      <c r="E62" s="66"/>
      <c r="F62" s="66"/>
      <c r="G62" s="66"/>
      <c r="H62" s="66"/>
      <c r="I62" s="66"/>
    </row>
    <row r="63" spans="1:9" s="415" customFormat="1" x14ac:dyDescent="0.25">
      <c r="A63" s="66"/>
      <c r="B63" s="66"/>
      <c r="C63" s="382"/>
      <c r="D63" s="416"/>
      <c r="E63" s="66"/>
      <c r="F63" s="416"/>
      <c r="G63" s="66"/>
      <c r="H63" s="66"/>
      <c r="I63" s="66"/>
    </row>
    <row r="64" spans="1:9" s="415" customFormat="1" x14ac:dyDescent="0.25">
      <c r="A64" s="66"/>
      <c r="B64" s="66"/>
      <c r="C64" s="382"/>
      <c r="D64" s="416"/>
      <c r="E64" s="66"/>
      <c r="F64" s="416"/>
      <c r="G64" s="66"/>
      <c r="H64" s="66"/>
      <c r="I64" s="66"/>
    </row>
    <row r="65" spans="1:9" s="415" customFormat="1" x14ac:dyDescent="0.25">
      <c r="A65" s="66"/>
      <c r="B65" s="66"/>
      <c r="C65" s="382"/>
      <c r="D65" s="66"/>
      <c r="E65" s="66"/>
      <c r="F65" s="66"/>
      <c r="G65" s="66"/>
      <c r="H65" s="66"/>
      <c r="I65" s="66"/>
    </row>
    <row r="66" spans="1:9" s="415" customFormat="1" x14ac:dyDescent="0.25">
      <c r="A66" s="66"/>
      <c r="B66" s="66"/>
      <c r="C66" s="382"/>
      <c r="D66" s="66"/>
      <c r="E66" s="66"/>
      <c r="F66" s="66"/>
      <c r="G66" s="66"/>
      <c r="H66" s="66"/>
      <c r="I66" s="66"/>
    </row>
    <row r="67" spans="1:9" s="415" customFormat="1" x14ac:dyDescent="0.25">
      <c r="A67" s="66"/>
      <c r="B67" s="66"/>
      <c r="C67" s="382"/>
      <c r="D67" s="66"/>
      <c r="E67" s="66"/>
      <c r="F67" s="66"/>
      <c r="G67" s="66"/>
      <c r="H67" s="66"/>
      <c r="I67" s="66"/>
    </row>
    <row r="68" spans="1:9" s="415" customFormat="1" x14ac:dyDescent="0.25">
      <c r="A68" s="66"/>
      <c r="B68" s="66"/>
      <c r="C68" s="382"/>
      <c r="D68" s="417"/>
      <c r="E68" s="66"/>
      <c r="F68" s="66"/>
      <c r="G68" s="66"/>
      <c r="H68" s="66"/>
      <c r="I68" s="66"/>
    </row>
  </sheetData>
  <sheetProtection selectLockedCells="1" selectUnlockedCells="1"/>
  <dataConsolidate/>
  <mergeCells count="13">
    <mergeCell ref="E4:F4"/>
    <mergeCell ref="A5:B5"/>
    <mergeCell ref="A6:B6"/>
    <mergeCell ref="C6:H6"/>
    <mergeCell ref="C55:I60"/>
    <mergeCell ref="B16:B17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1027" priority="78">
      <formula>$F22="réalisé"</formula>
    </cfRule>
  </conditionalFormatting>
  <conditionalFormatting sqref="C43:C46 E43:H46 C8:H21 E25:H39">
    <cfRule type="expression" dxfId="1026" priority="75">
      <formula>$G8="réalisé"</formula>
    </cfRule>
    <cfRule type="expression" dxfId="1025" priority="76">
      <formula>$G8="en cours"</formula>
    </cfRule>
    <cfRule type="expression" dxfId="1024" priority="77">
      <formula>$G8="non compris"</formula>
    </cfRule>
  </conditionalFormatting>
  <conditionalFormatting sqref="C22:G22 C40:G40">
    <cfRule type="expression" dxfId="1023" priority="74">
      <formula>$F22="non cpris"</formula>
    </cfRule>
  </conditionalFormatting>
  <conditionalFormatting sqref="C22:G22">
    <cfRule type="expression" dxfId="1022" priority="73">
      <formula>$F22="en cours"</formula>
    </cfRule>
  </conditionalFormatting>
  <conditionalFormatting sqref="C25 C27:C39">
    <cfRule type="expression" dxfId="1021" priority="70">
      <formula>$G25="réalisé"</formula>
    </cfRule>
    <cfRule type="expression" dxfId="1020" priority="71">
      <formula>$G25="en cours"</formula>
    </cfRule>
    <cfRule type="expression" dxfId="1019" priority="72">
      <formula>$G25="non compris"</formula>
    </cfRule>
  </conditionalFormatting>
  <conditionalFormatting sqref="C50:F53">
    <cfRule type="expression" dxfId="1018" priority="69">
      <formula>$F50="réalisé"</formula>
    </cfRule>
  </conditionalFormatting>
  <conditionalFormatting sqref="G9">
    <cfRule type="expression" dxfId="1017" priority="68">
      <formula>$G$10="réalisé"</formula>
    </cfRule>
  </conditionalFormatting>
  <conditionalFormatting sqref="G10">
    <cfRule type="expression" dxfId="1016" priority="67">
      <formula>$G$11="réalisé"</formula>
    </cfRule>
  </conditionalFormatting>
  <conditionalFormatting sqref="G16:G17">
    <cfRule type="expression" dxfId="1015" priority="66">
      <formula>$G$18="réalisé"</formula>
    </cfRule>
  </conditionalFormatting>
  <conditionalFormatting sqref="G26">
    <cfRule type="expression" dxfId="1014" priority="65">
      <formula>$G$27="réalisé"</formula>
    </cfRule>
  </conditionalFormatting>
  <conditionalFormatting sqref="D25">
    <cfRule type="expression" dxfId="1013" priority="62">
      <formula>$G25="réalisé"</formula>
    </cfRule>
    <cfRule type="expression" dxfId="1012" priority="63">
      <formula>$G25="en cours"</formula>
    </cfRule>
    <cfRule type="expression" dxfId="1011" priority="64">
      <formula>$G25="non compris"</formula>
    </cfRule>
  </conditionalFormatting>
  <conditionalFormatting sqref="D27">
    <cfRule type="expression" dxfId="1010" priority="59">
      <formula>$G27="réalisé"</formula>
    </cfRule>
    <cfRule type="expression" dxfId="1009" priority="60">
      <formula>$G27="en cours"</formula>
    </cfRule>
    <cfRule type="expression" dxfId="1008" priority="61">
      <formula>$G27="non compris"</formula>
    </cfRule>
  </conditionalFormatting>
  <conditionalFormatting sqref="D29">
    <cfRule type="expression" dxfId="1007" priority="56">
      <formula>$G29="réalisé"</formula>
    </cfRule>
    <cfRule type="expression" dxfId="1006" priority="57">
      <formula>$G29="en cours"</formula>
    </cfRule>
    <cfRule type="expression" dxfId="1005" priority="58">
      <formula>$G29="non compris"</formula>
    </cfRule>
  </conditionalFormatting>
  <conditionalFormatting sqref="D31">
    <cfRule type="expression" dxfId="1004" priority="53">
      <formula>$G31="réalisé"</formula>
    </cfRule>
    <cfRule type="expression" dxfId="1003" priority="54">
      <formula>$G31="en cours"</formula>
    </cfRule>
    <cfRule type="expression" dxfId="1002" priority="55">
      <formula>$G31="non compris"</formula>
    </cfRule>
  </conditionalFormatting>
  <conditionalFormatting sqref="D33">
    <cfRule type="expression" dxfId="1001" priority="50">
      <formula>$G33="réalisé"</formula>
    </cfRule>
    <cfRule type="expression" dxfId="1000" priority="51">
      <formula>$G33="en cours"</formula>
    </cfRule>
    <cfRule type="expression" dxfId="999" priority="52">
      <formula>$G33="non compris"</formula>
    </cfRule>
  </conditionalFormatting>
  <conditionalFormatting sqref="D35">
    <cfRule type="expression" dxfId="998" priority="47">
      <formula>$G35="réalisé"</formula>
    </cfRule>
    <cfRule type="expression" dxfId="997" priority="48">
      <formula>$G35="en cours"</formula>
    </cfRule>
    <cfRule type="expression" dxfId="996" priority="49">
      <formula>$G35="non compris"</formula>
    </cfRule>
  </conditionalFormatting>
  <conditionalFormatting sqref="D37">
    <cfRule type="expression" dxfId="995" priority="44">
      <formula>$G37="réalisé"</formula>
    </cfRule>
    <cfRule type="expression" dxfId="994" priority="45">
      <formula>$G37="en cours"</formula>
    </cfRule>
    <cfRule type="expression" dxfId="993" priority="46">
      <formula>$G37="non compris"</formula>
    </cfRule>
  </conditionalFormatting>
  <conditionalFormatting sqref="D39">
    <cfRule type="expression" dxfId="992" priority="41">
      <formula>$G39="réalisé"</formula>
    </cfRule>
    <cfRule type="expression" dxfId="991" priority="42">
      <formula>$G39="en cours"</formula>
    </cfRule>
    <cfRule type="expression" dxfId="990" priority="43">
      <formula>$G39="non compris"</formula>
    </cfRule>
  </conditionalFormatting>
  <conditionalFormatting sqref="D28">
    <cfRule type="expression" dxfId="989" priority="35">
      <formula>$G28="réalisé"</formula>
    </cfRule>
    <cfRule type="expression" dxfId="988" priority="36">
      <formula>$G28="en cours"</formula>
    </cfRule>
    <cfRule type="expression" dxfId="987" priority="37">
      <formula>$G28="non compris"</formula>
    </cfRule>
  </conditionalFormatting>
  <conditionalFormatting sqref="D30">
    <cfRule type="expression" dxfId="986" priority="32">
      <formula>$G30="réalisé"</formula>
    </cfRule>
    <cfRule type="expression" dxfId="985" priority="33">
      <formula>$G30="en cours"</formula>
    </cfRule>
    <cfRule type="expression" dxfId="984" priority="34">
      <formula>$G30="non compris"</formula>
    </cfRule>
  </conditionalFormatting>
  <conditionalFormatting sqref="D32">
    <cfRule type="expression" dxfId="983" priority="29">
      <formula>$G32="réalisé"</formula>
    </cfRule>
    <cfRule type="expression" dxfId="982" priority="30">
      <formula>$G32="en cours"</formula>
    </cfRule>
    <cfRule type="expression" dxfId="981" priority="31">
      <formula>$G32="non compris"</formula>
    </cfRule>
  </conditionalFormatting>
  <conditionalFormatting sqref="D34">
    <cfRule type="expression" dxfId="980" priority="26">
      <formula>$G34="réalisé"</formula>
    </cfRule>
    <cfRule type="expression" dxfId="979" priority="27">
      <formula>$G34="en cours"</formula>
    </cfRule>
    <cfRule type="expression" dxfId="978" priority="28">
      <formula>$G34="non compris"</formula>
    </cfRule>
  </conditionalFormatting>
  <conditionalFormatting sqref="D36">
    <cfRule type="expression" dxfId="977" priority="23">
      <formula>$G36="réalisé"</formula>
    </cfRule>
    <cfRule type="expression" dxfId="976" priority="24">
      <formula>$G36="en cours"</formula>
    </cfRule>
    <cfRule type="expression" dxfId="975" priority="25">
      <formula>$G36="non compris"</formula>
    </cfRule>
  </conditionalFormatting>
  <conditionalFormatting sqref="D38">
    <cfRule type="expression" dxfId="974" priority="20">
      <formula>$G38="réalisé"</formula>
    </cfRule>
    <cfRule type="expression" dxfId="973" priority="21">
      <formula>$G38="en cours"</formula>
    </cfRule>
    <cfRule type="expression" dxfId="972" priority="22">
      <formula>$G38="non compris"</formula>
    </cfRule>
  </conditionalFormatting>
  <conditionalFormatting sqref="D45">
    <cfRule type="expression" dxfId="971" priority="17">
      <formula>$G45="réalisé"</formula>
    </cfRule>
    <cfRule type="expression" dxfId="970" priority="18">
      <formula>$G45="en cours"</formula>
    </cfRule>
    <cfRule type="expression" dxfId="969" priority="19">
      <formula>$G45="non compris"</formula>
    </cfRule>
  </conditionalFormatting>
  <conditionalFormatting sqref="D44">
    <cfRule type="expression" dxfId="968" priority="14">
      <formula>$G44="réalisé"</formula>
    </cfRule>
    <cfRule type="expression" dxfId="967" priority="15">
      <formula>$G44="en cours"</formula>
    </cfRule>
    <cfRule type="expression" dxfId="966" priority="16">
      <formula>$G44="non compris"</formula>
    </cfRule>
  </conditionalFormatting>
  <conditionalFormatting sqref="D43">
    <cfRule type="expression" dxfId="965" priority="11">
      <formula>$G43="réalisé"</formula>
    </cfRule>
    <cfRule type="expression" dxfId="964" priority="12">
      <formula>$G43="en cours"</formula>
    </cfRule>
    <cfRule type="expression" dxfId="963" priority="13">
      <formula>$G43="non compris"</formula>
    </cfRule>
  </conditionalFormatting>
  <conditionalFormatting sqref="D46">
    <cfRule type="expression" dxfId="962" priority="8">
      <formula>$G46="réalisé"</formula>
    </cfRule>
    <cfRule type="expression" dxfId="961" priority="9">
      <formula>$G46="en cours"</formula>
    </cfRule>
    <cfRule type="expression" dxfId="960" priority="10">
      <formula>$G46="non compris"</formula>
    </cfRule>
  </conditionalFormatting>
  <conditionalFormatting sqref="D8:D21">
    <cfRule type="expression" dxfId="959" priority="7">
      <formula>$D$8="NON CONCERNÉ"</formula>
    </cfRule>
  </conditionalFormatting>
  <conditionalFormatting sqref="C26">
    <cfRule type="expression" dxfId="958" priority="4">
      <formula>$G26="réalisé"</formula>
    </cfRule>
    <cfRule type="expression" dxfId="957" priority="5">
      <formula>$G26="en cours"</formula>
    </cfRule>
    <cfRule type="expression" dxfId="956" priority="6">
      <formula>$G26="non cpris"</formula>
    </cfRule>
  </conditionalFormatting>
  <conditionalFormatting sqref="D26">
    <cfRule type="expression" dxfId="955" priority="1">
      <formula>$G26="réalisé"</formula>
    </cfRule>
    <cfRule type="expression" dxfId="954" priority="2">
      <formula>$G26="en cours"</formula>
    </cfRule>
    <cfRule type="expression" dxfId="953" priority="3">
      <formula>$G26="non cpris"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8:D21 D25:D39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  <pageSetUpPr fitToPage="1"/>
  </sheetPr>
  <dimension ref="A1:I72"/>
  <sheetViews>
    <sheetView zoomScaleNormal="100" workbookViewId="0">
      <selection activeCell="E18" sqref="E1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511" t="str">
        <f ca="1">MID(CELL("nomfichier",A1),FIND("]",CELL("nomfichier",A1),1)+1,30)</f>
        <v>RAMELET-NGUYEN</v>
      </c>
      <c r="D2" s="5" t="s">
        <v>98</v>
      </c>
      <c r="E2" s="522">
        <v>42851</v>
      </c>
      <c r="F2" s="522"/>
      <c r="G2" s="6"/>
      <c r="H2" s="523" t="s">
        <v>305</v>
      </c>
      <c r="I2" s="524"/>
    </row>
    <row r="3" spans="1:9" x14ac:dyDescent="0.25">
      <c r="A3" s="535" t="s">
        <v>159</v>
      </c>
      <c r="B3" s="527"/>
      <c r="C3" s="512" t="s">
        <v>239</v>
      </c>
      <c r="D3" s="8" t="s">
        <v>3</v>
      </c>
      <c r="E3" s="525">
        <v>42943</v>
      </c>
      <c r="F3" s="526"/>
      <c r="G3" s="9"/>
      <c r="H3" s="527" t="str">
        <f ca="1">DATEDIF(E3,TODAY(),"m")&amp;"mois"&amp;-DATEDIF(E3,TODAY(),"md")&amp;"jours"</f>
        <v>0mois-27jours</v>
      </c>
      <c r="I3" s="528"/>
    </row>
    <row r="4" spans="1:9" ht="18.75" x14ac:dyDescent="0.25">
      <c r="A4" s="127" t="s">
        <v>222</v>
      </c>
      <c r="B4" s="215"/>
      <c r="C4" s="510" t="s">
        <v>226</v>
      </c>
      <c r="D4" s="12" t="s">
        <v>4</v>
      </c>
      <c r="E4" s="529">
        <f>E3+60</f>
        <v>43003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69" t="s">
        <v>307</v>
      </c>
      <c r="D6" s="570"/>
      <c r="E6" s="570"/>
      <c r="F6" s="570"/>
      <c r="G6" s="570"/>
      <c r="H6" s="57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513"/>
      <c r="B8" s="494">
        <f>A8</f>
        <v>0</v>
      </c>
      <c r="C8" s="32" t="s">
        <v>238</v>
      </c>
      <c r="D8" s="89" t="s">
        <v>57</v>
      </c>
      <c r="E8" s="490">
        <v>31</v>
      </c>
      <c r="F8" s="29"/>
      <c r="G8" s="30" t="s">
        <v>55</v>
      </c>
      <c r="H8" s="31"/>
      <c r="I8" s="21"/>
    </row>
    <row r="9" spans="1:9" x14ac:dyDescent="0.25">
      <c r="A9" s="201"/>
      <c r="B9" s="216"/>
      <c r="C9" s="32" t="s">
        <v>293</v>
      </c>
      <c r="D9" s="90" t="str">
        <f>D8</f>
        <v>TEMA</v>
      </c>
      <c r="E9" s="491">
        <f>E8+1</f>
        <v>32</v>
      </c>
      <c r="F9" s="34"/>
      <c r="G9" s="35" t="s">
        <v>55</v>
      </c>
      <c r="H9" s="31"/>
      <c r="I9" s="21"/>
    </row>
    <row r="10" spans="1:9" ht="15" customHeight="1" x14ac:dyDescent="0.25">
      <c r="A10" s="240"/>
      <c r="B10" s="493"/>
      <c r="C10" s="32" t="s">
        <v>294</v>
      </c>
      <c r="D10" s="89" t="str">
        <f>D9</f>
        <v>TEMA</v>
      </c>
      <c r="E10" s="490">
        <f>E9</f>
        <v>32</v>
      </c>
      <c r="F10" s="36"/>
      <c r="G10" s="35" t="s">
        <v>55</v>
      </c>
      <c r="H10" s="31"/>
      <c r="I10" s="21"/>
    </row>
    <row r="11" spans="1:9" ht="15" customHeight="1" x14ac:dyDescent="0.25">
      <c r="A11" s="240"/>
      <c r="B11" s="241"/>
      <c r="C11" s="32" t="s">
        <v>295</v>
      </c>
      <c r="D11" s="91" t="str">
        <f>D8</f>
        <v>TEMA</v>
      </c>
      <c r="E11" s="490">
        <f>E10+1</f>
        <v>33</v>
      </c>
      <c r="F11" s="36"/>
      <c r="G11" s="35" t="s">
        <v>55</v>
      </c>
      <c r="H11" s="31"/>
      <c r="I11" s="21"/>
    </row>
    <row r="12" spans="1:9" ht="15" customHeight="1" x14ac:dyDescent="0.25">
      <c r="A12" s="240"/>
      <c r="B12" s="241"/>
      <c r="C12" s="32" t="s">
        <v>296</v>
      </c>
      <c r="D12" s="91" t="str">
        <f t="shared" ref="D12:D14" si="0">D9</f>
        <v>TEMA</v>
      </c>
      <c r="E12" s="490">
        <f>E11+2</f>
        <v>35</v>
      </c>
      <c r="F12" s="36"/>
      <c r="G12" s="35" t="s">
        <v>55</v>
      </c>
      <c r="H12" s="31"/>
      <c r="I12" s="21"/>
    </row>
    <row r="13" spans="1:9" ht="15" customHeight="1" x14ac:dyDescent="0.25">
      <c r="A13" s="240"/>
      <c r="B13" s="241"/>
      <c r="C13" s="32" t="s">
        <v>297</v>
      </c>
      <c r="D13" s="91" t="str">
        <f t="shared" si="0"/>
        <v>TEMA</v>
      </c>
      <c r="E13" s="490">
        <f>E12+1</f>
        <v>36</v>
      </c>
      <c r="F13" s="36"/>
      <c r="G13" s="35" t="s">
        <v>55</v>
      </c>
      <c r="H13" s="31"/>
      <c r="I13" s="21"/>
    </row>
    <row r="14" spans="1:9" ht="15" customHeight="1" x14ac:dyDescent="0.25">
      <c r="A14" s="240"/>
      <c r="B14" s="241"/>
      <c r="C14" s="32" t="s">
        <v>298</v>
      </c>
      <c r="D14" s="91" t="str">
        <f t="shared" si="0"/>
        <v>TEMA</v>
      </c>
      <c r="E14" s="490">
        <f>E13</f>
        <v>36</v>
      </c>
      <c r="F14" s="36"/>
      <c r="G14" s="35" t="s">
        <v>11</v>
      </c>
      <c r="H14" s="31"/>
      <c r="I14" s="21"/>
    </row>
    <row r="15" spans="1:9" x14ac:dyDescent="0.25">
      <c r="A15" s="240"/>
      <c r="B15" s="241"/>
      <c r="C15" s="32" t="s">
        <v>88</v>
      </c>
      <c r="D15" s="90" t="s">
        <v>90</v>
      </c>
      <c r="E15" s="28">
        <f>E10+4</f>
        <v>36</v>
      </c>
      <c r="F15" s="34"/>
      <c r="G15" s="35" t="s">
        <v>96</v>
      </c>
      <c r="H15" s="31"/>
      <c r="I15" s="21"/>
    </row>
    <row r="16" spans="1:9" x14ac:dyDescent="0.25">
      <c r="A16" s="240"/>
      <c r="B16" s="241"/>
      <c r="C16" s="32" t="s">
        <v>14</v>
      </c>
      <c r="D16" s="89" t="s">
        <v>90</v>
      </c>
      <c r="E16" s="28">
        <f>E10+1</f>
        <v>33</v>
      </c>
      <c r="F16" s="34"/>
      <c r="G16" s="35" t="s">
        <v>96</v>
      </c>
      <c r="H16" s="31"/>
      <c r="I16" s="21"/>
    </row>
    <row r="17" spans="1:9" x14ac:dyDescent="0.25">
      <c r="A17" s="240"/>
      <c r="B17" s="241"/>
      <c r="C17" s="32" t="s">
        <v>15</v>
      </c>
      <c r="D17" s="90" t="s">
        <v>57</v>
      </c>
      <c r="E17" s="28">
        <f>E16+1</f>
        <v>34</v>
      </c>
      <c r="F17" s="34"/>
      <c r="G17" s="35" t="s">
        <v>11</v>
      </c>
      <c r="H17" s="31"/>
      <c r="I17" s="21"/>
    </row>
    <row r="18" spans="1:9" x14ac:dyDescent="0.25">
      <c r="A18" s="304"/>
      <c r="B18" s="294">
        <f>A18</f>
        <v>0</v>
      </c>
      <c r="C18" s="32" t="s">
        <v>16</v>
      </c>
      <c r="D18" s="89" t="s">
        <v>61</v>
      </c>
      <c r="E18" s="490">
        <f>IF(E13="","",MOD(E17+1,52))</f>
        <v>35</v>
      </c>
      <c r="F18" s="34"/>
      <c r="G18" s="35" t="s">
        <v>11</v>
      </c>
      <c r="H18" s="31"/>
      <c r="I18" s="21"/>
    </row>
    <row r="19" spans="1:9" x14ac:dyDescent="0.25">
      <c r="A19" s="240"/>
      <c r="B19" s="241"/>
      <c r="C19" s="32" t="s">
        <v>100</v>
      </c>
      <c r="D19" s="90" t="str">
        <f>D10</f>
        <v>TEMA</v>
      </c>
      <c r="E19" s="28">
        <f>IF(E18="","",MOD(E18+1,52))</f>
        <v>36</v>
      </c>
      <c r="F19" s="34"/>
      <c r="G19" s="35" t="s">
        <v>11</v>
      </c>
      <c r="H19" s="31"/>
      <c r="I19" s="21"/>
    </row>
    <row r="20" spans="1:9" x14ac:dyDescent="0.25">
      <c r="A20" s="349"/>
      <c r="B20" s="294">
        <f>A20</f>
        <v>0</v>
      </c>
      <c r="C20" s="32" t="s">
        <v>85</v>
      </c>
      <c r="D20" s="89" t="s">
        <v>61</v>
      </c>
      <c r="E20" s="28">
        <f>IF(E19="","",MOD(E19+1,52))</f>
        <v>37</v>
      </c>
      <c r="F20" s="34"/>
      <c r="G20" s="35" t="s">
        <v>11</v>
      </c>
      <c r="H20" s="31"/>
      <c r="I20" s="21"/>
    </row>
    <row r="21" spans="1:9" x14ac:dyDescent="0.25">
      <c r="A21" s="349"/>
      <c r="B21" s="294">
        <f>A21</f>
        <v>0</v>
      </c>
      <c r="C21" s="32" t="s">
        <v>86</v>
      </c>
      <c r="D21" s="91" t="s">
        <v>64</v>
      </c>
      <c r="E21" s="28">
        <f>E20</f>
        <v>37</v>
      </c>
      <c r="F21" s="34"/>
      <c r="G21" s="35" t="s">
        <v>11</v>
      </c>
      <c r="H21" s="86"/>
      <c r="I21" s="21"/>
    </row>
    <row r="22" spans="1:9" x14ac:dyDescent="0.25">
      <c r="A22" s="240"/>
      <c r="B22" s="241"/>
      <c r="C22" s="497" t="s">
        <v>17</v>
      </c>
      <c r="D22" s="498" t="s">
        <v>94</v>
      </c>
      <c r="E22" s="499">
        <f>E20</f>
        <v>37</v>
      </c>
      <c r="F22" s="500"/>
      <c r="G22" s="501" t="s">
        <v>11</v>
      </c>
      <c r="H22" s="502"/>
      <c r="I22" s="21"/>
    </row>
    <row r="23" spans="1:9" x14ac:dyDescent="0.25">
      <c r="A23" s="304"/>
      <c r="B23" s="294">
        <f>A23</f>
        <v>0</v>
      </c>
      <c r="C23" s="37" t="s">
        <v>300</v>
      </c>
      <c r="D23" s="89" t="s">
        <v>65</v>
      </c>
      <c r="E23" s="28">
        <f>IF(E20="","",MOD(E20+2,52))</f>
        <v>39</v>
      </c>
      <c r="F23" s="34"/>
      <c r="G23" s="35" t="s">
        <v>11</v>
      </c>
      <c r="H23" s="31"/>
      <c r="I23" s="21"/>
    </row>
    <row r="24" spans="1:9" x14ac:dyDescent="0.25">
      <c r="A24" s="240"/>
      <c r="B24" s="241"/>
      <c r="C24" s="32" t="s">
        <v>19</v>
      </c>
      <c r="D24" s="90" t="str">
        <f>D17</f>
        <v>TEMA</v>
      </c>
      <c r="E24" s="28">
        <f>IF(E20="","",MOD(E20+2,52))</f>
        <v>39</v>
      </c>
      <c r="F24" s="34"/>
      <c r="G24" s="35" t="s">
        <v>11</v>
      </c>
      <c r="H24" s="31"/>
      <c r="I24" s="21"/>
    </row>
    <row r="25" spans="1:9" x14ac:dyDescent="0.25">
      <c r="A25" s="304"/>
      <c r="B25" s="294">
        <f>A25</f>
        <v>0</v>
      </c>
      <c r="C25" s="495" t="s">
        <v>299</v>
      </c>
      <c r="D25" s="90" t="s">
        <v>81</v>
      </c>
      <c r="E25" s="28">
        <f>E23</f>
        <v>39</v>
      </c>
      <c r="F25" s="34"/>
      <c r="G25" s="133" t="s">
        <v>11</v>
      </c>
      <c r="H25" s="31"/>
      <c r="I25" s="21"/>
    </row>
    <row r="26" spans="1:9" x14ac:dyDescent="0.25">
      <c r="A26" s="240"/>
      <c r="B26" s="241"/>
      <c r="C26" s="503"/>
      <c r="D26" s="351"/>
      <c r="E26" s="504"/>
      <c r="F26" s="134"/>
      <c r="G26" s="134"/>
      <c r="H26" s="352"/>
      <c r="I26" s="21"/>
    </row>
    <row r="27" spans="1:9" ht="18.75" x14ac:dyDescent="0.3">
      <c r="A27" s="306"/>
      <c r="B27" s="307"/>
      <c r="C27" s="569" t="s">
        <v>306</v>
      </c>
      <c r="D27" s="570"/>
      <c r="E27" s="570"/>
      <c r="F27" s="570"/>
      <c r="G27" s="570"/>
      <c r="H27" s="571"/>
      <c r="I27" s="21"/>
    </row>
    <row r="28" spans="1:9" ht="15.75" thickBot="1" x14ac:dyDescent="0.3">
      <c r="A28" s="240"/>
      <c r="B28" s="241"/>
      <c r="C28" s="137" t="s">
        <v>5</v>
      </c>
      <c r="D28" s="152" t="s">
        <v>6</v>
      </c>
      <c r="E28" s="139" t="s">
        <v>7</v>
      </c>
      <c r="F28" s="137" t="s">
        <v>56</v>
      </c>
      <c r="G28" s="138" t="s">
        <v>53</v>
      </c>
      <c r="H28" s="140" t="s">
        <v>89</v>
      </c>
      <c r="I28" s="21"/>
    </row>
    <row r="29" spans="1:9" x14ac:dyDescent="0.25">
      <c r="A29" s="304"/>
      <c r="B29" s="294">
        <f>A29</f>
        <v>0</v>
      </c>
      <c r="C29" s="141" t="s">
        <v>92</v>
      </c>
      <c r="D29" s="89" t="s">
        <v>129</v>
      </c>
      <c r="E29" s="142">
        <f>IF(E24="","",MOD(E24+1,52))</f>
        <v>40</v>
      </c>
      <c r="F29" s="29"/>
      <c r="G29" s="30" t="s">
        <v>11</v>
      </c>
      <c r="H29" s="31"/>
      <c r="I29" s="21"/>
    </row>
    <row r="30" spans="1:9" x14ac:dyDescent="0.25">
      <c r="A30" s="294"/>
      <c r="B30" s="294">
        <f>A30</f>
        <v>0</v>
      </c>
      <c r="C30" s="32" t="s">
        <v>93</v>
      </c>
      <c r="D30" s="90" t="s">
        <v>68</v>
      </c>
      <c r="E30" s="28">
        <f>IF(E29="","",MOD(E29+1,52))</f>
        <v>41</v>
      </c>
      <c r="F30" s="34"/>
      <c r="G30" s="35"/>
      <c r="H30" s="31"/>
      <c r="I30" s="21"/>
    </row>
    <row r="31" spans="1:9" x14ac:dyDescent="0.25">
      <c r="A31" s="240"/>
      <c r="B31" s="241"/>
      <c r="C31" s="102" t="s">
        <v>22</v>
      </c>
      <c r="D31" s="89" t="str">
        <f>D29</f>
        <v>ELECTRO HECKER</v>
      </c>
      <c r="E31" s="28">
        <f>IF(E30="","",MOD(E30+2,52))</f>
        <v>43</v>
      </c>
      <c r="F31" s="34"/>
      <c r="G31" s="35"/>
      <c r="H31" s="31"/>
      <c r="I31" s="21"/>
    </row>
    <row r="32" spans="1:9" x14ac:dyDescent="0.25">
      <c r="A32" s="294"/>
      <c r="B32" s="294">
        <f>A32</f>
        <v>0</v>
      </c>
      <c r="C32" s="143" t="s">
        <v>23</v>
      </c>
      <c r="D32" s="90" t="s">
        <v>90</v>
      </c>
      <c r="E32" s="28">
        <f>IF(E30="","",MOD(E30+2,52))</f>
        <v>43</v>
      </c>
      <c r="F32" s="34"/>
      <c r="G32" s="35" t="s">
        <v>96</v>
      </c>
      <c r="H32" s="31"/>
      <c r="I32" s="21"/>
    </row>
    <row r="33" spans="1:9" x14ac:dyDescent="0.25">
      <c r="A33" s="294"/>
      <c r="B33" s="294"/>
      <c r="C33" s="102" t="s">
        <v>302</v>
      </c>
      <c r="D33" s="89" t="s">
        <v>129</v>
      </c>
      <c r="E33" s="28">
        <f>IF(E32="","",MOD(E32+1,52))</f>
        <v>44</v>
      </c>
      <c r="F33" s="34"/>
      <c r="G33" s="35"/>
      <c r="H33" s="31"/>
      <c r="I33" s="21"/>
    </row>
    <row r="34" spans="1:9" x14ac:dyDescent="0.25">
      <c r="A34" s="304"/>
      <c r="B34" s="294">
        <f>A34</f>
        <v>0</v>
      </c>
      <c r="C34" s="32" t="s">
        <v>303</v>
      </c>
      <c r="D34" s="90" t="s">
        <v>129</v>
      </c>
      <c r="E34" s="28">
        <f>IF(E32="","",MOD(E32+1,52))</f>
        <v>44</v>
      </c>
      <c r="F34" s="34"/>
      <c r="G34" s="35"/>
      <c r="H34" s="31"/>
      <c r="I34" s="21"/>
    </row>
    <row r="35" spans="1:9" x14ac:dyDescent="0.25">
      <c r="A35" s="240"/>
      <c r="B35" s="241"/>
      <c r="C35" s="157" t="s">
        <v>26</v>
      </c>
      <c r="D35" s="158" t="s">
        <v>94</v>
      </c>
      <c r="E35" s="159"/>
      <c r="F35" s="160"/>
      <c r="G35" s="161"/>
      <c r="H35" s="162"/>
      <c r="I35" s="21"/>
    </row>
    <row r="36" spans="1:9" x14ac:dyDescent="0.25">
      <c r="A36" s="304"/>
      <c r="B36" s="294">
        <f>A36</f>
        <v>0</v>
      </c>
      <c r="C36" s="32" t="s">
        <v>27</v>
      </c>
      <c r="D36" s="90" t="s">
        <v>76</v>
      </c>
      <c r="E36" s="28">
        <f>IF(E34="","",MOD(E34+1,52))</f>
        <v>45</v>
      </c>
      <c r="F36" s="34"/>
      <c r="G36" s="35"/>
      <c r="H36" s="31"/>
      <c r="I36" s="21"/>
    </row>
    <row r="37" spans="1:9" x14ac:dyDescent="0.25">
      <c r="A37" s="240"/>
      <c r="B37" s="241"/>
      <c r="C37" s="32" t="s">
        <v>28</v>
      </c>
      <c r="D37" s="89" t="str">
        <f>D30</f>
        <v>SOARES</v>
      </c>
      <c r="E37" s="28">
        <f>IF(E36="","",MOD(E36+1,52))</f>
        <v>46</v>
      </c>
      <c r="F37" s="34"/>
      <c r="G37" s="35"/>
      <c r="H37" s="31"/>
      <c r="I37" s="21"/>
    </row>
    <row r="38" spans="1:9" x14ac:dyDescent="0.25">
      <c r="A38" s="240"/>
      <c r="B38" s="241"/>
      <c r="C38" s="32" t="s">
        <v>29</v>
      </c>
      <c r="D38" s="90" t="str">
        <f>D29</f>
        <v>ELECTRO HECKER</v>
      </c>
      <c r="E38" s="28">
        <f>IF(E37="","",MOD(E37+1,52))</f>
        <v>47</v>
      </c>
      <c r="F38" s="34"/>
      <c r="G38" s="35" t="s">
        <v>11</v>
      </c>
      <c r="H38" s="31"/>
      <c r="I38" s="21"/>
    </row>
    <row r="39" spans="1:9" x14ac:dyDescent="0.25">
      <c r="A39" s="240"/>
      <c r="B39" s="241"/>
      <c r="C39" s="32" t="s">
        <v>30</v>
      </c>
      <c r="D39" s="89" t="str">
        <f>D32</f>
        <v>A CHARGE CLIENT</v>
      </c>
      <c r="E39" s="28">
        <f>IF(E37="","",MOD(E37+1,52))</f>
        <v>47</v>
      </c>
      <c r="F39" s="34"/>
      <c r="G39" s="35" t="s">
        <v>96</v>
      </c>
      <c r="H39" s="31"/>
      <c r="I39" s="21"/>
    </row>
    <row r="40" spans="1:9" x14ac:dyDescent="0.25">
      <c r="A40" s="240"/>
      <c r="B40" s="241"/>
      <c r="C40" s="32" t="s">
        <v>31</v>
      </c>
      <c r="D40" s="90" t="s">
        <v>90</v>
      </c>
      <c r="E40" s="28">
        <f>E36+4</f>
        <v>49</v>
      </c>
      <c r="F40" s="34"/>
      <c r="G40" s="35" t="s">
        <v>96</v>
      </c>
      <c r="H40" s="31"/>
      <c r="I40" s="21"/>
    </row>
    <row r="41" spans="1:9" x14ac:dyDescent="0.25">
      <c r="A41" s="240"/>
      <c r="B41" s="241"/>
      <c r="C41" s="32" t="s">
        <v>32</v>
      </c>
      <c r="D41" s="89" t="s">
        <v>90</v>
      </c>
      <c r="E41" s="28">
        <f>E39+1</f>
        <v>48</v>
      </c>
      <c r="F41" s="34"/>
      <c r="G41" s="35" t="s">
        <v>96</v>
      </c>
      <c r="H41" s="31"/>
      <c r="I41" s="21"/>
    </row>
    <row r="42" spans="1:9" x14ac:dyDescent="0.25">
      <c r="A42" s="240"/>
      <c r="B42" s="241"/>
      <c r="C42" s="32" t="s">
        <v>33</v>
      </c>
      <c r="D42" s="90" t="str">
        <f>D34</f>
        <v>ELECTRO HECKER</v>
      </c>
      <c r="E42" s="28">
        <f>IF(E40="","",MOD(E40+2,52))</f>
        <v>51</v>
      </c>
      <c r="F42" s="34"/>
      <c r="G42" s="35"/>
      <c r="H42" s="31"/>
      <c r="I42" s="21"/>
    </row>
    <row r="43" spans="1:9" x14ac:dyDescent="0.25">
      <c r="A43" s="304"/>
      <c r="B43" s="294">
        <f>A43</f>
        <v>0</v>
      </c>
      <c r="C43" s="144" t="s">
        <v>301</v>
      </c>
      <c r="D43" s="89" t="s">
        <v>79</v>
      </c>
      <c r="E43" s="145">
        <f>IF(E40="","",MOD(E40+2,52))</f>
        <v>51</v>
      </c>
      <c r="F43" s="146"/>
      <c r="G43" s="133"/>
      <c r="H43" s="31"/>
      <c r="I43" s="21"/>
    </row>
    <row r="44" spans="1:9" x14ac:dyDescent="0.25">
      <c r="A44" s="240"/>
      <c r="B44" s="241"/>
      <c r="C44" s="148"/>
      <c r="D44" s="351"/>
      <c r="E44" s="504"/>
      <c r="F44" s="134"/>
      <c r="G44" s="134"/>
      <c r="H44" s="352"/>
      <c r="I44" s="21"/>
    </row>
    <row r="45" spans="1:9" ht="18.75" x14ac:dyDescent="0.3">
      <c r="A45" s="295"/>
      <c r="B45" s="305"/>
      <c r="C45" s="572" t="s">
        <v>308</v>
      </c>
      <c r="D45" s="573"/>
      <c r="E45" s="573"/>
      <c r="F45" s="573"/>
      <c r="G45" s="573"/>
      <c r="H45" s="574"/>
      <c r="I45" s="21"/>
    </row>
    <row r="46" spans="1:9" ht="15.75" thickBot="1" x14ac:dyDescent="0.3">
      <c r="A46" s="240"/>
      <c r="B46" s="474"/>
      <c r="C46" s="149" t="s">
        <v>5</v>
      </c>
      <c r="D46" s="152" t="s">
        <v>6</v>
      </c>
      <c r="E46" s="150" t="s">
        <v>11</v>
      </c>
      <c r="F46" s="151" t="s">
        <v>56</v>
      </c>
      <c r="G46" s="149" t="s">
        <v>53</v>
      </c>
      <c r="H46" s="152" t="s">
        <v>89</v>
      </c>
      <c r="I46" s="21"/>
    </row>
    <row r="47" spans="1:9" x14ac:dyDescent="0.25">
      <c r="A47" s="304"/>
      <c r="B47" s="294">
        <f>A47</f>
        <v>0</v>
      </c>
      <c r="C47" s="153" t="s">
        <v>35</v>
      </c>
      <c r="D47" s="89" t="s">
        <v>82</v>
      </c>
      <c r="E47" s="154">
        <f>E32+1</f>
        <v>44</v>
      </c>
      <c r="F47" s="29"/>
      <c r="G47" s="30"/>
      <c r="H47" s="31"/>
      <c r="I47" s="21"/>
    </row>
    <row r="48" spans="1:9" x14ac:dyDescent="0.25">
      <c r="A48" s="256"/>
      <c r="B48" s="459"/>
      <c r="C48" s="167" t="s">
        <v>95</v>
      </c>
      <c r="D48" s="168" t="s">
        <v>90</v>
      </c>
      <c r="E48" s="169">
        <f>E47</f>
        <v>44</v>
      </c>
      <c r="F48" s="170"/>
      <c r="G48" s="171" t="s">
        <v>96</v>
      </c>
      <c r="H48" s="31"/>
      <c r="I48" s="21"/>
    </row>
    <row r="49" spans="1:9" x14ac:dyDescent="0.25">
      <c r="A49" s="256"/>
      <c r="B49" s="459"/>
      <c r="C49" s="157" t="s">
        <v>87</v>
      </c>
      <c r="D49" s="164" t="s">
        <v>94</v>
      </c>
      <c r="E49" s="166">
        <f>E47+1</f>
        <v>45</v>
      </c>
      <c r="F49" s="160"/>
      <c r="G49" s="161" t="s">
        <v>11</v>
      </c>
      <c r="H49" s="162"/>
      <c r="I49" s="21"/>
    </row>
    <row r="50" spans="1:9" x14ac:dyDescent="0.25">
      <c r="A50" s="256"/>
      <c r="B50" s="459"/>
      <c r="C50" s="156" t="s">
        <v>36</v>
      </c>
      <c r="D50" s="89" t="str">
        <f>D47</f>
        <v>TASTEPER</v>
      </c>
      <c r="E50" s="155">
        <f>E47+3</f>
        <v>47</v>
      </c>
      <c r="F50" s="34"/>
      <c r="G50" s="133"/>
      <c r="H50" s="31"/>
      <c r="I50" s="21"/>
    </row>
    <row r="51" spans="1:9" ht="15.75" thickBot="1" x14ac:dyDescent="0.3">
      <c r="A51" s="67" t="s">
        <v>37</v>
      </c>
      <c r="B51" s="204"/>
      <c r="C51" s="20"/>
      <c r="D51" s="20"/>
      <c r="E51" s="20"/>
      <c r="F51" s="20"/>
      <c r="G51" s="20"/>
      <c r="H51" s="20"/>
      <c r="I51" s="21"/>
    </row>
    <row r="52" spans="1:9" ht="15.75" thickBot="1" x14ac:dyDescent="0.3">
      <c r="A52" s="44"/>
      <c r="B52" s="20"/>
      <c r="C52" s="68" t="s">
        <v>38</v>
      </c>
      <c r="D52" s="69" t="s">
        <v>21</v>
      </c>
      <c r="E52" s="70" t="s">
        <v>11</v>
      </c>
      <c r="F52" s="71" t="s">
        <v>39</v>
      </c>
      <c r="G52" s="20"/>
      <c r="H52" s="575" t="s">
        <v>304</v>
      </c>
      <c r="I52" s="21"/>
    </row>
    <row r="53" spans="1:9" x14ac:dyDescent="0.25">
      <c r="A53" s="72"/>
      <c r="B53" s="205"/>
      <c r="C53" s="73" t="s">
        <v>229</v>
      </c>
      <c r="D53" s="173">
        <v>42866</v>
      </c>
      <c r="E53" s="74"/>
      <c r="F53" s="75" t="s">
        <v>169</v>
      </c>
      <c r="G53" s="20"/>
      <c r="H53" s="576"/>
      <c r="I53" s="21"/>
    </row>
    <row r="54" spans="1:9" x14ac:dyDescent="0.25">
      <c r="A54" s="72"/>
      <c r="B54" s="205"/>
      <c r="C54" s="40" t="s">
        <v>230</v>
      </c>
      <c r="D54" s="81">
        <v>42943</v>
      </c>
      <c r="E54" s="76"/>
      <c r="F54" s="2" t="s">
        <v>169</v>
      </c>
      <c r="G54" s="20"/>
      <c r="H54" s="577" t="e">
        <f>DATEDIF(E3,D56,"m")&amp;"mois"&amp;DATEDIF(E3,D56,"md")&amp;"jours"</f>
        <v>#NUM!</v>
      </c>
      <c r="I54" s="21"/>
    </row>
    <row r="55" spans="1:9" ht="15.75" thickBot="1" x14ac:dyDescent="0.3">
      <c r="A55" s="72"/>
      <c r="B55" s="205"/>
      <c r="C55" s="40" t="s">
        <v>42</v>
      </c>
      <c r="D55" s="476"/>
      <c r="E55" s="76"/>
      <c r="F55" s="2"/>
      <c r="G55" s="20"/>
      <c r="H55" s="578"/>
      <c r="I55" s="21"/>
    </row>
    <row r="56" spans="1:9" x14ac:dyDescent="0.25">
      <c r="A56" s="72"/>
      <c r="B56" s="205"/>
      <c r="C56" s="77" t="s">
        <v>43</v>
      </c>
      <c r="D56" s="496"/>
      <c r="E56" s="16"/>
      <c r="F56" s="17"/>
      <c r="G56" s="20"/>
      <c r="H56" s="20"/>
      <c r="I56" s="21"/>
    </row>
    <row r="57" spans="1:9" x14ac:dyDescent="0.25">
      <c r="A57" s="44"/>
      <c r="B57" s="20"/>
      <c r="C57" s="20"/>
      <c r="D57" s="20"/>
      <c r="E57" s="20"/>
      <c r="F57" s="20"/>
      <c r="G57" s="20"/>
      <c r="H57" s="20"/>
      <c r="I57" s="21"/>
    </row>
    <row r="58" spans="1:9" x14ac:dyDescent="0.25">
      <c r="A58" s="78" t="s">
        <v>44</v>
      </c>
      <c r="B58" s="206"/>
      <c r="C58" s="514"/>
      <c r="D58" s="514"/>
      <c r="E58" s="514"/>
      <c r="F58" s="514"/>
      <c r="G58" s="514"/>
      <c r="H58" s="514"/>
      <c r="I58" s="515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44"/>
      <c r="B60" s="20"/>
      <c r="C60" s="516"/>
      <c r="D60" s="516"/>
      <c r="E60" s="516"/>
      <c r="F60" s="516"/>
      <c r="G60" s="516"/>
      <c r="H60" s="516"/>
      <c r="I60" s="517"/>
    </row>
    <row r="61" spans="1:9" x14ac:dyDescent="0.25">
      <c r="A61" s="44"/>
      <c r="B61" s="20"/>
      <c r="C61" s="516"/>
      <c r="D61" s="516"/>
      <c r="E61" s="516"/>
      <c r="F61" s="516"/>
      <c r="G61" s="516"/>
      <c r="H61" s="516"/>
      <c r="I61" s="517"/>
    </row>
    <row r="62" spans="1:9" x14ac:dyDescent="0.25">
      <c r="A62" s="44"/>
      <c r="B62" s="20"/>
      <c r="C62" s="516"/>
      <c r="D62" s="516"/>
      <c r="E62" s="516"/>
      <c r="F62" s="516"/>
      <c r="G62" s="516"/>
      <c r="H62" s="516"/>
      <c r="I62" s="517"/>
    </row>
    <row r="63" spans="1:9" x14ac:dyDescent="0.25">
      <c r="A63" s="74"/>
      <c r="B63" s="75"/>
      <c r="C63" s="518"/>
      <c r="D63" s="518"/>
      <c r="E63" s="518"/>
      <c r="F63" s="518"/>
      <c r="G63" s="518"/>
      <c r="H63" s="518"/>
      <c r="I63" s="519"/>
    </row>
    <row r="64" spans="1:9" x14ac:dyDescent="0.25">
      <c r="A64" s="19"/>
      <c r="B64" s="19"/>
      <c r="C64" s="19"/>
      <c r="D64" s="19"/>
      <c r="E64" s="19"/>
      <c r="F64" s="19"/>
      <c r="G64" s="19"/>
      <c r="H64" s="19"/>
      <c r="I64" s="19"/>
    </row>
    <row r="65" spans="1:9" s="415" customFormat="1" x14ac:dyDescent="0.25">
      <c r="A65" s="382"/>
      <c r="B65" s="382"/>
      <c r="C65" s="66"/>
      <c r="D65" s="66"/>
      <c r="E65" s="66"/>
      <c r="F65" s="66"/>
      <c r="G65" s="66"/>
      <c r="H65" s="66"/>
      <c r="I65" s="66"/>
    </row>
    <row r="66" spans="1:9" s="415" customFormat="1" x14ac:dyDescent="0.25">
      <c r="A66" s="66"/>
      <c r="B66" s="66"/>
      <c r="C66" s="382"/>
      <c r="D66" s="416"/>
      <c r="E66" s="66"/>
      <c r="F66" s="416"/>
      <c r="G66" s="66"/>
      <c r="H66" s="66"/>
      <c r="I66" s="66"/>
    </row>
    <row r="67" spans="1:9" s="415" customFormat="1" x14ac:dyDescent="0.25">
      <c r="A67" s="66"/>
      <c r="B67" s="66"/>
      <c r="C67" s="382"/>
      <c r="D67" s="416"/>
      <c r="E67" s="66"/>
      <c r="F67" s="416"/>
      <c r="G67" s="66"/>
      <c r="H67" s="66"/>
      <c r="I67" s="66"/>
    </row>
    <row r="68" spans="1:9" s="415" customFormat="1" x14ac:dyDescent="0.25">
      <c r="A68" s="66"/>
      <c r="B68" s="66"/>
      <c r="C68" s="382"/>
      <c r="D68" s="66"/>
      <c r="E68" s="66"/>
      <c r="F68" s="66"/>
      <c r="G68" s="66"/>
      <c r="H68" s="66"/>
      <c r="I68" s="66"/>
    </row>
    <row r="69" spans="1:9" s="415" customFormat="1" x14ac:dyDescent="0.25">
      <c r="A69" s="66"/>
      <c r="B69" s="66"/>
      <c r="C69" s="382"/>
      <c r="D69" s="66"/>
      <c r="E69" s="66"/>
      <c r="F69" s="66"/>
      <c r="G69" s="66"/>
      <c r="H69" s="66"/>
      <c r="I69" s="66"/>
    </row>
    <row r="70" spans="1:9" s="415" customFormat="1" x14ac:dyDescent="0.25">
      <c r="A70" s="66"/>
      <c r="B70" s="66"/>
      <c r="C70" s="382"/>
      <c r="D70" s="66"/>
      <c r="E70" s="66"/>
      <c r="F70" s="66"/>
      <c r="G70" s="66"/>
      <c r="H70" s="66"/>
      <c r="I70" s="66"/>
    </row>
    <row r="71" spans="1:9" s="415" customFormat="1" x14ac:dyDescent="0.25">
      <c r="A71" s="66"/>
      <c r="B71" s="66"/>
      <c r="C71" s="382"/>
      <c r="D71" s="417"/>
      <c r="E71" s="66"/>
      <c r="F71" s="66"/>
      <c r="G71" s="66"/>
      <c r="H71" s="66"/>
      <c r="I71" s="66"/>
    </row>
    <row r="72" spans="1:9" s="415" customFormat="1" x14ac:dyDescent="0.25"/>
  </sheetData>
  <sheetProtection selectLockedCells="1" selectUnlockedCells="1"/>
  <dataConsolidate/>
  <mergeCells count="16">
    <mergeCell ref="C58:I63"/>
    <mergeCell ref="C27:H27"/>
    <mergeCell ref="C45:H45"/>
    <mergeCell ref="E4:F4"/>
    <mergeCell ref="A5:B5"/>
    <mergeCell ref="A6:B6"/>
    <mergeCell ref="C6:H6"/>
    <mergeCell ref="H52:H53"/>
    <mergeCell ref="H54:H55"/>
    <mergeCell ref="A1:G1"/>
    <mergeCell ref="A2:B2"/>
    <mergeCell ref="E2:F2"/>
    <mergeCell ref="H2:I2"/>
    <mergeCell ref="A3:B3"/>
    <mergeCell ref="E3:F3"/>
    <mergeCell ref="H3:I3"/>
  </mergeCells>
  <conditionalFormatting sqref="C45">
    <cfRule type="expression" dxfId="910" priority="71">
      <formula>$F45="réalisé"</formula>
    </cfRule>
  </conditionalFormatting>
  <conditionalFormatting sqref="C47:C50 E47:H50 E29:H44 C8:H26">
    <cfRule type="expression" dxfId="909" priority="68">
      <formula>$G8="réalisé"</formula>
    </cfRule>
    <cfRule type="expression" dxfId="908" priority="69">
      <formula>$G8="en cours"</formula>
    </cfRule>
    <cfRule type="expression" dxfId="907" priority="70">
      <formula>$G8="non compris"</formula>
    </cfRule>
  </conditionalFormatting>
  <conditionalFormatting sqref="C45">
    <cfRule type="expression" dxfId="906" priority="67">
      <formula>$F45="non cpris"</formula>
    </cfRule>
  </conditionalFormatting>
  <conditionalFormatting sqref="C29:C44">
    <cfRule type="expression" dxfId="905" priority="64">
      <formula>$G29="réalisé"</formula>
    </cfRule>
    <cfRule type="expression" dxfId="904" priority="65">
      <formula>$G29="en cours"</formula>
    </cfRule>
    <cfRule type="expression" dxfId="903" priority="66">
      <formula>$G29="non compris"</formula>
    </cfRule>
  </conditionalFormatting>
  <conditionalFormatting sqref="C53:F56">
    <cfRule type="expression" dxfId="902" priority="63">
      <formula>$F53="réalisé"</formula>
    </cfRule>
  </conditionalFormatting>
  <conditionalFormatting sqref="G9">
    <cfRule type="expression" dxfId="901" priority="62">
      <formula>$G$10="réalisé"</formula>
    </cfRule>
  </conditionalFormatting>
  <conditionalFormatting sqref="G10:G14">
    <cfRule type="expression" dxfId="900" priority="61">
      <formula>$G$15="réalisé"</formula>
    </cfRule>
  </conditionalFormatting>
  <conditionalFormatting sqref="G20:G21">
    <cfRule type="expression" dxfId="899" priority="60">
      <formula>$G$22="réalisé"</formula>
    </cfRule>
  </conditionalFormatting>
  <conditionalFormatting sqref="G30">
    <cfRule type="expression" dxfId="898" priority="59">
      <formula>$G$31="réalisé"</formula>
    </cfRule>
  </conditionalFormatting>
  <conditionalFormatting sqref="D29">
    <cfRule type="expression" dxfId="897" priority="56">
      <formula>$G29="réalisé"</formula>
    </cfRule>
    <cfRule type="expression" dxfId="896" priority="57">
      <formula>$G29="en cours"</formula>
    </cfRule>
    <cfRule type="expression" dxfId="895" priority="58">
      <formula>$G29="non compris"</formula>
    </cfRule>
  </conditionalFormatting>
  <conditionalFormatting sqref="D31">
    <cfRule type="expression" dxfId="894" priority="53">
      <formula>$G31="réalisé"</formula>
    </cfRule>
    <cfRule type="expression" dxfId="893" priority="54">
      <formula>$G31="en cours"</formula>
    </cfRule>
    <cfRule type="expression" dxfId="892" priority="55">
      <formula>$G31="non compris"</formula>
    </cfRule>
  </conditionalFormatting>
  <conditionalFormatting sqref="D33">
    <cfRule type="expression" dxfId="891" priority="50">
      <formula>$G33="réalisé"</formula>
    </cfRule>
    <cfRule type="expression" dxfId="890" priority="51">
      <formula>$G33="en cours"</formula>
    </cfRule>
    <cfRule type="expression" dxfId="889" priority="52">
      <formula>$G33="non compris"</formula>
    </cfRule>
  </conditionalFormatting>
  <conditionalFormatting sqref="D35">
    <cfRule type="expression" dxfId="888" priority="47">
      <formula>$G35="réalisé"</formula>
    </cfRule>
    <cfRule type="expression" dxfId="887" priority="48">
      <formula>$G35="en cours"</formula>
    </cfRule>
    <cfRule type="expression" dxfId="886" priority="49">
      <formula>$G35="non compris"</formula>
    </cfRule>
  </conditionalFormatting>
  <conditionalFormatting sqref="D37">
    <cfRule type="expression" dxfId="885" priority="44">
      <formula>$G37="réalisé"</formula>
    </cfRule>
    <cfRule type="expression" dxfId="884" priority="45">
      <formula>$G37="en cours"</formula>
    </cfRule>
    <cfRule type="expression" dxfId="883" priority="46">
      <formula>$G37="non compris"</formula>
    </cfRule>
  </conditionalFormatting>
  <conditionalFormatting sqref="D39">
    <cfRule type="expression" dxfId="882" priority="41">
      <formula>$G39="réalisé"</formula>
    </cfRule>
    <cfRule type="expression" dxfId="881" priority="42">
      <formula>$G39="en cours"</formula>
    </cfRule>
    <cfRule type="expression" dxfId="880" priority="43">
      <formula>$G39="non compris"</formula>
    </cfRule>
  </conditionalFormatting>
  <conditionalFormatting sqref="D41">
    <cfRule type="expression" dxfId="879" priority="38">
      <formula>$G41="réalisé"</formula>
    </cfRule>
    <cfRule type="expression" dxfId="878" priority="39">
      <formula>$G41="en cours"</formula>
    </cfRule>
    <cfRule type="expression" dxfId="877" priority="40">
      <formula>$G41="non compris"</formula>
    </cfRule>
  </conditionalFormatting>
  <conditionalFormatting sqref="D43:D44">
    <cfRule type="expression" dxfId="876" priority="35">
      <formula>$G43="réalisé"</formula>
    </cfRule>
    <cfRule type="expression" dxfId="875" priority="36">
      <formula>$G43="en cours"</formula>
    </cfRule>
    <cfRule type="expression" dxfId="874" priority="37">
      <formula>$G43="non compris"</formula>
    </cfRule>
  </conditionalFormatting>
  <conditionalFormatting sqref="D30">
    <cfRule type="expression" dxfId="873" priority="32">
      <formula>$G30="réalisé"</formula>
    </cfRule>
    <cfRule type="expression" dxfId="872" priority="33">
      <formula>$G30="en cours"</formula>
    </cfRule>
    <cfRule type="expression" dxfId="871" priority="34">
      <formula>$G30="non compris"</formula>
    </cfRule>
  </conditionalFormatting>
  <conditionalFormatting sqref="D32">
    <cfRule type="expression" dxfId="870" priority="29">
      <formula>$G32="réalisé"</formula>
    </cfRule>
    <cfRule type="expression" dxfId="869" priority="30">
      <formula>$G32="en cours"</formula>
    </cfRule>
    <cfRule type="expression" dxfId="868" priority="31">
      <formula>$G32="non compris"</formula>
    </cfRule>
  </conditionalFormatting>
  <conditionalFormatting sqref="D34">
    <cfRule type="expression" dxfId="867" priority="26">
      <formula>$G34="réalisé"</formula>
    </cfRule>
    <cfRule type="expression" dxfId="866" priority="27">
      <formula>$G34="en cours"</formula>
    </cfRule>
    <cfRule type="expression" dxfId="865" priority="28">
      <formula>$G34="non compris"</formula>
    </cfRule>
  </conditionalFormatting>
  <conditionalFormatting sqref="D36">
    <cfRule type="expression" dxfId="864" priority="23">
      <formula>$G36="réalisé"</formula>
    </cfRule>
    <cfRule type="expression" dxfId="863" priority="24">
      <formula>$G36="en cours"</formula>
    </cfRule>
    <cfRule type="expression" dxfId="862" priority="25">
      <formula>$G36="non compris"</formula>
    </cfRule>
  </conditionalFormatting>
  <conditionalFormatting sqref="D38">
    <cfRule type="expression" dxfId="861" priority="20">
      <formula>$G38="réalisé"</formula>
    </cfRule>
    <cfRule type="expression" dxfId="860" priority="21">
      <formula>$G38="en cours"</formula>
    </cfRule>
    <cfRule type="expression" dxfId="859" priority="22">
      <formula>$G38="non compris"</formula>
    </cfRule>
  </conditionalFormatting>
  <conditionalFormatting sqref="D40">
    <cfRule type="expression" dxfId="858" priority="17">
      <formula>$G40="réalisé"</formula>
    </cfRule>
    <cfRule type="expression" dxfId="857" priority="18">
      <formula>$G40="en cours"</formula>
    </cfRule>
    <cfRule type="expression" dxfId="856" priority="19">
      <formula>$G40="non compris"</formula>
    </cfRule>
  </conditionalFormatting>
  <conditionalFormatting sqref="D42">
    <cfRule type="expression" dxfId="855" priority="14">
      <formula>$G42="réalisé"</formula>
    </cfRule>
    <cfRule type="expression" dxfId="854" priority="15">
      <formula>$G42="en cours"</formula>
    </cfRule>
    <cfRule type="expression" dxfId="853" priority="16">
      <formula>$G42="non compris"</formula>
    </cfRule>
  </conditionalFormatting>
  <conditionalFormatting sqref="D49">
    <cfRule type="expression" dxfId="852" priority="11">
      <formula>$G49="réalisé"</formula>
    </cfRule>
    <cfRule type="expression" dxfId="851" priority="12">
      <formula>$G49="en cours"</formula>
    </cfRule>
    <cfRule type="expression" dxfId="850" priority="13">
      <formula>$G49="non compris"</formula>
    </cfRule>
  </conditionalFormatting>
  <conditionalFormatting sqref="D48">
    <cfRule type="expression" dxfId="849" priority="8">
      <formula>$G48="réalisé"</formula>
    </cfRule>
    <cfRule type="expression" dxfId="848" priority="9">
      <formula>$G48="en cours"</formula>
    </cfRule>
    <cfRule type="expression" dxfId="847" priority="10">
      <formula>$G48="non compris"</formula>
    </cfRule>
  </conditionalFormatting>
  <conditionalFormatting sqref="D47">
    <cfRule type="expression" dxfId="846" priority="5">
      <formula>$G47="réalisé"</formula>
    </cfRule>
    <cfRule type="expression" dxfId="845" priority="6">
      <formula>$G47="en cours"</formula>
    </cfRule>
    <cfRule type="expression" dxfId="844" priority="7">
      <formula>$G47="non compris"</formula>
    </cfRule>
  </conditionalFormatting>
  <conditionalFormatting sqref="D50">
    <cfRule type="expression" dxfId="843" priority="2">
      <formula>$G50="réalisé"</formula>
    </cfRule>
    <cfRule type="expression" dxfId="842" priority="3">
      <formula>$G50="en cours"</formula>
    </cfRule>
    <cfRule type="expression" dxfId="841" priority="4">
      <formula>$G50="non compris"</formula>
    </cfRule>
  </conditionalFormatting>
  <conditionalFormatting sqref="D8:D26">
    <cfRule type="expression" dxfId="840" priority="1">
      <formula>$D$8="NON CONCERNÉ"</formula>
    </cfRule>
  </conditionalFormatting>
  <dataValidations count="3">
    <dataValidation type="list" allowBlank="1" showInputMessage="1" showErrorMessage="1" sqref="C4">
      <formula1>Commercial</formula1>
    </dataValidation>
    <dataValidation type="list" showInputMessage="1" showErrorMessage="1" sqref="G47:G50 G29:G44 G8:G26">
      <formula1>Avancement</formula1>
    </dataValidation>
    <dataValidation type="list" showInputMessage="1" showErrorMessage="1" sqref="D47:D50 D29:D44 D8:D26">
      <formula1>Entreprises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3" max="16383" man="1"/>
  </rowBreaks>
  <colBreaks count="1" manualBreakCount="1">
    <brk id="9" max="1048575" man="1"/>
  </colBreaks>
  <ignoredErrors>
    <ignoredError sqref="H2:I3" evalError="1"/>
  </ignoredErrors>
  <drawing r:id="rId2"/>
  <tableParts count="4">
    <tablePart r:id="rId3"/>
    <tablePart r:id="rId4"/>
    <tablePart r:id="rId5"/>
    <tablePart r:id="rId6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I69"/>
  <sheetViews>
    <sheetView zoomScaleNormal="100" workbookViewId="0">
      <selection activeCell="E15" sqref="E1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SCHMITT-THOMAS</v>
      </c>
      <c r="D2" s="5" t="s">
        <v>98</v>
      </c>
      <c r="E2" s="522"/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264</v>
      </c>
      <c r="D3" s="8" t="s">
        <v>3</v>
      </c>
      <c r="E3" s="525">
        <v>42922</v>
      </c>
      <c r="F3" s="526"/>
      <c r="G3" s="9"/>
      <c r="H3" s="527" t="str">
        <f ca="1">DATEDIF(E3,TODAY(),"m")&amp;"mois"&amp;-DATEDIF(E3,TODAY(),"md")&amp;"jours"</f>
        <v>1mois-17jours</v>
      </c>
      <c r="I3" s="528"/>
    </row>
    <row r="4" spans="1:9" ht="18.75" x14ac:dyDescent="0.25">
      <c r="A4" s="127" t="s">
        <v>222</v>
      </c>
      <c r="B4" s="215"/>
      <c r="C4" s="11"/>
      <c r="D4" s="12" t="s">
        <v>4</v>
      </c>
      <c r="E4" s="529">
        <f>E3+60</f>
        <v>42982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27</v>
      </c>
      <c r="F8" s="29"/>
      <c r="G8" s="30" t="s">
        <v>96</v>
      </c>
      <c r="H8" s="31"/>
      <c r="I8" s="21"/>
    </row>
    <row r="9" spans="1:9" x14ac:dyDescent="0.25">
      <c r="A9" s="256"/>
      <c r="B9" s="459"/>
      <c r="C9" s="32" t="s">
        <v>238</v>
      </c>
      <c r="D9" s="90" t="str">
        <f>D10</f>
        <v>TEMA</v>
      </c>
      <c r="E9" s="33">
        <v>27</v>
      </c>
      <c r="F9" s="34"/>
      <c r="G9" s="35" t="s">
        <v>55</v>
      </c>
      <c r="H9" s="31"/>
      <c r="I9" s="21"/>
    </row>
    <row r="10" spans="1:9" ht="15" customHeight="1" x14ac:dyDescent="0.25">
      <c r="A10" s="349">
        <v>12624.06</v>
      </c>
      <c r="B10" s="294">
        <v>12624.06</v>
      </c>
      <c r="C10" s="32" t="s">
        <v>13</v>
      </c>
      <c r="D10" s="89" t="s">
        <v>57</v>
      </c>
      <c r="E10" s="28">
        <f>E9</f>
        <v>27</v>
      </c>
      <c r="F10" s="36"/>
      <c r="G10" s="35" t="s">
        <v>55</v>
      </c>
      <c r="H10" s="31"/>
      <c r="I10" s="21"/>
    </row>
    <row r="11" spans="1:9" x14ac:dyDescent="0.25">
      <c r="A11" s="460"/>
      <c r="B11" s="241"/>
      <c r="C11" s="32" t="s">
        <v>88</v>
      </c>
      <c r="D11" s="90" t="s">
        <v>90</v>
      </c>
      <c r="E11" s="28">
        <f>E10+4</f>
        <v>31</v>
      </c>
      <c r="F11" s="34"/>
      <c r="G11" s="35" t="s">
        <v>96</v>
      </c>
      <c r="H11" s="31"/>
      <c r="I11" s="21"/>
    </row>
    <row r="12" spans="1:9" x14ac:dyDescent="0.25">
      <c r="A12" s="460"/>
      <c r="B12" s="241"/>
      <c r="C12" s="32" t="s">
        <v>14</v>
      </c>
      <c r="D12" s="89" t="s">
        <v>90</v>
      </c>
      <c r="E12" s="28">
        <f>E11</f>
        <v>31</v>
      </c>
      <c r="F12" s="34"/>
      <c r="G12" s="35" t="s">
        <v>96</v>
      </c>
      <c r="H12" s="31"/>
      <c r="I12" s="21"/>
    </row>
    <row r="13" spans="1:9" x14ac:dyDescent="0.25">
      <c r="A13" s="460"/>
      <c r="B13" s="241"/>
      <c r="C13" s="32" t="s">
        <v>15</v>
      </c>
      <c r="D13" s="90" t="s">
        <v>57</v>
      </c>
      <c r="E13" s="28">
        <f>E12+1</f>
        <v>32</v>
      </c>
      <c r="F13" s="34"/>
      <c r="G13" s="35" t="s">
        <v>55</v>
      </c>
      <c r="H13" s="31"/>
      <c r="I13" s="21"/>
    </row>
    <row r="14" spans="1:9" x14ac:dyDescent="0.25">
      <c r="A14" s="349">
        <v>530.05999999999995</v>
      </c>
      <c r="B14" s="294">
        <v>530.05999999999995</v>
      </c>
      <c r="C14" s="32" t="s">
        <v>16</v>
      </c>
      <c r="D14" s="89" t="s">
        <v>61</v>
      </c>
      <c r="E14" s="28">
        <v>34</v>
      </c>
      <c r="F14" s="34"/>
      <c r="G14" s="35" t="s">
        <v>11</v>
      </c>
      <c r="H14" s="31"/>
      <c r="I14" s="21"/>
    </row>
    <row r="15" spans="1:9" x14ac:dyDescent="0.25">
      <c r="A15" s="460"/>
      <c r="B15" s="241"/>
      <c r="C15" s="32" t="s">
        <v>100</v>
      </c>
      <c r="D15" s="90" t="str">
        <f>D10</f>
        <v>TEMA</v>
      </c>
      <c r="E15" s="28">
        <f>IF(E14="","",MOD(E14+1,52))</f>
        <v>35</v>
      </c>
      <c r="F15" s="34"/>
      <c r="G15" s="35" t="s">
        <v>11</v>
      </c>
      <c r="H15" s="31"/>
      <c r="I15" s="21"/>
    </row>
    <row r="16" spans="1:9" x14ac:dyDescent="0.25">
      <c r="A16" s="349">
        <v>663.1</v>
      </c>
      <c r="B16" s="294"/>
      <c r="C16" s="32" t="s">
        <v>85</v>
      </c>
      <c r="D16" s="89" t="s">
        <v>61</v>
      </c>
      <c r="E16" s="28">
        <f>IF(E15="","",MOD(E15+1,52))</f>
        <v>36</v>
      </c>
      <c r="F16" s="34"/>
      <c r="G16" s="35"/>
      <c r="H16" s="31"/>
      <c r="I16" s="21"/>
    </row>
    <row r="17" spans="1:9" x14ac:dyDescent="0.25">
      <c r="A17" s="349">
        <v>200.24</v>
      </c>
      <c r="B17" s="294"/>
      <c r="C17" s="32" t="s">
        <v>86</v>
      </c>
      <c r="D17" s="91" t="s">
        <v>64</v>
      </c>
      <c r="E17" s="28">
        <f>E16</f>
        <v>36</v>
      </c>
      <c r="F17" s="34"/>
      <c r="G17" s="35"/>
      <c r="H17" s="86"/>
      <c r="I17" s="21"/>
    </row>
    <row r="18" spans="1:9" x14ac:dyDescent="0.25">
      <c r="A18" s="489"/>
      <c r="B18" s="241"/>
      <c r="C18" s="143" t="s">
        <v>17</v>
      </c>
      <c r="D18" s="412" t="s">
        <v>64</v>
      </c>
      <c r="E18" s="413">
        <f>E16</f>
        <v>36</v>
      </c>
      <c r="F18" s="170"/>
      <c r="G18" s="171" t="s">
        <v>11</v>
      </c>
      <c r="H18" s="31"/>
      <c r="I18" s="21"/>
    </row>
    <row r="19" spans="1:9" x14ac:dyDescent="0.25">
      <c r="A19" s="349">
        <v>2055.44</v>
      </c>
      <c r="B19" s="294">
        <f>A19-2055.44</f>
        <v>0</v>
      </c>
      <c r="C19" s="37" t="s">
        <v>18</v>
      </c>
      <c r="D19" s="89" t="s">
        <v>65</v>
      </c>
      <c r="E19" s="28">
        <f>IF(E16="","",MOD(E16+2,52))</f>
        <v>38</v>
      </c>
      <c r="F19" s="34"/>
      <c r="G19" s="35"/>
      <c r="H19" s="31"/>
      <c r="I19" s="21"/>
    </row>
    <row r="20" spans="1:9" x14ac:dyDescent="0.25">
      <c r="A20" s="460"/>
      <c r="B20" s="241"/>
      <c r="C20" s="32" t="s">
        <v>19</v>
      </c>
      <c r="D20" s="90" t="str">
        <f>D13</f>
        <v>TEMA</v>
      </c>
      <c r="E20" s="28">
        <f>IF(E16="","",MOD(E16+2,52))</f>
        <v>38</v>
      </c>
      <c r="F20" s="34"/>
      <c r="G20" s="35"/>
      <c r="H20" s="31"/>
      <c r="I20" s="21"/>
    </row>
    <row r="21" spans="1:9" x14ac:dyDescent="0.25">
      <c r="A21" s="349"/>
      <c r="B21" s="294"/>
      <c r="C21" s="132" t="s">
        <v>20</v>
      </c>
      <c r="D21" s="90" t="s">
        <v>80</v>
      </c>
      <c r="E21" s="28">
        <f>E19</f>
        <v>38</v>
      </c>
      <c r="F21" s="34"/>
      <c r="G21" s="133"/>
      <c r="H21" s="31"/>
      <c r="I21" s="21"/>
    </row>
    <row r="22" spans="1:9" x14ac:dyDescent="0.25">
      <c r="A22" s="461"/>
      <c r="B22" s="305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462"/>
      <c r="B23" s="307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460"/>
      <c r="B24" s="241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349"/>
      <c r="B25" s="294"/>
      <c r="C25" s="141" t="s">
        <v>92</v>
      </c>
      <c r="D25" s="89" t="s">
        <v>71</v>
      </c>
      <c r="E25" s="142">
        <f>IF(E19="","",MOD(E19+1,52))</f>
        <v>39</v>
      </c>
      <c r="F25" s="29"/>
      <c r="G25" s="30" t="s">
        <v>11</v>
      </c>
      <c r="H25" s="31"/>
      <c r="I25" s="21"/>
    </row>
    <row r="26" spans="1:9" x14ac:dyDescent="0.25">
      <c r="A26" s="349">
        <v>1590.54</v>
      </c>
      <c r="B26" s="294"/>
      <c r="C26" s="32" t="s">
        <v>93</v>
      </c>
      <c r="D26" s="90" t="s">
        <v>68</v>
      </c>
      <c r="E26" s="28">
        <f>IF(E25="","",MOD(E25+1,52))</f>
        <v>40</v>
      </c>
      <c r="F26" s="34"/>
      <c r="G26" s="35"/>
      <c r="H26" s="31"/>
      <c r="I26" s="21"/>
    </row>
    <row r="27" spans="1:9" x14ac:dyDescent="0.25">
      <c r="A27" s="240"/>
      <c r="B27" s="241"/>
      <c r="C27" s="102" t="s">
        <v>22</v>
      </c>
      <c r="D27" s="89" t="str">
        <f>D25</f>
        <v>BENELEC</v>
      </c>
      <c r="E27" s="28">
        <f>IF(E26="","",MOD(E26+2,52))</f>
        <v>42</v>
      </c>
      <c r="F27" s="34"/>
      <c r="G27" s="35"/>
      <c r="H27" s="31"/>
      <c r="I27" s="21"/>
    </row>
    <row r="28" spans="1:9" x14ac:dyDescent="0.25">
      <c r="A28" s="304"/>
      <c r="B28" s="294"/>
      <c r="C28" s="143" t="s">
        <v>23</v>
      </c>
      <c r="D28" s="90" t="s">
        <v>265</v>
      </c>
      <c r="E28" s="28">
        <f>IF(E26="","",MOD(E26+2,52))</f>
        <v>42</v>
      </c>
      <c r="F28" s="34"/>
      <c r="G28" s="35"/>
      <c r="H28" s="31"/>
      <c r="I28" s="21"/>
    </row>
    <row r="29" spans="1:9" x14ac:dyDescent="0.25">
      <c r="A29" s="294"/>
      <c r="B29" s="294"/>
      <c r="C29" s="102" t="s">
        <v>24</v>
      </c>
      <c r="D29" s="89" t="s">
        <v>90</v>
      </c>
      <c r="E29" s="28">
        <f>IF(E28="","",MOD(E28+1,52))</f>
        <v>43</v>
      </c>
      <c r="F29" s="34"/>
      <c r="G29" s="35" t="s">
        <v>96</v>
      </c>
      <c r="H29" s="31"/>
      <c r="I29" s="21"/>
    </row>
    <row r="30" spans="1:9" x14ac:dyDescent="0.25">
      <c r="A30" s="294"/>
      <c r="B30" s="294"/>
      <c r="C30" s="32" t="s">
        <v>25</v>
      </c>
      <c r="D30" s="90" t="s">
        <v>90</v>
      </c>
      <c r="E30" s="28">
        <f>IF(E28="","",MOD(E28+1,52))</f>
        <v>43</v>
      </c>
      <c r="F30" s="34"/>
      <c r="G30" s="35" t="s">
        <v>96</v>
      </c>
      <c r="H30" s="31"/>
      <c r="I30" s="21"/>
    </row>
    <row r="31" spans="1:9" x14ac:dyDescent="0.25">
      <c r="A31" s="240"/>
      <c r="B31" s="241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304"/>
      <c r="B32" s="294"/>
      <c r="C32" s="32" t="s">
        <v>27</v>
      </c>
      <c r="D32" s="90" t="s">
        <v>76</v>
      </c>
      <c r="E32" s="28">
        <f>IF(E30="","",MOD(E30+1,52))</f>
        <v>44</v>
      </c>
      <c r="F32" s="34"/>
      <c r="G32" s="35"/>
      <c r="H32" s="31"/>
      <c r="I32" s="21"/>
    </row>
    <row r="33" spans="1:9" x14ac:dyDescent="0.25">
      <c r="A33" s="218"/>
      <c r="B33" s="219"/>
      <c r="C33" s="32" t="s">
        <v>28</v>
      </c>
      <c r="D33" s="89" t="str">
        <f>D26</f>
        <v>SOARES</v>
      </c>
      <c r="E33" s="28">
        <f>IF(E32="","",MOD(E32+1,52))</f>
        <v>45</v>
      </c>
      <c r="F33" s="34"/>
      <c r="G33" s="35"/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BENELEC</v>
      </c>
      <c r="E34" s="28">
        <f>IF(E33="","",MOD(E33+1,52))</f>
        <v>46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MEYER</v>
      </c>
      <c r="E35" s="28">
        <f>IF(E33="","",MOD(E33+1,52))</f>
        <v>46</v>
      </c>
      <c r="F35" s="34"/>
      <c r="G35" s="35"/>
      <c r="H35" s="31"/>
      <c r="I35" s="21"/>
    </row>
    <row r="36" spans="1:9" x14ac:dyDescent="0.25">
      <c r="A36" s="218"/>
      <c r="B36" s="219"/>
      <c r="C36" s="32" t="s">
        <v>31</v>
      </c>
      <c r="D36" s="90" t="s">
        <v>90</v>
      </c>
      <c r="E36" s="28">
        <f>E32+4</f>
        <v>48</v>
      </c>
      <c r="F36" s="34"/>
      <c r="G36" s="35" t="s">
        <v>96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47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tr">
        <f>D30</f>
        <v>A CHARGE CLIENT</v>
      </c>
      <c r="E38" s="28">
        <f>IF(E37="","",MOD(E37+1,52))</f>
        <v>48</v>
      </c>
      <c r="F38" s="34"/>
      <c r="G38" s="35" t="s">
        <v>96</v>
      </c>
      <c r="H38" s="31"/>
      <c r="I38" s="21"/>
    </row>
    <row r="39" spans="1:9" x14ac:dyDescent="0.25">
      <c r="A39" s="289"/>
      <c r="B39" s="217"/>
      <c r="C39" s="144" t="s">
        <v>34</v>
      </c>
      <c r="D39" s="89" t="s">
        <v>79</v>
      </c>
      <c r="E39" s="145">
        <f>IF(E38="","",MOD(E38+1,52))</f>
        <v>49</v>
      </c>
      <c r="F39" s="146"/>
      <c r="G39" s="133"/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89"/>
      <c r="B43" s="217"/>
      <c r="C43" s="153" t="s">
        <v>35</v>
      </c>
      <c r="D43" s="89" t="s">
        <v>82</v>
      </c>
      <c r="E43" s="154">
        <f>E28+1</f>
        <v>43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44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44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46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229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05"/>
      <c r="C51" s="40" t="s">
        <v>230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15" customFormat="1" x14ac:dyDescent="0.25">
      <c r="A62" s="382"/>
      <c r="B62" s="382"/>
      <c r="C62" s="66"/>
      <c r="D62" s="66"/>
      <c r="E62" s="66"/>
      <c r="F62" s="66"/>
      <c r="G62" s="66"/>
      <c r="H62" s="66"/>
      <c r="I62" s="66"/>
    </row>
    <row r="63" spans="1:9" s="415" customFormat="1" x14ac:dyDescent="0.25">
      <c r="A63" s="66"/>
      <c r="B63" s="66"/>
      <c r="C63" s="382"/>
      <c r="D63" s="416"/>
      <c r="E63" s="66"/>
      <c r="F63" s="416"/>
      <c r="G63" s="66"/>
      <c r="H63" s="66"/>
      <c r="I63" s="66"/>
    </row>
    <row r="64" spans="1:9" s="415" customFormat="1" x14ac:dyDescent="0.25">
      <c r="A64" s="66"/>
      <c r="B64" s="66"/>
      <c r="C64" s="382"/>
      <c r="D64" s="416"/>
      <c r="E64" s="66"/>
      <c r="F64" s="416"/>
      <c r="G64" s="66"/>
      <c r="H64" s="66"/>
      <c r="I64" s="66"/>
    </row>
    <row r="65" spans="1:9" s="415" customFormat="1" x14ac:dyDescent="0.25">
      <c r="A65" s="66"/>
      <c r="B65" s="66"/>
      <c r="C65" s="382"/>
      <c r="D65" s="66"/>
      <c r="E65" s="66"/>
      <c r="F65" s="66"/>
      <c r="G65" s="66"/>
      <c r="H65" s="66"/>
      <c r="I65" s="66"/>
    </row>
    <row r="66" spans="1:9" s="415" customFormat="1" x14ac:dyDescent="0.25">
      <c r="A66" s="66"/>
      <c r="B66" s="66"/>
      <c r="C66" s="382"/>
      <c r="D66" s="66"/>
      <c r="E66" s="66"/>
      <c r="F66" s="66"/>
      <c r="G66" s="66"/>
      <c r="H66" s="66"/>
      <c r="I66" s="66"/>
    </row>
    <row r="67" spans="1:9" s="415" customFormat="1" x14ac:dyDescent="0.25">
      <c r="A67" s="66"/>
      <c r="B67" s="66"/>
      <c r="C67" s="382"/>
      <c r="D67" s="66"/>
      <c r="E67" s="66"/>
      <c r="F67" s="66"/>
      <c r="G67" s="66"/>
      <c r="H67" s="66"/>
      <c r="I67" s="66"/>
    </row>
    <row r="68" spans="1:9" s="415" customFormat="1" x14ac:dyDescent="0.25">
      <c r="A68" s="66"/>
      <c r="B68" s="66"/>
      <c r="C68" s="382"/>
      <c r="D68" s="417"/>
      <c r="E68" s="66"/>
      <c r="F68" s="66"/>
      <c r="G68" s="66"/>
      <c r="H68" s="66"/>
      <c r="I68" s="66"/>
    </row>
    <row r="69" spans="1:9" s="415" customFormat="1" x14ac:dyDescent="0.25"/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797" priority="72">
      <formula>$F22="réalisé"</formula>
    </cfRule>
  </conditionalFormatting>
  <conditionalFormatting sqref="C43:C46 E43:H46 C8:H21 E25:H39">
    <cfRule type="expression" dxfId="796" priority="69">
      <formula>$G8="réalisé"</formula>
    </cfRule>
    <cfRule type="expression" dxfId="795" priority="70">
      <formula>$G8="en cours"</formula>
    </cfRule>
    <cfRule type="expression" dxfId="794" priority="71">
      <formula>$G8="non compris"</formula>
    </cfRule>
  </conditionalFormatting>
  <conditionalFormatting sqref="C22:G22 C40:G40">
    <cfRule type="expression" dxfId="793" priority="68">
      <formula>$F22="non cpris"</formula>
    </cfRule>
  </conditionalFormatting>
  <conditionalFormatting sqref="C22:G22">
    <cfRule type="expression" dxfId="792" priority="67">
      <formula>$F22="en cours"</formula>
    </cfRule>
  </conditionalFormatting>
  <conditionalFormatting sqref="C25:C39">
    <cfRule type="expression" dxfId="791" priority="64">
      <formula>$G25="réalisé"</formula>
    </cfRule>
    <cfRule type="expression" dxfId="790" priority="65">
      <formula>$G25="en cours"</formula>
    </cfRule>
    <cfRule type="expression" dxfId="789" priority="66">
      <formula>$G25="non compris"</formula>
    </cfRule>
  </conditionalFormatting>
  <conditionalFormatting sqref="C50:F53">
    <cfRule type="expression" dxfId="788" priority="63">
      <formula>$F50="réalisé"</formula>
    </cfRule>
  </conditionalFormatting>
  <conditionalFormatting sqref="G9">
    <cfRule type="expression" dxfId="787" priority="62">
      <formula>$G$10="réalisé"</formula>
    </cfRule>
  </conditionalFormatting>
  <conditionalFormatting sqref="G10">
    <cfRule type="expression" dxfId="786" priority="61">
      <formula>$G$11="réalisé"</formula>
    </cfRule>
  </conditionalFormatting>
  <conditionalFormatting sqref="G16:G17">
    <cfRule type="expression" dxfId="785" priority="60">
      <formula>$G$18="réalisé"</formula>
    </cfRule>
  </conditionalFormatting>
  <conditionalFormatting sqref="G26">
    <cfRule type="expression" dxfId="784" priority="59">
      <formula>$G$27="réalisé"</formula>
    </cfRule>
  </conditionalFormatting>
  <conditionalFormatting sqref="D25">
    <cfRule type="expression" dxfId="783" priority="56">
      <formula>$G25="réalisé"</formula>
    </cfRule>
    <cfRule type="expression" dxfId="782" priority="57">
      <formula>$G25="en cours"</formula>
    </cfRule>
    <cfRule type="expression" dxfId="781" priority="58">
      <formula>$G25="non compris"</formula>
    </cfRule>
  </conditionalFormatting>
  <conditionalFormatting sqref="D27">
    <cfRule type="expression" dxfId="780" priority="53">
      <formula>$G27="réalisé"</formula>
    </cfRule>
    <cfRule type="expression" dxfId="779" priority="54">
      <formula>$G27="en cours"</formula>
    </cfRule>
    <cfRule type="expression" dxfId="778" priority="55">
      <formula>$G27="non compris"</formula>
    </cfRule>
  </conditionalFormatting>
  <conditionalFormatting sqref="D29">
    <cfRule type="expression" dxfId="777" priority="50">
      <formula>$G29="réalisé"</formula>
    </cfRule>
    <cfRule type="expression" dxfId="776" priority="51">
      <formula>$G29="en cours"</formula>
    </cfRule>
    <cfRule type="expression" dxfId="775" priority="52">
      <formula>$G29="non compris"</formula>
    </cfRule>
  </conditionalFormatting>
  <conditionalFormatting sqref="D31">
    <cfRule type="expression" dxfId="774" priority="47">
      <formula>$G31="réalisé"</formula>
    </cfRule>
    <cfRule type="expression" dxfId="773" priority="48">
      <formula>$G31="en cours"</formula>
    </cfRule>
    <cfRule type="expression" dxfId="772" priority="49">
      <formula>$G31="non compris"</formula>
    </cfRule>
  </conditionalFormatting>
  <conditionalFormatting sqref="D33">
    <cfRule type="expression" dxfId="771" priority="44">
      <formula>$G33="réalisé"</formula>
    </cfRule>
    <cfRule type="expression" dxfId="770" priority="45">
      <formula>$G33="en cours"</formula>
    </cfRule>
    <cfRule type="expression" dxfId="769" priority="46">
      <formula>$G33="non compris"</formula>
    </cfRule>
  </conditionalFormatting>
  <conditionalFormatting sqref="D35">
    <cfRule type="expression" dxfId="768" priority="41">
      <formula>$G35="réalisé"</formula>
    </cfRule>
    <cfRule type="expression" dxfId="767" priority="42">
      <formula>$G35="en cours"</formula>
    </cfRule>
    <cfRule type="expression" dxfId="766" priority="43">
      <formula>$G35="non compris"</formula>
    </cfRule>
  </conditionalFormatting>
  <conditionalFormatting sqref="D37">
    <cfRule type="expression" dxfId="765" priority="38">
      <formula>$G37="réalisé"</formula>
    </cfRule>
    <cfRule type="expression" dxfId="764" priority="39">
      <formula>$G37="en cours"</formula>
    </cfRule>
    <cfRule type="expression" dxfId="763" priority="40">
      <formula>$G37="non compris"</formula>
    </cfRule>
  </conditionalFormatting>
  <conditionalFormatting sqref="D39">
    <cfRule type="expression" dxfId="762" priority="35">
      <formula>$G39="réalisé"</formula>
    </cfRule>
    <cfRule type="expression" dxfId="761" priority="36">
      <formula>$G39="en cours"</formula>
    </cfRule>
    <cfRule type="expression" dxfId="760" priority="37">
      <formula>$G39="non compris"</formula>
    </cfRule>
  </conditionalFormatting>
  <conditionalFormatting sqref="D26">
    <cfRule type="expression" dxfId="759" priority="32">
      <formula>$G26="réalisé"</formula>
    </cfRule>
    <cfRule type="expression" dxfId="758" priority="33">
      <formula>$G26="en cours"</formula>
    </cfRule>
    <cfRule type="expression" dxfId="757" priority="34">
      <formula>$G26="non compris"</formula>
    </cfRule>
  </conditionalFormatting>
  <conditionalFormatting sqref="D28">
    <cfRule type="expression" dxfId="756" priority="29">
      <formula>$G28="réalisé"</formula>
    </cfRule>
    <cfRule type="expression" dxfId="755" priority="30">
      <formula>$G28="en cours"</formula>
    </cfRule>
    <cfRule type="expression" dxfId="754" priority="31">
      <formula>$G28="non compris"</formula>
    </cfRule>
  </conditionalFormatting>
  <conditionalFormatting sqref="D30">
    <cfRule type="expression" dxfId="753" priority="26">
      <formula>$G30="réalisé"</formula>
    </cfRule>
    <cfRule type="expression" dxfId="752" priority="27">
      <formula>$G30="en cours"</formula>
    </cfRule>
    <cfRule type="expression" dxfId="751" priority="28">
      <formula>$G30="non compris"</formula>
    </cfRule>
  </conditionalFormatting>
  <conditionalFormatting sqref="D32">
    <cfRule type="expression" dxfId="750" priority="23">
      <formula>$G32="réalisé"</formula>
    </cfRule>
    <cfRule type="expression" dxfId="749" priority="24">
      <formula>$G32="en cours"</formula>
    </cfRule>
    <cfRule type="expression" dxfId="748" priority="25">
      <formula>$G32="non compris"</formula>
    </cfRule>
  </conditionalFormatting>
  <conditionalFormatting sqref="D34">
    <cfRule type="expression" dxfId="747" priority="20">
      <formula>$G34="réalisé"</formula>
    </cfRule>
    <cfRule type="expression" dxfId="746" priority="21">
      <formula>$G34="en cours"</formula>
    </cfRule>
    <cfRule type="expression" dxfId="745" priority="22">
      <formula>$G34="non compris"</formula>
    </cfRule>
  </conditionalFormatting>
  <conditionalFormatting sqref="D36">
    <cfRule type="expression" dxfId="744" priority="17">
      <formula>$G36="réalisé"</formula>
    </cfRule>
    <cfRule type="expression" dxfId="743" priority="18">
      <formula>$G36="en cours"</formula>
    </cfRule>
    <cfRule type="expression" dxfId="742" priority="19">
      <formula>$G36="non compris"</formula>
    </cfRule>
  </conditionalFormatting>
  <conditionalFormatting sqref="D38">
    <cfRule type="expression" dxfId="741" priority="14">
      <formula>$G38="réalisé"</formula>
    </cfRule>
    <cfRule type="expression" dxfId="740" priority="15">
      <formula>$G38="en cours"</formula>
    </cfRule>
    <cfRule type="expression" dxfId="739" priority="16">
      <formula>$G38="non compris"</formula>
    </cfRule>
  </conditionalFormatting>
  <conditionalFormatting sqref="D45">
    <cfRule type="expression" dxfId="738" priority="11">
      <formula>$G45="réalisé"</formula>
    </cfRule>
    <cfRule type="expression" dxfId="737" priority="12">
      <formula>$G45="en cours"</formula>
    </cfRule>
    <cfRule type="expression" dxfId="736" priority="13">
      <formula>$G45="non compris"</formula>
    </cfRule>
  </conditionalFormatting>
  <conditionalFormatting sqref="D44">
    <cfRule type="expression" dxfId="735" priority="8">
      <formula>$G44="réalisé"</formula>
    </cfRule>
    <cfRule type="expression" dxfId="734" priority="9">
      <formula>$G44="en cours"</formula>
    </cfRule>
    <cfRule type="expression" dxfId="733" priority="10">
      <formula>$G44="non compris"</formula>
    </cfRule>
  </conditionalFormatting>
  <conditionalFormatting sqref="D43">
    <cfRule type="expression" dxfId="732" priority="5">
      <formula>$G43="réalisé"</formula>
    </cfRule>
    <cfRule type="expression" dxfId="731" priority="6">
      <formula>$G43="en cours"</formula>
    </cfRule>
    <cfRule type="expression" dxfId="730" priority="7">
      <formula>$G43="non compris"</formula>
    </cfRule>
  </conditionalFormatting>
  <conditionalFormatting sqref="D46">
    <cfRule type="expression" dxfId="729" priority="2">
      <formula>$G46="réalisé"</formula>
    </cfRule>
    <cfRule type="expression" dxfId="728" priority="3">
      <formula>$G46="en cours"</formula>
    </cfRule>
    <cfRule type="expression" dxfId="727" priority="4">
      <formula>$G46="non compris"</formula>
    </cfRule>
  </conditionalFormatting>
  <conditionalFormatting sqref="D8:D21">
    <cfRule type="expression" dxfId="726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  <pageSetUpPr fitToPage="1"/>
  </sheetPr>
  <dimension ref="A1:I68"/>
  <sheetViews>
    <sheetView topLeftCell="A10" zoomScaleNormal="100" workbookViewId="0">
      <selection activeCell="B18" sqref="B18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THOMAS-LACOMB</v>
      </c>
      <c r="D2" s="5" t="s">
        <v>98</v>
      </c>
      <c r="E2" s="522"/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/>
      <c r="D3" s="8" t="s">
        <v>3</v>
      </c>
      <c r="E3" s="525">
        <v>42894</v>
      </c>
      <c r="F3" s="526"/>
      <c r="G3" s="9"/>
      <c r="H3" s="527" t="str">
        <f ca="1">DATEDIF(E3,TODAY(),"m")&amp;"mois"&amp;-DATEDIF(E3,TODAY(),"md")&amp;"jours"</f>
        <v>2mois-15jours</v>
      </c>
      <c r="I3" s="528"/>
    </row>
    <row r="4" spans="1:9" ht="18.75" x14ac:dyDescent="0.25">
      <c r="A4" s="127" t="s">
        <v>222</v>
      </c>
      <c r="B4" s="215"/>
      <c r="C4" s="11"/>
      <c r="D4" s="12" t="s">
        <v>4</v>
      </c>
      <c r="E4" s="529">
        <f>E3+60</f>
        <v>42954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23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90" t="str">
        <f>D10</f>
        <v>TEMA</v>
      </c>
      <c r="E9" s="33">
        <v>23</v>
      </c>
      <c r="F9" s="34"/>
      <c r="G9" s="35" t="s">
        <v>55</v>
      </c>
      <c r="H9" s="31"/>
      <c r="I9" s="21"/>
    </row>
    <row r="10" spans="1:9" ht="15" customHeight="1" x14ac:dyDescent="0.25">
      <c r="A10" s="289">
        <v>21037.27</v>
      </c>
      <c r="B10" s="217">
        <f>A10-7012.42-10518.64-2629.66</f>
        <v>876.55000000000109</v>
      </c>
      <c r="C10" s="32" t="s">
        <v>13</v>
      </c>
      <c r="D10" s="89" t="s">
        <v>57</v>
      </c>
      <c r="E10" s="28">
        <f>E9</f>
        <v>23</v>
      </c>
      <c r="F10" s="36"/>
      <c r="G10" s="35" t="s">
        <v>55</v>
      </c>
      <c r="H10" s="31"/>
      <c r="I10" s="21"/>
    </row>
    <row r="11" spans="1:9" x14ac:dyDescent="0.25">
      <c r="A11" s="218"/>
      <c r="B11" s="219"/>
      <c r="C11" s="32" t="s">
        <v>88</v>
      </c>
      <c r="D11" s="90" t="s">
        <v>90</v>
      </c>
      <c r="E11" s="28">
        <f>E10+4</f>
        <v>27</v>
      </c>
      <c r="F11" s="34"/>
      <c r="G11" s="35" t="s">
        <v>96</v>
      </c>
      <c r="H11" s="31"/>
      <c r="I11" s="21"/>
    </row>
    <row r="12" spans="1:9" x14ac:dyDescent="0.25">
      <c r="A12" s="218"/>
      <c r="B12" s="219"/>
      <c r="C12" s="32" t="s">
        <v>14</v>
      </c>
      <c r="D12" s="89" t="s">
        <v>90</v>
      </c>
      <c r="E12" s="28">
        <f>E11</f>
        <v>27</v>
      </c>
      <c r="F12" s="34"/>
      <c r="G12" s="35" t="s">
        <v>96</v>
      </c>
      <c r="H12" s="31"/>
      <c r="I12" s="21"/>
    </row>
    <row r="13" spans="1:9" x14ac:dyDescent="0.25">
      <c r="A13" s="218"/>
      <c r="B13" s="219"/>
      <c r="C13" s="32" t="s">
        <v>15</v>
      </c>
      <c r="D13" s="90" t="s">
        <v>57</v>
      </c>
      <c r="E13" s="28">
        <f>E12+1</f>
        <v>28</v>
      </c>
      <c r="F13" s="34"/>
      <c r="G13" s="35" t="s">
        <v>55</v>
      </c>
      <c r="H13" s="31"/>
      <c r="I13" s="21"/>
    </row>
    <row r="14" spans="1:9" x14ac:dyDescent="0.25">
      <c r="A14" s="289">
        <v>1836.43</v>
      </c>
      <c r="B14" s="217">
        <f>A14-1836.43</f>
        <v>0</v>
      </c>
      <c r="C14" s="32" t="s">
        <v>16</v>
      </c>
      <c r="D14" s="89" t="s">
        <v>61</v>
      </c>
      <c r="E14" s="28">
        <f>IF(E13="","",MOD(E13+1,52))</f>
        <v>29</v>
      </c>
      <c r="F14" s="34"/>
      <c r="G14" s="35" t="s">
        <v>55</v>
      </c>
      <c r="H14" s="31"/>
      <c r="I14" s="21"/>
    </row>
    <row r="15" spans="1:9" x14ac:dyDescent="0.25">
      <c r="A15" s="218"/>
      <c r="B15" s="219"/>
      <c r="C15" s="32" t="s">
        <v>100</v>
      </c>
      <c r="D15" s="90" t="s">
        <v>61</v>
      </c>
      <c r="E15" s="28">
        <f>IF(E14="","",MOD(E14+1,52))</f>
        <v>30</v>
      </c>
      <c r="F15" s="34"/>
      <c r="G15" s="35" t="s">
        <v>55</v>
      </c>
      <c r="H15" s="31"/>
      <c r="I15" s="21"/>
    </row>
    <row r="16" spans="1:9" x14ac:dyDescent="0.25">
      <c r="A16" s="444">
        <v>1282.67</v>
      </c>
      <c r="B16" s="217">
        <f>A16-1282.67</f>
        <v>0</v>
      </c>
      <c r="C16" s="32" t="s">
        <v>85</v>
      </c>
      <c r="D16" s="89" t="s">
        <v>61</v>
      </c>
      <c r="E16" s="28">
        <f>IF(E15="","",MOD(E15+1,52))</f>
        <v>31</v>
      </c>
      <c r="F16" s="34"/>
      <c r="G16" s="35" t="s">
        <v>55</v>
      </c>
      <c r="H16" s="31"/>
      <c r="I16" s="21"/>
    </row>
    <row r="17" spans="1:9" x14ac:dyDescent="0.25">
      <c r="A17" s="444">
        <v>1853.89</v>
      </c>
      <c r="B17" s="217">
        <f>A17-1853.89</f>
        <v>0</v>
      </c>
      <c r="C17" s="32" t="s">
        <v>86</v>
      </c>
      <c r="D17" s="91" t="s">
        <v>64</v>
      </c>
      <c r="E17" s="28">
        <f>E16</f>
        <v>31</v>
      </c>
      <c r="F17" s="34"/>
      <c r="G17" s="35" t="s">
        <v>55</v>
      </c>
      <c r="H17" s="86"/>
      <c r="I17" s="21"/>
    </row>
    <row r="18" spans="1:9" x14ac:dyDescent="0.25">
      <c r="A18" s="218"/>
      <c r="B18" s="219"/>
      <c r="C18" s="157" t="s">
        <v>17</v>
      </c>
      <c r="D18" s="164" t="s">
        <v>94</v>
      </c>
      <c r="E18" s="159">
        <f>E16</f>
        <v>31</v>
      </c>
      <c r="F18" s="160"/>
      <c r="G18" s="161"/>
      <c r="H18" s="162"/>
      <c r="I18" s="21"/>
    </row>
    <row r="19" spans="1:9" x14ac:dyDescent="0.25">
      <c r="A19" s="289">
        <v>188.27</v>
      </c>
      <c r="B19" s="217">
        <f>A19</f>
        <v>188.27</v>
      </c>
      <c r="C19" s="37" t="s">
        <v>18</v>
      </c>
      <c r="D19" s="89" t="s">
        <v>90</v>
      </c>
      <c r="E19" s="28">
        <v>35</v>
      </c>
      <c r="F19" s="34"/>
      <c r="G19" s="35" t="s">
        <v>96</v>
      </c>
      <c r="H19" s="31"/>
      <c r="I19" s="21"/>
    </row>
    <row r="20" spans="1:9" x14ac:dyDescent="0.25">
      <c r="A20" s="218"/>
      <c r="B20" s="219"/>
      <c r="C20" s="32" t="s">
        <v>19</v>
      </c>
      <c r="D20" s="90" t="str">
        <f>D13</f>
        <v>TEMA</v>
      </c>
      <c r="E20" s="28">
        <f>IF(E16="","",MOD(E16+2,52))</f>
        <v>33</v>
      </c>
      <c r="F20" s="34"/>
      <c r="G20" s="35" t="s">
        <v>55</v>
      </c>
      <c r="H20" s="31"/>
      <c r="I20" s="21"/>
    </row>
    <row r="21" spans="1:9" x14ac:dyDescent="0.25">
      <c r="A21" s="217"/>
      <c r="B21" s="217"/>
      <c r="C21" s="132" t="s">
        <v>20</v>
      </c>
      <c r="D21" s="90" t="s">
        <v>80</v>
      </c>
      <c r="E21" s="28">
        <f>E19</f>
        <v>35</v>
      </c>
      <c r="F21" s="34"/>
      <c r="G21" s="133"/>
      <c r="H21" s="31"/>
      <c r="I21" s="21"/>
    </row>
    <row r="22" spans="1:9" x14ac:dyDescent="0.25">
      <c r="A22" s="220"/>
      <c r="B22" s="221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22"/>
      <c r="B23" s="223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18"/>
      <c r="B24" s="219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89">
        <v>532.72</v>
      </c>
      <c r="B25" s="217">
        <f>A25</f>
        <v>532.72</v>
      </c>
      <c r="C25" s="141" t="s">
        <v>92</v>
      </c>
      <c r="D25" s="89" t="s">
        <v>71</v>
      </c>
      <c r="E25" s="142">
        <f>IF(E19="","",MOD(E19+1,52))</f>
        <v>36</v>
      </c>
      <c r="F25" s="29"/>
      <c r="G25" s="30" t="s">
        <v>11</v>
      </c>
      <c r="H25" s="31"/>
      <c r="I25" s="21"/>
    </row>
    <row r="26" spans="1:9" x14ac:dyDescent="0.25">
      <c r="A26" s="217"/>
      <c r="B26" s="217"/>
      <c r="C26" s="32" t="s">
        <v>93</v>
      </c>
      <c r="D26" s="90" t="s">
        <v>90</v>
      </c>
      <c r="E26" s="28">
        <f>IF(E25="","",MOD(E25+1,52))</f>
        <v>37</v>
      </c>
      <c r="F26" s="34"/>
      <c r="G26" s="35" t="s">
        <v>96</v>
      </c>
      <c r="H26" s="31"/>
      <c r="I26" s="21"/>
    </row>
    <row r="27" spans="1:9" x14ac:dyDescent="0.25">
      <c r="A27" s="218"/>
      <c r="B27" s="219"/>
      <c r="C27" s="102" t="s">
        <v>22</v>
      </c>
      <c r="D27" s="89" t="str">
        <f>D25</f>
        <v>BENELEC</v>
      </c>
      <c r="E27" s="28">
        <f>IF(E26="","",MOD(E26+2,52))</f>
        <v>39</v>
      </c>
      <c r="F27" s="34"/>
      <c r="G27" s="35" t="s">
        <v>11</v>
      </c>
      <c r="H27" s="31"/>
      <c r="I27" s="21"/>
    </row>
    <row r="28" spans="1:9" x14ac:dyDescent="0.25">
      <c r="A28" s="217"/>
      <c r="B28" s="217"/>
      <c r="C28" s="143" t="s">
        <v>23</v>
      </c>
      <c r="D28" s="90" t="s">
        <v>90</v>
      </c>
      <c r="E28" s="28">
        <f>IF(E26="","",MOD(E26+2,52))</f>
        <v>39</v>
      </c>
      <c r="F28" s="34"/>
      <c r="G28" s="35" t="s">
        <v>96</v>
      </c>
      <c r="H28" s="31"/>
      <c r="I28" s="21"/>
    </row>
    <row r="29" spans="1:9" x14ac:dyDescent="0.25">
      <c r="A29" s="217"/>
      <c r="B29" s="217"/>
      <c r="C29" s="102" t="s">
        <v>24</v>
      </c>
      <c r="D29" s="89" t="s">
        <v>90</v>
      </c>
      <c r="E29" s="28">
        <f>IF(E28="","",MOD(E28+1,52))</f>
        <v>40</v>
      </c>
      <c r="F29" s="34"/>
      <c r="G29" s="35" t="s">
        <v>96</v>
      </c>
      <c r="H29" s="31"/>
      <c r="I29" s="21"/>
    </row>
    <row r="30" spans="1:9" x14ac:dyDescent="0.25">
      <c r="A30" s="217"/>
      <c r="B30" s="217"/>
      <c r="C30" s="32" t="s">
        <v>25</v>
      </c>
      <c r="D30" s="90" t="s">
        <v>90</v>
      </c>
      <c r="E30" s="28">
        <f>IF(E28="","",MOD(E28+1,52))</f>
        <v>40</v>
      </c>
      <c r="F30" s="34"/>
      <c r="G30" s="35" t="s">
        <v>96</v>
      </c>
      <c r="H30" s="31"/>
      <c r="I30" s="21"/>
    </row>
    <row r="31" spans="1:9" x14ac:dyDescent="0.25">
      <c r="A31" s="218"/>
      <c r="B31" s="219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17"/>
      <c r="B32" s="217"/>
      <c r="C32" s="32" t="s">
        <v>27</v>
      </c>
      <c r="D32" s="90" t="s">
        <v>90</v>
      </c>
      <c r="E32" s="28">
        <f>IF(E30="","",MOD(E30+1,52))</f>
        <v>41</v>
      </c>
      <c r="F32" s="34"/>
      <c r="G32" s="35" t="s">
        <v>96</v>
      </c>
      <c r="H32" s="31"/>
      <c r="I32" s="21"/>
    </row>
    <row r="33" spans="1:9" x14ac:dyDescent="0.25">
      <c r="A33" s="218"/>
      <c r="B33" s="219"/>
      <c r="C33" s="32" t="s">
        <v>28</v>
      </c>
      <c r="D33" s="89" t="str">
        <f>D26</f>
        <v>A CHARGE CLIENT</v>
      </c>
      <c r="E33" s="28">
        <f>IF(E32="","",MOD(E32+1,52))</f>
        <v>42</v>
      </c>
      <c r="F33" s="34"/>
      <c r="G33" s="35" t="s">
        <v>96</v>
      </c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BENELEC</v>
      </c>
      <c r="E34" s="28">
        <f>IF(E33="","",MOD(E33+1,52))</f>
        <v>43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A CHARGE CLIENT</v>
      </c>
      <c r="E35" s="28">
        <f>IF(E33="","",MOD(E33+1,52))</f>
        <v>43</v>
      </c>
      <c r="F35" s="34"/>
      <c r="G35" s="35" t="s">
        <v>96</v>
      </c>
      <c r="H35" s="31"/>
      <c r="I35" s="21"/>
    </row>
    <row r="36" spans="1:9" x14ac:dyDescent="0.25">
      <c r="A36" s="218"/>
      <c r="B36" s="219"/>
      <c r="C36" s="32" t="s">
        <v>31</v>
      </c>
      <c r="D36" s="90" t="s">
        <v>90</v>
      </c>
      <c r="E36" s="28">
        <f>E32+4</f>
        <v>45</v>
      </c>
      <c r="F36" s="34"/>
      <c r="G36" s="35" t="s">
        <v>96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44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">
        <v>90</v>
      </c>
      <c r="E38" s="28">
        <f>IF(E37="","",MOD(E37+1,52))</f>
        <v>45</v>
      </c>
      <c r="F38" s="34"/>
      <c r="G38" s="35" t="s">
        <v>96</v>
      </c>
      <c r="H38" s="31"/>
      <c r="I38" s="21"/>
    </row>
    <row r="39" spans="1:9" x14ac:dyDescent="0.25">
      <c r="A39" s="217"/>
      <c r="B39" s="217"/>
      <c r="C39" s="144" t="s">
        <v>34</v>
      </c>
      <c r="D39" s="89" t="s">
        <v>90</v>
      </c>
      <c r="E39" s="145">
        <f>IF(E38="","",MOD(E38+1,52))</f>
        <v>46</v>
      </c>
      <c r="F39" s="146"/>
      <c r="G39" s="133" t="s">
        <v>96</v>
      </c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89"/>
      <c r="B43" s="217"/>
      <c r="C43" s="153" t="s">
        <v>35</v>
      </c>
      <c r="D43" s="89" t="s">
        <v>82</v>
      </c>
      <c r="E43" s="154">
        <f>E28+1</f>
        <v>40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41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41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43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42859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41"/>
      <c r="E51" s="76"/>
      <c r="F51" s="2" t="s">
        <v>169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683" priority="72">
      <formula>$F22="réalisé"</formula>
    </cfRule>
  </conditionalFormatting>
  <conditionalFormatting sqref="C43:C46 E43:H46 C8:H21 E25:H39">
    <cfRule type="expression" dxfId="682" priority="69">
      <formula>$G8="réalisé"</formula>
    </cfRule>
    <cfRule type="expression" dxfId="681" priority="70">
      <formula>$G8="en cours"</formula>
    </cfRule>
    <cfRule type="expression" dxfId="680" priority="71">
      <formula>$G8="non compris"</formula>
    </cfRule>
  </conditionalFormatting>
  <conditionalFormatting sqref="C22:G22 C40:G40">
    <cfRule type="expression" dxfId="679" priority="68">
      <formula>$F22="non cpris"</formula>
    </cfRule>
  </conditionalFormatting>
  <conditionalFormatting sqref="C22:G22">
    <cfRule type="expression" dxfId="678" priority="67">
      <formula>$F22="en cours"</formula>
    </cfRule>
  </conditionalFormatting>
  <conditionalFormatting sqref="C25:C39">
    <cfRule type="expression" dxfId="677" priority="64">
      <formula>$G25="réalisé"</formula>
    </cfRule>
    <cfRule type="expression" dxfId="676" priority="65">
      <formula>$G25="en cours"</formula>
    </cfRule>
    <cfRule type="expression" dxfId="675" priority="66">
      <formula>$G25="non compris"</formula>
    </cfRule>
  </conditionalFormatting>
  <conditionalFormatting sqref="C50:F53">
    <cfRule type="expression" dxfId="674" priority="63">
      <formula>$F50="réalisé"</formula>
    </cfRule>
  </conditionalFormatting>
  <conditionalFormatting sqref="G9">
    <cfRule type="expression" dxfId="673" priority="62">
      <formula>$G$10="réalisé"</formula>
    </cfRule>
  </conditionalFormatting>
  <conditionalFormatting sqref="G10">
    <cfRule type="expression" dxfId="672" priority="61">
      <formula>$G$11="réalisé"</formula>
    </cfRule>
  </conditionalFormatting>
  <conditionalFormatting sqref="G16:G17">
    <cfRule type="expression" dxfId="671" priority="60">
      <formula>$G$18="réalisé"</formula>
    </cfRule>
  </conditionalFormatting>
  <conditionalFormatting sqref="G26">
    <cfRule type="expression" dxfId="670" priority="59">
      <formula>$G$27="réalisé"</formula>
    </cfRule>
  </conditionalFormatting>
  <conditionalFormatting sqref="D25">
    <cfRule type="expression" dxfId="669" priority="56">
      <formula>$G25="réalisé"</formula>
    </cfRule>
    <cfRule type="expression" dxfId="668" priority="57">
      <formula>$G25="en cours"</formula>
    </cfRule>
    <cfRule type="expression" dxfId="667" priority="58">
      <formula>$G25="non compris"</formula>
    </cfRule>
  </conditionalFormatting>
  <conditionalFormatting sqref="D27">
    <cfRule type="expression" dxfId="666" priority="53">
      <formula>$G27="réalisé"</formula>
    </cfRule>
    <cfRule type="expression" dxfId="665" priority="54">
      <formula>$G27="en cours"</formula>
    </cfRule>
    <cfRule type="expression" dxfId="664" priority="55">
      <formula>$G27="non compris"</formula>
    </cfRule>
  </conditionalFormatting>
  <conditionalFormatting sqref="D29">
    <cfRule type="expression" dxfId="663" priority="50">
      <formula>$G29="réalisé"</formula>
    </cfRule>
    <cfRule type="expression" dxfId="662" priority="51">
      <formula>$G29="en cours"</formula>
    </cfRule>
    <cfRule type="expression" dxfId="661" priority="52">
      <formula>$G29="non compris"</formula>
    </cfRule>
  </conditionalFormatting>
  <conditionalFormatting sqref="D31">
    <cfRule type="expression" dxfId="660" priority="47">
      <formula>$G31="réalisé"</formula>
    </cfRule>
    <cfRule type="expression" dxfId="659" priority="48">
      <formula>$G31="en cours"</formula>
    </cfRule>
    <cfRule type="expression" dxfId="658" priority="49">
      <formula>$G31="non compris"</formula>
    </cfRule>
  </conditionalFormatting>
  <conditionalFormatting sqref="D33">
    <cfRule type="expression" dxfId="657" priority="44">
      <formula>$G33="réalisé"</formula>
    </cfRule>
    <cfRule type="expression" dxfId="656" priority="45">
      <formula>$G33="en cours"</formula>
    </cfRule>
    <cfRule type="expression" dxfId="655" priority="46">
      <formula>$G33="non compris"</formula>
    </cfRule>
  </conditionalFormatting>
  <conditionalFormatting sqref="D35">
    <cfRule type="expression" dxfId="654" priority="41">
      <formula>$G35="réalisé"</formula>
    </cfRule>
    <cfRule type="expression" dxfId="653" priority="42">
      <formula>$G35="en cours"</formula>
    </cfRule>
    <cfRule type="expression" dxfId="652" priority="43">
      <formula>$G35="non compris"</formula>
    </cfRule>
  </conditionalFormatting>
  <conditionalFormatting sqref="D37">
    <cfRule type="expression" dxfId="651" priority="38">
      <formula>$G37="réalisé"</formula>
    </cfRule>
    <cfRule type="expression" dxfId="650" priority="39">
      <formula>$G37="en cours"</formula>
    </cfRule>
    <cfRule type="expression" dxfId="649" priority="40">
      <formula>$G37="non compris"</formula>
    </cfRule>
  </conditionalFormatting>
  <conditionalFormatting sqref="D39">
    <cfRule type="expression" dxfId="648" priority="35">
      <formula>$G39="réalisé"</formula>
    </cfRule>
    <cfRule type="expression" dxfId="647" priority="36">
      <formula>$G39="en cours"</formula>
    </cfRule>
    <cfRule type="expression" dxfId="646" priority="37">
      <formula>$G39="non compris"</formula>
    </cfRule>
  </conditionalFormatting>
  <conditionalFormatting sqref="D26">
    <cfRule type="expression" dxfId="645" priority="32">
      <formula>$G26="réalisé"</formula>
    </cfRule>
    <cfRule type="expression" dxfId="644" priority="33">
      <formula>$G26="en cours"</formula>
    </cfRule>
    <cfRule type="expression" dxfId="643" priority="34">
      <formula>$G26="non compris"</formula>
    </cfRule>
  </conditionalFormatting>
  <conditionalFormatting sqref="D28">
    <cfRule type="expression" dxfId="642" priority="29">
      <formula>$G28="réalisé"</formula>
    </cfRule>
    <cfRule type="expression" dxfId="641" priority="30">
      <formula>$G28="en cours"</formula>
    </cfRule>
    <cfRule type="expression" dxfId="640" priority="31">
      <formula>$G28="non compris"</formula>
    </cfRule>
  </conditionalFormatting>
  <conditionalFormatting sqref="D30">
    <cfRule type="expression" dxfId="639" priority="26">
      <formula>$G30="réalisé"</formula>
    </cfRule>
    <cfRule type="expression" dxfId="638" priority="27">
      <formula>$G30="en cours"</formula>
    </cfRule>
    <cfRule type="expression" dxfId="637" priority="28">
      <formula>$G30="non compris"</formula>
    </cfRule>
  </conditionalFormatting>
  <conditionalFormatting sqref="D32">
    <cfRule type="expression" dxfId="636" priority="23">
      <formula>$G32="réalisé"</formula>
    </cfRule>
    <cfRule type="expression" dxfId="635" priority="24">
      <formula>$G32="en cours"</formula>
    </cfRule>
    <cfRule type="expression" dxfId="634" priority="25">
      <formula>$G32="non compris"</formula>
    </cfRule>
  </conditionalFormatting>
  <conditionalFormatting sqref="D34">
    <cfRule type="expression" dxfId="633" priority="20">
      <formula>$G34="réalisé"</formula>
    </cfRule>
    <cfRule type="expression" dxfId="632" priority="21">
      <formula>$G34="en cours"</formula>
    </cfRule>
    <cfRule type="expression" dxfId="631" priority="22">
      <formula>$G34="non compris"</formula>
    </cfRule>
  </conditionalFormatting>
  <conditionalFormatting sqref="D36">
    <cfRule type="expression" dxfId="630" priority="17">
      <formula>$G36="réalisé"</formula>
    </cfRule>
    <cfRule type="expression" dxfId="629" priority="18">
      <formula>$G36="en cours"</formula>
    </cfRule>
    <cfRule type="expression" dxfId="628" priority="19">
      <formula>$G36="non compris"</formula>
    </cfRule>
  </conditionalFormatting>
  <conditionalFormatting sqref="D38">
    <cfRule type="expression" dxfId="627" priority="14">
      <formula>$G38="réalisé"</formula>
    </cfRule>
    <cfRule type="expression" dxfId="626" priority="15">
      <formula>$G38="en cours"</formula>
    </cfRule>
    <cfRule type="expression" dxfId="625" priority="16">
      <formula>$G38="non compris"</formula>
    </cfRule>
  </conditionalFormatting>
  <conditionalFormatting sqref="D45">
    <cfRule type="expression" dxfId="624" priority="11">
      <formula>$G45="réalisé"</formula>
    </cfRule>
    <cfRule type="expression" dxfId="623" priority="12">
      <formula>$G45="en cours"</formula>
    </cfRule>
    <cfRule type="expression" dxfId="622" priority="13">
      <formula>$G45="non compris"</formula>
    </cfRule>
  </conditionalFormatting>
  <conditionalFormatting sqref="D44">
    <cfRule type="expression" dxfId="621" priority="8">
      <formula>$G44="réalisé"</formula>
    </cfRule>
    <cfRule type="expression" dxfId="620" priority="9">
      <formula>$G44="en cours"</formula>
    </cfRule>
    <cfRule type="expression" dxfId="619" priority="10">
      <formula>$G44="non compris"</formula>
    </cfRule>
  </conditionalFormatting>
  <conditionalFormatting sqref="D43">
    <cfRule type="expression" dxfId="618" priority="5">
      <formula>$G43="réalisé"</formula>
    </cfRule>
    <cfRule type="expression" dxfId="617" priority="6">
      <formula>$G43="en cours"</formula>
    </cfRule>
    <cfRule type="expression" dxfId="616" priority="7">
      <formula>$G43="non compris"</formula>
    </cfRule>
  </conditionalFormatting>
  <conditionalFormatting sqref="D46">
    <cfRule type="expression" dxfId="615" priority="2">
      <formula>$G46="réalisé"</formula>
    </cfRule>
    <cfRule type="expression" dxfId="614" priority="3">
      <formula>$G46="en cours"</formula>
    </cfRule>
    <cfRule type="expression" dxfId="613" priority="4">
      <formula>$G46="non compris"</formula>
    </cfRule>
  </conditionalFormatting>
  <conditionalFormatting sqref="D8:D21">
    <cfRule type="expression" dxfId="612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50"/>
    <pageSetUpPr fitToPage="1"/>
  </sheetPr>
  <dimension ref="A1:I68"/>
  <sheetViews>
    <sheetView topLeftCell="A19" zoomScaleNormal="100" workbookViewId="0">
      <selection activeCell="G33" sqref="G33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THOMAS-MATHIS</v>
      </c>
      <c r="D2" s="5" t="s">
        <v>98</v>
      </c>
      <c r="E2" s="522">
        <v>42782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199</v>
      </c>
      <c r="D3" s="8" t="s">
        <v>3</v>
      </c>
      <c r="E3" s="525">
        <v>42817</v>
      </c>
      <c r="F3" s="526"/>
      <c r="G3" s="9"/>
      <c r="H3" s="527" t="str">
        <f ca="1">DATEDIF(E3,TODAY(),"m")&amp;"mois"&amp;-DATEDIF(E3,TODAY(),"md")&amp;"jours"</f>
        <v>5mois0jours</v>
      </c>
      <c r="I3" s="528"/>
    </row>
    <row r="4" spans="1:9" ht="18.75" x14ac:dyDescent="0.25">
      <c r="A4" s="127"/>
      <c r="B4" s="215"/>
      <c r="C4" s="11"/>
      <c r="D4" s="12" t="s">
        <v>4</v>
      </c>
      <c r="E4" s="529">
        <f>E3+60</f>
        <v>42877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12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90" t="str">
        <f>D10</f>
        <v>TEMA</v>
      </c>
      <c r="E9" s="33">
        <v>12</v>
      </c>
      <c r="F9" s="34"/>
      <c r="G9" s="35" t="s">
        <v>55</v>
      </c>
      <c r="H9" s="31"/>
      <c r="I9" s="21"/>
    </row>
    <row r="10" spans="1:9" ht="15" customHeight="1" x14ac:dyDescent="0.25">
      <c r="A10" s="289">
        <v>14981.62</v>
      </c>
      <c r="B10" s="217">
        <f>A10-12484.68</f>
        <v>2496.9400000000005</v>
      </c>
      <c r="C10" s="32" t="s">
        <v>13</v>
      </c>
      <c r="D10" s="89" t="s">
        <v>57</v>
      </c>
      <c r="E10" s="28">
        <f>E9</f>
        <v>12</v>
      </c>
      <c r="F10" s="36"/>
      <c r="G10" s="35" t="s">
        <v>55</v>
      </c>
      <c r="H10" s="31"/>
      <c r="I10" s="21"/>
    </row>
    <row r="11" spans="1:9" x14ac:dyDescent="0.25">
      <c r="A11" s="218"/>
      <c r="B11" s="219"/>
      <c r="C11" s="32" t="s">
        <v>88</v>
      </c>
      <c r="D11" s="90" t="s">
        <v>90</v>
      </c>
      <c r="E11" s="28">
        <f>E10+4</f>
        <v>16</v>
      </c>
      <c r="F11" s="34"/>
      <c r="G11" s="35" t="s">
        <v>96</v>
      </c>
      <c r="H11" s="31"/>
      <c r="I11" s="21"/>
    </row>
    <row r="12" spans="1:9" x14ac:dyDescent="0.25">
      <c r="A12" s="218"/>
      <c r="B12" s="219"/>
      <c r="C12" s="32" t="s">
        <v>14</v>
      </c>
      <c r="D12" s="89" t="s">
        <v>90</v>
      </c>
      <c r="E12" s="28">
        <f>E11</f>
        <v>16</v>
      </c>
      <c r="F12" s="34"/>
      <c r="G12" s="35" t="s">
        <v>96</v>
      </c>
      <c r="H12" s="31"/>
      <c r="I12" s="21"/>
    </row>
    <row r="13" spans="1:9" x14ac:dyDescent="0.25">
      <c r="A13" s="218"/>
      <c r="B13" s="219"/>
      <c r="C13" s="32" t="s">
        <v>15</v>
      </c>
      <c r="D13" s="90" t="s">
        <v>57</v>
      </c>
      <c r="E13" s="28">
        <f>E12+1</f>
        <v>17</v>
      </c>
      <c r="F13" s="34"/>
      <c r="G13" s="35" t="s">
        <v>55</v>
      </c>
      <c r="H13" s="31"/>
      <c r="I13" s="21"/>
    </row>
    <row r="14" spans="1:9" x14ac:dyDescent="0.25">
      <c r="A14" s="289">
        <v>640.73</v>
      </c>
      <c r="B14" s="217">
        <f>A14-640.73</f>
        <v>0</v>
      </c>
      <c r="C14" s="32" t="s">
        <v>16</v>
      </c>
      <c r="D14" s="89" t="s">
        <v>60</v>
      </c>
      <c r="E14" s="28">
        <v>17</v>
      </c>
      <c r="F14" s="34"/>
      <c r="G14" s="35" t="s">
        <v>55</v>
      </c>
      <c r="H14" s="31"/>
      <c r="I14" s="21"/>
    </row>
    <row r="15" spans="1:9" x14ac:dyDescent="0.25">
      <c r="A15" s="218"/>
      <c r="B15" s="219"/>
      <c r="C15" s="32" t="s">
        <v>100</v>
      </c>
      <c r="D15" s="90" t="str">
        <f>D10</f>
        <v>TEMA</v>
      </c>
      <c r="E15" s="28">
        <v>17</v>
      </c>
      <c r="F15" s="34"/>
      <c r="G15" s="35" t="s">
        <v>55</v>
      </c>
      <c r="H15" s="31"/>
      <c r="I15" s="21"/>
    </row>
    <row r="16" spans="1:9" x14ac:dyDescent="0.25">
      <c r="A16" s="225"/>
      <c r="B16" s="217"/>
      <c r="C16" s="32" t="s">
        <v>85</v>
      </c>
      <c r="D16" s="89" t="s">
        <v>90</v>
      </c>
      <c r="E16" s="28">
        <f>IF(E15="","",MOD(E15+1,52))</f>
        <v>18</v>
      </c>
      <c r="F16" s="34"/>
      <c r="G16" s="35" t="s">
        <v>96</v>
      </c>
      <c r="H16" s="31"/>
      <c r="I16" s="21"/>
    </row>
    <row r="17" spans="1:9" x14ac:dyDescent="0.25">
      <c r="A17" s="225"/>
      <c r="B17" s="217"/>
      <c r="C17" s="32" t="s">
        <v>86</v>
      </c>
      <c r="D17" s="91" t="s">
        <v>90</v>
      </c>
      <c r="E17" s="28">
        <f>E16</f>
        <v>18</v>
      </c>
      <c r="F17" s="34"/>
      <c r="G17" s="35" t="s">
        <v>96</v>
      </c>
      <c r="H17" s="86"/>
      <c r="I17" s="21"/>
    </row>
    <row r="18" spans="1:9" x14ac:dyDescent="0.25">
      <c r="A18" s="218"/>
      <c r="B18" s="219"/>
      <c r="C18" s="157" t="s">
        <v>17</v>
      </c>
      <c r="D18" s="164" t="s">
        <v>90</v>
      </c>
      <c r="E18" s="159">
        <f>E16</f>
        <v>18</v>
      </c>
      <c r="F18" s="160"/>
      <c r="G18" s="161" t="s">
        <v>96</v>
      </c>
      <c r="H18" s="162"/>
      <c r="I18" s="21"/>
    </row>
    <row r="19" spans="1:9" x14ac:dyDescent="0.25">
      <c r="A19" s="217"/>
      <c r="B19" s="217"/>
      <c r="C19" s="423" t="s">
        <v>18</v>
      </c>
      <c r="D19" s="424" t="s">
        <v>90</v>
      </c>
      <c r="E19" s="33">
        <v>25</v>
      </c>
      <c r="F19" s="425"/>
      <c r="G19" s="426" t="s">
        <v>96</v>
      </c>
      <c r="H19" s="128"/>
      <c r="I19" s="21"/>
    </row>
    <row r="20" spans="1:9" x14ac:dyDescent="0.25">
      <c r="A20" s="218"/>
      <c r="B20" s="219"/>
      <c r="C20" s="32" t="s">
        <v>19</v>
      </c>
      <c r="D20" s="90" t="str">
        <f>D13</f>
        <v>TEMA</v>
      </c>
      <c r="E20" s="28">
        <f>IF(E16="","",MOD(E16+2,52))</f>
        <v>20</v>
      </c>
      <c r="F20" s="34"/>
      <c r="G20" s="35" t="s">
        <v>55</v>
      </c>
      <c r="H20" s="31"/>
      <c r="I20" s="21"/>
    </row>
    <row r="21" spans="1:9" x14ac:dyDescent="0.25">
      <c r="A21" s="217"/>
      <c r="B21" s="217"/>
      <c r="C21" s="427" t="s">
        <v>20</v>
      </c>
      <c r="D21" s="428" t="s">
        <v>90</v>
      </c>
      <c r="E21" s="33">
        <f>E19</f>
        <v>25</v>
      </c>
      <c r="F21" s="425"/>
      <c r="G21" s="133" t="s">
        <v>96</v>
      </c>
      <c r="H21" s="31"/>
      <c r="I21" s="21"/>
    </row>
    <row r="22" spans="1:9" x14ac:dyDescent="0.25">
      <c r="A22" s="220"/>
      <c r="B22" s="221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22"/>
      <c r="B23" s="223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18"/>
      <c r="B24" s="219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17"/>
      <c r="B25" s="217"/>
      <c r="C25" s="141" t="s">
        <v>92</v>
      </c>
      <c r="D25" s="89" t="s">
        <v>90</v>
      </c>
      <c r="E25" s="142">
        <f>IF(E19="","",MOD(E19+1,52))</f>
        <v>26</v>
      </c>
      <c r="F25" s="29"/>
      <c r="G25" s="30" t="s">
        <v>96</v>
      </c>
      <c r="H25" s="31"/>
      <c r="I25" s="21"/>
    </row>
    <row r="26" spans="1:9" x14ac:dyDescent="0.25">
      <c r="A26" s="289">
        <v>1981.8</v>
      </c>
      <c r="B26" s="217">
        <f>A26-1981.8</f>
        <v>0</v>
      </c>
      <c r="C26" s="32" t="s">
        <v>93</v>
      </c>
      <c r="D26" s="90" t="s">
        <v>68</v>
      </c>
      <c r="E26" s="28">
        <v>27</v>
      </c>
      <c r="F26" s="34"/>
      <c r="G26" s="35" t="s">
        <v>55</v>
      </c>
      <c r="H26" s="31"/>
      <c r="I26" s="21"/>
    </row>
    <row r="27" spans="1:9" x14ac:dyDescent="0.25">
      <c r="A27" s="218"/>
      <c r="B27" s="219"/>
      <c r="C27" s="102" t="s">
        <v>22</v>
      </c>
      <c r="D27" s="89" t="str">
        <f>D25</f>
        <v>A CHARGE CLIENT</v>
      </c>
      <c r="E27" s="28">
        <f>IF(E26="","",MOD(E26+2,52))</f>
        <v>29</v>
      </c>
      <c r="F27" s="34"/>
      <c r="G27" s="35" t="s">
        <v>96</v>
      </c>
      <c r="H27" s="31"/>
      <c r="I27" s="21"/>
    </row>
    <row r="28" spans="1:9" x14ac:dyDescent="0.25">
      <c r="A28" s="217"/>
      <c r="B28" s="217"/>
      <c r="C28" s="143" t="s">
        <v>23</v>
      </c>
      <c r="D28" s="90" t="s">
        <v>90</v>
      </c>
      <c r="E28" s="28">
        <f>IF(E26="","",MOD(E26+2,52))</f>
        <v>29</v>
      </c>
      <c r="F28" s="34"/>
      <c r="G28" s="35" t="s">
        <v>96</v>
      </c>
      <c r="H28" s="31"/>
      <c r="I28" s="21"/>
    </row>
    <row r="29" spans="1:9" x14ac:dyDescent="0.25">
      <c r="A29" s="217"/>
      <c r="B29" s="217"/>
      <c r="C29" s="102" t="s">
        <v>24</v>
      </c>
      <c r="D29" s="89" t="s">
        <v>90</v>
      </c>
      <c r="E29" s="28">
        <f>IF(E28="","",MOD(E28+1,52))</f>
        <v>30</v>
      </c>
      <c r="F29" s="34"/>
      <c r="G29" s="35" t="s">
        <v>96</v>
      </c>
      <c r="H29" s="31"/>
      <c r="I29" s="21"/>
    </row>
    <row r="30" spans="1:9" x14ac:dyDescent="0.25">
      <c r="A30" s="217"/>
      <c r="B30" s="217"/>
      <c r="C30" s="32" t="s">
        <v>25</v>
      </c>
      <c r="D30" s="90" t="s">
        <v>90</v>
      </c>
      <c r="E30" s="28">
        <f>IF(E28="","",MOD(E28+1,52))</f>
        <v>30</v>
      </c>
      <c r="F30" s="34"/>
      <c r="G30" s="35" t="s">
        <v>96</v>
      </c>
      <c r="H30" s="31"/>
      <c r="I30" s="21"/>
    </row>
    <row r="31" spans="1:9" x14ac:dyDescent="0.25">
      <c r="A31" s="218"/>
      <c r="B31" s="219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17"/>
      <c r="B32" s="217"/>
      <c r="C32" s="32" t="s">
        <v>27</v>
      </c>
      <c r="D32" s="90" t="s">
        <v>90</v>
      </c>
      <c r="E32" s="28">
        <f>IF(E30="","",MOD(E30+1,52))</f>
        <v>31</v>
      </c>
      <c r="F32" s="34"/>
      <c r="G32" s="35" t="s">
        <v>96</v>
      </c>
      <c r="H32" s="31"/>
      <c r="I32" s="21"/>
    </row>
    <row r="33" spans="1:9" x14ac:dyDescent="0.25">
      <c r="A33" s="218"/>
      <c r="B33" s="219"/>
      <c r="C33" s="32" t="s">
        <v>28</v>
      </c>
      <c r="D33" s="89" t="str">
        <f>D26</f>
        <v>SOARES</v>
      </c>
      <c r="E33" s="28">
        <f>IF(E32="","",MOD(E32+1,52))</f>
        <v>32</v>
      </c>
      <c r="F33" s="34"/>
      <c r="G33" s="35" t="s">
        <v>55</v>
      </c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A CHARGE CLIENT</v>
      </c>
      <c r="E34" s="28">
        <f>IF(E33="","",MOD(E33+1,52))</f>
        <v>33</v>
      </c>
      <c r="F34" s="34"/>
      <c r="G34" s="35" t="s">
        <v>96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A CHARGE CLIENT</v>
      </c>
      <c r="E35" s="28">
        <f>IF(E33="","",MOD(E33+1,52))</f>
        <v>33</v>
      </c>
      <c r="F35" s="34"/>
      <c r="G35" s="35" t="s">
        <v>96</v>
      </c>
      <c r="H35" s="31"/>
      <c r="I35" s="21"/>
    </row>
    <row r="36" spans="1:9" x14ac:dyDescent="0.25">
      <c r="A36" s="218"/>
      <c r="B36" s="219"/>
      <c r="C36" s="32" t="s">
        <v>31</v>
      </c>
      <c r="D36" s="90" t="s">
        <v>90</v>
      </c>
      <c r="E36" s="28">
        <f>E32+4</f>
        <v>35</v>
      </c>
      <c r="F36" s="34"/>
      <c r="G36" s="35" t="s">
        <v>96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34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">
        <v>90</v>
      </c>
      <c r="E38" s="28">
        <f>IF(E37="","",MOD(E37+1,52))</f>
        <v>35</v>
      </c>
      <c r="F38" s="34"/>
      <c r="G38" s="35" t="s">
        <v>96</v>
      </c>
      <c r="H38" s="31"/>
      <c r="I38" s="21"/>
    </row>
    <row r="39" spans="1:9" x14ac:dyDescent="0.25">
      <c r="A39" s="289">
        <v>0</v>
      </c>
      <c r="B39" s="217"/>
      <c r="C39" s="144" t="s">
        <v>34</v>
      </c>
      <c r="D39" s="89" t="s">
        <v>79</v>
      </c>
      <c r="E39" s="145">
        <f>IF(E38="","",MOD(E38+1,52))</f>
        <v>36</v>
      </c>
      <c r="F39" s="146"/>
      <c r="G39" s="133"/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89"/>
      <c r="B43" s="217"/>
      <c r="C43" s="153" t="s">
        <v>35</v>
      </c>
      <c r="D43" s="89" t="s">
        <v>82</v>
      </c>
      <c r="E43" s="154">
        <f>E28+1</f>
        <v>30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31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31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33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42802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569" priority="72">
      <formula>$F22="réalisé"</formula>
    </cfRule>
  </conditionalFormatting>
  <conditionalFormatting sqref="C43:C46 E43:H46 C8:H21 E25:H39">
    <cfRule type="expression" dxfId="568" priority="69">
      <formula>$G8="réalisé"</formula>
    </cfRule>
    <cfRule type="expression" dxfId="567" priority="70">
      <formula>$G8="en cours"</formula>
    </cfRule>
    <cfRule type="expression" dxfId="566" priority="71">
      <formula>$G8="non compris"</formula>
    </cfRule>
  </conditionalFormatting>
  <conditionalFormatting sqref="C22:G22 C40:G40">
    <cfRule type="expression" dxfId="565" priority="68">
      <formula>$F22="non cpris"</formula>
    </cfRule>
  </conditionalFormatting>
  <conditionalFormatting sqref="C22:G22">
    <cfRule type="expression" dxfId="564" priority="67">
      <formula>$F22="en cours"</formula>
    </cfRule>
  </conditionalFormatting>
  <conditionalFormatting sqref="C25:C39">
    <cfRule type="expression" dxfId="563" priority="64">
      <formula>$G25="réalisé"</formula>
    </cfRule>
    <cfRule type="expression" dxfId="562" priority="65">
      <formula>$G25="en cours"</formula>
    </cfRule>
    <cfRule type="expression" dxfId="561" priority="66">
      <formula>$G25="non compris"</formula>
    </cfRule>
  </conditionalFormatting>
  <conditionalFormatting sqref="C50:F53">
    <cfRule type="expression" dxfId="560" priority="63">
      <formula>$F50="réalisé"</formula>
    </cfRule>
  </conditionalFormatting>
  <conditionalFormatting sqref="G9">
    <cfRule type="expression" dxfId="559" priority="62">
      <formula>$G$10="réalisé"</formula>
    </cfRule>
  </conditionalFormatting>
  <conditionalFormatting sqref="G10">
    <cfRule type="expression" dxfId="558" priority="61">
      <formula>$G$11="réalisé"</formula>
    </cfRule>
  </conditionalFormatting>
  <conditionalFormatting sqref="G16:G17">
    <cfRule type="expression" dxfId="557" priority="60">
      <formula>$G$18="réalisé"</formula>
    </cfRule>
  </conditionalFormatting>
  <conditionalFormatting sqref="G26">
    <cfRule type="expression" dxfId="556" priority="59">
      <formula>$G$27="réalisé"</formula>
    </cfRule>
  </conditionalFormatting>
  <conditionalFormatting sqref="D25">
    <cfRule type="expression" dxfId="555" priority="56">
      <formula>$G25="réalisé"</formula>
    </cfRule>
    <cfRule type="expression" dxfId="554" priority="57">
      <formula>$G25="en cours"</formula>
    </cfRule>
    <cfRule type="expression" dxfId="553" priority="58">
      <formula>$G25="non compris"</formula>
    </cfRule>
  </conditionalFormatting>
  <conditionalFormatting sqref="D27">
    <cfRule type="expression" dxfId="552" priority="53">
      <formula>$G27="réalisé"</formula>
    </cfRule>
    <cfRule type="expression" dxfId="551" priority="54">
      <formula>$G27="en cours"</formula>
    </cfRule>
    <cfRule type="expression" dxfId="550" priority="55">
      <formula>$G27="non compris"</formula>
    </cfRule>
  </conditionalFormatting>
  <conditionalFormatting sqref="D29">
    <cfRule type="expression" dxfId="549" priority="50">
      <formula>$G29="réalisé"</formula>
    </cfRule>
    <cfRule type="expression" dxfId="548" priority="51">
      <formula>$G29="en cours"</formula>
    </cfRule>
    <cfRule type="expression" dxfId="547" priority="52">
      <formula>$G29="non compris"</formula>
    </cfRule>
  </conditionalFormatting>
  <conditionalFormatting sqref="D31">
    <cfRule type="expression" dxfId="546" priority="47">
      <formula>$G31="réalisé"</formula>
    </cfRule>
    <cfRule type="expression" dxfId="545" priority="48">
      <formula>$G31="en cours"</formula>
    </cfRule>
    <cfRule type="expression" dxfId="544" priority="49">
      <formula>$G31="non compris"</formula>
    </cfRule>
  </conditionalFormatting>
  <conditionalFormatting sqref="D33">
    <cfRule type="expression" dxfId="543" priority="44">
      <formula>$G33="réalisé"</formula>
    </cfRule>
    <cfRule type="expression" dxfId="542" priority="45">
      <formula>$G33="en cours"</formula>
    </cfRule>
    <cfRule type="expression" dxfId="541" priority="46">
      <formula>$G33="non compris"</formula>
    </cfRule>
  </conditionalFormatting>
  <conditionalFormatting sqref="D35">
    <cfRule type="expression" dxfId="540" priority="41">
      <formula>$G35="réalisé"</formula>
    </cfRule>
    <cfRule type="expression" dxfId="539" priority="42">
      <formula>$G35="en cours"</formula>
    </cfRule>
    <cfRule type="expression" dxfId="538" priority="43">
      <formula>$G35="non compris"</formula>
    </cfRule>
  </conditionalFormatting>
  <conditionalFormatting sqref="D37">
    <cfRule type="expression" dxfId="537" priority="38">
      <formula>$G37="réalisé"</formula>
    </cfRule>
    <cfRule type="expression" dxfId="536" priority="39">
      <formula>$G37="en cours"</formula>
    </cfRule>
    <cfRule type="expression" dxfId="535" priority="40">
      <formula>$G37="non compris"</formula>
    </cfRule>
  </conditionalFormatting>
  <conditionalFormatting sqref="D39">
    <cfRule type="expression" dxfId="534" priority="35">
      <formula>$G39="réalisé"</formula>
    </cfRule>
    <cfRule type="expression" dxfId="533" priority="36">
      <formula>$G39="en cours"</formula>
    </cfRule>
    <cfRule type="expression" dxfId="532" priority="37">
      <formula>$G39="non compris"</formula>
    </cfRule>
  </conditionalFormatting>
  <conditionalFormatting sqref="D26">
    <cfRule type="expression" dxfId="531" priority="32">
      <formula>$G26="réalisé"</formula>
    </cfRule>
    <cfRule type="expression" dxfId="530" priority="33">
      <formula>$G26="en cours"</formula>
    </cfRule>
    <cfRule type="expression" dxfId="529" priority="34">
      <formula>$G26="non compris"</formula>
    </cfRule>
  </conditionalFormatting>
  <conditionalFormatting sqref="D28">
    <cfRule type="expression" dxfId="528" priority="29">
      <formula>$G28="réalisé"</formula>
    </cfRule>
    <cfRule type="expression" dxfId="527" priority="30">
      <formula>$G28="en cours"</formula>
    </cfRule>
    <cfRule type="expression" dxfId="526" priority="31">
      <formula>$G28="non compris"</formula>
    </cfRule>
  </conditionalFormatting>
  <conditionalFormatting sqref="D30">
    <cfRule type="expression" dxfId="525" priority="26">
      <formula>$G30="réalisé"</formula>
    </cfRule>
    <cfRule type="expression" dxfId="524" priority="27">
      <formula>$G30="en cours"</formula>
    </cfRule>
    <cfRule type="expression" dxfId="523" priority="28">
      <formula>$G30="non compris"</formula>
    </cfRule>
  </conditionalFormatting>
  <conditionalFormatting sqref="D32">
    <cfRule type="expression" dxfId="522" priority="23">
      <formula>$G32="réalisé"</formula>
    </cfRule>
    <cfRule type="expression" dxfId="521" priority="24">
      <formula>$G32="en cours"</formula>
    </cfRule>
    <cfRule type="expression" dxfId="520" priority="25">
      <formula>$G32="non compris"</formula>
    </cfRule>
  </conditionalFormatting>
  <conditionalFormatting sqref="D34">
    <cfRule type="expression" dxfId="519" priority="20">
      <formula>$G34="réalisé"</formula>
    </cfRule>
    <cfRule type="expression" dxfId="518" priority="21">
      <formula>$G34="en cours"</formula>
    </cfRule>
    <cfRule type="expression" dxfId="517" priority="22">
      <formula>$G34="non compris"</formula>
    </cfRule>
  </conditionalFormatting>
  <conditionalFormatting sqref="D36">
    <cfRule type="expression" dxfId="516" priority="17">
      <formula>$G36="réalisé"</formula>
    </cfRule>
    <cfRule type="expression" dxfId="515" priority="18">
      <formula>$G36="en cours"</formula>
    </cfRule>
    <cfRule type="expression" dxfId="514" priority="19">
      <formula>$G36="non compris"</formula>
    </cfRule>
  </conditionalFormatting>
  <conditionalFormatting sqref="D38">
    <cfRule type="expression" dxfId="513" priority="14">
      <formula>$G38="réalisé"</formula>
    </cfRule>
    <cfRule type="expression" dxfId="512" priority="15">
      <formula>$G38="en cours"</formula>
    </cfRule>
    <cfRule type="expression" dxfId="511" priority="16">
      <formula>$G38="non compris"</formula>
    </cfRule>
  </conditionalFormatting>
  <conditionalFormatting sqref="D45">
    <cfRule type="expression" dxfId="510" priority="11">
      <formula>$G45="réalisé"</formula>
    </cfRule>
    <cfRule type="expression" dxfId="509" priority="12">
      <formula>$G45="en cours"</formula>
    </cfRule>
    <cfRule type="expression" dxfId="508" priority="13">
      <formula>$G45="non compris"</formula>
    </cfRule>
  </conditionalFormatting>
  <conditionalFormatting sqref="D44">
    <cfRule type="expression" dxfId="507" priority="8">
      <formula>$G44="réalisé"</formula>
    </cfRule>
    <cfRule type="expression" dxfId="506" priority="9">
      <formula>$G44="en cours"</formula>
    </cfRule>
    <cfRule type="expression" dxfId="505" priority="10">
      <formula>$G44="non compris"</formula>
    </cfRule>
  </conditionalFormatting>
  <conditionalFormatting sqref="D43">
    <cfRule type="expression" dxfId="504" priority="5">
      <formula>$G43="réalisé"</formula>
    </cfRule>
    <cfRule type="expression" dxfId="503" priority="6">
      <formula>$G43="en cours"</formula>
    </cfRule>
    <cfRule type="expression" dxfId="502" priority="7">
      <formula>$G43="non compris"</formula>
    </cfRule>
  </conditionalFormatting>
  <conditionalFormatting sqref="D46">
    <cfRule type="expression" dxfId="501" priority="2">
      <formula>$G46="réalisé"</formula>
    </cfRule>
    <cfRule type="expression" dxfId="500" priority="3">
      <formula>$G46="en cours"</formula>
    </cfRule>
    <cfRule type="expression" dxfId="499" priority="4">
      <formula>$G46="non compris"</formula>
    </cfRule>
  </conditionalFormatting>
  <conditionalFormatting sqref="D8:D21">
    <cfRule type="expression" dxfId="498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B050"/>
    <pageSetUpPr fitToPage="1"/>
  </sheetPr>
  <dimension ref="A1:I69"/>
  <sheetViews>
    <sheetView topLeftCell="A10" zoomScaleNormal="100" workbookViewId="0">
      <selection activeCell="G20" sqref="G2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WEBER</v>
      </c>
      <c r="D2" s="5" t="s">
        <v>98</v>
      </c>
      <c r="E2" s="522"/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219</v>
      </c>
      <c r="D3" s="8" t="s">
        <v>3</v>
      </c>
      <c r="E3" s="525">
        <v>42898</v>
      </c>
      <c r="F3" s="526"/>
      <c r="G3" s="9"/>
      <c r="H3" s="527" t="str">
        <f ca="1">DATEDIF(E3,TODAY(),"m")&amp;"mois"&amp;-DATEDIF(E3,TODAY(),"md")&amp;"jours"</f>
        <v>2mois-11jours</v>
      </c>
      <c r="I3" s="528"/>
    </row>
    <row r="4" spans="1:9" ht="18.75" x14ac:dyDescent="0.25">
      <c r="A4" s="127" t="s">
        <v>222</v>
      </c>
      <c r="B4" s="215"/>
      <c r="C4" s="11" t="s">
        <v>224</v>
      </c>
      <c r="D4" s="12" t="s">
        <v>4</v>
      </c>
      <c r="E4" s="529">
        <f>E3+60</f>
        <v>42958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24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238</v>
      </c>
      <c r="D9" s="90" t="s">
        <v>57</v>
      </c>
      <c r="E9" s="33">
        <v>24</v>
      </c>
      <c r="F9" s="34"/>
      <c r="G9" s="35" t="s">
        <v>55</v>
      </c>
      <c r="H9" s="31"/>
      <c r="I9" s="21"/>
    </row>
    <row r="10" spans="1:9" ht="15" customHeight="1" x14ac:dyDescent="0.25">
      <c r="A10" s="289">
        <v>14912.21</v>
      </c>
      <c r="B10" s="217">
        <f>14912.21-7456.1-6100.45</f>
        <v>1355.6599999999989</v>
      </c>
      <c r="C10" s="32" t="s">
        <v>13</v>
      </c>
      <c r="D10" s="89" t="s">
        <v>57</v>
      </c>
      <c r="E10" s="28">
        <f>E9</f>
        <v>24</v>
      </c>
      <c r="F10" s="36"/>
      <c r="G10" s="35" t="s">
        <v>55</v>
      </c>
      <c r="H10" s="31"/>
      <c r="I10" s="21"/>
    </row>
    <row r="11" spans="1:9" x14ac:dyDescent="0.25">
      <c r="A11" s="218"/>
      <c r="B11" s="219"/>
      <c r="C11" s="32" t="s">
        <v>88</v>
      </c>
      <c r="D11" s="90" t="s">
        <v>90</v>
      </c>
      <c r="E11" s="28">
        <f>E10+4</f>
        <v>28</v>
      </c>
      <c r="F11" s="34"/>
      <c r="G11" s="35" t="s">
        <v>96</v>
      </c>
      <c r="H11" s="31"/>
      <c r="I11" s="21"/>
    </row>
    <row r="12" spans="1:9" x14ac:dyDescent="0.25">
      <c r="A12" s="218"/>
      <c r="B12" s="219"/>
      <c r="C12" s="32" t="s">
        <v>14</v>
      </c>
      <c r="D12" s="89" t="s">
        <v>90</v>
      </c>
      <c r="E12" s="28">
        <f>E11</f>
        <v>28</v>
      </c>
      <c r="F12" s="34"/>
      <c r="G12" s="35" t="s">
        <v>96</v>
      </c>
      <c r="H12" s="31"/>
      <c r="I12" s="21"/>
    </row>
    <row r="13" spans="1:9" x14ac:dyDescent="0.25">
      <c r="A13" s="218"/>
      <c r="B13" s="219"/>
      <c r="C13" s="32" t="s">
        <v>15</v>
      </c>
      <c r="D13" s="90" t="s">
        <v>57</v>
      </c>
      <c r="E13" s="28">
        <f>E12+1</f>
        <v>29</v>
      </c>
      <c r="F13" s="34"/>
      <c r="G13" s="35" t="s">
        <v>55</v>
      </c>
      <c r="H13" s="31"/>
      <c r="I13" s="21"/>
    </row>
    <row r="14" spans="1:9" x14ac:dyDescent="0.25">
      <c r="A14" s="217"/>
      <c r="B14" s="217"/>
      <c r="C14" s="94" t="s">
        <v>16</v>
      </c>
      <c r="D14" s="100" t="s">
        <v>94</v>
      </c>
      <c r="E14" s="101">
        <f>IF(E13="","",MOD(E13+1,52))</f>
        <v>30</v>
      </c>
      <c r="F14" s="97"/>
      <c r="G14" s="98" t="s">
        <v>11</v>
      </c>
      <c r="H14" s="99"/>
      <c r="I14" s="21"/>
    </row>
    <row r="15" spans="1:9" x14ac:dyDescent="0.25">
      <c r="A15" s="218"/>
      <c r="B15" s="219"/>
      <c r="C15" s="32" t="s">
        <v>100</v>
      </c>
      <c r="D15" s="90" t="str">
        <f>D10</f>
        <v>TEMA</v>
      </c>
      <c r="E15" s="28">
        <f>IF(E14="","",MOD(E14+1,52))</f>
        <v>31</v>
      </c>
      <c r="F15" s="34"/>
      <c r="G15" s="35" t="s">
        <v>55</v>
      </c>
      <c r="H15" s="31"/>
      <c r="I15" s="21"/>
    </row>
    <row r="16" spans="1:9" x14ac:dyDescent="0.25">
      <c r="A16" s="225"/>
      <c r="B16" s="217"/>
      <c r="C16" s="94" t="s">
        <v>85</v>
      </c>
      <c r="D16" s="100" t="s">
        <v>94</v>
      </c>
      <c r="E16" s="101">
        <f>IF(E15="","",MOD(E15+1,52))</f>
        <v>32</v>
      </c>
      <c r="F16" s="97"/>
      <c r="G16" s="98"/>
      <c r="H16" s="99"/>
      <c r="I16" s="21"/>
    </row>
    <row r="17" spans="1:9" x14ac:dyDescent="0.25">
      <c r="A17" s="225"/>
      <c r="B17" s="217"/>
      <c r="C17" s="32" t="s">
        <v>86</v>
      </c>
      <c r="D17" s="91" t="s">
        <v>64</v>
      </c>
      <c r="E17" s="28">
        <f>E16</f>
        <v>32</v>
      </c>
      <c r="F17" s="34"/>
      <c r="G17" s="35" t="s">
        <v>55</v>
      </c>
      <c r="H17" s="86"/>
      <c r="I17" s="21"/>
    </row>
    <row r="18" spans="1:9" x14ac:dyDescent="0.25">
      <c r="A18" s="218"/>
      <c r="B18" s="219"/>
      <c r="C18" s="446" t="s">
        <v>17</v>
      </c>
      <c r="D18" s="447" t="s">
        <v>90</v>
      </c>
      <c r="E18" s="448">
        <f>E16</f>
        <v>32</v>
      </c>
      <c r="F18" s="449"/>
      <c r="G18" s="450" t="s">
        <v>96</v>
      </c>
      <c r="H18" s="451"/>
      <c r="I18" s="21"/>
    </row>
    <row r="19" spans="1:9" x14ac:dyDescent="0.25">
      <c r="A19" s="289">
        <v>2400.44</v>
      </c>
      <c r="B19" s="217">
        <v>2400.44</v>
      </c>
      <c r="C19" s="37" t="s">
        <v>18</v>
      </c>
      <c r="D19" s="89" t="s">
        <v>65</v>
      </c>
      <c r="E19" s="28">
        <v>35</v>
      </c>
      <c r="F19" s="34"/>
      <c r="G19" s="35"/>
      <c r="H19" s="31"/>
      <c r="I19" s="21"/>
    </row>
    <row r="20" spans="1:9" x14ac:dyDescent="0.25">
      <c r="A20" s="218"/>
      <c r="B20" s="219"/>
      <c r="C20" s="32" t="s">
        <v>19</v>
      </c>
      <c r="D20" s="90" t="str">
        <f>D13</f>
        <v>TEMA</v>
      </c>
      <c r="E20" s="28">
        <f>IF(E16="","",MOD(E16+2,52))</f>
        <v>34</v>
      </c>
      <c r="F20" s="34"/>
      <c r="G20" s="35" t="s">
        <v>55</v>
      </c>
      <c r="H20" s="31"/>
      <c r="I20" s="21"/>
    </row>
    <row r="21" spans="1:9" x14ac:dyDescent="0.25">
      <c r="A21" s="289"/>
      <c r="B21" s="217"/>
      <c r="C21" s="132" t="s">
        <v>20</v>
      </c>
      <c r="D21" s="90" t="s">
        <v>80</v>
      </c>
      <c r="E21" s="28">
        <f>E19</f>
        <v>35</v>
      </c>
      <c r="F21" s="34"/>
      <c r="G21" s="133"/>
      <c r="H21" s="31"/>
      <c r="I21" s="21"/>
    </row>
    <row r="22" spans="1:9" x14ac:dyDescent="0.25">
      <c r="A22" s="220"/>
      <c r="B22" s="221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222"/>
      <c r="B23" s="223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18"/>
      <c r="B24" s="219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89">
        <v>982.94</v>
      </c>
      <c r="B25" s="217">
        <f>A25</f>
        <v>982.94</v>
      </c>
      <c r="C25" s="141" t="s">
        <v>92</v>
      </c>
      <c r="D25" s="89" t="s">
        <v>129</v>
      </c>
      <c r="E25" s="142">
        <f>IF(E19="","",MOD(E19+1,52))</f>
        <v>36</v>
      </c>
      <c r="F25" s="29"/>
      <c r="G25" s="30" t="s">
        <v>11</v>
      </c>
      <c r="H25" s="31"/>
      <c r="I25" s="21"/>
    </row>
    <row r="26" spans="1:9" x14ac:dyDescent="0.25">
      <c r="A26" s="217"/>
      <c r="B26" s="217"/>
      <c r="C26" s="32" t="s">
        <v>93</v>
      </c>
      <c r="D26" s="90" t="s">
        <v>90</v>
      </c>
      <c r="E26" s="28">
        <f>IF(E25="","",MOD(E25+1,52))</f>
        <v>37</v>
      </c>
      <c r="F26" s="34"/>
      <c r="G26" s="35" t="s">
        <v>96</v>
      </c>
      <c r="H26" s="31"/>
      <c r="I26" s="21"/>
    </row>
    <row r="27" spans="1:9" x14ac:dyDescent="0.25">
      <c r="A27" s="218"/>
      <c r="B27" s="219"/>
      <c r="C27" s="102" t="s">
        <v>22</v>
      </c>
      <c r="D27" s="89" t="str">
        <f>D25</f>
        <v>ELECTRO HECKER</v>
      </c>
      <c r="E27" s="28">
        <f>IF(E26="","",MOD(E26+2,52))</f>
        <v>39</v>
      </c>
      <c r="F27" s="34"/>
      <c r="G27" s="35"/>
      <c r="H27" s="31"/>
      <c r="I27" s="21"/>
    </row>
    <row r="28" spans="1:9" x14ac:dyDescent="0.25">
      <c r="A28" s="217"/>
      <c r="B28" s="217"/>
      <c r="C28" s="143" t="s">
        <v>23</v>
      </c>
      <c r="D28" s="90" t="s">
        <v>90</v>
      </c>
      <c r="E28" s="28">
        <f>IF(E26="","",MOD(E26+2,52))</f>
        <v>39</v>
      </c>
      <c r="F28" s="34"/>
      <c r="G28" s="35" t="s">
        <v>96</v>
      </c>
      <c r="H28" s="31"/>
      <c r="I28" s="21"/>
    </row>
    <row r="29" spans="1:9" x14ac:dyDescent="0.25">
      <c r="A29" s="217"/>
      <c r="B29" s="217"/>
      <c r="C29" s="102" t="s">
        <v>24</v>
      </c>
      <c r="D29" s="89" t="s">
        <v>90</v>
      </c>
      <c r="E29" s="28">
        <f>IF(E28="","",MOD(E28+1,52))</f>
        <v>40</v>
      </c>
      <c r="F29" s="34"/>
      <c r="G29" s="35" t="s">
        <v>96</v>
      </c>
      <c r="H29" s="31"/>
      <c r="I29" s="21"/>
    </row>
    <row r="30" spans="1:9" x14ac:dyDescent="0.25">
      <c r="A30" s="217"/>
      <c r="B30" s="217"/>
      <c r="C30" s="32" t="s">
        <v>25</v>
      </c>
      <c r="D30" s="90" t="s">
        <v>90</v>
      </c>
      <c r="E30" s="28">
        <f>IF(E28="","",MOD(E28+1,52))</f>
        <v>40</v>
      </c>
      <c r="F30" s="34"/>
      <c r="G30" s="35" t="s">
        <v>96</v>
      </c>
      <c r="H30" s="31"/>
      <c r="I30" s="21"/>
    </row>
    <row r="31" spans="1:9" x14ac:dyDescent="0.25">
      <c r="A31" s="218"/>
      <c r="B31" s="219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289"/>
      <c r="B32" s="217"/>
      <c r="C32" s="32" t="s">
        <v>27</v>
      </c>
      <c r="D32" s="90" t="s">
        <v>78</v>
      </c>
      <c r="E32" s="28">
        <f>IF(E30="","",MOD(E30+1,52))</f>
        <v>41</v>
      </c>
      <c r="F32" s="34"/>
      <c r="G32" s="35"/>
      <c r="H32" s="31"/>
      <c r="I32" s="21"/>
    </row>
    <row r="33" spans="1:9" x14ac:dyDescent="0.25">
      <c r="A33" s="218"/>
      <c r="B33" s="219"/>
      <c r="C33" s="32" t="s">
        <v>28</v>
      </c>
      <c r="D33" s="89" t="str">
        <f>D26</f>
        <v>A CHARGE CLIENT</v>
      </c>
      <c r="E33" s="28">
        <f>IF(E32="","",MOD(E32+1,52))</f>
        <v>42</v>
      </c>
      <c r="F33" s="34"/>
      <c r="G33" s="35" t="s">
        <v>96</v>
      </c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ELECTRO HECKER</v>
      </c>
      <c r="E34" s="28">
        <f>IF(E33="","",MOD(E33+1,52))</f>
        <v>43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A CHARGE CLIENT</v>
      </c>
      <c r="E35" s="28">
        <f>IF(E33="","",MOD(E33+1,52))</f>
        <v>43</v>
      </c>
      <c r="F35" s="34"/>
      <c r="G35" s="35" t="s">
        <v>96</v>
      </c>
      <c r="H35" s="31"/>
      <c r="I35" s="21"/>
    </row>
    <row r="36" spans="1:9" x14ac:dyDescent="0.25">
      <c r="A36" s="218"/>
      <c r="B36" s="219"/>
      <c r="C36" s="32" t="s">
        <v>31</v>
      </c>
      <c r="D36" s="90" t="s">
        <v>78</v>
      </c>
      <c r="E36" s="28">
        <f>E32+4</f>
        <v>45</v>
      </c>
      <c r="F36" s="34"/>
      <c r="G36" s="35" t="s">
        <v>11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44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">
        <v>90</v>
      </c>
      <c r="E38" s="28">
        <f>IF(E37="","",MOD(E37+1,52))</f>
        <v>45</v>
      </c>
      <c r="F38" s="34"/>
      <c r="G38" s="35" t="s">
        <v>96</v>
      </c>
      <c r="H38" s="31"/>
      <c r="I38" s="21"/>
    </row>
    <row r="39" spans="1:9" x14ac:dyDescent="0.25">
      <c r="A39" s="289"/>
      <c r="B39" s="217"/>
      <c r="C39" s="144" t="s">
        <v>34</v>
      </c>
      <c r="D39" s="89" t="s">
        <v>79</v>
      </c>
      <c r="E39" s="145">
        <f>IF(E38="","",MOD(E38+1,52))</f>
        <v>46</v>
      </c>
      <c r="F39" s="146"/>
      <c r="G39" s="133"/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89"/>
      <c r="B43" s="217"/>
      <c r="C43" s="153" t="s">
        <v>35</v>
      </c>
      <c r="D43" s="89" t="s">
        <v>82</v>
      </c>
      <c r="E43" s="154">
        <f>E28+1</f>
        <v>40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41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41</v>
      </c>
      <c r="F45" s="160"/>
      <c r="G45" s="161" t="s">
        <v>11</v>
      </c>
      <c r="H45" s="162"/>
      <c r="I45" s="21"/>
    </row>
    <row r="46" spans="1:9" x14ac:dyDescent="0.25">
      <c r="A46" s="201">
        <f>SUM(A10:A43)</f>
        <v>18295.589999999997</v>
      </c>
      <c r="B46" s="216"/>
      <c r="C46" s="156" t="s">
        <v>36</v>
      </c>
      <c r="D46" s="89" t="s">
        <v>90</v>
      </c>
      <c r="E46" s="155">
        <f>E43+3</f>
        <v>43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229</v>
      </c>
      <c r="D50" s="173">
        <v>42783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05"/>
      <c r="C51" s="40" t="s">
        <v>230</v>
      </c>
      <c r="D51" s="81">
        <v>42888</v>
      </c>
      <c r="E51" s="76"/>
      <c r="F51" s="2" t="s">
        <v>55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15" customFormat="1" x14ac:dyDescent="0.25">
      <c r="A62" s="382"/>
      <c r="B62" s="382"/>
      <c r="C62" s="66"/>
      <c r="D62" s="66"/>
      <c r="E62" s="66"/>
      <c r="F62" s="66"/>
      <c r="G62" s="66"/>
      <c r="H62" s="66"/>
      <c r="I62" s="66"/>
    </row>
    <row r="63" spans="1:9" s="415" customFormat="1" x14ac:dyDescent="0.25">
      <c r="A63" s="66"/>
      <c r="B63" s="66"/>
      <c r="C63" s="382"/>
      <c r="D63" s="416"/>
      <c r="E63" s="66"/>
      <c r="F63" s="416"/>
      <c r="G63" s="66"/>
      <c r="H63" s="66"/>
      <c r="I63" s="66"/>
    </row>
    <row r="64" spans="1:9" s="415" customFormat="1" x14ac:dyDescent="0.25">
      <c r="A64" s="66"/>
      <c r="B64" s="66"/>
      <c r="C64" s="382"/>
      <c r="D64" s="416"/>
      <c r="E64" s="66"/>
      <c r="F64" s="416"/>
      <c r="G64" s="66"/>
      <c r="H64" s="66"/>
      <c r="I64" s="66"/>
    </row>
    <row r="65" spans="1:9" s="415" customFormat="1" x14ac:dyDescent="0.25">
      <c r="A65" s="66"/>
      <c r="B65" s="66"/>
      <c r="C65" s="382"/>
      <c r="D65" s="66"/>
      <c r="E65" s="66"/>
      <c r="F65" s="66"/>
      <c r="G65" s="66"/>
      <c r="H65" s="66"/>
      <c r="I65" s="66"/>
    </row>
    <row r="66" spans="1:9" s="415" customFormat="1" x14ac:dyDescent="0.25">
      <c r="A66" s="66"/>
      <c r="B66" s="66"/>
      <c r="C66" s="382"/>
      <c r="D66" s="66"/>
      <c r="E66" s="66"/>
      <c r="F66" s="66"/>
      <c r="G66" s="66"/>
      <c r="H66" s="66"/>
      <c r="I66" s="66"/>
    </row>
    <row r="67" spans="1:9" s="415" customFormat="1" x14ac:dyDescent="0.25">
      <c r="A67" s="66"/>
      <c r="B67" s="66"/>
      <c r="C67" s="382"/>
      <c r="D67" s="66"/>
      <c r="E67" s="66"/>
      <c r="F67" s="66"/>
      <c r="G67" s="66"/>
      <c r="H67" s="66"/>
      <c r="I67" s="66"/>
    </row>
    <row r="68" spans="1:9" s="415" customFormat="1" x14ac:dyDescent="0.25">
      <c r="A68" s="66"/>
      <c r="B68" s="66"/>
      <c r="C68" s="382"/>
      <c r="D68" s="417"/>
      <c r="E68" s="66"/>
      <c r="F68" s="66"/>
      <c r="G68" s="66"/>
      <c r="H68" s="66"/>
      <c r="I68" s="66"/>
    </row>
    <row r="69" spans="1:9" s="415" customFormat="1" x14ac:dyDescent="0.25"/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455" priority="72">
      <formula>$F22="réalisé"</formula>
    </cfRule>
  </conditionalFormatting>
  <conditionalFormatting sqref="C43:C46 E43:H46 C8:H21 E25:H39">
    <cfRule type="expression" dxfId="454" priority="69">
      <formula>$G8="réalisé"</formula>
    </cfRule>
    <cfRule type="expression" dxfId="453" priority="70">
      <formula>$G8="en cours"</formula>
    </cfRule>
    <cfRule type="expression" dxfId="452" priority="71">
      <formula>$G8="non compris"</formula>
    </cfRule>
  </conditionalFormatting>
  <conditionalFormatting sqref="C22:G22 C40:G40">
    <cfRule type="expression" dxfId="451" priority="68">
      <formula>$F22="non cpris"</formula>
    </cfRule>
  </conditionalFormatting>
  <conditionalFormatting sqref="C22:G22">
    <cfRule type="expression" dxfId="450" priority="67">
      <formula>$F22="en cours"</formula>
    </cfRule>
  </conditionalFormatting>
  <conditionalFormatting sqref="C25:C39">
    <cfRule type="expression" dxfId="449" priority="64">
      <formula>$G25="réalisé"</formula>
    </cfRule>
    <cfRule type="expression" dxfId="448" priority="65">
      <formula>$G25="en cours"</formula>
    </cfRule>
    <cfRule type="expression" dxfId="447" priority="66">
      <formula>$G25="non compris"</formula>
    </cfRule>
  </conditionalFormatting>
  <conditionalFormatting sqref="C50:F53">
    <cfRule type="expression" dxfId="446" priority="63">
      <formula>$F50="réalisé"</formula>
    </cfRule>
  </conditionalFormatting>
  <conditionalFormatting sqref="G9">
    <cfRule type="expression" dxfId="445" priority="62">
      <formula>$G$10="réalisé"</formula>
    </cfRule>
  </conditionalFormatting>
  <conditionalFormatting sqref="G10">
    <cfRule type="expression" dxfId="444" priority="61">
      <formula>$G$11="réalisé"</formula>
    </cfRule>
  </conditionalFormatting>
  <conditionalFormatting sqref="G16:G17">
    <cfRule type="expression" dxfId="443" priority="60">
      <formula>$G$18="réalisé"</formula>
    </cfRule>
  </conditionalFormatting>
  <conditionalFormatting sqref="G26">
    <cfRule type="expression" dxfId="442" priority="59">
      <formula>$G$27="réalisé"</formula>
    </cfRule>
  </conditionalFormatting>
  <conditionalFormatting sqref="D25">
    <cfRule type="expression" dxfId="441" priority="56">
      <formula>$G25="réalisé"</formula>
    </cfRule>
    <cfRule type="expression" dxfId="440" priority="57">
      <formula>$G25="en cours"</formula>
    </cfRule>
    <cfRule type="expression" dxfId="439" priority="58">
      <formula>$G25="non compris"</formula>
    </cfRule>
  </conditionalFormatting>
  <conditionalFormatting sqref="D27">
    <cfRule type="expression" dxfId="438" priority="53">
      <formula>$G27="réalisé"</formula>
    </cfRule>
    <cfRule type="expression" dxfId="437" priority="54">
      <formula>$G27="en cours"</formula>
    </cfRule>
    <cfRule type="expression" dxfId="436" priority="55">
      <formula>$G27="non compris"</formula>
    </cfRule>
  </conditionalFormatting>
  <conditionalFormatting sqref="D29">
    <cfRule type="expression" dxfId="435" priority="50">
      <formula>$G29="réalisé"</formula>
    </cfRule>
    <cfRule type="expression" dxfId="434" priority="51">
      <formula>$G29="en cours"</formula>
    </cfRule>
    <cfRule type="expression" dxfId="433" priority="52">
      <formula>$G29="non compris"</formula>
    </cfRule>
  </conditionalFormatting>
  <conditionalFormatting sqref="D31">
    <cfRule type="expression" dxfId="432" priority="47">
      <formula>$G31="réalisé"</formula>
    </cfRule>
    <cfRule type="expression" dxfId="431" priority="48">
      <formula>$G31="en cours"</formula>
    </cfRule>
    <cfRule type="expression" dxfId="430" priority="49">
      <formula>$G31="non compris"</formula>
    </cfRule>
  </conditionalFormatting>
  <conditionalFormatting sqref="D33">
    <cfRule type="expression" dxfId="429" priority="44">
      <formula>$G33="réalisé"</formula>
    </cfRule>
    <cfRule type="expression" dxfId="428" priority="45">
      <formula>$G33="en cours"</formula>
    </cfRule>
    <cfRule type="expression" dxfId="427" priority="46">
      <formula>$G33="non compris"</formula>
    </cfRule>
  </conditionalFormatting>
  <conditionalFormatting sqref="D35">
    <cfRule type="expression" dxfId="426" priority="41">
      <formula>$G35="réalisé"</formula>
    </cfRule>
    <cfRule type="expression" dxfId="425" priority="42">
      <formula>$G35="en cours"</formula>
    </cfRule>
    <cfRule type="expression" dxfId="424" priority="43">
      <formula>$G35="non compris"</formula>
    </cfRule>
  </conditionalFormatting>
  <conditionalFormatting sqref="D37">
    <cfRule type="expression" dxfId="423" priority="38">
      <formula>$G37="réalisé"</formula>
    </cfRule>
    <cfRule type="expression" dxfId="422" priority="39">
      <formula>$G37="en cours"</formula>
    </cfRule>
    <cfRule type="expression" dxfId="421" priority="40">
      <formula>$G37="non compris"</formula>
    </cfRule>
  </conditionalFormatting>
  <conditionalFormatting sqref="D39">
    <cfRule type="expression" dxfId="420" priority="35">
      <formula>$G39="réalisé"</formula>
    </cfRule>
    <cfRule type="expression" dxfId="419" priority="36">
      <formula>$G39="en cours"</formula>
    </cfRule>
    <cfRule type="expression" dxfId="418" priority="37">
      <formula>$G39="non compris"</formula>
    </cfRule>
  </conditionalFormatting>
  <conditionalFormatting sqref="D26">
    <cfRule type="expression" dxfId="417" priority="32">
      <formula>$G26="réalisé"</formula>
    </cfRule>
    <cfRule type="expression" dxfId="416" priority="33">
      <formula>$G26="en cours"</formula>
    </cfRule>
    <cfRule type="expression" dxfId="415" priority="34">
      <formula>$G26="non compris"</formula>
    </cfRule>
  </conditionalFormatting>
  <conditionalFormatting sqref="D28">
    <cfRule type="expression" dxfId="414" priority="29">
      <formula>$G28="réalisé"</formula>
    </cfRule>
    <cfRule type="expression" dxfId="413" priority="30">
      <formula>$G28="en cours"</formula>
    </cfRule>
    <cfRule type="expression" dxfId="412" priority="31">
      <formula>$G28="non compris"</formula>
    </cfRule>
  </conditionalFormatting>
  <conditionalFormatting sqref="D30">
    <cfRule type="expression" dxfId="411" priority="26">
      <formula>$G30="réalisé"</formula>
    </cfRule>
    <cfRule type="expression" dxfId="410" priority="27">
      <formula>$G30="en cours"</formula>
    </cfRule>
    <cfRule type="expression" dxfId="409" priority="28">
      <formula>$G30="non compris"</formula>
    </cfRule>
  </conditionalFormatting>
  <conditionalFormatting sqref="D32">
    <cfRule type="expression" dxfId="408" priority="23">
      <formula>$G32="réalisé"</formula>
    </cfRule>
    <cfRule type="expression" dxfId="407" priority="24">
      <formula>$G32="en cours"</formula>
    </cfRule>
    <cfRule type="expression" dxfId="406" priority="25">
      <formula>$G32="non compris"</formula>
    </cfRule>
  </conditionalFormatting>
  <conditionalFormatting sqref="D34">
    <cfRule type="expression" dxfId="405" priority="20">
      <formula>$G34="réalisé"</formula>
    </cfRule>
    <cfRule type="expression" dxfId="404" priority="21">
      <formula>$G34="en cours"</formula>
    </cfRule>
    <cfRule type="expression" dxfId="403" priority="22">
      <formula>$G34="non compris"</formula>
    </cfRule>
  </conditionalFormatting>
  <conditionalFormatting sqref="D36">
    <cfRule type="expression" dxfId="402" priority="17">
      <formula>$G36="réalisé"</formula>
    </cfRule>
    <cfRule type="expression" dxfId="401" priority="18">
      <formula>$G36="en cours"</formula>
    </cfRule>
    <cfRule type="expression" dxfId="400" priority="19">
      <formula>$G36="non compris"</formula>
    </cfRule>
  </conditionalFormatting>
  <conditionalFormatting sqref="D38">
    <cfRule type="expression" dxfId="399" priority="14">
      <formula>$G38="réalisé"</formula>
    </cfRule>
    <cfRule type="expression" dxfId="398" priority="15">
      <formula>$G38="en cours"</formula>
    </cfRule>
    <cfRule type="expression" dxfId="397" priority="16">
      <formula>$G38="non compris"</formula>
    </cfRule>
  </conditionalFormatting>
  <conditionalFormatting sqref="D45">
    <cfRule type="expression" dxfId="396" priority="11">
      <formula>$G45="réalisé"</formula>
    </cfRule>
    <cfRule type="expression" dxfId="395" priority="12">
      <formula>$G45="en cours"</formula>
    </cfRule>
    <cfRule type="expression" dxfId="394" priority="13">
      <formula>$G45="non compris"</formula>
    </cfRule>
  </conditionalFormatting>
  <conditionalFormatting sqref="D44">
    <cfRule type="expression" dxfId="393" priority="8">
      <formula>$G44="réalisé"</formula>
    </cfRule>
    <cfRule type="expression" dxfId="392" priority="9">
      <formula>$G44="en cours"</formula>
    </cfRule>
    <cfRule type="expression" dxfId="391" priority="10">
      <formula>$G44="non compris"</formula>
    </cfRule>
  </conditionalFormatting>
  <conditionalFormatting sqref="D43">
    <cfRule type="expression" dxfId="390" priority="5">
      <formula>$G43="réalisé"</formula>
    </cfRule>
    <cfRule type="expression" dxfId="389" priority="6">
      <formula>$G43="en cours"</formula>
    </cfRule>
    <cfRule type="expression" dxfId="388" priority="7">
      <formula>$G43="non compris"</formula>
    </cfRule>
  </conditionalFormatting>
  <conditionalFormatting sqref="D46">
    <cfRule type="expression" dxfId="387" priority="2">
      <formula>$G46="réalisé"</formula>
    </cfRule>
    <cfRule type="expression" dxfId="386" priority="3">
      <formula>$G46="en cours"</formula>
    </cfRule>
    <cfRule type="expression" dxfId="385" priority="4">
      <formula>$G46="non compris"</formula>
    </cfRule>
  </conditionalFormatting>
  <conditionalFormatting sqref="D8:D21">
    <cfRule type="expression" dxfId="384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  <pageSetUpPr fitToPage="1"/>
  </sheetPr>
  <dimension ref="A1:I68"/>
  <sheetViews>
    <sheetView topLeftCell="A4" zoomScaleNormal="100" workbookViewId="0">
      <selection activeCell="E27" sqref="E27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style="270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5" t="s">
        <v>0</v>
      </c>
      <c r="B1" s="376"/>
      <c r="C1" s="376"/>
      <c r="D1" s="376"/>
      <c r="E1" s="376"/>
      <c r="F1" s="376"/>
      <c r="G1" s="376"/>
      <c r="H1" s="1" t="s">
        <v>1</v>
      </c>
      <c r="I1" s="3">
        <f ca="1">INT(MOD(INT((LISTE!D1-2)/7)+0.6,52+5/28))+1</f>
        <v>34</v>
      </c>
    </row>
    <row r="2" spans="1:9" x14ac:dyDescent="0.25">
      <c r="A2" s="378" t="s">
        <v>2</v>
      </c>
      <c r="B2" s="379"/>
      <c r="C2" s="129" t="str">
        <f ca="1">MID(CELL("nomfichier",A1),FIND("]",CELL("nomfichier",A1),1)+1,30)</f>
        <v>WEIGEL-BIVER</v>
      </c>
      <c r="D2" s="5" t="s">
        <v>98</v>
      </c>
      <c r="E2" s="580">
        <v>42847</v>
      </c>
      <c r="F2" s="580"/>
      <c r="G2" s="6"/>
      <c r="H2" s="523" t="s">
        <v>305</v>
      </c>
      <c r="I2" s="524"/>
    </row>
    <row r="3" spans="1:9" ht="15.75" x14ac:dyDescent="0.25">
      <c r="A3" s="380" t="s">
        <v>159</v>
      </c>
      <c r="B3" s="381"/>
      <c r="C3" s="7" t="s">
        <v>219</v>
      </c>
      <c r="D3" s="8" t="s">
        <v>3</v>
      </c>
      <c r="E3" s="581">
        <v>42852</v>
      </c>
      <c r="F3" s="581"/>
      <c r="G3" s="9"/>
      <c r="H3" s="527" t="str">
        <f ca="1">DATEDIF(E3,TODAY(),"m")&amp;"mois"&amp;-DATEDIF(E3,TODAY(),"md")&amp;"jours"</f>
        <v>3mois-27jours</v>
      </c>
      <c r="I3" s="528"/>
    </row>
    <row r="4" spans="1:9" ht="18.75" x14ac:dyDescent="0.25">
      <c r="A4" s="127"/>
      <c r="B4" s="215"/>
      <c r="C4" s="11"/>
      <c r="D4" s="12" t="s">
        <v>4</v>
      </c>
      <c r="E4" s="579">
        <f>E3+60</f>
        <v>42912</v>
      </c>
      <c r="F4" s="57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377"/>
      <c r="D6" s="377"/>
      <c r="E6" s="377"/>
      <c r="F6" s="377"/>
      <c r="G6" s="377"/>
      <c r="H6" s="377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163" t="s">
        <v>90</v>
      </c>
      <c r="E8" s="28">
        <f>E9</f>
        <v>17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165" t="str">
        <f>D10</f>
        <v>TEMA</v>
      </c>
      <c r="E9" s="33">
        <v>17</v>
      </c>
      <c r="F9" s="34"/>
      <c r="G9" s="35" t="s">
        <v>169</v>
      </c>
      <c r="H9" s="31"/>
      <c r="I9" s="21"/>
    </row>
    <row r="10" spans="1:9" ht="15" customHeight="1" x14ac:dyDescent="0.25">
      <c r="A10" s="289">
        <v>21305.23</v>
      </c>
      <c r="B10" s="217">
        <f>21305.23-10652.61-8715.78-1936.84</f>
        <v>0</v>
      </c>
      <c r="C10" s="32" t="s">
        <v>13</v>
      </c>
      <c r="D10" s="163" t="s">
        <v>57</v>
      </c>
      <c r="E10" s="28">
        <v>18</v>
      </c>
      <c r="F10" s="36"/>
      <c r="G10" s="35" t="s">
        <v>55</v>
      </c>
      <c r="H10" s="31"/>
      <c r="I10" s="21"/>
    </row>
    <row r="11" spans="1:9" x14ac:dyDescent="0.25">
      <c r="A11" s="218"/>
      <c r="B11" s="218"/>
      <c r="C11" s="32" t="s">
        <v>88</v>
      </c>
      <c r="D11" s="165" t="s">
        <v>90</v>
      </c>
      <c r="E11" s="28">
        <f>E10+4</f>
        <v>22</v>
      </c>
      <c r="F11" s="34"/>
      <c r="G11" s="35" t="s">
        <v>96</v>
      </c>
      <c r="H11" s="31"/>
      <c r="I11" s="21"/>
    </row>
    <row r="12" spans="1:9" x14ac:dyDescent="0.25">
      <c r="A12" s="218"/>
      <c r="B12" s="218"/>
      <c r="C12" s="32" t="s">
        <v>14</v>
      </c>
      <c r="D12" s="163" t="s">
        <v>90</v>
      </c>
      <c r="E12" s="28">
        <f>E11</f>
        <v>22</v>
      </c>
      <c r="F12" s="34"/>
      <c r="G12" s="35" t="s">
        <v>96</v>
      </c>
      <c r="H12" s="31"/>
      <c r="I12" s="21"/>
    </row>
    <row r="13" spans="1:9" x14ac:dyDescent="0.25">
      <c r="A13" s="218"/>
      <c r="B13" s="218"/>
      <c r="C13" s="32" t="s">
        <v>15</v>
      </c>
      <c r="D13" s="165" t="s">
        <v>57</v>
      </c>
      <c r="E13" s="28">
        <f>E12+1</f>
        <v>23</v>
      </c>
      <c r="F13" s="34"/>
      <c r="G13" s="35" t="s">
        <v>55</v>
      </c>
      <c r="H13" s="31"/>
      <c r="I13" s="21"/>
    </row>
    <row r="14" spans="1:9" x14ac:dyDescent="0.25">
      <c r="A14" s="217"/>
      <c r="B14" s="217"/>
      <c r="C14" s="94" t="s">
        <v>16</v>
      </c>
      <c r="D14" s="391" t="s">
        <v>94</v>
      </c>
      <c r="E14" s="101">
        <v>23</v>
      </c>
      <c r="F14" s="97"/>
      <c r="G14" s="98" t="s">
        <v>11</v>
      </c>
      <c r="H14" s="99"/>
      <c r="I14" s="21"/>
    </row>
    <row r="15" spans="1:9" x14ac:dyDescent="0.25">
      <c r="A15" s="218"/>
      <c r="B15" s="218"/>
      <c r="C15" s="94" t="s">
        <v>100</v>
      </c>
      <c r="D15" s="392" t="s">
        <v>94</v>
      </c>
      <c r="E15" s="101">
        <v>23</v>
      </c>
      <c r="F15" s="97"/>
      <c r="G15" s="98" t="s">
        <v>11</v>
      </c>
      <c r="H15" s="99"/>
      <c r="I15" s="21"/>
    </row>
    <row r="16" spans="1:9" x14ac:dyDescent="0.25">
      <c r="A16" s="225"/>
      <c r="B16" s="225"/>
      <c r="C16" s="94" t="s">
        <v>85</v>
      </c>
      <c r="D16" s="391" t="s">
        <v>94</v>
      </c>
      <c r="E16" s="101">
        <v>23</v>
      </c>
      <c r="F16" s="97"/>
      <c r="G16" s="98"/>
      <c r="H16" s="99"/>
      <c r="I16" s="21"/>
    </row>
    <row r="17" spans="1:9" x14ac:dyDescent="0.25">
      <c r="A17" s="225"/>
      <c r="B17" s="225"/>
      <c r="C17" s="32" t="s">
        <v>86</v>
      </c>
      <c r="D17" s="393" t="s">
        <v>63</v>
      </c>
      <c r="E17" s="28">
        <v>31</v>
      </c>
      <c r="F17" s="34"/>
      <c r="G17" s="35" t="s">
        <v>55</v>
      </c>
      <c r="H17" s="86"/>
      <c r="I17" s="21"/>
    </row>
    <row r="18" spans="1:9" s="390" customFormat="1" x14ac:dyDescent="0.25">
      <c r="A18" s="418">
        <v>0</v>
      </c>
      <c r="B18" s="388"/>
      <c r="C18" s="383" t="s">
        <v>17</v>
      </c>
      <c r="D18" s="394" t="s">
        <v>63</v>
      </c>
      <c r="E18" s="384">
        <v>31</v>
      </c>
      <c r="F18" s="385"/>
      <c r="G18" s="386" t="s">
        <v>55</v>
      </c>
      <c r="H18" s="387"/>
      <c r="I18" s="389"/>
    </row>
    <row r="19" spans="1:9" x14ac:dyDescent="0.25">
      <c r="A19" s="289">
        <v>3624.41</v>
      </c>
      <c r="B19" s="217">
        <f>A19-3624.41</f>
        <v>0</v>
      </c>
      <c r="C19" s="37" t="s">
        <v>18</v>
      </c>
      <c r="D19" s="163" t="s">
        <v>65</v>
      </c>
      <c r="E19" s="28">
        <v>30</v>
      </c>
      <c r="F19" s="34"/>
      <c r="G19" s="35" t="s">
        <v>55</v>
      </c>
      <c r="H19" s="31"/>
      <c r="I19" s="21"/>
    </row>
    <row r="20" spans="1:9" x14ac:dyDescent="0.25">
      <c r="A20" s="218"/>
      <c r="B20" s="218"/>
      <c r="C20" s="32" t="s">
        <v>19</v>
      </c>
      <c r="D20" s="165" t="str">
        <f>D13</f>
        <v>TEMA</v>
      </c>
      <c r="E20" s="28">
        <f>IF(E16="","",MOD(E16+2,52))</f>
        <v>25</v>
      </c>
      <c r="F20" s="34"/>
      <c r="G20" s="35" t="s">
        <v>55</v>
      </c>
      <c r="H20" s="31"/>
      <c r="I20" s="21"/>
    </row>
    <row r="21" spans="1:9" x14ac:dyDescent="0.25">
      <c r="A21" s="289">
        <v>0</v>
      </c>
      <c r="B21" s="217"/>
      <c r="C21" s="132" t="s">
        <v>20</v>
      </c>
      <c r="D21" s="165" t="s">
        <v>80</v>
      </c>
      <c r="E21" s="28">
        <v>34</v>
      </c>
      <c r="F21" s="34"/>
      <c r="G21" s="133"/>
      <c r="H21" s="31"/>
      <c r="I21" s="21"/>
    </row>
    <row r="22" spans="1:9" x14ac:dyDescent="0.25">
      <c r="A22" s="220"/>
      <c r="B22" s="220"/>
      <c r="C22" s="134"/>
      <c r="D22" s="395"/>
      <c r="E22" s="134"/>
      <c r="F22" s="134"/>
      <c r="G22" s="134"/>
      <c r="H22" s="134"/>
      <c r="I22" s="21"/>
    </row>
    <row r="23" spans="1:9" ht="18.75" x14ac:dyDescent="0.3">
      <c r="A23" s="222"/>
      <c r="B23" s="222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18"/>
      <c r="B24" s="218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289"/>
      <c r="B25" s="217"/>
      <c r="C25" s="141" t="s">
        <v>92</v>
      </c>
      <c r="D25" s="163" t="s">
        <v>129</v>
      </c>
      <c r="E25" s="142">
        <v>35</v>
      </c>
      <c r="F25" s="29"/>
      <c r="G25" s="30" t="s">
        <v>54</v>
      </c>
      <c r="H25" s="31"/>
      <c r="I25" s="21"/>
    </row>
    <row r="26" spans="1:9" x14ac:dyDescent="0.25">
      <c r="A26" s="217">
        <v>1426.14</v>
      </c>
      <c r="B26" s="217">
        <v>1426.14</v>
      </c>
      <c r="C26" s="32" t="s">
        <v>93</v>
      </c>
      <c r="D26" s="165" t="s">
        <v>68</v>
      </c>
      <c r="E26" s="28">
        <v>35</v>
      </c>
      <c r="F26" s="34"/>
      <c r="G26" s="35"/>
      <c r="H26" s="31"/>
      <c r="I26" s="21"/>
    </row>
    <row r="27" spans="1:9" x14ac:dyDescent="0.25">
      <c r="A27" s="218">
        <v>970.34</v>
      </c>
      <c r="B27" s="218">
        <v>970.34</v>
      </c>
      <c r="C27" s="102" t="s">
        <v>22</v>
      </c>
      <c r="D27" s="163" t="str">
        <f>D25</f>
        <v>ELECTRO HECKER</v>
      </c>
      <c r="E27" s="28">
        <f>IF(E26="","",MOD(E26+2,52))</f>
        <v>37</v>
      </c>
      <c r="F27" s="34"/>
      <c r="G27" s="35"/>
      <c r="H27" s="31"/>
      <c r="I27" s="21"/>
    </row>
    <row r="28" spans="1:9" x14ac:dyDescent="0.25">
      <c r="A28" s="289">
        <v>669.1</v>
      </c>
      <c r="B28" s="217">
        <v>669.1</v>
      </c>
      <c r="C28" s="143" t="s">
        <v>23</v>
      </c>
      <c r="D28" s="165" t="s">
        <v>73</v>
      </c>
      <c r="E28" s="28">
        <f>IF(E26="","",MOD(E26+2,52))</f>
        <v>37</v>
      </c>
      <c r="F28" s="34"/>
      <c r="G28" s="35"/>
      <c r="H28" s="31"/>
      <c r="I28" s="21"/>
    </row>
    <row r="29" spans="1:9" x14ac:dyDescent="0.25">
      <c r="A29" s="289"/>
      <c r="B29" s="217"/>
      <c r="C29" s="102" t="s">
        <v>24</v>
      </c>
      <c r="D29" s="163" t="s">
        <v>73</v>
      </c>
      <c r="E29" s="28">
        <f>IF(E28="","",MOD(E28+1,52))</f>
        <v>38</v>
      </c>
      <c r="F29" s="34"/>
      <c r="G29" s="35"/>
      <c r="H29" s="31"/>
      <c r="I29" s="21"/>
    </row>
    <row r="30" spans="1:9" x14ac:dyDescent="0.25">
      <c r="A30" s="289">
        <v>836.44</v>
      </c>
      <c r="B30" s="217">
        <v>836.44</v>
      </c>
      <c r="C30" s="32" t="s">
        <v>221</v>
      </c>
      <c r="D30" s="165" t="s">
        <v>73</v>
      </c>
      <c r="E30" s="28">
        <f>IF(E28="","",MOD(E28+1,52))</f>
        <v>38</v>
      </c>
      <c r="F30" s="34"/>
      <c r="G30" s="35"/>
      <c r="H30" s="31"/>
      <c r="I30" s="21"/>
    </row>
    <row r="31" spans="1:9" x14ac:dyDescent="0.25">
      <c r="A31" s="218"/>
      <c r="B31" s="218"/>
      <c r="C31" s="157" t="s">
        <v>26</v>
      </c>
      <c r="D31" s="172" t="s">
        <v>94</v>
      </c>
      <c r="E31" s="159"/>
      <c r="F31" s="160"/>
      <c r="G31" s="161"/>
      <c r="H31" s="162"/>
      <c r="I31" s="21"/>
    </row>
    <row r="32" spans="1:9" x14ac:dyDescent="0.25">
      <c r="A32" s="289">
        <v>0</v>
      </c>
      <c r="B32" s="217"/>
      <c r="C32" s="32" t="s">
        <v>27</v>
      </c>
      <c r="D32" s="165" t="s">
        <v>78</v>
      </c>
      <c r="E32" s="28">
        <f>IF(E30="","",MOD(E30+1,52))</f>
        <v>39</v>
      </c>
      <c r="F32" s="34"/>
      <c r="G32" s="35"/>
      <c r="H32" s="31"/>
      <c r="I32" s="21"/>
    </row>
    <row r="33" spans="1:9" x14ac:dyDescent="0.25">
      <c r="A33" s="218"/>
      <c r="B33" s="219"/>
      <c r="C33" s="32" t="s">
        <v>28</v>
      </c>
      <c r="D33" s="163" t="str">
        <f>D26</f>
        <v>SOARES</v>
      </c>
      <c r="E33" s="28">
        <f>IF(E32="","",MOD(E32+1,52))</f>
        <v>40</v>
      </c>
      <c r="F33" s="34"/>
      <c r="G33" s="35"/>
      <c r="H33" s="31"/>
      <c r="I33" s="21"/>
    </row>
    <row r="34" spans="1:9" x14ac:dyDescent="0.25">
      <c r="A34" s="218"/>
      <c r="B34" s="219"/>
      <c r="C34" s="32" t="s">
        <v>29</v>
      </c>
      <c r="D34" s="165" t="str">
        <f>D25</f>
        <v>ELECTRO HECKER</v>
      </c>
      <c r="E34" s="28">
        <f>IF(E33="","",MOD(E33+1,52))</f>
        <v>41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163" t="str">
        <f>D28</f>
        <v>HERTFELDER</v>
      </c>
      <c r="E35" s="28">
        <f>IF(E33="","",MOD(E33+1,52))</f>
        <v>41</v>
      </c>
      <c r="F35" s="34"/>
      <c r="G35" s="35"/>
      <c r="H35" s="31"/>
      <c r="I35" s="21"/>
    </row>
    <row r="36" spans="1:9" x14ac:dyDescent="0.25">
      <c r="A36" s="289">
        <v>0</v>
      </c>
      <c r="B36" s="217"/>
      <c r="C36" s="32" t="s">
        <v>31</v>
      </c>
      <c r="D36" s="165" t="s">
        <v>78</v>
      </c>
      <c r="E36" s="28">
        <f>E32+4</f>
        <v>43</v>
      </c>
      <c r="F36" s="34"/>
      <c r="G36" s="35" t="s">
        <v>11</v>
      </c>
      <c r="H36" s="31"/>
      <c r="I36" s="21"/>
    </row>
    <row r="37" spans="1:9" x14ac:dyDescent="0.25">
      <c r="A37" s="218"/>
      <c r="B37" s="219"/>
      <c r="C37" s="32" t="s">
        <v>32</v>
      </c>
      <c r="D37" s="163" t="s">
        <v>90</v>
      </c>
      <c r="E37" s="28">
        <f>E35+1</f>
        <v>42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165" t="s">
        <v>73</v>
      </c>
      <c r="E38" s="28">
        <f>IF(E37="","",MOD(E37+1,52))</f>
        <v>43</v>
      </c>
      <c r="F38" s="34"/>
      <c r="G38" s="35"/>
      <c r="H38" s="31"/>
      <c r="I38" s="21"/>
    </row>
    <row r="39" spans="1:9" x14ac:dyDescent="0.25">
      <c r="A39" s="289"/>
      <c r="B39" s="217"/>
      <c r="C39" s="144" t="s">
        <v>220</v>
      </c>
      <c r="D39" s="163" t="s">
        <v>79</v>
      </c>
      <c r="E39" s="145">
        <f>IF(E38="","",MOD(E38+1,52))</f>
        <v>44</v>
      </c>
      <c r="F39" s="146"/>
      <c r="G39" s="133"/>
      <c r="H39" s="31"/>
      <c r="I39" s="21"/>
    </row>
    <row r="40" spans="1:9" x14ac:dyDescent="0.25">
      <c r="A40" s="220"/>
      <c r="B40" s="221"/>
      <c r="C40" s="134"/>
      <c r="D40" s="396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397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89">
        <v>0</v>
      </c>
      <c r="B43" s="217"/>
      <c r="C43" s="153" t="s">
        <v>35</v>
      </c>
      <c r="D43" s="163" t="s">
        <v>82</v>
      </c>
      <c r="E43" s="154">
        <f>E28+1</f>
        <v>38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398" t="s">
        <v>90</v>
      </c>
      <c r="E44" s="169">
        <f>E43+1</f>
        <v>39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399" t="s">
        <v>94</v>
      </c>
      <c r="E45" s="166">
        <f>E43+1</f>
        <v>39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163" t="s">
        <v>90</v>
      </c>
      <c r="E46" s="155">
        <f>E43+3</f>
        <v>41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400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40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411">
        <v>42796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401">
        <v>42851</v>
      </c>
      <c r="E51" s="76"/>
      <c r="F51" s="2" t="s">
        <v>55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02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0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40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369"/>
      <c r="D55" s="404"/>
      <c r="E55" s="369"/>
      <c r="F55" s="369"/>
      <c r="G55" s="369"/>
      <c r="H55" s="369"/>
      <c r="I55" s="370"/>
    </row>
    <row r="56" spans="1:9" x14ac:dyDescent="0.25">
      <c r="A56" s="44"/>
      <c r="B56" s="20"/>
      <c r="C56" s="371"/>
      <c r="D56" s="405"/>
      <c r="E56" s="371"/>
      <c r="F56" s="371"/>
      <c r="G56" s="371"/>
      <c r="H56" s="371"/>
      <c r="I56" s="372"/>
    </row>
    <row r="57" spans="1:9" x14ac:dyDescent="0.25">
      <c r="A57" s="44"/>
      <c r="B57" s="20"/>
      <c r="C57" s="371"/>
      <c r="D57" s="405"/>
      <c r="E57" s="371"/>
      <c r="F57" s="371"/>
      <c r="G57" s="371"/>
      <c r="H57" s="371"/>
      <c r="I57" s="372"/>
    </row>
    <row r="58" spans="1:9" x14ac:dyDescent="0.25">
      <c r="A58" s="44"/>
      <c r="B58" s="20"/>
      <c r="C58" s="371"/>
      <c r="D58" s="405"/>
      <c r="E58" s="371"/>
      <c r="F58" s="371"/>
      <c r="G58" s="371"/>
      <c r="H58" s="371"/>
      <c r="I58" s="372"/>
    </row>
    <row r="59" spans="1:9" x14ac:dyDescent="0.25">
      <c r="A59" s="44"/>
      <c r="B59" s="20"/>
      <c r="C59" s="371"/>
      <c r="D59" s="405"/>
      <c r="E59" s="371"/>
      <c r="F59" s="371"/>
      <c r="G59" s="371"/>
      <c r="H59" s="371"/>
      <c r="I59" s="372"/>
    </row>
    <row r="60" spans="1:9" x14ac:dyDescent="0.25">
      <c r="A60" s="74"/>
      <c r="B60" s="75"/>
      <c r="C60" s="373"/>
      <c r="D60" s="406"/>
      <c r="E60" s="373"/>
      <c r="F60" s="373"/>
      <c r="G60" s="373"/>
      <c r="H60" s="373"/>
      <c r="I60" s="374"/>
    </row>
    <row r="61" spans="1:9" x14ac:dyDescent="0.25">
      <c r="A61" s="19"/>
      <c r="B61" s="19"/>
      <c r="C61" s="19"/>
      <c r="D61" s="407"/>
      <c r="E61" s="19"/>
      <c r="F61" s="19"/>
      <c r="G61" s="19"/>
      <c r="H61" s="19"/>
      <c r="I61" s="19"/>
    </row>
    <row r="62" spans="1:9" x14ac:dyDescent="0.25">
      <c r="A62" s="382"/>
      <c r="B62" s="382"/>
      <c r="C62" s="66"/>
      <c r="D62" s="408"/>
      <c r="E62" s="66"/>
      <c r="F62" s="19"/>
      <c r="G62" s="19"/>
      <c r="H62" s="19"/>
      <c r="I62" s="19"/>
    </row>
    <row r="63" spans="1:9" x14ac:dyDescent="0.25">
      <c r="A63" s="66"/>
      <c r="B63" s="66"/>
      <c r="C63" s="382"/>
      <c r="D63" s="409"/>
      <c r="E63" s="66"/>
      <c r="F63" s="82"/>
      <c r="G63" s="19"/>
      <c r="H63" s="19"/>
      <c r="I63" s="19"/>
    </row>
    <row r="64" spans="1:9" x14ac:dyDescent="0.25">
      <c r="A64" s="66"/>
      <c r="B64" s="66"/>
      <c r="C64" s="382"/>
      <c r="D64" s="409"/>
      <c r="E64" s="66"/>
      <c r="F64" s="82"/>
      <c r="G64" s="19"/>
      <c r="H64" s="19"/>
      <c r="I64" s="19"/>
    </row>
    <row r="65" spans="1:9" x14ac:dyDescent="0.25">
      <c r="A65" s="66"/>
      <c r="B65" s="66"/>
      <c r="C65" s="382"/>
      <c r="D65" s="408"/>
      <c r="E65" s="66"/>
      <c r="F65" s="19"/>
      <c r="G65" s="19"/>
      <c r="H65" s="19"/>
      <c r="I65" s="19"/>
    </row>
    <row r="66" spans="1:9" x14ac:dyDescent="0.25">
      <c r="A66" s="66"/>
      <c r="B66" s="66"/>
      <c r="C66" s="382"/>
      <c r="D66" s="408"/>
      <c r="E66" s="66"/>
      <c r="F66" s="19"/>
      <c r="G66" s="19"/>
      <c r="H66" s="19"/>
      <c r="I66" s="19"/>
    </row>
    <row r="67" spans="1:9" x14ac:dyDescent="0.25">
      <c r="A67" s="66"/>
      <c r="B67" s="66"/>
      <c r="C67" s="382"/>
      <c r="D67" s="408"/>
      <c r="E67" s="66"/>
      <c r="F67" s="19"/>
      <c r="G67" s="19"/>
      <c r="H67" s="19"/>
      <c r="I67" s="19"/>
    </row>
    <row r="68" spans="1:9" x14ac:dyDescent="0.25">
      <c r="A68" s="66"/>
      <c r="B68" s="66"/>
      <c r="C68" s="382"/>
      <c r="D68" s="410"/>
      <c r="E68" s="66"/>
      <c r="F68" s="19"/>
      <c r="G68" s="19"/>
      <c r="H68" s="19"/>
      <c r="I68" s="19"/>
    </row>
  </sheetData>
  <sheetProtection selectLockedCells="1" selectUnlockedCells="1"/>
  <dataConsolidate/>
  <mergeCells count="7">
    <mergeCell ref="H2:I2"/>
    <mergeCell ref="H3:I3"/>
    <mergeCell ref="E4:F4"/>
    <mergeCell ref="A5:B5"/>
    <mergeCell ref="A6:B6"/>
    <mergeCell ref="E2:F2"/>
    <mergeCell ref="E3:F3"/>
  </mergeCells>
  <conditionalFormatting sqref="C47:G47 D22 C40:G40">
    <cfRule type="expression" dxfId="341" priority="72">
      <formula>$F22="réalisé"</formula>
    </cfRule>
  </conditionalFormatting>
  <conditionalFormatting sqref="C43:C46 E43:H46 C8:H21 E25:H39">
    <cfRule type="expression" dxfId="340" priority="69">
      <formula>$G8="réalisé"</formula>
    </cfRule>
    <cfRule type="expression" dxfId="339" priority="70">
      <formula>$G8="en cours"</formula>
    </cfRule>
    <cfRule type="expression" dxfId="338" priority="71">
      <formula>$G8="non compris"</formula>
    </cfRule>
  </conditionalFormatting>
  <conditionalFormatting sqref="C22:G22 C40:G40">
    <cfRule type="expression" dxfId="337" priority="68">
      <formula>$F22="non cpris"</formula>
    </cfRule>
  </conditionalFormatting>
  <conditionalFormatting sqref="C22:G22">
    <cfRule type="expression" dxfId="336" priority="67">
      <formula>$F22="en cours"</formula>
    </cfRule>
  </conditionalFormatting>
  <conditionalFormatting sqref="C25:C39">
    <cfRule type="expression" dxfId="335" priority="64">
      <formula>$G25="réalisé"</formula>
    </cfRule>
    <cfRule type="expression" dxfId="334" priority="65">
      <formula>$G25="en cours"</formula>
    </cfRule>
    <cfRule type="expression" dxfId="333" priority="66">
      <formula>$G25="non compris"</formula>
    </cfRule>
  </conditionalFormatting>
  <conditionalFormatting sqref="C50:F53">
    <cfRule type="expression" dxfId="332" priority="63">
      <formula>$F50="réalisé"</formula>
    </cfRule>
  </conditionalFormatting>
  <conditionalFormatting sqref="G9">
    <cfRule type="expression" dxfId="331" priority="62">
      <formula>$G$10="réalisé"</formula>
    </cfRule>
  </conditionalFormatting>
  <conditionalFormatting sqref="G10">
    <cfRule type="expression" dxfId="330" priority="61">
      <formula>$G$11="réalisé"</formula>
    </cfRule>
  </conditionalFormatting>
  <conditionalFormatting sqref="G16:G17">
    <cfRule type="expression" dxfId="329" priority="60">
      <formula>$G$18="réalisé"</formula>
    </cfRule>
  </conditionalFormatting>
  <conditionalFormatting sqref="G26">
    <cfRule type="expression" dxfId="328" priority="59">
      <formula>$G$27="réalisé"</formula>
    </cfRule>
  </conditionalFormatting>
  <conditionalFormatting sqref="D25">
    <cfRule type="expression" dxfId="327" priority="56">
      <formula>$G25="réalisé"</formula>
    </cfRule>
    <cfRule type="expression" dxfId="326" priority="57">
      <formula>$G25="en cours"</formula>
    </cfRule>
    <cfRule type="expression" dxfId="325" priority="58">
      <formula>$G25="non compris"</formula>
    </cfRule>
  </conditionalFormatting>
  <conditionalFormatting sqref="D27">
    <cfRule type="expression" dxfId="324" priority="53">
      <formula>$G27="réalisé"</formula>
    </cfRule>
    <cfRule type="expression" dxfId="323" priority="54">
      <formula>$G27="en cours"</formula>
    </cfRule>
    <cfRule type="expression" dxfId="322" priority="55">
      <formula>$G27="non compris"</formula>
    </cfRule>
  </conditionalFormatting>
  <conditionalFormatting sqref="D29">
    <cfRule type="expression" dxfId="321" priority="50">
      <formula>$G29="réalisé"</formula>
    </cfRule>
    <cfRule type="expression" dxfId="320" priority="51">
      <formula>$G29="en cours"</formula>
    </cfRule>
    <cfRule type="expression" dxfId="319" priority="52">
      <formula>$G29="non compris"</formula>
    </cfRule>
  </conditionalFormatting>
  <conditionalFormatting sqref="D31">
    <cfRule type="expression" dxfId="318" priority="47">
      <formula>$G31="réalisé"</formula>
    </cfRule>
    <cfRule type="expression" dxfId="317" priority="48">
      <formula>$G31="en cours"</formula>
    </cfRule>
    <cfRule type="expression" dxfId="316" priority="49">
      <formula>$G31="non compris"</formula>
    </cfRule>
  </conditionalFormatting>
  <conditionalFormatting sqref="D33">
    <cfRule type="expression" dxfId="315" priority="44">
      <formula>$G33="réalisé"</formula>
    </cfRule>
    <cfRule type="expression" dxfId="314" priority="45">
      <formula>$G33="en cours"</formula>
    </cfRule>
    <cfRule type="expression" dxfId="313" priority="46">
      <formula>$G33="non compris"</formula>
    </cfRule>
  </conditionalFormatting>
  <conditionalFormatting sqref="D35">
    <cfRule type="expression" dxfId="312" priority="41">
      <formula>$G35="réalisé"</formula>
    </cfRule>
    <cfRule type="expression" dxfId="311" priority="42">
      <formula>$G35="en cours"</formula>
    </cfRule>
    <cfRule type="expression" dxfId="310" priority="43">
      <formula>$G35="non compris"</formula>
    </cfRule>
  </conditionalFormatting>
  <conditionalFormatting sqref="D37">
    <cfRule type="expression" dxfId="309" priority="38">
      <formula>$G37="réalisé"</formula>
    </cfRule>
    <cfRule type="expression" dxfId="308" priority="39">
      <formula>$G37="en cours"</formula>
    </cfRule>
    <cfRule type="expression" dxfId="307" priority="40">
      <formula>$G37="non compris"</formula>
    </cfRule>
  </conditionalFormatting>
  <conditionalFormatting sqref="D39">
    <cfRule type="expression" dxfId="306" priority="35">
      <formula>$G39="réalisé"</formula>
    </cfRule>
    <cfRule type="expression" dxfId="305" priority="36">
      <formula>$G39="en cours"</formula>
    </cfRule>
    <cfRule type="expression" dxfId="304" priority="37">
      <formula>$G39="non compris"</formula>
    </cfRule>
  </conditionalFormatting>
  <conditionalFormatting sqref="D26">
    <cfRule type="expression" dxfId="303" priority="32">
      <formula>$G26="réalisé"</formula>
    </cfRule>
    <cfRule type="expression" dxfId="302" priority="33">
      <formula>$G26="en cours"</formula>
    </cfRule>
    <cfRule type="expression" dxfId="301" priority="34">
      <formula>$G26="non compris"</formula>
    </cfRule>
  </conditionalFormatting>
  <conditionalFormatting sqref="D28">
    <cfRule type="expression" dxfId="300" priority="29">
      <formula>$G28="réalisé"</formula>
    </cfRule>
    <cfRule type="expression" dxfId="299" priority="30">
      <formula>$G28="en cours"</formula>
    </cfRule>
    <cfRule type="expression" dxfId="298" priority="31">
      <formula>$G28="non compris"</formula>
    </cfRule>
  </conditionalFormatting>
  <conditionalFormatting sqref="D30">
    <cfRule type="expression" dxfId="297" priority="26">
      <formula>$G30="réalisé"</formula>
    </cfRule>
    <cfRule type="expression" dxfId="296" priority="27">
      <formula>$G30="en cours"</formula>
    </cfRule>
    <cfRule type="expression" dxfId="295" priority="28">
      <formula>$G30="non compris"</formula>
    </cfRule>
  </conditionalFormatting>
  <conditionalFormatting sqref="D32">
    <cfRule type="expression" dxfId="294" priority="23">
      <formula>$G32="réalisé"</formula>
    </cfRule>
    <cfRule type="expression" dxfId="293" priority="24">
      <formula>$G32="en cours"</formula>
    </cfRule>
    <cfRule type="expression" dxfId="292" priority="25">
      <formula>$G32="non compris"</formula>
    </cfRule>
  </conditionalFormatting>
  <conditionalFormatting sqref="D34">
    <cfRule type="expression" dxfId="291" priority="20">
      <formula>$G34="réalisé"</formula>
    </cfRule>
    <cfRule type="expression" dxfId="290" priority="21">
      <formula>$G34="en cours"</formula>
    </cfRule>
    <cfRule type="expression" dxfId="289" priority="22">
      <formula>$G34="non compris"</formula>
    </cfRule>
  </conditionalFormatting>
  <conditionalFormatting sqref="D36">
    <cfRule type="expression" dxfId="288" priority="17">
      <formula>$G36="réalisé"</formula>
    </cfRule>
    <cfRule type="expression" dxfId="287" priority="18">
      <formula>$G36="en cours"</formula>
    </cfRule>
    <cfRule type="expression" dxfId="286" priority="19">
      <formula>$G36="non compris"</formula>
    </cfRule>
  </conditionalFormatting>
  <conditionalFormatting sqref="D38">
    <cfRule type="expression" dxfId="285" priority="14">
      <formula>$G38="réalisé"</formula>
    </cfRule>
    <cfRule type="expression" dxfId="284" priority="15">
      <formula>$G38="en cours"</formula>
    </cfRule>
    <cfRule type="expression" dxfId="283" priority="16">
      <formula>$G38="non compris"</formula>
    </cfRule>
  </conditionalFormatting>
  <conditionalFormatting sqref="D45">
    <cfRule type="expression" dxfId="282" priority="11">
      <formula>$G45="réalisé"</formula>
    </cfRule>
    <cfRule type="expression" dxfId="281" priority="12">
      <formula>$G45="en cours"</formula>
    </cfRule>
    <cfRule type="expression" dxfId="280" priority="13">
      <formula>$G45="non compris"</formula>
    </cfRule>
  </conditionalFormatting>
  <conditionalFormatting sqref="D44">
    <cfRule type="expression" dxfId="279" priority="8">
      <formula>$G44="réalisé"</formula>
    </cfRule>
    <cfRule type="expression" dxfId="278" priority="9">
      <formula>$G44="en cours"</formula>
    </cfRule>
    <cfRule type="expression" dxfId="277" priority="10">
      <formula>$G44="non compris"</formula>
    </cfRule>
  </conditionalFormatting>
  <conditionalFormatting sqref="D43">
    <cfRule type="expression" dxfId="276" priority="5">
      <formula>$G43="réalisé"</formula>
    </cfRule>
    <cfRule type="expression" dxfId="275" priority="6">
      <formula>$G43="en cours"</formula>
    </cfRule>
    <cfRule type="expression" dxfId="274" priority="7">
      <formula>$G43="non compris"</formula>
    </cfRule>
  </conditionalFormatting>
  <conditionalFormatting sqref="D46">
    <cfRule type="expression" dxfId="273" priority="2">
      <formula>$G46="réalisé"</formula>
    </cfRule>
    <cfRule type="expression" dxfId="272" priority="3">
      <formula>$G46="en cours"</formula>
    </cfRule>
    <cfRule type="expression" dxfId="271" priority="4">
      <formula>$G46="non compris"</formula>
    </cfRule>
  </conditionalFormatting>
  <conditionalFormatting sqref="D8:D21">
    <cfRule type="expression" dxfId="270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B050"/>
    <pageSetUpPr fitToPage="1"/>
  </sheetPr>
  <dimension ref="A1:I68"/>
  <sheetViews>
    <sheetView topLeftCell="A4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WINE</v>
      </c>
      <c r="D2" s="5" t="s">
        <v>98</v>
      </c>
      <c r="E2" s="522">
        <v>42779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200</v>
      </c>
      <c r="D3" s="8" t="s">
        <v>3</v>
      </c>
      <c r="E3" s="525">
        <v>42831</v>
      </c>
      <c r="F3" s="526"/>
      <c r="G3" s="9"/>
      <c r="H3" s="527" t="str">
        <f ca="1">DATEDIF(E3,TODAY(),"m")&amp;"mois"&amp;-DATEDIF(E3,TODAY(),"md")&amp;"jours"</f>
        <v>4mois-17jours</v>
      </c>
      <c r="I3" s="528"/>
    </row>
    <row r="4" spans="1:9" ht="18.75" x14ac:dyDescent="0.25">
      <c r="A4" s="127"/>
      <c r="B4" s="215"/>
      <c r="C4" s="11"/>
      <c r="D4" s="12" t="s">
        <v>4</v>
      </c>
      <c r="E4" s="529">
        <f>E3+60</f>
        <v>42891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14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90" t="s">
        <v>57</v>
      </c>
      <c r="E9" s="33">
        <v>14</v>
      </c>
      <c r="F9" s="34"/>
      <c r="G9" s="35" t="s">
        <v>55</v>
      </c>
      <c r="H9" s="31"/>
      <c r="I9" s="21"/>
    </row>
    <row r="10" spans="1:9" ht="15" customHeight="1" x14ac:dyDescent="0.25">
      <c r="A10" s="304">
        <v>26751.07</v>
      </c>
      <c r="B10" s="294">
        <f>A10-13375.53-8917.03-4458.51</f>
        <v>0</v>
      </c>
      <c r="C10" s="32" t="s">
        <v>13</v>
      </c>
      <c r="D10" s="89" t="s">
        <v>57</v>
      </c>
      <c r="E10" s="28">
        <f>E9</f>
        <v>14</v>
      </c>
      <c r="F10" s="36"/>
      <c r="G10" s="35" t="s">
        <v>55</v>
      </c>
      <c r="H10" s="31"/>
      <c r="I10" s="21"/>
    </row>
    <row r="11" spans="1:9" x14ac:dyDescent="0.25">
      <c r="A11" s="240"/>
      <c r="B11" s="241"/>
      <c r="C11" s="32" t="s">
        <v>88</v>
      </c>
      <c r="D11" s="90" t="s">
        <v>90</v>
      </c>
      <c r="E11" s="28">
        <f>E10+4</f>
        <v>18</v>
      </c>
      <c r="F11" s="34"/>
      <c r="G11" s="35" t="s">
        <v>96</v>
      </c>
      <c r="H11" s="31"/>
      <c r="I11" s="21"/>
    </row>
    <row r="12" spans="1:9" x14ac:dyDescent="0.25">
      <c r="A12" s="240"/>
      <c r="B12" s="241"/>
      <c r="C12" s="32" t="s">
        <v>14</v>
      </c>
      <c r="D12" s="89" t="s">
        <v>90</v>
      </c>
      <c r="E12" s="28">
        <f>E11</f>
        <v>18</v>
      </c>
      <c r="F12" s="34"/>
      <c r="G12" s="35" t="s">
        <v>96</v>
      </c>
      <c r="H12" s="31"/>
      <c r="I12" s="21"/>
    </row>
    <row r="13" spans="1:9" x14ac:dyDescent="0.25">
      <c r="A13" s="359"/>
      <c r="B13" s="241"/>
      <c r="C13" s="32" t="s">
        <v>15</v>
      </c>
      <c r="D13" s="90" t="s">
        <v>57</v>
      </c>
      <c r="E13" s="28">
        <f>E12+1</f>
        <v>19</v>
      </c>
      <c r="F13" s="34"/>
      <c r="G13" s="35" t="s">
        <v>55</v>
      </c>
      <c r="H13" s="31"/>
      <c r="I13" s="21"/>
    </row>
    <row r="14" spans="1:9" x14ac:dyDescent="0.25">
      <c r="A14" s="304">
        <v>1890.16</v>
      </c>
      <c r="B14" s="294">
        <f>A14-1890.16</f>
        <v>0</v>
      </c>
      <c r="C14" s="32" t="s">
        <v>16</v>
      </c>
      <c r="D14" s="89" t="s">
        <v>60</v>
      </c>
      <c r="E14" s="28">
        <v>21</v>
      </c>
      <c r="F14" s="34"/>
      <c r="G14" s="35" t="s">
        <v>55</v>
      </c>
      <c r="H14" s="31"/>
      <c r="I14" s="21"/>
    </row>
    <row r="15" spans="1:9" x14ac:dyDescent="0.25">
      <c r="A15" s="240"/>
      <c r="B15" s="241"/>
      <c r="C15" s="32" t="s">
        <v>100</v>
      </c>
      <c r="D15" s="90" t="str">
        <f>D10</f>
        <v>TEMA</v>
      </c>
      <c r="E15" s="28">
        <v>22</v>
      </c>
      <c r="F15" s="34"/>
      <c r="G15" s="35" t="s">
        <v>55</v>
      </c>
      <c r="H15" s="31"/>
      <c r="I15" s="21"/>
    </row>
    <row r="16" spans="1:9" x14ac:dyDescent="0.25">
      <c r="A16" s="293">
        <v>0</v>
      </c>
      <c r="B16" s="294">
        <v>0</v>
      </c>
      <c r="C16" s="32" t="s">
        <v>85</v>
      </c>
      <c r="D16" s="89" t="s">
        <v>64</v>
      </c>
      <c r="E16" s="28">
        <v>27</v>
      </c>
      <c r="F16" s="34"/>
      <c r="G16" s="35" t="s">
        <v>55</v>
      </c>
      <c r="H16" s="31" t="s">
        <v>246</v>
      </c>
      <c r="I16" s="21"/>
    </row>
    <row r="17" spans="1:9" x14ac:dyDescent="0.25">
      <c r="A17" s="349">
        <v>1764.94</v>
      </c>
      <c r="B17" s="294">
        <f>A17-1764.94</f>
        <v>0</v>
      </c>
      <c r="C17" s="32" t="s">
        <v>86</v>
      </c>
      <c r="D17" s="91" t="s">
        <v>64</v>
      </c>
      <c r="E17" s="28">
        <f>E16</f>
        <v>27</v>
      </c>
      <c r="F17" s="34"/>
      <c r="G17" s="35" t="s">
        <v>55</v>
      </c>
      <c r="H17" s="86"/>
      <c r="I17" s="21"/>
    </row>
    <row r="18" spans="1:9" x14ac:dyDescent="0.25">
      <c r="A18" s="240"/>
      <c r="B18" s="241"/>
      <c r="C18" s="157" t="s">
        <v>17</v>
      </c>
      <c r="D18" s="164" t="s">
        <v>94</v>
      </c>
      <c r="E18" s="159">
        <f>E16</f>
        <v>27</v>
      </c>
      <c r="F18" s="160"/>
      <c r="G18" s="161"/>
      <c r="H18" s="162"/>
      <c r="I18" s="21"/>
    </row>
    <row r="19" spans="1:9" x14ac:dyDescent="0.25">
      <c r="A19" s="294"/>
      <c r="B19" s="294"/>
      <c r="C19" s="37" t="s">
        <v>18</v>
      </c>
      <c r="D19" s="89" t="s">
        <v>67</v>
      </c>
      <c r="E19" s="28">
        <v>35</v>
      </c>
      <c r="F19" s="34"/>
      <c r="G19" s="35"/>
      <c r="H19" s="31"/>
      <c r="I19" s="21"/>
    </row>
    <row r="20" spans="1:9" x14ac:dyDescent="0.25">
      <c r="A20" s="240"/>
      <c r="B20" s="241"/>
      <c r="C20" s="32" t="s">
        <v>19</v>
      </c>
      <c r="D20" s="90" t="str">
        <f>D13</f>
        <v>TEMA</v>
      </c>
      <c r="E20" s="28">
        <v>34</v>
      </c>
      <c r="F20" s="34"/>
      <c r="G20" s="35"/>
      <c r="H20" s="31"/>
      <c r="I20" s="21"/>
    </row>
    <row r="21" spans="1:9" x14ac:dyDescent="0.25">
      <c r="A21" s="304"/>
      <c r="B21" s="294"/>
      <c r="C21" s="132" t="s">
        <v>20</v>
      </c>
      <c r="D21" s="90" t="s">
        <v>80</v>
      </c>
      <c r="E21" s="28">
        <f>E19</f>
        <v>35</v>
      </c>
      <c r="F21" s="34"/>
      <c r="G21" s="133"/>
      <c r="H21" s="31"/>
      <c r="I21" s="21"/>
    </row>
    <row r="22" spans="1:9" x14ac:dyDescent="0.25">
      <c r="A22" s="295"/>
      <c r="B22" s="305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306"/>
      <c r="B23" s="307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40"/>
      <c r="B24" s="241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304"/>
      <c r="B25" s="294"/>
      <c r="C25" s="141" t="s">
        <v>92</v>
      </c>
      <c r="D25" s="89" t="s">
        <v>129</v>
      </c>
      <c r="E25" s="142">
        <f>IF(E19="","",MOD(E19+1,52))</f>
        <v>36</v>
      </c>
      <c r="F25" s="29"/>
      <c r="G25" s="30" t="s">
        <v>11</v>
      </c>
      <c r="H25" s="31"/>
      <c r="I25" s="21"/>
    </row>
    <row r="26" spans="1:9" x14ac:dyDescent="0.25">
      <c r="A26" s="304">
        <v>2219.5700000000002</v>
      </c>
      <c r="B26" s="294">
        <f>A26</f>
        <v>2219.5700000000002</v>
      </c>
      <c r="C26" s="32" t="s">
        <v>93</v>
      </c>
      <c r="D26" s="90" t="s">
        <v>68</v>
      </c>
      <c r="E26" s="28">
        <f>IF(E25="","",MOD(E25+1,52))</f>
        <v>37</v>
      </c>
      <c r="F26" s="34"/>
      <c r="G26" s="35"/>
      <c r="H26" s="31"/>
      <c r="I26" s="21"/>
    </row>
    <row r="27" spans="1:9" x14ac:dyDescent="0.25">
      <c r="A27" s="240"/>
      <c r="B27" s="241"/>
      <c r="C27" s="102" t="s">
        <v>22</v>
      </c>
      <c r="D27" s="89" t="str">
        <f>D25</f>
        <v>ELECTRO HECKER</v>
      </c>
      <c r="E27" s="28">
        <f>IF(E26="","",MOD(E26+2,52))</f>
        <v>39</v>
      </c>
      <c r="F27" s="34"/>
      <c r="G27" s="35"/>
      <c r="H27" s="31"/>
      <c r="I27" s="21"/>
    </row>
    <row r="28" spans="1:9" x14ac:dyDescent="0.25">
      <c r="A28" s="304">
        <v>973.55</v>
      </c>
      <c r="B28" s="294">
        <f>A28</f>
        <v>973.55</v>
      </c>
      <c r="C28" s="143" t="s">
        <v>23</v>
      </c>
      <c r="D28" s="90" t="s">
        <v>73</v>
      </c>
      <c r="E28" s="28">
        <f>IF(E26="","",MOD(E26+2,52))</f>
        <v>39</v>
      </c>
      <c r="F28" s="34"/>
      <c r="G28" s="35"/>
      <c r="H28" s="31"/>
      <c r="I28" s="21"/>
    </row>
    <row r="29" spans="1:9" x14ac:dyDescent="0.25">
      <c r="A29" s="304"/>
      <c r="B29" s="294"/>
      <c r="C29" s="102" t="s">
        <v>24</v>
      </c>
      <c r="D29" s="89" t="s">
        <v>73</v>
      </c>
      <c r="E29" s="28">
        <f>IF(E28="","",MOD(E28+1,52))</f>
        <v>40</v>
      </c>
      <c r="F29" s="34"/>
      <c r="G29" s="35"/>
      <c r="H29" s="31"/>
      <c r="I29" s="21"/>
    </row>
    <row r="30" spans="1:9" x14ac:dyDescent="0.25">
      <c r="A30" s="304"/>
      <c r="B30" s="294"/>
      <c r="C30" s="32" t="s">
        <v>25</v>
      </c>
      <c r="D30" s="90" t="s">
        <v>73</v>
      </c>
      <c r="E30" s="28">
        <f>IF(E28="","",MOD(E28+1,52))</f>
        <v>40</v>
      </c>
      <c r="F30" s="34"/>
      <c r="G30" s="35"/>
      <c r="H30" s="31"/>
      <c r="I30" s="21"/>
    </row>
    <row r="31" spans="1:9" x14ac:dyDescent="0.25">
      <c r="A31" s="240"/>
      <c r="B31" s="241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304"/>
      <c r="B32" s="294"/>
      <c r="C32" s="32" t="s">
        <v>27</v>
      </c>
      <c r="D32" s="90" t="s">
        <v>76</v>
      </c>
      <c r="E32" s="28">
        <f>IF(E30="","",MOD(E30+1,52))</f>
        <v>41</v>
      </c>
      <c r="F32" s="34"/>
      <c r="G32" s="35"/>
      <c r="H32" s="31"/>
      <c r="I32" s="21"/>
    </row>
    <row r="33" spans="1:9" x14ac:dyDescent="0.25">
      <c r="A33" s="240"/>
      <c r="B33" s="241"/>
      <c r="C33" s="32" t="s">
        <v>28</v>
      </c>
      <c r="D33" s="89" t="str">
        <f>D26</f>
        <v>SOARES</v>
      </c>
      <c r="E33" s="28">
        <f>IF(E32="","",MOD(E32+1,52))</f>
        <v>42</v>
      </c>
      <c r="F33" s="34"/>
      <c r="G33" s="35"/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ELECTRO HECKER</v>
      </c>
      <c r="E34" s="28">
        <f>IF(E33="","",MOD(E33+1,52))</f>
        <v>43</v>
      </c>
      <c r="F34" s="34"/>
      <c r="G34" s="35" t="s">
        <v>11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HERTFELDER</v>
      </c>
      <c r="E35" s="28">
        <f>IF(E33="","",MOD(E33+1,52))</f>
        <v>43</v>
      </c>
      <c r="F35" s="34"/>
      <c r="G35" s="35"/>
      <c r="H35" s="31"/>
      <c r="I35" s="21"/>
    </row>
    <row r="36" spans="1:9" x14ac:dyDescent="0.25">
      <c r="A36" s="218"/>
      <c r="B36" s="219"/>
      <c r="C36" s="32" t="s">
        <v>31</v>
      </c>
      <c r="D36" s="90" t="s">
        <v>90</v>
      </c>
      <c r="E36" s="28">
        <f>E32+4</f>
        <v>45</v>
      </c>
      <c r="F36" s="34"/>
      <c r="G36" s="35" t="s">
        <v>96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44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">
        <v>73</v>
      </c>
      <c r="E38" s="28">
        <f>IF(E37="","",MOD(E37+1,52))</f>
        <v>45</v>
      </c>
      <c r="F38" s="34"/>
      <c r="G38" s="35"/>
      <c r="H38" s="31"/>
      <c r="I38" s="21"/>
    </row>
    <row r="39" spans="1:9" x14ac:dyDescent="0.25">
      <c r="A39" s="304">
        <v>520.20000000000005</v>
      </c>
      <c r="B39" s="294">
        <f>A39</f>
        <v>520.20000000000005</v>
      </c>
      <c r="C39" s="144" t="s">
        <v>34</v>
      </c>
      <c r="D39" s="89" t="s">
        <v>79</v>
      </c>
      <c r="E39" s="145">
        <f>IF(E38="","",MOD(E38+1,52))</f>
        <v>46</v>
      </c>
      <c r="F39" s="146"/>
      <c r="G39" s="133"/>
      <c r="H39" s="31"/>
      <c r="I39" s="21"/>
    </row>
    <row r="40" spans="1:9" x14ac:dyDescent="0.25">
      <c r="A40" s="360">
        <v>374.86</v>
      </c>
      <c r="B40" s="353">
        <f>A40</f>
        <v>374.86</v>
      </c>
      <c r="C40" s="350" t="s">
        <v>203</v>
      </c>
      <c r="D40" s="351" t="s">
        <v>79</v>
      </c>
      <c r="E40" s="28">
        <f>IF(E35="","",MOD(E35+1,52))</f>
        <v>44</v>
      </c>
      <c r="F40" s="34"/>
      <c r="G40" s="35"/>
      <c r="H40" s="352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304">
        <v>533.1</v>
      </c>
      <c r="B43" s="294">
        <f>A43-533.1</f>
        <v>0</v>
      </c>
      <c r="C43" s="153" t="s">
        <v>35</v>
      </c>
      <c r="D43" s="89" t="s">
        <v>82</v>
      </c>
      <c r="E43" s="154">
        <f>E28+1</f>
        <v>40</v>
      </c>
      <c r="F43" s="29"/>
      <c r="G43" s="30"/>
      <c r="H43" s="31"/>
      <c r="I43" s="21"/>
    </row>
    <row r="44" spans="1:9" x14ac:dyDescent="0.25">
      <c r="A44" s="201"/>
      <c r="B44" s="216"/>
      <c r="C44" s="167" t="s">
        <v>95</v>
      </c>
      <c r="D44" s="89" t="s">
        <v>90</v>
      </c>
      <c r="E44" s="169">
        <f>E43+1</f>
        <v>41</v>
      </c>
      <c r="F44" s="170"/>
      <c r="G44" s="171"/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41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43</v>
      </c>
      <c r="F46" s="34"/>
      <c r="G46" s="133"/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05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227" priority="72">
      <formula>$F22="réalisé"</formula>
    </cfRule>
  </conditionalFormatting>
  <conditionalFormatting sqref="C43:C46 E43:H46 C8:H21 E25:H40">
    <cfRule type="expression" dxfId="226" priority="69">
      <formula>$G8="réalisé"</formula>
    </cfRule>
    <cfRule type="expression" dxfId="225" priority="70">
      <formula>$G8="en cours"</formula>
    </cfRule>
    <cfRule type="expression" dxfId="224" priority="71">
      <formula>$G8="non compris"</formula>
    </cfRule>
  </conditionalFormatting>
  <conditionalFormatting sqref="C22:G22 C40:G40">
    <cfRule type="expression" dxfId="223" priority="68">
      <formula>$F22="non cpris"</formula>
    </cfRule>
  </conditionalFormatting>
  <conditionalFormatting sqref="C22:G22">
    <cfRule type="expression" dxfId="222" priority="67">
      <formula>$F22="en cours"</formula>
    </cfRule>
  </conditionalFormatting>
  <conditionalFormatting sqref="C25:C40">
    <cfRule type="expression" dxfId="221" priority="64">
      <formula>$G25="réalisé"</formula>
    </cfRule>
    <cfRule type="expression" dxfId="220" priority="65">
      <formula>$G25="en cours"</formula>
    </cfRule>
    <cfRule type="expression" dxfId="219" priority="66">
      <formula>$G25="non compris"</formula>
    </cfRule>
  </conditionalFormatting>
  <conditionalFormatting sqref="C50:F53">
    <cfRule type="expression" dxfId="218" priority="63">
      <formula>$F50="réalisé"</formula>
    </cfRule>
  </conditionalFormatting>
  <conditionalFormatting sqref="G9">
    <cfRule type="expression" dxfId="217" priority="62">
      <formula>$G$10="réalisé"</formula>
    </cfRule>
  </conditionalFormatting>
  <conditionalFormatting sqref="G10">
    <cfRule type="expression" dxfId="216" priority="61">
      <formula>$G$11="réalisé"</formula>
    </cfRule>
  </conditionalFormatting>
  <conditionalFormatting sqref="G16:G17">
    <cfRule type="expression" dxfId="215" priority="60">
      <formula>$G$18="réalisé"</formula>
    </cfRule>
  </conditionalFormatting>
  <conditionalFormatting sqref="G26">
    <cfRule type="expression" dxfId="214" priority="59">
      <formula>$G$27="réalisé"</formula>
    </cfRule>
  </conditionalFormatting>
  <conditionalFormatting sqref="D25">
    <cfRule type="expression" dxfId="213" priority="56">
      <formula>$G25="réalisé"</formula>
    </cfRule>
    <cfRule type="expression" dxfId="212" priority="57">
      <formula>$G25="en cours"</formula>
    </cfRule>
    <cfRule type="expression" dxfId="211" priority="58">
      <formula>$G25="non compris"</formula>
    </cfRule>
  </conditionalFormatting>
  <conditionalFormatting sqref="D27">
    <cfRule type="expression" dxfId="210" priority="53">
      <formula>$G27="réalisé"</formula>
    </cfRule>
    <cfRule type="expression" dxfId="209" priority="54">
      <formula>$G27="en cours"</formula>
    </cfRule>
    <cfRule type="expression" dxfId="208" priority="55">
      <formula>$G27="non compris"</formula>
    </cfRule>
  </conditionalFormatting>
  <conditionalFormatting sqref="D29">
    <cfRule type="expression" dxfId="207" priority="50">
      <formula>$G29="réalisé"</formula>
    </cfRule>
    <cfRule type="expression" dxfId="206" priority="51">
      <formula>$G29="en cours"</formula>
    </cfRule>
    <cfRule type="expression" dxfId="205" priority="52">
      <formula>$G29="non compris"</formula>
    </cfRule>
  </conditionalFormatting>
  <conditionalFormatting sqref="D31">
    <cfRule type="expression" dxfId="204" priority="47">
      <formula>$G31="réalisé"</formula>
    </cfRule>
    <cfRule type="expression" dxfId="203" priority="48">
      <formula>$G31="en cours"</formula>
    </cfRule>
    <cfRule type="expression" dxfId="202" priority="49">
      <formula>$G31="non compris"</formula>
    </cfRule>
  </conditionalFormatting>
  <conditionalFormatting sqref="D33">
    <cfRule type="expression" dxfId="201" priority="44">
      <formula>$G33="réalisé"</formula>
    </cfRule>
    <cfRule type="expression" dxfId="200" priority="45">
      <formula>$G33="en cours"</formula>
    </cfRule>
    <cfRule type="expression" dxfId="199" priority="46">
      <formula>$G33="non compris"</formula>
    </cfRule>
  </conditionalFormatting>
  <conditionalFormatting sqref="D35">
    <cfRule type="expression" dxfId="198" priority="41">
      <formula>$G35="réalisé"</formula>
    </cfRule>
    <cfRule type="expression" dxfId="197" priority="42">
      <formula>$G35="en cours"</formula>
    </cfRule>
    <cfRule type="expression" dxfId="196" priority="43">
      <formula>$G35="non compris"</formula>
    </cfRule>
  </conditionalFormatting>
  <conditionalFormatting sqref="D37">
    <cfRule type="expression" dxfId="195" priority="38">
      <formula>$G37="réalisé"</formula>
    </cfRule>
    <cfRule type="expression" dxfId="194" priority="39">
      <formula>$G37="en cours"</formula>
    </cfRule>
    <cfRule type="expression" dxfId="193" priority="40">
      <formula>$G37="non compris"</formula>
    </cfRule>
  </conditionalFormatting>
  <conditionalFormatting sqref="D39">
    <cfRule type="expression" dxfId="192" priority="35">
      <formula>$G39="réalisé"</formula>
    </cfRule>
    <cfRule type="expression" dxfId="191" priority="36">
      <formula>$G39="en cours"</formula>
    </cfRule>
    <cfRule type="expression" dxfId="190" priority="37">
      <formula>$G39="non compris"</formula>
    </cfRule>
  </conditionalFormatting>
  <conditionalFormatting sqref="D26">
    <cfRule type="expression" dxfId="189" priority="32">
      <formula>$G26="réalisé"</formula>
    </cfRule>
    <cfRule type="expression" dxfId="188" priority="33">
      <formula>$G26="en cours"</formula>
    </cfRule>
    <cfRule type="expression" dxfId="187" priority="34">
      <formula>$G26="non compris"</formula>
    </cfRule>
  </conditionalFormatting>
  <conditionalFormatting sqref="D28">
    <cfRule type="expression" dxfId="186" priority="29">
      <formula>$G28="réalisé"</formula>
    </cfRule>
    <cfRule type="expression" dxfId="185" priority="30">
      <formula>$G28="en cours"</formula>
    </cfRule>
    <cfRule type="expression" dxfId="184" priority="31">
      <formula>$G28="non compris"</formula>
    </cfRule>
  </conditionalFormatting>
  <conditionalFormatting sqref="D30">
    <cfRule type="expression" dxfId="183" priority="26">
      <formula>$G30="réalisé"</formula>
    </cfRule>
    <cfRule type="expression" dxfId="182" priority="27">
      <formula>$G30="en cours"</formula>
    </cfRule>
    <cfRule type="expression" dxfId="181" priority="28">
      <formula>$G30="non compris"</formula>
    </cfRule>
  </conditionalFormatting>
  <conditionalFormatting sqref="D32">
    <cfRule type="expression" dxfId="180" priority="23">
      <formula>$G32="réalisé"</formula>
    </cfRule>
    <cfRule type="expression" dxfId="179" priority="24">
      <formula>$G32="en cours"</formula>
    </cfRule>
    <cfRule type="expression" dxfId="178" priority="25">
      <formula>$G32="non compris"</formula>
    </cfRule>
  </conditionalFormatting>
  <conditionalFormatting sqref="D34">
    <cfRule type="expression" dxfId="177" priority="20">
      <formula>$G34="réalisé"</formula>
    </cfRule>
    <cfRule type="expression" dxfId="176" priority="21">
      <formula>$G34="en cours"</formula>
    </cfRule>
    <cfRule type="expression" dxfId="175" priority="22">
      <formula>$G34="non compris"</formula>
    </cfRule>
  </conditionalFormatting>
  <conditionalFormatting sqref="D36">
    <cfRule type="expression" dxfId="174" priority="17">
      <formula>$G36="réalisé"</formula>
    </cfRule>
    <cfRule type="expression" dxfId="173" priority="18">
      <formula>$G36="en cours"</formula>
    </cfRule>
    <cfRule type="expression" dxfId="172" priority="19">
      <formula>$G36="non compris"</formula>
    </cfRule>
  </conditionalFormatting>
  <conditionalFormatting sqref="D38">
    <cfRule type="expression" dxfId="171" priority="14">
      <formula>$G38="réalisé"</formula>
    </cfRule>
    <cfRule type="expression" dxfId="170" priority="15">
      <formula>$G38="en cours"</formula>
    </cfRule>
    <cfRule type="expression" dxfId="169" priority="16">
      <formula>$G38="non compris"</formula>
    </cfRule>
  </conditionalFormatting>
  <conditionalFormatting sqref="D45">
    <cfRule type="expression" dxfId="168" priority="11">
      <formula>$G45="réalisé"</formula>
    </cfRule>
    <cfRule type="expression" dxfId="167" priority="12">
      <formula>$G45="en cours"</formula>
    </cfRule>
    <cfRule type="expression" dxfId="166" priority="13">
      <formula>$G45="non compris"</formula>
    </cfRule>
  </conditionalFormatting>
  <conditionalFormatting sqref="D44">
    <cfRule type="expression" dxfId="165" priority="8">
      <formula>$G44="réalisé"</formula>
    </cfRule>
    <cfRule type="expression" dxfId="164" priority="9">
      <formula>$G44="en cours"</formula>
    </cfRule>
    <cfRule type="expression" dxfId="163" priority="10">
      <formula>$G44="non compris"</formula>
    </cfRule>
  </conditionalFormatting>
  <conditionalFormatting sqref="D43">
    <cfRule type="expression" dxfId="162" priority="5">
      <formula>$G43="réalisé"</formula>
    </cfRule>
    <cfRule type="expression" dxfId="161" priority="6">
      <formula>$G43="en cours"</formula>
    </cfRule>
    <cfRule type="expression" dxfId="160" priority="7">
      <formula>$G43="non compris"</formula>
    </cfRule>
  </conditionalFormatting>
  <conditionalFormatting sqref="D46">
    <cfRule type="expression" dxfId="159" priority="2">
      <formula>$G46="réalisé"</formula>
    </cfRule>
    <cfRule type="expression" dxfId="158" priority="3">
      <formula>$G46="en cours"</formula>
    </cfRule>
    <cfRule type="expression" dxfId="157" priority="4">
      <formula>$G46="non compris"</formula>
    </cfRule>
  </conditionalFormatting>
  <conditionalFormatting sqref="D8:D21">
    <cfRule type="expression" dxfId="156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40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B050"/>
    <pageSetUpPr fitToPage="1"/>
  </sheetPr>
  <dimension ref="A1:I68"/>
  <sheetViews>
    <sheetView topLeftCell="A4" zoomScaleNormal="100" workbookViewId="0">
      <selection activeCell="G39" sqref="G39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20" t="s">
        <v>0</v>
      </c>
      <c r="B1" s="521"/>
      <c r="C1" s="521"/>
      <c r="D1" s="521"/>
      <c r="E1" s="521"/>
      <c r="F1" s="521"/>
      <c r="G1" s="521"/>
      <c r="H1" s="1" t="s">
        <v>1</v>
      </c>
      <c r="I1" s="3">
        <f ca="1">INT(MOD(INT((LISTE!D1-2)/7)+0.6,52+5/28))+1</f>
        <v>34</v>
      </c>
    </row>
    <row r="2" spans="1:9" x14ac:dyDescent="0.25">
      <c r="A2" s="533" t="s">
        <v>2</v>
      </c>
      <c r="B2" s="534"/>
      <c r="C2" s="129" t="str">
        <f ca="1">MID(CELL("nomfichier",A1),FIND("]",CELL("nomfichier",A1),1)+1,30)</f>
        <v>WINTERSTEIN</v>
      </c>
      <c r="D2" s="5" t="s">
        <v>98</v>
      </c>
      <c r="E2" s="522">
        <v>42724</v>
      </c>
      <c r="F2" s="522"/>
      <c r="G2" s="6"/>
      <c r="H2" s="523" t="s">
        <v>305</v>
      </c>
      <c r="I2" s="524"/>
    </row>
    <row r="3" spans="1:9" ht="15.75" x14ac:dyDescent="0.25">
      <c r="A3" s="535" t="s">
        <v>159</v>
      </c>
      <c r="B3" s="527"/>
      <c r="C3" s="7" t="s">
        <v>174</v>
      </c>
      <c r="D3" s="8" t="s">
        <v>3</v>
      </c>
      <c r="E3" s="525">
        <v>42775</v>
      </c>
      <c r="F3" s="526"/>
      <c r="G3" s="9"/>
      <c r="H3" s="527" t="str">
        <f ca="1">DATEDIF(E3,TODAY(),"m")&amp;"mois"&amp;-DATEDIF(E3,TODAY(),"md")&amp;"jours"</f>
        <v>6mois-14jours</v>
      </c>
      <c r="I3" s="528"/>
    </row>
    <row r="4" spans="1:9" ht="18.75" x14ac:dyDescent="0.25">
      <c r="A4" s="127"/>
      <c r="B4" s="215" t="s">
        <v>175</v>
      </c>
      <c r="C4" s="11"/>
      <c r="D4" s="12" t="s">
        <v>4</v>
      </c>
      <c r="E4" s="529">
        <f>E3+60</f>
        <v>42835</v>
      </c>
      <c r="F4" s="529"/>
      <c r="G4" s="13"/>
      <c r="H4" s="14"/>
      <c r="I4" s="15"/>
    </row>
    <row r="5" spans="1:9" x14ac:dyDescent="0.25">
      <c r="A5" s="536" t="s">
        <v>109</v>
      </c>
      <c r="B5" s="537"/>
      <c r="C5" s="17"/>
      <c r="D5" s="18"/>
      <c r="E5" s="17"/>
      <c r="F5" s="17"/>
      <c r="G5" s="19"/>
      <c r="H5" s="20"/>
      <c r="I5" s="21"/>
    </row>
    <row r="6" spans="1:9" ht="18.75" x14ac:dyDescent="0.3">
      <c r="A6" s="538" t="s">
        <v>108</v>
      </c>
      <c r="B6" s="539"/>
      <c r="C6" s="551"/>
      <c r="D6" s="551"/>
      <c r="E6" s="551"/>
      <c r="F6" s="551"/>
      <c r="G6" s="551"/>
      <c r="H6" s="551"/>
      <c r="I6" s="21"/>
    </row>
    <row r="7" spans="1:9" ht="15.75" thickBot="1" x14ac:dyDescent="0.3">
      <c r="A7" s="194" t="s">
        <v>160</v>
      </c>
      <c r="B7" s="214" t="s">
        <v>161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1"/>
      <c r="B8" s="216"/>
      <c r="C8" s="27" t="s">
        <v>10</v>
      </c>
      <c r="D8" s="89" t="s">
        <v>90</v>
      </c>
      <c r="E8" s="28">
        <f>E9</f>
        <v>7</v>
      </c>
      <c r="F8" s="29"/>
      <c r="G8" s="30" t="s">
        <v>96</v>
      </c>
      <c r="H8" s="31"/>
      <c r="I8" s="21"/>
    </row>
    <row r="9" spans="1:9" x14ac:dyDescent="0.25">
      <c r="A9" s="201"/>
      <c r="B9" s="216"/>
      <c r="C9" s="32" t="s">
        <v>12</v>
      </c>
      <c r="D9" s="90" t="str">
        <f>D10</f>
        <v>TEMA</v>
      </c>
      <c r="E9" s="33">
        <v>7</v>
      </c>
      <c r="F9" s="34"/>
      <c r="G9" s="35" t="s">
        <v>55</v>
      </c>
      <c r="H9" s="31"/>
      <c r="I9" s="21"/>
    </row>
    <row r="10" spans="1:9" ht="15" customHeight="1" x14ac:dyDescent="0.25">
      <c r="A10" s="304">
        <v>12377.88</v>
      </c>
      <c r="B10" s="294">
        <f>A10-6188.94-4125.96-1031.49-1031.49</f>
        <v>0</v>
      </c>
      <c r="C10" s="32" t="s">
        <v>13</v>
      </c>
      <c r="D10" s="89" t="s">
        <v>57</v>
      </c>
      <c r="E10" s="28">
        <v>7</v>
      </c>
      <c r="F10" s="36"/>
      <c r="G10" s="35" t="s">
        <v>55</v>
      </c>
      <c r="H10" s="31"/>
      <c r="I10" s="21"/>
    </row>
    <row r="11" spans="1:9" x14ac:dyDescent="0.25">
      <c r="A11" s="240"/>
      <c r="B11" s="241"/>
      <c r="C11" s="32" t="s">
        <v>88</v>
      </c>
      <c r="D11" s="90" t="s">
        <v>90</v>
      </c>
      <c r="E11" s="28">
        <f>E10+4</f>
        <v>11</v>
      </c>
      <c r="F11" s="34"/>
      <c r="G11" s="35" t="s">
        <v>96</v>
      </c>
      <c r="H11" s="31"/>
      <c r="I11" s="21"/>
    </row>
    <row r="12" spans="1:9" x14ac:dyDescent="0.25">
      <c r="A12" s="240"/>
      <c r="B12" s="241"/>
      <c r="C12" s="32" t="s">
        <v>14</v>
      </c>
      <c r="D12" s="89" t="s">
        <v>90</v>
      </c>
      <c r="E12" s="28">
        <f>E11</f>
        <v>11</v>
      </c>
      <c r="F12" s="34"/>
      <c r="G12" s="35" t="s">
        <v>96</v>
      </c>
      <c r="H12" s="31"/>
      <c r="I12" s="21"/>
    </row>
    <row r="13" spans="1:9" x14ac:dyDescent="0.25">
      <c r="A13" s="240"/>
      <c r="B13" s="241"/>
      <c r="C13" s="32" t="s">
        <v>15</v>
      </c>
      <c r="D13" s="90" t="s">
        <v>57</v>
      </c>
      <c r="E13" s="28">
        <v>10</v>
      </c>
      <c r="F13" s="34"/>
      <c r="G13" s="35" t="s">
        <v>55</v>
      </c>
      <c r="H13" s="31"/>
      <c r="I13" s="21"/>
    </row>
    <row r="14" spans="1:9" x14ac:dyDescent="0.25">
      <c r="A14" s="304">
        <v>440.95</v>
      </c>
      <c r="B14" s="294">
        <f>A14-440.95</f>
        <v>0</v>
      </c>
      <c r="C14" s="32" t="s">
        <v>16</v>
      </c>
      <c r="D14" s="89" t="s">
        <v>60</v>
      </c>
      <c r="E14" s="28">
        <v>12</v>
      </c>
      <c r="F14" s="34"/>
      <c r="G14" s="35" t="s">
        <v>55</v>
      </c>
      <c r="H14" s="31"/>
      <c r="I14" s="21"/>
    </row>
    <row r="15" spans="1:9" x14ac:dyDescent="0.25">
      <c r="A15" s="240"/>
      <c r="B15" s="241"/>
      <c r="C15" s="32" t="s">
        <v>100</v>
      </c>
      <c r="D15" s="90" t="str">
        <f>D10</f>
        <v>TEMA</v>
      </c>
      <c r="E15" s="28">
        <v>12</v>
      </c>
      <c r="F15" s="34"/>
      <c r="G15" s="35" t="s">
        <v>55</v>
      </c>
      <c r="H15" s="31"/>
      <c r="I15" s="21"/>
    </row>
    <row r="16" spans="1:9" x14ac:dyDescent="0.25">
      <c r="A16" s="349">
        <v>840.67</v>
      </c>
      <c r="B16" s="294">
        <f>A16-840.67</f>
        <v>0</v>
      </c>
      <c r="C16" s="32" t="s">
        <v>85</v>
      </c>
      <c r="D16" s="89" t="s">
        <v>62</v>
      </c>
      <c r="E16" s="28">
        <v>15</v>
      </c>
      <c r="F16" s="34"/>
      <c r="G16" s="35" t="s">
        <v>55</v>
      </c>
      <c r="H16" s="31"/>
      <c r="I16" s="21"/>
    </row>
    <row r="17" spans="1:9" x14ac:dyDescent="0.25">
      <c r="A17" s="349">
        <v>499.8</v>
      </c>
      <c r="B17" s="294">
        <f>A17-499.8</f>
        <v>0</v>
      </c>
      <c r="C17" s="32" t="s">
        <v>86</v>
      </c>
      <c r="D17" s="91" t="s">
        <v>62</v>
      </c>
      <c r="E17" s="28">
        <f>E16</f>
        <v>15</v>
      </c>
      <c r="F17" s="34"/>
      <c r="G17" s="35" t="s">
        <v>55</v>
      </c>
      <c r="H17" s="86"/>
      <c r="I17" s="21"/>
    </row>
    <row r="18" spans="1:9" x14ac:dyDescent="0.25">
      <c r="A18" s="240"/>
      <c r="B18" s="241"/>
      <c r="C18" s="157" t="s">
        <v>17</v>
      </c>
      <c r="D18" s="164" t="s">
        <v>94</v>
      </c>
      <c r="E18" s="159">
        <f>E16</f>
        <v>15</v>
      </c>
      <c r="F18" s="160"/>
      <c r="G18" s="161"/>
      <c r="H18" s="162"/>
      <c r="I18" s="21"/>
    </row>
    <row r="19" spans="1:9" x14ac:dyDescent="0.25">
      <c r="A19" s="304">
        <v>2202.96</v>
      </c>
      <c r="B19" s="294">
        <f>A19-2202.96</f>
        <v>0</v>
      </c>
      <c r="C19" s="37" t="s">
        <v>18</v>
      </c>
      <c r="D19" s="89" t="s">
        <v>65</v>
      </c>
      <c r="E19" s="28">
        <f>IF(E16="","",MOD(E16+2,52))</f>
        <v>17</v>
      </c>
      <c r="F19" s="34"/>
      <c r="G19" s="35" t="s">
        <v>55</v>
      </c>
      <c r="H19" s="31"/>
      <c r="I19" s="21"/>
    </row>
    <row r="20" spans="1:9" x14ac:dyDescent="0.25">
      <c r="A20" s="240"/>
      <c r="B20" s="241"/>
      <c r="C20" s="32" t="s">
        <v>19</v>
      </c>
      <c r="D20" s="90" t="str">
        <f>D13</f>
        <v>TEMA</v>
      </c>
      <c r="E20" s="28">
        <f>IF(E16="","",MOD(E16+2,52))</f>
        <v>17</v>
      </c>
      <c r="F20" s="34"/>
      <c r="G20" s="35" t="s">
        <v>55</v>
      </c>
      <c r="H20" s="31"/>
      <c r="I20" s="21"/>
    </row>
    <row r="21" spans="1:9" x14ac:dyDescent="0.25">
      <c r="A21" s="304">
        <v>0</v>
      </c>
      <c r="B21" s="294">
        <v>0</v>
      </c>
      <c r="C21" s="132" t="s">
        <v>20</v>
      </c>
      <c r="D21" s="90" t="s">
        <v>80</v>
      </c>
      <c r="E21" s="28">
        <f>E19</f>
        <v>17</v>
      </c>
      <c r="F21" s="34"/>
      <c r="G21" s="133" t="s">
        <v>55</v>
      </c>
      <c r="H21" s="31"/>
      <c r="I21" s="21"/>
    </row>
    <row r="22" spans="1:9" x14ac:dyDescent="0.25">
      <c r="A22" s="295"/>
      <c r="B22" s="305"/>
      <c r="C22" s="134"/>
      <c r="D22" s="135"/>
      <c r="E22" s="134"/>
      <c r="F22" s="134"/>
      <c r="G22" s="134"/>
      <c r="H22" s="134"/>
      <c r="I22" s="21"/>
    </row>
    <row r="23" spans="1:9" ht="18.75" x14ac:dyDescent="0.3">
      <c r="A23" s="306"/>
      <c r="B23" s="307"/>
      <c r="C23" s="136"/>
      <c r="D23" s="136"/>
      <c r="E23" s="136"/>
      <c r="F23" s="136"/>
      <c r="G23" s="136"/>
      <c r="H23" s="136"/>
      <c r="I23" s="21"/>
    </row>
    <row r="24" spans="1:9" ht="15.75" thickBot="1" x14ac:dyDescent="0.3">
      <c r="A24" s="240"/>
      <c r="B24" s="241"/>
      <c r="C24" s="137" t="s">
        <v>5</v>
      </c>
      <c r="D24" s="152" t="s">
        <v>6</v>
      </c>
      <c r="E24" s="139" t="s">
        <v>7</v>
      </c>
      <c r="F24" s="137" t="s">
        <v>56</v>
      </c>
      <c r="G24" s="138" t="s">
        <v>53</v>
      </c>
      <c r="H24" s="140" t="s">
        <v>89</v>
      </c>
      <c r="I24" s="21"/>
    </row>
    <row r="25" spans="1:9" x14ac:dyDescent="0.25">
      <c r="A25" s="304">
        <v>745.79</v>
      </c>
      <c r="B25" s="294">
        <f>A25-745.79</f>
        <v>0</v>
      </c>
      <c r="C25" s="141" t="s">
        <v>92</v>
      </c>
      <c r="D25" s="89" t="s">
        <v>129</v>
      </c>
      <c r="E25" s="142">
        <f>IF(E19="","",MOD(E19+1,52))</f>
        <v>18</v>
      </c>
      <c r="F25" s="29"/>
      <c r="G25" s="30" t="s">
        <v>55</v>
      </c>
      <c r="H25" s="31"/>
      <c r="I25" s="21"/>
    </row>
    <row r="26" spans="1:9" x14ac:dyDescent="0.25">
      <c r="A26" s="304">
        <v>1585.19</v>
      </c>
      <c r="B26" s="294">
        <f>A26-1585.19</f>
        <v>0</v>
      </c>
      <c r="C26" s="32" t="s">
        <v>93</v>
      </c>
      <c r="D26" s="90" t="s">
        <v>68</v>
      </c>
      <c r="E26" s="28">
        <f>IF(E25="","",MOD(E25+1,52))</f>
        <v>19</v>
      </c>
      <c r="F26" s="34"/>
      <c r="G26" s="35" t="s">
        <v>55</v>
      </c>
      <c r="H26" s="31"/>
      <c r="I26" s="21"/>
    </row>
    <row r="27" spans="1:9" x14ac:dyDescent="0.25">
      <c r="A27" s="240"/>
      <c r="B27" s="241"/>
      <c r="C27" s="102" t="s">
        <v>22</v>
      </c>
      <c r="D27" s="89" t="str">
        <f>D25</f>
        <v>ELECTRO HECKER</v>
      </c>
      <c r="E27" s="28">
        <f>IF(E26="","",MOD(E26+2,52))</f>
        <v>21</v>
      </c>
      <c r="F27" s="34"/>
      <c r="G27" s="35" t="s">
        <v>55</v>
      </c>
      <c r="H27" s="31"/>
      <c r="I27" s="21"/>
    </row>
    <row r="28" spans="1:9" x14ac:dyDescent="0.25">
      <c r="A28" s="304">
        <v>0</v>
      </c>
      <c r="B28" s="294">
        <v>0</v>
      </c>
      <c r="C28" s="143" t="s">
        <v>23</v>
      </c>
      <c r="D28" s="90" t="s">
        <v>73</v>
      </c>
      <c r="E28" s="28">
        <f>IF(E26="","",MOD(E26+2,52))</f>
        <v>21</v>
      </c>
      <c r="F28" s="34"/>
      <c r="G28" s="35" t="s">
        <v>55</v>
      </c>
      <c r="H28" s="31"/>
      <c r="I28" s="21"/>
    </row>
    <row r="29" spans="1:9" x14ac:dyDescent="0.25">
      <c r="A29" s="304">
        <v>0</v>
      </c>
      <c r="B29" s="294">
        <v>0</v>
      </c>
      <c r="C29" s="102" t="s">
        <v>24</v>
      </c>
      <c r="D29" s="89" t="s">
        <v>73</v>
      </c>
      <c r="E29" s="28">
        <f>IF(E28="","",MOD(E28+1,52))</f>
        <v>22</v>
      </c>
      <c r="F29" s="34"/>
      <c r="G29" s="35" t="s">
        <v>55</v>
      </c>
      <c r="H29" s="31"/>
      <c r="I29" s="21"/>
    </row>
    <row r="30" spans="1:9" x14ac:dyDescent="0.25">
      <c r="A30" s="304">
        <v>0</v>
      </c>
      <c r="B30" s="294">
        <v>0</v>
      </c>
      <c r="C30" s="32" t="s">
        <v>25</v>
      </c>
      <c r="D30" s="90" t="s">
        <v>73</v>
      </c>
      <c r="E30" s="28">
        <f>IF(E28="","",MOD(E28+1,52))</f>
        <v>22</v>
      </c>
      <c r="F30" s="34"/>
      <c r="G30" s="35" t="s">
        <v>55</v>
      </c>
      <c r="H30" s="31"/>
      <c r="I30" s="21"/>
    </row>
    <row r="31" spans="1:9" x14ac:dyDescent="0.25">
      <c r="A31" s="240"/>
      <c r="B31" s="241"/>
      <c r="C31" s="157" t="s">
        <v>26</v>
      </c>
      <c r="D31" s="158" t="s">
        <v>94</v>
      </c>
      <c r="E31" s="159"/>
      <c r="F31" s="160"/>
      <c r="G31" s="161"/>
      <c r="H31" s="162"/>
      <c r="I31" s="21"/>
    </row>
    <row r="32" spans="1:9" x14ac:dyDescent="0.25">
      <c r="A32" s="304">
        <v>0</v>
      </c>
      <c r="B32" s="294">
        <v>0</v>
      </c>
      <c r="C32" s="32" t="s">
        <v>27</v>
      </c>
      <c r="D32" s="90" t="s">
        <v>76</v>
      </c>
      <c r="E32" s="28">
        <f>IF(E30="","",MOD(E30+1,52))</f>
        <v>23</v>
      </c>
      <c r="F32" s="34"/>
      <c r="G32" s="35" t="s">
        <v>55</v>
      </c>
      <c r="H32" s="31"/>
      <c r="I32" s="21"/>
    </row>
    <row r="33" spans="1:9" x14ac:dyDescent="0.25">
      <c r="A33" s="240"/>
      <c r="B33" s="241"/>
      <c r="C33" s="32" t="s">
        <v>28</v>
      </c>
      <c r="D33" s="89" t="str">
        <f>D26</f>
        <v>SOARES</v>
      </c>
      <c r="E33" s="28">
        <v>25</v>
      </c>
      <c r="F33" s="34"/>
      <c r="G33" s="35" t="s">
        <v>55</v>
      </c>
      <c r="H33" s="31"/>
      <c r="I33" s="21"/>
    </row>
    <row r="34" spans="1:9" x14ac:dyDescent="0.25">
      <c r="A34" s="218"/>
      <c r="B34" s="219"/>
      <c r="C34" s="32" t="s">
        <v>29</v>
      </c>
      <c r="D34" s="90" t="str">
        <f>D25</f>
        <v>ELECTRO HECKER</v>
      </c>
      <c r="E34" s="28">
        <f>IF(E33="","",MOD(E33+1,52))</f>
        <v>26</v>
      </c>
      <c r="F34" s="34"/>
      <c r="G34" s="35" t="s">
        <v>55</v>
      </c>
      <c r="H34" s="31"/>
      <c r="I34" s="21"/>
    </row>
    <row r="35" spans="1:9" x14ac:dyDescent="0.25">
      <c r="A35" s="218"/>
      <c r="B35" s="219"/>
      <c r="C35" s="32" t="s">
        <v>30</v>
      </c>
      <c r="D35" s="89" t="str">
        <f>D28</f>
        <v>HERTFELDER</v>
      </c>
      <c r="E35" s="28">
        <f>IF(E33="","",MOD(E33+1,52))</f>
        <v>26</v>
      </c>
      <c r="F35" s="34"/>
      <c r="G35" s="35" t="s">
        <v>55</v>
      </c>
      <c r="H35" s="31"/>
      <c r="I35" s="21"/>
    </row>
    <row r="36" spans="1:9" x14ac:dyDescent="0.25">
      <c r="A36" s="218"/>
      <c r="B36" s="219"/>
      <c r="C36" s="32" t="s">
        <v>31</v>
      </c>
      <c r="D36" s="90" t="s">
        <v>90</v>
      </c>
      <c r="E36" s="28">
        <f>E32+4</f>
        <v>27</v>
      </c>
      <c r="F36" s="34"/>
      <c r="G36" s="35" t="s">
        <v>96</v>
      </c>
      <c r="H36" s="31"/>
      <c r="I36" s="21"/>
    </row>
    <row r="37" spans="1:9" x14ac:dyDescent="0.25">
      <c r="A37" s="218"/>
      <c r="B37" s="219"/>
      <c r="C37" s="32" t="s">
        <v>32</v>
      </c>
      <c r="D37" s="89" t="s">
        <v>90</v>
      </c>
      <c r="E37" s="28">
        <f>E35+1</f>
        <v>27</v>
      </c>
      <c r="F37" s="34"/>
      <c r="G37" s="35" t="s">
        <v>96</v>
      </c>
      <c r="H37" s="31"/>
      <c r="I37" s="21"/>
    </row>
    <row r="38" spans="1:9" x14ac:dyDescent="0.25">
      <c r="A38" s="218"/>
      <c r="B38" s="219"/>
      <c r="C38" s="32" t="s">
        <v>33</v>
      </c>
      <c r="D38" s="90" t="s">
        <v>73</v>
      </c>
      <c r="E38" s="28">
        <f>IF(E37="","",MOD(E37+1,52))</f>
        <v>28</v>
      </c>
      <c r="F38" s="34"/>
      <c r="G38" s="35" t="s">
        <v>55</v>
      </c>
      <c r="H38" s="31"/>
      <c r="I38" s="21"/>
    </row>
    <row r="39" spans="1:9" x14ac:dyDescent="0.25">
      <c r="A39" s="289">
        <v>0</v>
      </c>
      <c r="B39" s="217">
        <v>0</v>
      </c>
      <c r="C39" s="144" t="s">
        <v>34</v>
      </c>
      <c r="D39" s="89" t="s">
        <v>79</v>
      </c>
      <c r="E39" s="145">
        <f>IF(E38="","",MOD(E38+1,52))</f>
        <v>29</v>
      </c>
      <c r="F39" s="146"/>
      <c r="G39" s="133" t="s">
        <v>55</v>
      </c>
      <c r="H39" s="31"/>
      <c r="I39" s="21"/>
    </row>
    <row r="40" spans="1:9" x14ac:dyDescent="0.25">
      <c r="A40" s="220"/>
      <c r="B40" s="221"/>
      <c r="C40" s="134"/>
      <c r="D40" s="147"/>
      <c r="E40" s="134"/>
      <c r="F40" s="134"/>
      <c r="G40" s="134"/>
      <c r="H40" s="134"/>
      <c r="I40" s="21"/>
    </row>
    <row r="41" spans="1:9" x14ac:dyDescent="0.25">
      <c r="A41" s="222"/>
      <c r="B41" s="223"/>
      <c r="C41" s="148"/>
      <c r="D41" s="148"/>
      <c r="E41" s="148"/>
      <c r="F41" s="148"/>
      <c r="G41" s="148"/>
      <c r="H41" s="134"/>
      <c r="I41" s="21"/>
    </row>
    <row r="42" spans="1:9" ht="15.75" thickBot="1" x14ac:dyDescent="0.3">
      <c r="A42" s="218"/>
      <c r="B42" s="224"/>
      <c r="C42" s="149" t="s">
        <v>5</v>
      </c>
      <c r="D42" s="152" t="s">
        <v>6</v>
      </c>
      <c r="E42" s="150" t="s">
        <v>11</v>
      </c>
      <c r="F42" s="151" t="s">
        <v>56</v>
      </c>
      <c r="G42" s="149" t="s">
        <v>53</v>
      </c>
      <c r="H42" s="152" t="s">
        <v>89</v>
      </c>
      <c r="I42" s="21"/>
    </row>
    <row r="43" spans="1:9" x14ac:dyDescent="0.25">
      <c r="A43" s="217"/>
      <c r="B43" s="217"/>
      <c r="C43" s="153" t="s">
        <v>35</v>
      </c>
      <c r="D43" s="89" t="s">
        <v>90</v>
      </c>
      <c r="E43" s="154">
        <f>E28+1</f>
        <v>22</v>
      </c>
      <c r="F43" s="29"/>
      <c r="G43" s="30" t="s">
        <v>96</v>
      </c>
      <c r="H43" s="31"/>
      <c r="I43" s="21"/>
    </row>
    <row r="44" spans="1:9" x14ac:dyDescent="0.25">
      <c r="A44" s="201"/>
      <c r="B44" s="216"/>
      <c r="C44" s="167" t="s">
        <v>95</v>
      </c>
      <c r="D44" s="168" t="s">
        <v>90</v>
      </c>
      <c r="E44" s="169">
        <f>E43+1</f>
        <v>23</v>
      </c>
      <c r="F44" s="170"/>
      <c r="G44" s="171" t="s">
        <v>96</v>
      </c>
      <c r="H44" s="31"/>
      <c r="I44" s="21"/>
    </row>
    <row r="45" spans="1:9" x14ac:dyDescent="0.25">
      <c r="A45" s="201"/>
      <c r="B45" s="216"/>
      <c r="C45" s="157" t="s">
        <v>87</v>
      </c>
      <c r="D45" s="164" t="s">
        <v>94</v>
      </c>
      <c r="E45" s="166">
        <f>E43+1</f>
        <v>23</v>
      </c>
      <c r="F45" s="160"/>
      <c r="G45" s="161" t="s">
        <v>11</v>
      </c>
      <c r="H45" s="162"/>
      <c r="I45" s="21"/>
    </row>
    <row r="46" spans="1:9" x14ac:dyDescent="0.25">
      <c r="A46" s="201"/>
      <c r="B46" s="216"/>
      <c r="C46" s="156" t="s">
        <v>36</v>
      </c>
      <c r="D46" s="89" t="s">
        <v>90</v>
      </c>
      <c r="E46" s="155">
        <f>E43+3</f>
        <v>25</v>
      </c>
      <c r="F46" s="34"/>
      <c r="G46" s="133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4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05"/>
      <c r="C50" s="73" t="s">
        <v>40</v>
      </c>
      <c r="D50" s="173">
        <v>42744</v>
      </c>
      <c r="E50" s="74"/>
      <c r="F50" s="75" t="s">
        <v>169</v>
      </c>
      <c r="G50" s="20"/>
      <c r="H50" s="20"/>
      <c r="I50" s="21"/>
    </row>
    <row r="51" spans="1:9" x14ac:dyDescent="0.25">
      <c r="A51" s="72"/>
      <c r="B51" s="205"/>
      <c r="C51" s="40" t="s">
        <v>41</v>
      </c>
      <c r="D51" s="81">
        <v>42767</v>
      </c>
      <c r="E51" s="76"/>
      <c r="F51" s="2" t="s">
        <v>169</v>
      </c>
      <c r="G51" s="20"/>
      <c r="H51" s="20"/>
      <c r="I51" s="21"/>
    </row>
    <row r="52" spans="1:9" x14ac:dyDescent="0.25">
      <c r="A52" s="72"/>
      <c r="B52" s="205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05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06"/>
      <c r="C55" s="514"/>
      <c r="D55" s="514"/>
      <c r="E55" s="514"/>
      <c r="F55" s="514"/>
      <c r="G55" s="514"/>
      <c r="H55" s="514"/>
      <c r="I55" s="515"/>
    </row>
    <row r="56" spans="1:9" x14ac:dyDescent="0.25">
      <c r="A56" s="44"/>
      <c r="B56" s="20"/>
      <c r="C56" s="516"/>
      <c r="D56" s="516"/>
      <c r="E56" s="516"/>
      <c r="F56" s="516"/>
      <c r="G56" s="516"/>
      <c r="H56" s="516"/>
      <c r="I56" s="517"/>
    </row>
    <row r="57" spans="1:9" x14ac:dyDescent="0.25">
      <c r="A57" s="44"/>
      <c r="B57" s="20"/>
      <c r="C57" s="516"/>
      <c r="D57" s="516"/>
      <c r="E57" s="516"/>
      <c r="F57" s="516"/>
      <c r="G57" s="516"/>
      <c r="H57" s="516"/>
      <c r="I57" s="517"/>
    </row>
    <row r="58" spans="1:9" x14ac:dyDescent="0.25">
      <c r="A58" s="44"/>
      <c r="B58" s="20"/>
      <c r="C58" s="516"/>
      <c r="D58" s="516"/>
      <c r="E58" s="516"/>
      <c r="F58" s="516"/>
      <c r="G58" s="516"/>
      <c r="H58" s="516"/>
      <c r="I58" s="517"/>
    </row>
    <row r="59" spans="1:9" x14ac:dyDescent="0.25">
      <c r="A59" s="44"/>
      <c r="B59" s="20"/>
      <c r="C59" s="516"/>
      <c r="D59" s="516"/>
      <c r="E59" s="516"/>
      <c r="F59" s="516"/>
      <c r="G59" s="516"/>
      <c r="H59" s="516"/>
      <c r="I59" s="517"/>
    </row>
    <row r="60" spans="1:9" x14ac:dyDescent="0.25">
      <c r="A60" s="74"/>
      <c r="B60" s="75"/>
      <c r="C60" s="518"/>
      <c r="D60" s="518"/>
      <c r="E60" s="518"/>
      <c r="F60" s="518"/>
      <c r="G60" s="518"/>
      <c r="H60" s="518"/>
      <c r="I60" s="5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113" priority="72">
      <formula>$F22="réalisé"</formula>
    </cfRule>
  </conditionalFormatting>
  <conditionalFormatting sqref="C43:C46 E43:H46 C8:H21 E25:H39">
    <cfRule type="expression" dxfId="112" priority="69">
      <formula>$G8="réalisé"</formula>
    </cfRule>
    <cfRule type="expression" dxfId="111" priority="70">
      <formula>$G8="en cours"</formula>
    </cfRule>
    <cfRule type="expression" dxfId="110" priority="71">
      <formula>$G8="non compris"</formula>
    </cfRule>
  </conditionalFormatting>
  <conditionalFormatting sqref="C22:G22 C40:G40">
    <cfRule type="expression" dxfId="109" priority="68">
      <formula>$F22="non cpris"</formula>
    </cfRule>
  </conditionalFormatting>
  <conditionalFormatting sqref="C22:G22">
    <cfRule type="expression" dxfId="108" priority="67">
      <formula>$F22="en cours"</formula>
    </cfRule>
  </conditionalFormatting>
  <conditionalFormatting sqref="C25:C39">
    <cfRule type="expression" dxfId="107" priority="64">
      <formula>$G25="réalisé"</formula>
    </cfRule>
    <cfRule type="expression" dxfId="106" priority="65">
      <formula>$G25="en cours"</formula>
    </cfRule>
    <cfRule type="expression" dxfId="105" priority="66">
      <formula>$G25="non compris"</formula>
    </cfRule>
  </conditionalFormatting>
  <conditionalFormatting sqref="C50:F53">
    <cfRule type="expression" dxfId="104" priority="63">
      <formula>$F50="réalisé"</formula>
    </cfRule>
  </conditionalFormatting>
  <conditionalFormatting sqref="G9">
    <cfRule type="expression" dxfId="103" priority="62">
      <formula>$G$10="réalisé"</formula>
    </cfRule>
  </conditionalFormatting>
  <conditionalFormatting sqref="G10">
    <cfRule type="expression" dxfId="102" priority="61">
      <formula>$G$11="réalisé"</formula>
    </cfRule>
  </conditionalFormatting>
  <conditionalFormatting sqref="G16:G17">
    <cfRule type="expression" dxfId="101" priority="60">
      <formula>$G$18="réalisé"</formula>
    </cfRule>
  </conditionalFormatting>
  <conditionalFormatting sqref="G26">
    <cfRule type="expression" dxfId="100" priority="59">
      <formula>$G$27="réalisé"</formula>
    </cfRule>
  </conditionalFormatting>
  <conditionalFormatting sqref="D25">
    <cfRule type="expression" dxfId="99" priority="56">
      <formula>$G25="réalisé"</formula>
    </cfRule>
    <cfRule type="expression" dxfId="98" priority="57">
      <formula>$G25="en cours"</formula>
    </cfRule>
    <cfRule type="expression" dxfId="97" priority="58">
      <formula>$G25="non compris"</formula>
    </cfRule>
  </conditionalFormatting>
  <conditionalFormatting sqref="D27">
    <cfRule type="expression" dxfId="96" priority="53">
      <formula>$G27="réalisé"</formula>
    </cfRule>
    <cfRule type="expression" dxfId="95" priority="54">
      <formula>$G27="en cours"</formula>
    </cfRule>
    <cfRule type="expression" dxfId="94" priority="55">
      <formula>$G27="non compris"</formula>
    </cfRule>
  </conditionalFormatting>
  <conditionalFormatting sqref="D29">
    <cfRule type="expression" dxfId="93" priority="50">
      <formula>$G29="réalisé"</formula>
    </cfRule>
    <cfRule type="expression" dxfId="92" priority="51">
      <formula>$G29="en cours"</formula>
    </cfRule>
    <cfRule type="expression" dxfId="91" priority="52">
      <formula>$G29="non compris"</formula>
    </cfRule>
  </conditionalFormatting>
  <conditionalFormatting sqref="D31">
    <cfRule type="expression" dxfId="90" priority="47">
      <formula>$G31="réalisé"</formula>
    </cfRule>
    <cfRule type="expression" dxfId="89" priority="48">
      <formula>$G31="en cours"</formula>
    </cfRule>
    <cfRule type="expression" dxfId="88" priority="49">
      <formula>$G31="non compris"</formula>
    </cfRule>
  </conditionalFormatting>
  <conditionalFormatting sqref="D33">
    <cfRule type="expression" dxfId="87" priority="44">
      <formula>$G33="réalisé"</formula>
    </cfRule>
    <cfRule type="expression" dxfId="86" priority="45">
      <formula>$G33="en cours"</formula>
    </cfRule>
    <cfRule type="expression" dxfId="85" priority="46">
      <formula>$G33="non compris"</formula>
    </cfRule>
  </conditionalFormatting>
  <conditionalFormatting sqref="D35">
    <cfRule type="expression" dxfId="84" priority="41">
      <formula>$G35="réalisé"</formula>
    </cfRule>
    <cfRule type="expression" dxfId="83" priority="42">
      <formula>$G35="en cours"</formula>
    </cfRule>
    <cfRule type="expression" dxfId="82" priority="43">
      <formula>$G35="non compris"</formula>
    </cfRule>
  </conditionalFormatting>
  <conditionalFormatting sqref="D37">
    <cfRule type="expression" dxfId="81" priority="38">
      <formula>$G37="réalisé"</formula>
    </cfRule>
    <cfRule type="expression" dxfId="80" priority="39">
      <formula>$G37="en cours"</formula>
    </cfRule>
    <cfRule type="expression" dxfId="79" priority="40">
      <formula>$G37="non compris"</formula>
    </cfRule>
  </conditionalFormatting>
  <conditionalFormatting sqref="D39">
    <cfRule type="expression" dxfId="78" priority="35">
      <formula>$G39="réalisé"</formula>
    </cfRule>
    <cfRule type="expression" dxfId="77" priority="36">
      <formula>$G39="en cours"</formula>
    </cfRule>
    <cfRule type="expression" dxfId="76" priority="37">
      <formula>$G39="non compris"</formula>
    </cfRule>
  </conditionalFormatting>
  <conditionalFormatting sqref="D26">
    <cfRule type="expression" dxfId="75" priority="32">
      <formula>$G26="réalisé"</formula>
    </cfRule>
    <cfRule type="expression" dxfId="74" priority="33">
      <formula>$G26="en cours"</formula>
    </cfRule>
    <cfRule type="expression" dxfId="73" priority="34">
      <formula>$G26="non compris"</formula>
    </cfRule>
  </conditionalFormatting>
  <conditionalFormatting sqref="D28">
    <cfRule type="expression" dxfId="72" priority="29">
      <formula>$G28="réalisé"</formula>
    </cfRule>
    <cfRule type="expression" dxfId="71" priority="30">
      <formula>$G28="en cours"</formula>
    </cfRule>
    <cfRule type="expression" dxfId="70" priority="31">
      <formula>$G28="non compris"</formula>
    </cfRule>
  </conditionalFormatting>
  <conditionalFormatting sqref="D30">
    <cfRule type="expression" dxfId="69" priority="26">
      <formula>$G30="réalisé"</formula>
    </cfRule>
    <cfRule type="expression" dxfId="68" priority="27">
      <formula>$G30="en cours"</formula>
    </cfRule>
    <cfRule type="expression" dxfId="67" priority="28">
      <formula>$G30="non compris"</formula>
    </cfRule>
  </conditionalFormatting>
  <conditionalFormatting sqref="D32">
    <cfRule type="expression" dxfId="66" priority="23">
      <formula>$G32="réalisé"</formula>
    </cfRule>
    <cfRule type="expression" dxfId="65" priority="24">
      <formula>$G32="en cours"</formula>
    </cfRule>
    <cfRule type="expression" dxfId="64" priority="25">
      <formula>$G32="non compris"</formula>
    </cfRule>
  </conditionalFormatting>
  <conditionalFormatting sqref="D34">
    <cfRule type="expression" dxfId="63" priority="20">
      <formula>$G34="réalisé"</formula>
    </cfRule>
    <cfRule type="expression" dxfId="62" priority="21">
      <formula>$G34="en cours"</formula>
    </cfRule>
    <cfRule type="expression" dxfId="61" priority="22">
      <formula>$G34="non compris"</formula>
    </cfRule>
  </conditionalFormatting>
  <conditionalFormatting sqref="D36">
    <cfRule type="expression" dxfId="60" priority="17">
      <formula>$G36="réalisé"</formula>
    </cfRule>
    <cfRule type="expression" dxfId="59" priority="18">
      <formula>$G36="en cours"</formula>
    </cfRule>
    <cfRule type="expression" dxfId="58" priority="19">
      <formula>$G36="non compris"</formula>
    </cfRule>
  </conditionalFormatting>
  <conditionalFormatting sqref="D38">
    <cfRule type="expression" dxfId="57" priority="14">
      <formula>$G38="réalisé"</formula>
    </cfRule>
    <cfRule type="expression" dxfId="56" priority="15">
      <formula>$G38="en cours"</formula>
    </cfRule>
    <cfRule type="expression" dxfId="55" priority="16">
      <formula>$G38="non compris"</formula>
    </cfRule>
  </conditionalFormatting>
  <conditionalFormatting sqref="D45">
    <cfRule type="expression" dxfId="54" priority="11">
      <formula>$G45="réalisé"</formula>
    </cfRule>
    <cfRule type="expression" dxfId="53" priority="12">
      <formula>$G45="en cours"</formula>
    </cfRule>
    <cfRule type="expression" dxfId="52" priority="13">
      <formula>$G45="non compris"</formula>
    </cfRule>
  </conditionalFormatting>
  <conditionalFormatting sqref="D44">
    <cfRule type="expression" dxfId="51" priority="8">
      <formula>$G44="réalisé"</formula>
    </cfRule>
    <cfRule type="expression" dxfId="50" priority="9">
      <formula>$G44="en cours"</formula>
    </cfRule>
    <cfRule type="expression" dxfId="49" priority="10">
      <formula>$G44="non compris"</formula>
    </cfRule>
  </conditionalFormatting>
  <conditionalFormatting sqref="D43">
    <cfRule type="expression" dxfId="48" priority="5">
      <formula>$G43="réalisé"</formula>
    </cfRule>
    <cfRule type="expression" dxfId="47" priority="6">
      <formula>$G43="en cours"</formula>
    </cfRule>
    <cfRule type="expression" dxfId="46" priority="7">
      <formula>$G43="non compris"</formula>
    </cfRule>
  </conditionalFormatting>
  <conditionalFormatting sqref="D46">
    <cfRule type="expression" dxfId="45" priority="2">
      <formula>$G46="réalisé"</formula>
    </cfRule>
    <cfRule type="expression" dxfId="44" priority="3">
      <formula>$G46="en cours"</formula>
    </cfRule>
    <cfRule type="expression" dxfId="43" priority="4">
      <formula>$G46="non compris"</formula>
    </cfRule>
  </conditionalFormatting>
  <conditionalFormatting sqref="D8:D21">
    <cfRule type="expression" dxfId="42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50"/>
  <sheetViews>
    <sheetView topLeftCell="A13" workbookViewId="0">
      <selection activeCell="D33" sqref="D33"/>
    </sheetView>
  </sheetViews>
  <sheetFormatPr baseColWidth="10" defaultRowHeight="15" x14ac:dyDescent="0.25"/>
  <cols>
    <col min="1" max="1" width="13.85546875" customWidth="1"/>
    <col min="4" max="4" width="48.28515625" customWidth="1"/>
  </cols>
  <sheetData>
    <row r="1" spans="1:4" x14ac:dyDescent="0.25">
      <c r="D1" s="130">
        <f ca="1">TODAY()</f>
        <v>42970</v>
      </c>
    </row>
    <row r="2" spans="1:4" x14ac:dyDescent="0.25">
      <c r="A2" t="s">
        <v>53</v>
      </c>
      <c r="B2" t="s">
        <v>11</v>
      </c>
    </row>
    <row r="3" spans="1:4" x14ac:dyDescent="0.25">
      <c r="B3" t="s">
        <v>96</v>
      </c>
    </row>
    <row r="4" spans="1:4" x14ac:dyDescent="0.25">
      <c r="B4" t="s">
        <v>54</v>
      </c>
    </row>
    <row r="5" spans="1:4" x14ac:dyDescent="0.25">
      <c r="B5" t="s">
        <v>55</v>
      </c>
    </row>
    <row r="6" spans="1:4" x14ac:dyDescent="0.25">
      <c r="B6" t="s">
        <v>97</v>
      </c>
    </row>
    <row r="8" spans="1:4" x14ac:dyDescent="0.25">
      <c r="A8" t="s">
        <v>119</v>
      </c>
      <c r="B8" t="s">
        <v>91</v>
      </c>
      <c r="D8" t="s">
        <v>140</v>
      </c>
    </row>
    <row r="9" spans="1:4" x14ac:dyDescent="0.25">
      <c r="B9" t="s">
        <v>90</v>
      </c>
    </row>
    <row r="10" spans="1:4" x14ac:dyDescent="0.25">
      <c r="B10" t="s">
        <v>59</v>
      </c>
      <c r="D10" s="187" t="s">
        <v>120</v>
      </c>
    </row>
    <row r="11" spans="1:4" x14ac:dyDescent="0.25">
      <c r="B11" t="s">
        <v>84</v>
      </c>
      <c r="D11" s="187" t="s">
        <v>121</v>
      </c>
    </row>
    <row r="12" spans="1:4" x14ac:dyDescent="0.25">
      <c r="B12" t="s">
        <v>198</v>
      </c>
      <c r="D12" s="187"/>
    </row>
    <row r="13" spans="1:4" x14ac:dyDescent="0.25">
      <c r="B13" t="s">
        <v>60</v>
      </c>
      <c r="D13" s="187" t="s">
        <v>122</v>
      </c>
    </row>
    <row r="14" spans="1:4" x14ac:dyDescent="0.25">
      <c r="B14" t="s">
        <v>79</v>
      </c>
      <c r="D14" s="187" t="s">
        <v>123</v>
      </c>
    </row>
    <row r="15" spans="1:4" x14ac:dyDescent="0.25">
      <c r="B15" t="s">
        <v>76</v>
      </c>
      <c r="D15" s="187" t="s">
        <v>124</v>
      </c>
    </row>
    <row r="16" spans="1:4" x14ac:dyDescent="0.25">
      <c r="B16" t="s">
        <v>71</v>
      </c>
      <c r="D16" s="187" t="s">
        <v>125</v>
      </c>
    </row>
    <row r="17" spans="1:5" x14ac:dyDescent="0.25">
      <c r="B17" t="s">
        <v>184</v>
      </c>
      <c r="D17" s="187" t="s">
        <v>183</v>
      </c>
    </row>
    <row r="18" spans="1:5" x14ac:dyDescent="0.25">
      <c r="B18" t="s">
        <v>78</v>
      </c>
      <c r="D18" s="187" t="s">
        <v>126</v>
      </c>
    </row>
    <row r="19" spans="1:5" x14ac:dyDescent="0.25">
      <c r="B19" t="s">
        <v>197</v>
      </c>
      <c r="D19" s="187" t="s">
        <v>196</v>
      </c>
    </row>
    <row r="20" spans="1:5" x14ac:dyDescent="0.25">
      <c r="A20" t="s">
        <v>130</v>
      </c>
      <c r="B20" t="s">
        <v>67</v>
      </c>
      <c r="D20" s="187" t="s">
        <v>157</v>
      </c>
    </row>
    <row r="21" spans="1:5" x14ac:dyDescent="0.25">
      <c r="B21" t="s">
        <v>75</v>
      </c>
      <c r="D21" s="187" t="s">
        <v>131</v>
      </c>
    </row>
    <row r="22" spans="1:5" x14ac:dyDescent="0.25">
      <c r="B22" t="s">
        <v>129</v>
      </c>
      <c r="D22" s="187" t="s">
        <v>128</v>
      </c>
    </row>
    <row r="23" spans="1:5" x14ac:dyDescent="0.25">
      <c r="B23" t="s">
        <v>81</v>
      </c>
      <c r="D23" s="187" t="s">
        <v>143</v>
      </c>
    </row>
    <row r="24" spans="1:5" x14ac:dyDescent="0.25">
      <c r="B24" t="s">
        <v>61</v>
      </c>
      <c r="D24" s="187" t="s">
        <v>144</v>
      </c>
    </row>
    <row r="25" spans="1:5" x14ac:dyDescent="0.25">
      <c r="B25" t="s">
        <v>70</v>
      </c>
      <c r="D25" s="187" t="s">
        <v>146</v>
      </c>
    </row>
    <row r="26" spans="1:5" x14ac:dyDescent="0.25">
      <c r="B26" t="s">
        <v>69</v>
      </c>
      <c r="D26" s="187" t="s">
        <v>127</v>
      </c>
    </row>
    <row r="27" spans="1:5" x14ac:dyDescent="0.25">
      <c r="B27" t="s">
        <v>73</v>
      </c>
      <c r="D27" s="187" t="s">
        <v>132</v>
      </c>
    </row>
    <row r="28" spans="1:5" x14ac:dyDescent="0.25">
      <c r="B28" t="s">
        <v>77</v>
      </c>
    </row>
    <row r="29" spans="1:5" ht="15" customHeight="1" x14ac:dyDescent="0.25">
      <c r="B29" t="s">
        <v>65</v>
      </c>
      <c r="D29" s="187" t="s">
        <v>148</v>
      </c>
    </row>
    <row r="30" spans="1:5" x14ac:dyDescent="0.25">
      <c r="B30" t="s">
        <v>66</v>
      </c>
      <c r="D30" s="187" t="s">
        <v>156</v>
      </c>
    </row>
    <row r="31" spans="1:5" ht="15" customHeight="1" x14ac:dyDescent="0.25">
      <c r="B31" t="s">
        <v>80</v>
      </c>
      <c r="D31" s="188" t="s">
        <v>133</v>
      </c>
    </row>
    <row r="32" spans="1:5" ht="15" customHeight="1" x14ac:dyDescent="0.25">
      <c r="D32" s="187" t="s">
        <v>134</v>
      </c>
      <c r="E32" s="187"/>
    </row>
    <row r="33" spans="1:5" ht="15" customHeight="1" x14ac:dyDescent="0.25">
      <c r="B33" t="s">
        <v>265</v>
      </c>
      <c r="D33" s="187" t="s">
        <v>266</v>
      </c>
      <c r="E33" s="187"/>
    </row>
    <row r="34" spans="1:5" x14ac:dyDescent="0.25">
      <c r="B34" t="s">
        <v>64</v>
      </c>
      <c r="D34" s="187" t="s">
        <v>191</v>
      </c>
    </row>
    <row r="35" spans="1:5" x14ac:dyDescent="0.25">
      <c r="B35" t="s">
        <v>94</v>
      </c>
    </row>
    <row r="36" spans="1:5" x14ac:dyDescent="0.25">
      <c r="B36" t="s">
        <v>83</v>
      </c>
      <c r="D36" s="187" t="s">
        <v>192</v>
      </c>
    </row>
    <row r="37" spans="1:5" x14ac:dyDescent="0.25">
      <c r="B37" t="s">
        <v>62</v>
      </c>
      <c r="D37" s="187" t="s">
        <v>135</v>
      </c>
    </row>
    <row r="38" spans="1:5" x14ac:dyDescent="0.25">
      <c r="B38" t="s">
        <v>58</v>
      </c>
    </row>
    <row r="39" spans="1:5" x14ac:dyDescent="0.25">
      <c r="B39" t="s">
        <v>68</v>
      </c>
      <c r="D39" s="187" t="s">
        <v>162</v>
      </c>
    </row>
    <row r="40" spans="1:5" x14ac:dyDescent="0.25">
      <c r="B40" t="s">
        <v>106</v>
      </c>
      <c r="D40" s="187" t="s">
        <v>150</v>
      </c>
    </row>
    <row r="41" spans="1:5" x14ac:dyDescent="0.25">
      <c r="B41" t="s">
        <v>63</v>
      </c>
      <c r="D41" s="187" t="s">
        <v>136</v>
      </c>
    </row>
    <row r="42" spans="1:5" x14ac:dyDescent="0.25">
      <c r="B42" t="s">
        <v>82</v>
      </c>
      <c r="D42" s="187" t="s">
        <v>137</v>
      </c>
    </row>
    <row r="43" spans="1:5" x14ac:dyDescent="0.25">
      <c r="D43" s="187" t="s">
        <v>141</v>
      </c>
    </row>
    <row r="44" spans="1:5" x14ac:dyDescent="0.25">
      <c r="B44" t="s">
        <v>57</v>
      </c>
      <c r="D44" s="187" t="s">
        <v>138</v>
      </c>
    </row>
    <row r="45" spans="1:5" x14ac:dyDescent="0.25">
      <c r="B45" t="s">
        <v>74</v>
      </c>
      <c r="D45" s="187" t="s">
        <v>139</v>
      </c>
    </row>
    <row r="48" spans="1:5" x14ac:dyDescent="0.25">
      <c r="A48" t="s">
        <v>223</v>
      </c>
      <c r="B48" t="s">
        <v>224</v>
      </c>
    </row>
    <row r="49" spans="2:2" x14ac:dyDescent="0.25">
      <c r="B49" t="s">
        <v>225</v>
      </c>
    </row>
    <row r="50" spans="2:2" x14ac:dyDescent="0.25">
      <c r="B50" t="s">
        <v>226</v>
      </c>
    </row>
  </sheetData>
  <sortState ref="B8:C39">
    <sortCondition ref="B8"/>
  </sortState>
  <dataConsolidate/>
  <dataValidations count="2">
    <dataValidation showInputMessage="1" showErrorMessage="1" sqref="A8"/>
    <dataValidation type="list" allowBlank="1" showInputMessage="1" showErrorMessage="1" sqref="F8">
      <formula1>"Entreprises"</formula1>
    </dataValidation>
  </dataValidations>
  <hyperlinks>
    <hyperlink ref="D10" r:id="rId1"/>
    <hyperlink ref="D11" r:id="rId2"/>
    <hyperlink ref="D13" r:id="rId3"/>
    <hyperlink ref="D14" r:id="rId4"/>
    <hyperlink ref="D15" r:id="rId5"/>
    <hyperlink ref="D16" r:id="rId6"/>
    <hyperlink ref="D18" r:id="rId7"/>
    <hyperlink ref="D24" r:id="rId8"/>
    <hyperlink ref="D25" r:id="rId9"/>
    <hyperlink ref="D26" r:id="rId10"/>
    <hyperlink ref="D22" r:id="rId11"/>
    <hyperlink ref="D21" r:id="rId12"/>
    <hyperlink ref="D30" r:id="rId13"/>
    <hyperlink ref="D27" r:id="rId14"/>
    <hyperlink ref="D29" r:id="rId15"/>
    <hyperlink ref="D31" r:id="rId16"/>
    <hyperlink ref="D32" r:id="rId17"/>
    <hyperlink ref="D37" r:id="rId18"/>
    <hyperlink ref="D39" r:id="rId19"/>
    <hyperlink ref="D41" r:id="rId20"/>
    <hyperlink ref="D42" r:id="rId21"/>
    <hyperlink ref="D44" r:id="rId22"/>
    <hyperlink ref="D45" r:id="rId23"/>
    <hyperlink ref="D43" r:id="rId24"/>
    <hyperlink ref="D23" r:id="rId25"/>
    <hyperlink ref="D40" r:id="rId26"/>
    <hyperlink ref="D36" r:id="rId27"/>
    <hyperlink ref="D17" r:id="rId28"/>
    <hyperlink ref="D34" r:id="rId29"/>
    <hyperlink ref="D33" r:id="rId30"/>
  </hyperlinks>
  <pageMargins left="0.7" right="0.7" top="1.3149999999999999" bottom="0.75" header="0.3" footer="0.3"/>
  <pageSetup paperSize="9" scale="95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29</vt:i4>
      </vt:variant>
    </vt:vector>
  </HeadingPairs>
  <TitlesOfParts>
    <vt:vector size="54" baseType="lpstr">
      <vt:lpstr>AAA</vt:lpstr>
      <vt:lpstr>RECAP</vt:lpstr>
      <vt:lpstr>BOOS</vt:lpstr>
      <vt:lpstr>COUSIN-SCHMITT</vt:lpstr>
      <vt:lpstr>DELETRE</vt:lpstr>
      <vt:lpstr>FARVACQUES</vt:lpstr>
      <vt:lpstr>FERNANDES</vt:lpstr>
      <vt:lpstr>FISCHBACH-SCHMITT</vt:lpstr>
      <vt:lpstr>FREYMANN</vt:lpstr>
      <vt:lpstr>FUGER</vt:lpstr>
      <vt:lpstr>GAESSLER</vt:lpstr>
      <vt:lpstr>GEISLER</vt:lpstr>
      <vt:lpstr>GITZINGER</vt:lpstr>
      <vt:lpstr>LICKEL</vt:lpstr>
      <vt:lpstr>LEHMANN</vt:lpstr>
      <vt:lpstr>MADER</vt:lpstr>
      <vt:lpstr>RAMELET-NGUYEN</vt:lpstr>
      <vt:lpstr>SCHMITT-THOMAS</vt:lpstr>
      <vt:lpstr>THOMAS-LACOMB</vt:lpstr>
      <vt:lpstr>THOMAS-MATHIS</vt:lpstr>
      <vt:lpstr>WEBER</vt:lpstr>
      <vt:lpstr>WEIGEL-BIVER</vt:lpstr>
      <vt:lpstr>WINE</vt:lpstr>
      <vt:lpstr>WINTERSTEIN</vt:lpstr>
      <vt:lpstr>LISTE</vt:lpstr>
      <vt:lpstr>Avancement</vt:lpstr>
      <vt:lpstr>Commercial</vt:lpstr>
      <vt:lpstr>Entreprises</vt:lpstr>
      <vt:lpstr>listemail</vt:lpstr>
      <vt:lpstr>mail</vt:lpstr>
      <vt:lpstr>AAA!Zone_d_impression</vt:lpstr>
      <vt:lpstr>BOOS!Zone_d_impression</vt:lpstr>
      <vt:lpstr>'COUSIN-SCHMITT'!Zone_d_impression</vt:lpstr>
      <vt:lpstr>DELETRE!Zone_d_impression</vt:lpstr>
      <vt:lpstr>FARVACQUES!Zone_d_impression</vt:lpstr>
      <vt:lpstr>FERNANDES!Zone_d_impression</vt:lpstr>
      <vt:lpstr>'FISCHBACH-SCHMITT'!Zone_d_impression</vt:lpstr>
      <vt:lpstr>FREYMANN!Zone_d_impression</vt:lpstr>
      <vt:lpstr>FUGER!Zone_d_impression</vt:lpstr>
      <vt:lpstr>GAESSLER!Zone_d_impression</vt:lpstr>
      <vt:lpstr>GEISLER!Zone_d_impression</vt:lpstr>
      <vt:lpstr>GITZINGER!Zone_d_impression</vt:lpstr>
      <vt:lpstr>LEHMANN!Zone_d_impression</vt:lpstr>
      <vt:lpstr>LICKEL!Zone_d_impression</vt:lpstr>
      <vt:lpstr>MADER!Zone_d_impression</vt:lpstr>
      <vt:lpstr>'RAMELET-NGUYEN'!Zone_d_impression</vt:lpstr>
      <vt:lpstr>RECAP!Zone_d_impression</vt:lpstr>
      <vt:lpstr>'SCHMITT-THOMAS'!Zone_d_impression</vt:lpstr>
      <vt:lpstr>'THOMAS-LACOMB'!Zone_d_impression</vt:lpstr>
      <vt:lpstr>'THOMAS-MATHIS'!Zone_d_impression</vt:lpstr>
      <vt:lpstr>WEBER!Zone_d_impression</vt:lpstr>
      <vt:lpstr>'WEIGEL-BIVER'!Zone_d_impression</vt:lpstr>
      <vt:lpstr>WINE!Zone_d_impression</vt:lpstr>
      <vt:lpstr>WINTERSTEIN!Zone_d_impression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Vpadowicz</dc:creator>
  <cp:lastModifiedBy>Vincent PADOWICZ</cp:lastModifiedBy>
  <cp:lastPrinted>2017-07-26T13:14:11Z</cp:lastPrinted>
  <dcterms:created xsi:type="dcterms:W3CDTF">2016-11-29T16:42:51Z</dcterms:created>
  <dcterms:modified xsi:type="dcterms:W3CDTF">2017-08-23T14:30:41Z</dcterms:modified>
</cp:coreProperties>
</file>