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red\Desktop\"/>
    </mc:Choice>
  </mc:AlternateContent>
  <bookViews>
    <workbookView xWindow="1020" yWindow="690" windowWidth="15480" windowHeight="9720" tabRatio="734"/>
  </bookViews>
  <sheets>
    <sheet name="fournisseurs" sheetId="24" r:id="rId1"/>
  </sheets>
  <externalReferences>
    <externalReference r:id="rId2"/>
  </externalReferences>
  <definedNames>
    <definedName name="mois">[1]mois!$A$2:$A$13</definedName>
    <definedName name="Segment_clients">#N/A</definedName>
    <definedName name="Segment_mois">#N/A</definedName>
  </definedNames>
  <calcPr calcId="152511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L78" i="24" l="1"/>
  <c r="L72" i="24" l="1"/>
  <c r="L66" i="24"/>
  <c r="C85" i="24" l="1"/>
  <c r="D84" i="24"/>
  <c r="L81" i="24"/>
  <c r="L80" i="24"/>
  <c r="H79" i="24"/>
  <c r="C72" i="24"/>
  <c r="D76" i="24"/>
  <c r="D73" i="24"/>
  <c r="D72" i="24"/>
  <c r="J72" i="24"/>
  <c r="H71" i="24"/>
  <c r="I69" i="24"/>
  <c r="G70" i="24"/>
  <c r="F69" i="24"/>
  <c r="D67" i="24"/>
  <c r="D66" i="24"/>
  <c r="C66" i="24"/>
  <c r="G65" i="24"/>
  <c r="E63" i="24"/>
  <c r="G61" i="24"/>
  <c r="C61" i="24"/>
  <c r="P59" i="24"/>
  <c r="C59" i="24"/>
  <c r="D59" i="24"/>
  <c r="G59" i="24"/>
  <c r="E58" i="24"/>
  <c r="E57" i="24"/>
  <c r="C44" i="24"/>
  <c r="L44" i="24"/>
  <c r="G56" i="24"/>
  <c r="G55" i="24"/>
  <c r="D55" i="24"/>
  <c r="L54" i="24"/>
  <c r="C53" i="24"/>
  <c r="D52" i="24"/>
  <c r="D51" i="24"/>
  <c r="O50" i="24"/>
  <c r="J50" i="24"/>
  <c r="C49" i="24"/>
  <c r="C50" i="24"/>
  <c r="F49" i="24"/>
  <c r="F48" i="24"/>
  <c r="D47" i="24"/>
  <c r="D46" i="24"/>
  <c r="D40" i="24"/>
  <c r="D43" i="24"/>
  <c r="C40" i="24"/>
  <c r="F38" i="24"/>
  <c r="D37" i="24"/>
  <c r="C37" i="24"/>
  <c r="C38" i="24"/>
  <c r="P37" i="24"/>
  <c r="J36" i="24"/>
  <c r="F36" i="24"/>
  <c r="F34" i="24"/>
  <c r="D36" i="24"/>
  <c r="D35" i="24"/>
  <c r="C36" i="24"/>
  <c r="C35" i="24"/>
  <c r="C34" i="24"/>
  <c r="C32" i="24"/>
  <c r="C30" i="24"/>
  <c r="D31" i="24"/>
  <c r="P30" i="24"/>
  <c r="C28" i="24"/>
  <c r="C27" i="24"/>
  <c r="M27" i="24"/>
  <c r="N27" i="24"/>
  <c r="C24" i="24"/>
  <c r="C26" i="24"/>
  <c r="C25" i="24"/>
  <c r="E25" i="24"/>
  <c r="I25" i="24"/>
  <c r="M24" i="24" l="1"/>
  <c r="M23" i="24"/>
  <c r="P21" i="24"/>
  <c r="C23" i="24"/>
  <c r="M21" i="24"/>
  <c r="C22" i="24"/>
  <c r="C21" i="24"/>
  <c r="C20" i="24"/>
  <c r="D19" i="24"/>
  <c r="C17" i="24"/>
  <c r="C16" i="24"/>
  <c r="D15" i="24"/>
  <c r="C14" i="24"/>
  <c r="Q5" i="24" l="1"/>
  <c r="D7" i="24" l="1"/>
  <c r="E7" i="24"/>
  <c r="F7" i="24"/>
  <c r="G7" i="24"/>
  <c r="H7" i="24"/>
  <c r="I7" i="24"/>
  <c r="J7" i="24"/>
  <c r="K7" i="24"/>
  <c r="L7" i="24"/>
  <c r="M7" i="24"/>
  <c r="N7" i="24"/>
  <c r="O7" i="24"/>
  <c r="P7" i="24"/>
  <c r="C7" i="24"/>
  <c r="Q7" i="24" l="1"/>
  <c r="Q8" i="24" l="1"/>
  <c r="Q9" i="24" s="1"/>
</calcChain>
</file>

<file path=xl/sharedStrings.xml><?xml version="1.0" encoding="utf-8"?>
<sst xmlns="http://schemas.openxmlformats.org/spreadsheetml/2006/main" count="109" uniqueCount="60">
  <si>
    <t>TOTAL HT</t>
  </si>
  <si>
    <t>bois</t>
  </si>
  <si>
    <t>dechetterie</t>
  </si>
  <si>
    <t>TVA</t>
  </si>
  <si>
    <t>sebastien</t>
  </si>
  <si>
    <t>renoud</t>
  </si>
  <si>
    <t>texier</t>
  </si>
  <si>
    <t>vincent</t>
  </si>
  <si>
    <t>guillaume</t>
  </si>
  <si>
    <t>jackson</t>
  </si>
  <si>
    <t>jerome</t>
  </si>
  <si>
    <t>perillat</t>
  </si>
  <si>
    <t>gaec</t>
  </si>
  <si>
    <t>bdr</t>
  </si>
  <si>
    <t>guichard</t>
  </si>
  <si>
    <t>touitou</t>
  </si>
  <si>
    <t>volkswagen</t>
  </si>
  <si>
    <t>feligonde</t>
  </si>
  <si>
    <t>lasternas</t>
  </si>
  <si>
    <t>mois</t>
  </si>
  <si>
    <t>clients</t>
  </si>
  <si>
    <t>point p</t>
  </si>
  <si>
    <t>raoult</t>
  </si>
  <si>
    <t>fenetrea</t>
  </si>
  <si>
    <t>dispano</t>
  </si>
  <si>
    <t>lc bois</t>
  </si>
  <si>
    <t>wurth</t>
  </si>
  <si>
    <t>jointeur</t>
  </si>
  <si>
    <t>cged</t>
  </si>
  <si>
    <t>bricolage</t>
  </si>
  <si>
    <t>escalier</t>
  </si>
  <si>
    <t>fenetrea.</t>
  </si>
  <si>
    <t>raoult.</t>
  </si>
  <si>
    <t>point p.</t>
  </si>
  <si>
    <t>bdr.</t>
  </si>
  <si>
    <t>dispano.</t>
  </si>
  <si>
    <t>lc bois.</t>
  </si>
  <si>
    <t>wurth.</t>
  </si>
  <si>
    <t>jointeur.</t>
  </si>
  <si>
    <t>cged.</t>
  </si>
  <si>
    <t>bois.</t>
  </si>
  <si>
    <t>dechetterie.</t>
  </si>
  <si>
    <t>bricolage.</t>
  </si>
  <si>
    <t>escalier.</t>
  </si>
  <si>
    <t>fournisseurs</t>
  </si>
  <si>
    <t>prix d'achat</t>
  </si>
  <si>
    <t>coefficient</t>
  </si>
  <si>
    <t>prix de revente</t>
  </si>
  <si>
    <t>TOTAL TTC</t>
  </si>
  <si>
    <t>boismoraud</t>
  </si>
  <si>
    <t>nord blayais</t>
  </si>
  <si>
    <t>nord blayais.</t>
  </si>
  <si>
    <t>marie ange</t>
  </si>
  <si>
    <t>2 vis relieuse de porte</t>
  </si>
  <si>
    <t>2 charnieres invisible + les 2 plaques atelier</t>
  </si>
  <si>
    <t>chene en stock</t>
  </si>
  <si>
    <t>niangon en 34 en stock</t>
  </si>
  <si>
    <t>niangon en 65 en stock</t>
  </si>
  <si>
    <t>bois des cadres a facturer avec les menuiseries</t>
  </si>
  <si>
    <t>bois du volet largeur 134,5 x H 142,5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</si>
</sst>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7" formatCode="#,##0.00\ &quot;€&quot;"/>
    <numFmt numFmtId="169" formatCode="[$-40C]mmm\-yy;@"/>
  </numFmts>
  <fonts count="16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22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</font>
    <font>
      <b/>
      <sz val="9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63377788628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48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0" fillId="0" borderId="2" xfId="0" applyBorder="1" applyAlignment="1" applyProtection="1">
      <alignment horizontal="center" vertical="center"/>
    </xf>
    <xf numFmtId="2" fontId="0" fillId="0" borderId="2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  <protection locked="0"/>
    </xf>
    <xf numFmtId="2" fontId="0" fillId="0" borderId="2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2" fontId="9" fillId="3" borderId="2" xfId="0" applyNumberFormat="1" applyFont="1" applyFill="1" applyBorder="1" applyAlignment="1" applyProtection="1">
      <alignment horizontal="center" vertical="center"/>
      <protection locked="0"/>
    </xf>
    <xf numFmtId="2" fontId="11" fillId="3" borderId="2" xfId="0" applyNumberFormat="1" applyFont="1" applyFill="1" applyBorder="1" applyAlignment="1" applyProtection="1">
      <alignment horizontal="center" vertical="center"/>
      <protection locked="0"/>
    </xf>
    <xf numFmtId="169" fontId="0" fillId="0" borderId="2" xfId="0" applyNumberFormat="1" applyBorder="1" applyAlignment="1" applyProtection="1">
      <alignment horizontal="center" vertical="center"/>
      <protection locked="0"/>
    </xf>
    <xf numFmtId="2" fontId="1" fillId="0" borderId="2" xfId="0" applyNumberFormat="1" applyFont="1" applyBorder="1" applyAlignment="1" applyProtection="1">
      <alignment horizontal="center" vertical="center"/>
      <protection locked="0"/>
    </xf>
    <xf numFmtId="2" fontId="13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</xf>
    <xf numFmtId="167" fontId="5" fillId="0" borderId="2" xfId="0" applyNumberFormat="1" applyFont="1" applyBorder="1" applyAlignment="1" applyProtection="1">
      <alignment horizontal="left" vertical="center"/>
    </xf>
    <xf numFmtId="0" fontId="0" fillId="0" borderId="0" xfId="0" applyAlignment="1" applyProtection="1">
      <alignment horizontal="left"/>
    </xf>
    <xf numFmtId="0" fontId="1" fillId="0" borderId="0" xfId="0" applyFont="1" applyProtection="1"/>
    <xf numFmtId="4" fontId="5" fillId="2" borderId="2" xfId="0" applyNumberFormat="1" applyFont="1" applyFill="1" applyBorder="1" applyAlignment="1" applyProtection="1">
      <alignment horizontal="center" vertical="center"/>
    </xf>
    <xf numFmtId="167" fontId="5" fillId="2" borderId="2" xfId="0" applyNumberFormat="1" applyFont="1" applyFill="1" applyBorder="1" applyAlignment="1" applyProtection="1">
      <alignment horizontal="left" vertical="center"/>
    </xf>
    <xf numFmtId="0" fontId="1" fillId="2" borderId="2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4" fontId="5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/>
    </xf>
    <xf numFmtId="2" fontId="14" fillId="3" borderId="2" xfId="0" applyNumberFormat="1" applyFont="1" applyFill="1" applyBorder="1" applyAlignment="1" applyProtection="1">
      <alignment horizontal="center" vertical="center"/>
    </xf>
    <xf numFmtId="2" fontId="15" fillId="3" borderId="2" xfId="0" applyNumberFormat="1" applyFont="1" applyFill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top"/>
      <protection locked="0"/>
    </xf>
    <xf numFmtId="0" fontId="1" fillId="0" borderId="0" xfId="0" applyFont="1" applyBorder="1" applyAlignment="1" applyProtection="1">
      <alignment horizontal="left" vertical="top"/>
      <protection locked="0"/>
    </xf>
    <xf numFmtId="0" fontId="4" fillId="2" borderId="2" xfId="0" applyFont="1" applyFill="1" applyBorder="1" applyAlignment="1" applyProtection="1">
      <alignment horizontal="center" vertical="center"/>
    </xf>
    <xf numFmtId="2" fontId="5" fillId="3" borderId="3" xfId="0" applyNumberFormat="1" applyFont="1" applyFill="1" applyBorder="1" applyAlignment="1" applyProtection="1">
      <alignment horizontal="center" vertical="center"/>
    </xf>
    <xf numFmtId="2" fontId="5" fillId="3" borderId="4" xfId="0" applyNumberFormat="1" applyFont="1" applyFill="1" applyBorder="1" applyAlignment="1" applyProtection="1">
      <alignment horizontal="center" vertical="center"/>
    </xf>
    <xf numFmtId="2" fontId="10" fillId="0" borderId="7" xfId="0" applyNumberFormat="1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</cellXfs>
  <cellStyles count="15">
    <cellStyle name="Euro" xfId="1"/>
    <cellStyle name="Euro 2" xfId="2"/>
    <cellStyle name="Euro 2 2" xfId="3"/>
    <cellStyle name="Euro 2 3" xfId="4"/>
    <cellStyle name="Euro 2 3 2" xfId="5"/>
    <cellStyle name="Euro 3" xfId="6"/>
    <cellStyle name="Euro 4" xfId="7"/>
    <cellStyle name="Euro 4 2" xfId="8"/>
    <cellStyle name="Euro 5" xfId="9"/>
    <cellStyle name="Euro 5 2" xfId="10"/>
    <cellStyle name="Euro 6" xfId="11"/>
    <cellStyle name="Lien hypertexte 2" xfId="12"/>
    <cellStyle name="Lien hypertexte 2 2" xfId="13"/>
    <cellStyle name="Normal" xfId="0" builtinId="0"/>
    <cellStyle name="Normal 2" xfId="14"/>
  </cellStyles>
  <dxfs count="1614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font>
        <sz val="9"/>
      </font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font>
        <sz val="9"/>
      </font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font>
        <sz val="9"/>
      </font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font>
        <sz val="9"/>
      </font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font>
        <sz val="9"/>
      </font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font>
        <sz val="9"/>
      </font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font>
        <sz val="9"/>
      </font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font>
        <sz val="9"/>
      </font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numFmt numFmtId="167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font>
        <color theme="1"/>
      </font>
    </dxf>
    <dxf>
      <font>
        <b/>
      </font>
    </dxf>
    <dxf>
      <alignment horizontal="center" readingOrder="0"/>
    </dxf>
    <dxf>
      <alignment vertical="center" readingOrder="0"/>
    </dxf>
    <dxf>
      <numFmt numFmtId="2" formatCode="0.00"/>
    </dxf>
    <dxf>
      <protection locked="1"/>
    </dxf>
    <dxf>
      <protection locked="1"/>
    </dxf>
    <dxf>
      <protection locked="1"/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alignment horizontal="left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protection locked="1"/>
    </dxf>
    <dxf>
      <protection locked="1"/>
    </dxf>
    <dxf>
      <protection locked="1"/>
    </dxf>
    <dxf>
      <numFmt numFmtId="2" formatCode="0.00"/>
    </dxf>
    <dxf>
      <alignment vertical="center" readingOrder="0"/>
    </dxf>
    <dxf>
      <alignment horizontal="center" readingOrder="0"/>
    </dxf>
    <dxf>
      <font>
        <b/>
      </font>
    </dxf>
    <dxf>
      <font>
        <color theme="1"/>
      </font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1"/>
    </dxf>
    <dxf>
      <protection locked="1"/>
    </dxf>
    <dxf>
      <protection locked="1"/>
    </dxf>
    <dxf>
      <numFmt numFmtId="2" formatCode="0.00"/>
    </dxf>
    <dxf>
      <alignment vertical="center" readingOrder="0"/>
    </dxf>
    <dxf>
      <alignment horizontal="center" readingOrder="0"/>
    </dxf>
    <dxf>
      <font>
        <b/>
      </font>
    </dxf>
    <dxf>
      <font>
        <color theme="1"/>
      </font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1"/>
    </dxf>
    <dxf>
      <protection locked="1"/>
    </dxf>
    <dxf>
      <protection locked="1"/>
    </dxf>
    <dxf>
      <numFmt numFmtId="2" formatCode="0.00"/>
    </dxf>
    <dxf>
      <alignment vertical="center" readingOrder="0"/>
    </dxf>
    <dxf>
      <alignment horizontal="center" readingOrder="0"/>
    </dxf>
    <dxf>
      <font>
        <b/>
      </font>
    </dxf>
    <dxf>
      <font>
        <color theme="1"/>
      </font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#,##0.00\ &quot;€&quot;"/>
    </dxf>
    <dxf>
      <protection locked="1"/>
    </dxf>
    <dxf>
      <protection locked="1"/>
    </dxf>
    <dxf>
      <protection locked="1"/>
    </dxf>
    <dxf>
      <font>
        <sz val="9"/>
      </font>
    </dxf>
    <dxf>
      <numFmt numFmtId="2" formatCode="0.00"/>
    </dxf>
    <dxf>
      <alignment vertical="center" readingOrder="0"/>
    </dxf>
    <dxf>
      <alignment horizontal="center" readingOrder="0"/>
    </dxf>
    <dxf>
      <font>
        <b/>
      </font>
    </dxf>
    <dxf>
      <font>
        <color theme="1"/>
      </font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1"/>
    </dxf>
    <dxf>
      <protection locked="1"/>
    </dxf>
    <dxf>
      <protection locked="1"/>
    </dxf>
    <dxf>
      <numFmt numFmtId="2" formatCode="0.00"/>
    </dxf>
    <dxf>
      <alignment vertical="center" readingOrder="0"/>
    </dxf>
    <dxf>
      <alignment horizontal="center" readingOrder="0"/>
    </dxf>
    <dxf>
      <font>
        <b/>
      </font>
    </dxf>
    <dxf>
      <font>
        <color theme="1"/>
      </font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#,##0.00\ &quot;€&quot;"/>
    </dxf>
    <dxf>
      <protection locked="1"/>
    </dxf>
    <dxf>
      <protection locked="1"/>
    </dxf>
    <dxf>
      <protection locked="1"/>
    </dxf>
    <dxf>
      <numFmt numFmtId="2" formatCode="0.00"/>
    </dxf>
    <dxf>
      <alignment vertical="center" readingOrder="0"/>
    </dxf>
    <dxf>
      <alignment horizontal="center" readingOrder="0"/>
    </dxf>
    <dxf>
      <font>
        <b/>
      </font>
    </dxf>
    <dxf>
      <font>
        <color theme="1"/>
      </font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#,##0.00\ &quot;€&quot;"/>
    </dxf>
    <dxf>
      <protection locked="1"/>
    </dxf>
    <dxf>
      <protection locked="1"/>
    </dxf>
    <dxf>
      <protection locked="1"/>
    </dxf>
    <dxf>
      <numFmt numFmtId="2" formatCode="0.00"/>
    </dxf>
    <dxf>
      <alignment vertical="center" readingOrder="0"/>
    </dxf>
    <dxf>
      <alignment horizontal="center" readingOrder="0"/>
    </dxf>
    <dxf>
      <font>
        <b/>
      </font>
    </dxf>
    <dxf>
      <font>
        <color theme="1"/>
      </font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#,##0.00\ &quot;€&quot;"/>
    </dxf>
    <dxf>
      <protection locked="1"/>
    </dxf>
    <dxf>
      <protection locked="1"/>
    </dxf>
    <dxf>
      <protection locked="1"/>
    </dxf>
    <dxf>
      <numFmt numFmtId="2" formatCode="0.00"/>
    </dxf>
    <dxf>
      <alignment vertical="center" readingOrder="0"/>
    </dxf>
    <dxf>
      <alignment horizontal="center" readingOrder="0"/>
    </dxf>
    <dxf>
      <font>
        <b/>
      </font>
    </dxf>
    <dxf>
      <font>
        <color theme="1"/>
      </font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#,##0.00\ &quot;€&quot;"/>
    </dxf>
    <dxf>
      <protection locked="1"/>
    </dxf>
    <dxf>
      <protection locked="1"/>
    </dxf>
    <dxf>
      <protection locked="1"/>
    </dxf>
    <dxf>
      <numFmt numFmtId="2" formatCode="0.00"/>
    </dxf>
    <dxf>
      <alignment vertical="center" readingOrder="0"/>
    </dxf>
    <dxf>
      <alignment horizontal="center" readingOrder="0"/>
    </dxf>
    <dxf>
      <font>
        <b/>
      </font>
    </dxf>
    <dxf>
      <font>
        <color theme="1"/>
      </font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#,##0.00\ &quot;€&quot;"/>
    </dxf>
    <dxf>
      <protection locked="1"/>
    </dxf>
    <dxf>
      <protection locked="1"/>
    </dxf>
    <dxf>
      <protection locked="1"/>
    </dxf>
    <dxf>
      <numFmt numFmtId="2" formatCode="0.00"/>
    </dxf>
    <dxf>
      <alignment vertical="center" readingOrder="0"/>
    </dxf>
    <dxf>
      <alignment horizontal="center" readingOrder="0"/>
    </dxf>
    <dxf>
      <font>
        <b/>
      </font>
    </dxf>
    <dxf>
      <font>
        <color theme="1"/>
      </font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#,##0.00\ &quot;€&quot;"/>
    </dxf>
    <dxf>
      <protection locked="1"/>
    </dxf>
    <dxf>
      <protection locked="1"/>
    </dxf>
    <dxf>
      <protection locked="1"/>
    </dxf>
    <dxf>
      <numFmt numFmtId="2" formatCode="0.00"/>
    </dxf>
    <dxf>
      <alignment vertical="center" readingOrder="0"/>
    </dxf>
    <dxf>
      <alignment horizontal="center" readingOrder="0"/>
    </dxf>
    <dxf>
      <font>
        <b/>
      </font>
    </dxf>
    <dxf>
      <font>
        <color theme="1"/>
      </font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1"/>
    </dxf>
    <dxf>
      <protection locked="1"/>
    </dxf>
    <dxf>
      <protection locked="1"/>
    </dxf>
    <dxf>
      <numFmt numFmtId="2" formatCode="0.00"/>
    </dxf>
    <dxf>
      <alignment vertical="center" readingOrder="0"/>
    </dxf>
    <dxf>
      <alignment horizontal="center" readingOrder="0"/>
    </dxf>
    <dxf>
      <font>
        <b/>
      </font>
    </dxf>
    <dxf>
      <font>
        <color theme="1"/>
      </font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1"/>
    </dxf>
    <dxf>
      <protection locked="1"/>
    </dxf>
    <dxf>
      <protection locked="1"/>
    </dxf>
    <dxf>
      <numFmt numFmtId="2" formatCode="0.00"/>
    </dxf>
    <dxf>
      <alignment vertical="center" readingOrder="0"/>
    </dxf>
    <dxf>
      <alignment horizontal="center" readingOrder="0"/>
    </dxf>
    <dxf>
      <font>
        <b/>
      </font>
    </dxf>
    <dxf>
      <font>
        <color theme="1"/>
      </font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#,##0.00\ &quot;€&quot;"/>
    </dxf>
    <dxf>
      <protection locked="1"/>
    </dxf>
    <dxf>
      <protection locked="1"/>
    </dxf>
    <dxf>
      <protection locked="1"/>
    </dxf>
    <dxf>
      <numFmt numFmtId="2" formatCode="0.00"/>
    </dxf>
    <dxf>
      <alignment vertical="center" readingOrder="0"/>
    </dxf>
    <dxf>
      <alignment horizontal="center" readingOrder="0"/>
    </dxf>
    <dxf>
      <font>
        <b/>
      </font>
    </dxf>
    <dxf>
      <font>
        <color theme="1"/>
      </font>
    </dxf>
    <dxf>
      <numFmt numFmtId="2" formatCode="0.00"/>
      <fill>
        <patternFill patternType="solid">
          <bgColor theme="6" tint="0.59996337778862885"/>
        </patternFill>
      </fill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142874</xdr:colOff>
      <xdr:row>27</xdr:row>
      <xdr:rowOff>171451</xdr:rowOff>
    </xdr:from>
    <xdr:to>
      <xdr:col>19</xdr:col>
      <xdr:colOff>214349</xdr:colOff>
      <xdr:row>36</xdr:row>
      <xdr:rowOff>57151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72874" y="5095876"/>
              <a:ext cx="1424025" cy="1600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16</xdr:col>
      <xdr:colOff>85725</xdr:colOff>
      <xdr:row>10</xdr:row>
      <xdr:rowOff>47624</xdr:rowOff>
    </xdr:from>
    <xdr:to>
      <xdr:col>20</xdr:col>
      <xdr:colOff>100051</xdr:colOff>
      <xdr:row>27</xdr:row>
      <xdr:rowOff>19049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lient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15725" y="1733549"/>
              <a:ext cx="1633576" cy="3209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crois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mois"/>
    </sheetNames>
    <sheetDataSet>
      <sheetData sheetId="0" refreshError="1"/>
      <sheetData sheetId="1">
        <row r="2">
          <cell r="A2" t="str">
            <v>janvier</v>
          </cell>
        </row>
        <row r="3">
          <cell r="A3" t="str">
            <v>fevrier</v>
          </cell>
        </row>
        <row r="4">
          <cell r="A4" t="str">
            <v>mars</v>
          </cell>
        </row>
        <row r="5">
          <cell r="A5" t="str">
            <v>avril</v>
          </cell>
        </row>
        <row r="6">
          <cell r="A6" t="str">
            <v>mai</v>
          </cell>
        </row>
        <row r="7">
          <cell r="A7" t="str">
            <v>juin</v>
          </cell>
        </row>
        <row r="8">
          <cell r="A8" t="str">
            <v>juillet</v>
          </cell>
        </row>
        <row r="9">
          <cell r="A9" t="str">
            <v>août</v>
          </cell>
        </row>
        <row r="10">
          <cell r="A10" t="str">
            <v>septembre</v>
          </cell>
        </row>
        <row r="11">
          <cell r="A11" t="str">
            <v>octobre</v>
          </cell>
        </row>
        <row r="12">
          <cell r="A12" t="str">
            <v>novembre</v>
          </cell>
        </row>
        <row r="13">
          <cell r="A13" t="str">
            <v>décembre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ed" refreshedDate="42699.490609722219" createdVersion="5" refreshedVersion="5" recordCount="201">
  <cacheSource type="worksheet">
    <worksheetSource name="général"/>
  </cacheSource>
  <cacheFields count="16">
    <cacheField name="clients" numFmtId="0">
      <sharedItems containsBlank="1" count="31">
        <s v="texier"/>
        <s v="sebastien"/>
        <s v="boismoraud"/>
        <s v="vincent"/>
        <s v="renoud"/>
        <s v="jackson"/>
        <s v="guillaume"/>
        <m/>
        <s v="volkswagen"/>
        <s v="perillat"/>
        <s v="lasternas"/>
        <s v="gaec"/>
        <s v="marie ange"/>
        <s v="jerome"/>
        <s v="touitou"/>
        <s v="feligonde"/>
        <s v="guichard"/>
        <s v="papon" u="1"/>
        <s v="grelet" u="1"/>
        <s v="juppe" u="1"/>
        <s v="jaguenaud" u="1"/>
        <s v="dupond" u="1"/>
        <s v="sicaud" u="1"/>
        <s v="dominique" u="1"/>
        <s v="garaud" u="1"/>
        <s v="marcel" u="1"/>
        <s v="gauthier" u="1"/>
        <s v="morin" u="1"/>
        <s v="durand" u="1"/>
        <s v="garnier" u="1"/>
        <s v="fort" u="1"/>
      </sharedItems>
    </cacheField>
    <cacheField name="mois" numFmtId="169">
      <sharedItems containsNonDate="0" containsDate="1" containsString="0" containsBlank="1" minDate="2015-01-01T00:00:00" maxDate="2016-11-02T00:00:00" count="23">
        <d v="2015-01-01T00:00:00"/>
        <d v="2015-03-01T00:00:00"/>
        <d v="2015-04-01T00:00:00"/>
        <d v="2015-05-01T00:00:00"/>
        <d v="2015-06-01T00:00:00"/>
        <d v="2015-07-01T00:00:00"/>
        <d v="2015-08-01T00:00:00"/>
        <d v="2015-09-01T00:00:00"/>
        <m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8-01T00:00:00"/>
        <d v="2016-09-01T00:00:00"/>
        <d v="2016-10-01T00:00:00"/>
        <d v="2016-11-01T00:00:00"/>
        <d v="2016-07-01T00:00:00" u="1"/>
      </sharedItems>
    </cacheField>
    <cacheField name="point p" numFmtId="2">
      <sharedItems containsString="0" containsBlank="1" containsNumber="1" minValue="-64.8" maxValue="3013.3300000000004"/>
    </cacheField>
    <cacheField name="raoult" numFmtId="2">
      <sharedItems containsString="0" containsBlank="1" containsNumber="1" minValue="-10.38" maxValue="685.74"/>
    </cacheField>
    <cacheField name="fenetrea" numFmtId="2">
      <sharedItems containsString="0" containsBlank="1" containsNumber="1" minValue="272.31" maxValue="2487.91"/>
    </cacheField>
    <cacheField name="bdr" numFmtId="2">
      <sharedItems containsString="0" containsBlank="1" containsNumber="1" minValue="-33.770000000000003" maxValue="718.24"/>
    </cacheField>
    <cacheField name="dispano" numFmtId="2">
      <sharedItems containsString="0" containsBlank="1" containsNumber="1" minValue="-96.949999999999989" maxValue="625.13000000000011"/>
    </cacheField>
    <cacheField name="lc bois" numFmtId="2">
      <sharedItems containsString="0" containsBlank="1" containsNumber="1" minValue="89.55" maxValue="218.03000000000003"/>
    </cacheField>
    <cacheField name="wurth" numFmtId="2">
      <sharedItems containsString="0" containsBlank="1" containsNumber="1" minValue="83.5" maxValue="138.36000000000001"/>
    </cacheField>
    <cacheField name="jointeur" numFmtId="2">
      <sharedItems containsString="0" containsBlank="1" containsNumber="1" minValue="94.88" maxValue="1214.06"/>
    </cacheField>
    <cacheField name="cged" numFmtId="2">
      <sharedItems containsString="0" containsBlank="1" containsNumber="1" minValue="83.32" maxValue="90.72"/>
    </cacheField>
    <cacheField name="bois" numFmtId="2">
      <sharedItems containsString="0" containsBlank="1" containsNumber="1" minValue="-185.74999999999994" maxValue="2535.7200000000003"/>
    </cacheField>
    <cacheField name="dechetterie" numFmtId="2">
      <sharedItems containsString="0" containsBlank="1" containsNumber="1" minValue="7.2" maxValue="60"/>
    </cacheField>
    <cacheField name="bricolage" numFmtId="2">
      <sharedItems containsString="0" containsBlank="1" containsNumber="1" minValue="8.17" maxValue="8.17"/>
    </cacheField>
    <cacheField name="escalier" numFmtId="2">
      <sharedItems containsString="0" containsBlank="1" containsNumber="1" minValue="5775.2" maxValue="5775.2"/>
    </cacheField>
    <cacheField name="nord blayais" numFmtId="2">
      <sharedItems containsString="0" containsBlank="1" containsNumber="1" minValue="16.68" maxValue="90.7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1">
  <r>
    <x v="0"/>
    <x v="0"/>
    <m/>
    <n v="2.99"/>
    <m/>
    <m/>
    <m/>
    <m/>
    <m/>
    <m/>
    <m/>
    <m/>
    <m/>
    <m/>
    <m/>
    <m/>
  </r>
  <r>
    <x v="1"/>
    <x v="0"/>
    <n v="-64.8"/>
    <m/>
    <m/>
    <m/>
    <m/>
    <m/>
    <m/>
    <m/>
    <m/>
    <m/>
    <m/>
    <m/>
    <m/>
    <m/>
  </r>
  <r>
    <x v="2"/>
    <x v="1"/>
    <m/>
    <n v="6.05"/>
    <m/>
    <m/>
    <m/>
    <m/>
    <m/>
    <m/>
    <m/>
    <m/>
    <m/>
    <m/>
    <m/>
    <m/>
  </r>
  <r>
    <x v="1"/>
    <x v="1"/>
    <n v="330.5"/>
    <m/>
    <m/>
    <m/>
    <m/>
    <m/>
    <m/>
    <m/>
    <m/>
    <m/>
    <m/>
    <m/>
    <m/>
    <m/>
  </r>
  <r>
    <x v="3"/>
    <x v="2"/>
    <m/>
    <n v="21.03"/>
    <m/>
    <m/>
    <m/>
    <m/>
    <m/>
    <m/>
    <m/>
    <m/>
    <m/>
    <m/>
    <m/>
    <m/>
  </r>
  <r>
    <x v="1"/>
    <x v="2"/>
    <n v="1614.3699999999997"/>
    <m/>
    <m/>
    <m/>
    <m/>
    <m/>
    <m/>
    <m/>
    <m/>
    <m/>
    <m/>
    <m/>
    <m/>
    <m/>
  </r>
  <r>
    <x v="1"/>
    <x v="3"/>
    <n v="464.45999999999992"/>
    <m/>
    <m/>
    <m/>
    <m/>
    <m/>
    <m/>
    <m/>
    <m/>
    <m/>
    <m/>
    <m/>
    <m/>
    <m/>
  </r>
  <r>
    <x v="4"/>
    <x v="2"/>
    <m/>
    <n v="16.059999999999999"/>
    <m/>
    <m/>
    <m/>
    <m/>
    <m/>
    <m/>
    <m/>
    <m/>
    <m/>
    <m/>
    <m/>
    <m/>
  </r>
  <r>
    <x v="4"/>
    <x v="4"/>
    <m/>
    <n v="685.74"/>
    <m/>
    <m/>
    <m/>
    <m/>
    <m/>
    <m/>
    <m/>
    <m/>
    <m/>
    <m/>
    <m/>
    <m/>
  </r>
  <r>
    <x v="1"/>
    <x v="4"/>
    <n v="-55.489999999999981"/>
    <m/>
    <m/>
    <m/>
    <m/>
    <m/>
    <m/>
    <m/>
    <m/>
    <m/>
    <m/>
    <m/>
    <m/>
    <m/>
  </r>
  <r>
    <x v="4"/>
    <x v="4"/>
    <n v="957.17000000000007"/>
    <m/>
    <m/>
    <m/>
    <m/>
    <m/>
    <m/>
    <m/>
    <m/>
    <m/>
    <n v="7.2"/>
    <m/>
    <m/>
    <n v="17.16"/>
  </r>
  <r>
    <x v="1"/>
    <x v="4"/>
    <n v="461.63"/>
    <m/>
    <m/>
    <m/>
    <m/>
    <m/>
    <m/>
    <m/>
    <m/>
    <m/>
    <m/>
    <m/>
    <m/>
    <m/>
  </r>
  <r>
    <x v="5"/>
    <x v="4"/>
    <n v="60.62"/>
    <m/>
    <m/>
    <m/>
    <m/>
    <m/>
    <m/>
    <m/>
    <n v="90.72"/>
    <m/>
    <n v="60"/>
    <m/>
    <m/>
    <m/>
  </r>
  <r>
    <x v="5"/>
    <x v="5"/>
    <n v="136.69999999999999"/>
    <m/>
    <m/>
    <m/>
    <m/>
    <m/>
    <m/>
    <m/>
    <n v="83.32"/>
    <m/>
    <n v="48"/>
    <m/>
    <m/>
    <m/>
  </r>
  <r>
    <x v="4"/>
    <x v="5"/>
    <n v="1711.9099999999996"/>
    <m/>
    <n v="2487.91"/>
    <m/>
    <m/>
    <m/>
    <n v="138.36000000000001"/>
    <m/>
    <m/>
    <m/>
    <m/>
    <m/>
    <m/>
    <m/>
  </r>
  <r>
    <x v="1"/>
    <x v="5"/>
    <n v="236.29"/>
    <m/>
    <m/>
    <m/>
    <m/>
    <m/>
    <m/>
    <m/>
    <m/>
    <m/>
    <m/>
    <m/>
    <m/>
    <m/>
  </r>
  <r>
    <x v="4"/>
    <x v="6"/>
    <n v="3013.3300000000004"/>
    <m/>
    <m/>
    <m/>
    <m/>
    <m/>
    <m/>
    <m/>
    <m/>
    <m/>
    <n v="36"/>
    <n v="8.17"/>
    <m/>
    <m/>
  </r>
  <r>
    <x v="1"/>
    <x v="6"/>
    <n v="580.16"/>
    <m/>
    <m/>
    <m/>
    <m/>
    <m/>
    <m/>
    <m/>
    <m/>
    <m/>
    <m/>
    <m/>
    <m/>
    <m/>
  </r>
  <r>
    <x v="2"/>
    <x v="6"/>
    <m/>
    <n v="-6.05"/>
    <m/>
    <m/>
    <m/>
    <m/>
    <m/>
    <m/>
    <m/>
    <m/>
    <m/>
    <m/>
    <m/>
    <m/>
  </r>
  <r>
    <x v="4"/>
    <x v="7"/>
    <n v="627.4799999999999"/>
    <m/>
    <m/>
    <m/>
    <m/>
    <m/>
    <m/>
    <m/>
    <m/>
    <m/>
    <m/>
    <m/>
    <m/>
    <n v="16.68"/>
  </r>
  <r>
    <x v="6"/>
    <x v="7"/>
    <m/>
    <n v="24.59"/>
    <m/>
    <m/>
    <m/>
    <m/>
    <m/>
    <m/>
    <m/>
    <m/>
    <m/>
    <m/>
    <m/>
    <m/>
  </r>
  <r>
    <x v="1"/>
    <x v="7"/>
    <n v="152.1"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1"/>
    <x v="9"/>
    <n v="76.95"/>
    <m/>
    <m/>
    <n v="236.2"/>
    <m/>
    <m/>
    <m/>
    <m/>
    <m/>
    <m/>
    <m/>
    <m/>
    <m/>
    <m/>
  </r>
  <r>
    <x v="3"/>
    <x v="9"/>
    <n v="20.329999999999998"/>
    <n v="1.03"/>
    <m/>
    <m/>
    <m/>
    <m/>
    <m/>
    <m/>
    <m/>
    <m/>
    <m/>
    <m/>
    <m/>
    <m/>
  </r>
  <r>
    <x v="4"/>
    <x v="9"/>
    <n v="564.54"/>
    <n v="284.06"/>
    <m/>
    <n v="49.5"/>
    <m/>
    <m/>
    <m/>
    <n v="1214.06"/>
    <m/>
    <m/>
    <m/>
    <m/>
    <m/>
    <m/>
  </r>
  <r>
    <x v="4"/>
    <x v="10"/>
    <n v="2543.1599999999994"/>
    <n v="96.16"/>
    <m/>
    <m/>
    <m/>
    <m/>
    <m/>
    <m/>
    <m/>
    <m/>
    <m/>
    <m/>
    <m/>
    <n v="90.71"/>
  </r>
  <r>
    <x v="1"/>
    <x v="10"/>
    <n v="2001.91"/>
    <m/>
    <m/>
    <n v="-33.770000000000003"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4"/>
    <x v="11"/>
    <n v="110.38"/>
    <n v="16.78"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6"/>
    <x v="11"/>
    <n v="19.920000000000002"/>
    <m/>
    <m/>
    <m/>
    <m/>
    <m/>
    <m/>
    <m/>
    <m/>
    <m/>
    <m/>
    <m/>
    <m/>
    <m/>
  </r>
  <r>
    <x v="1"/>
    <x v="11"/>
    <m/>
    <n v="7.98"/>
    <m/>
    <m/>
    <m/>
    <m/>
    <m/>
    <m/>
    <m/>
    <m/>
    <m/>
    <m/>
    <m/>
    <m/>
  </r>
  <r>
    <x v="1"/>
    <x v="12"/>
    <n v="145.75"/>
    <m/>
    <m/>
    <m/>
    <m/>
    <m/>
    <m/>
    <m/>
    <m/>
    <n v="631.54999999999995"/>
    <m/>
    <m/>
    <m/>
    <m/>
  </r>
  <r>
    <x v="4"/>
    <x v="12"/>
    <m/>
    <n v="-1.1499999999999999"/>
    <m/>
    <m/>
    <m/>
    <m/>
    <m/>
    <m/>
    <m/>
    <m/>
    <m/>
    <m/>
    <m/>
    <m/>
  </r>
  <r>
    <x v="2"/>
    <x v="12"/>
    <m/>
    <n v="7.56"/>
    <m/>
    <m/>
    <m/>
    <m/>
    <m/>
    <m/>
    <m/>
    <m/>
    <m/>
    <m/>
    <m/>
    <m/>
  </r>
  <r>
    <x v="6"/>
    <x v="12"/>
    <m/>
    <n v="8.5"/>
    <m/>
    <m/>
    <m/>
    <m/>
    <m/>
    <m/>
    <m/>
    <m/>
    <m/>
    <m/>
    <m/>
    <m/>
  </r>
  <r>
    <x v="8"/>
    <x v="12"/>
    <m/>
    <m/>
    <m/>
    <n v="199.51"/>
    <m/>
    <m/>
    <m/>
    <m/>
    <m/>
    <m/>
    <m/>
    <m/>
    <m/>
    <m/>
  </r>
  <r>
    <x v="8"/>
    <x v="13"/>
    <n v="73.260000000000005"/>
    <m/>
    <m/>
    <n v="718.24"/>
    <m/>
    <m/>
    <m/>
    <m/>
    <m/>
    <m/>
    <m/>
    <m/>
    <m/>
    <m/>
  </r>
  <r>
    <x v="5"/>
    <x v="13"/>
    <n v="57.22"/>
    <m/>
    <m/>
    <m/>
    <m/>
    <m/>
    <m/>
    <n v="94.88"/>
    <m/>
    <m/>
    <m/>
    <m/>
    <n v="5775.2"/>
    <m/>
  </r>
  <r>
    <x v="9"/>
    <x v="13"/>
    <m/>
    <n v="14.33"/>
    <m/>
    <m/>
    <m/>
    <m/>
    <m/>
    <m/>
    <m/>
    <m/>
    <m/>
    <m/>
    <m/>
    <m/>
  </r>
  <r>
    <x v="4"/>
    <x v="13"/>
    <m/>
    <n v="-10.38"/>
    <m/>
    <m/>
    <m/>
    <m/>
    <m/>
    <m/>
    <m/>
    <m/>
    <m/>
    <m/>
    <m/>
    <m/>
  </r>
  <r>
    <x v="5"/>
    <x v="14"/>
    <n v="20.04"/>
    <m/>
    <m/>
    <m/>
    <m/>
    <m/>
    <m/>
    <m/>
    <m/>
    <m/>
    <m/>
    <m/>
    <m/>
    <m/>
  </r>
  <r>
    <x v="1"/>
    <x v="14"/>
    <m/>
    <m/>
    <m/>
    <m/>
    <m/>
    <m/>
    <m/>
    <m/>
    <m/>
    <n v="-185.74999999999994"/>
    <m/>
    <m/>
    <m/>
    <m/>
  </r>
  <r>
    <x v="10"/>
    <x v="14"/>
    <m/>
    <n v="287.02"/>
    <m/>
    <m/>
    <n v="625.13000000000011"/>
    <m/>
    <m/>
    <m/>
    <m/>
    <m/>
    <m/>
    <m/>
    <m/>
    <m/>
  </r>
  <r>
    <x v="4"/>
    <x v="14"/>
    <m/>
    <m/>
    <m/>
    <m/>
    <n v="415.1"/>
    <m/>
    <m/>
    <m/>
    <m/>
    <m/>
    <m/>
    <m/>
    <m/>
    <m/>
  </r>
  <r>
    <x v="11"/>
    <x v="15"/>
    <m/>
    <m/>
    <n v="1051.31"/>
    <m/>
    <m/>
    <m/>
    <m/>
    <m/>
    <m/>
    <m/>
    <m/>
    <m/>
    <m/>
    <m/>
  </r>
  <r>
    <x v="12"/>
    <x v="15"/>
    <m/>
    <m/>
    <n v="665.6"/>
    <m/>
    <m/>
    <m/>
    <m/>
    <m/>
    <m/>
    <m/>
    <m/>
    <m/>
    <m/>
    <m/>
  </r>
  <r>
    <x v="4"/>
    <x v="15"/>
    <n v="51.05"/>
    <n v="312.82000000000005"/>
    <m/>
    <m/>
    <n v="96.64"/>
    <m/>
    <m/>
    <m/>
    <m/>
    <m/>
    <m/>
    <m/>
    <m/>
    <n v="20.41"/>
  </r>
  <r>
    <x v="7"/>
    <x v="8"/>
    <m/>
    <m/>
    <m/>
    <m/>
    <m/>
    <m/>
    <m/>
    <m/>
    <m/>
    <m/>
    <m/>
    <m/>
    <m/>
    <m/>
  </r>
  <r>
    <x v="13"/>
    <x v="16"/>
    <n v="51.66"/>
    <m/>
    <m/>
    <m/>
    <n v="588.89"/>
    <m/>
    <m/>
    <m/>
    <m/>
    <m/>
    <m/>
    <m/>
    <m/>
    <m/>
  </r>
  <r>
    <x v="7"/>
    <x v="8"/>
    <m/>
    <m/>
    <m/>
    <m/>
    <m/>
    <m/>
    <m/>
    <m/>
    <m/>
    <m/>
    <m/>
    <m/>
    <m/>
    <m/>
  </r>
  <r>
    <x v="1"/>
    <x v="17"/>
    <m/>
    <m/>
    <n v="272.31"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13"/>
    <x v="18"/>
    <m/>
    <m/>
    <m/>
    <m/>
    <n v="-27.31"/>
    <m/>
    <m/>
    <m/>
    <m/>
    <m/>
    <m/>
    <m/>
    <m/>
    <m/>
  </r>
  <r>
    <x v="14"/>
    <x v="19"/>
    <n v="715.69"/>
    <n v="84.550000000000011"/>
    <m/>
    <m/>
    <m/>
    <m/>
    <m/>
    <m/>
    <m/>
    <n v="220.69230769230768"/>
    <m/>
    <m/>
    <m/>
    <m/>
  </r>
  <r>
    <x v="8"/>
    <x v="19"/>
    <m/>
    <n v="9.58"/>
    <m/>
    <m/>
    <m/>
    <m/>
    <m/>
    <m/>
    <m/>
    <m/>
    <m/>
    <m/>
    <m/>
    <m/>
  </r>
  <r>
    <x v="4"/>
    <x v="19"/>
    <m/>
    <n v="18.75"/>
    <m/>
    <m/>
    <m/>
    <m/>
    <m/>
    <m/>
    <m/>
    <m/>
    <m/>
    <m/>
    <m/>
    <m/>
  </r>
  <r>
    <x v="8"/>
    <x v="19"/>
    <m/>
    <m/>
    <m/>
    <n v="210.5"/>
    <m/>
    <m/>
    <n v="83.5"/>
    <m/>
    <m/>
    <m/>
    <m/>
    <m/>
    <m/>
    <m/>
  </r>
  <r>
    <x v="13"/>
    <x v="19"/>
    <m/>
    <m/>
    <m/>
    <m/>
    <n v="-96.949999999999989"/>
    <m/>
    <m/>
    <m/>
    <m/>
    <m/>
    <m/>
    <m/>
    <m/>
    <m/>
  </r>
  <r>
    <x v="8"/>
    <x v="20"/>
    <m/>
    <m/>
    <m/>
    <m/>
    <m/>
    <n v="218.03000000000003"/>
    <m/>
    <m/>
    <m/>
    <m/>
    <m/>
    <m/>
    <m/>
    <m/>
  </r>
  <r>
    <x v="14"/>
    <x v="20"/>
    <n v="391.41999999999996"/>
    <n v="133.22999999999999"/>
    <m/>
    <m/>
    <m/>
    <m/>
    <m/>
    <n v="224.35"/>
    <m/>
    <n v="80.076923076923066"/>
    <m/>
    <m/>
    <m/>
    <m/>
  </r>
  <r>
    <x v="15"/>
    <x v="20"/>
    <m/>
    <n v="405.45"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2"/>
    <x v="20"/>
    <m/>
    <n v="25.56"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16"/>
    <x v="21"/>
    <m/>
    <m/>
    <m/>
    <m/>
    <m/>
    <m/>
    <m/>
    <m/>
    <m/>
    <n v="2535.7200000000003"/>
    <m/>
    <m/>
    <m/>
    <m/>
  </r>
  <r>
    <x v="8"/>
    <x v="21"/>
    <m/>
    <m/>
    <m/>
    <m/>
    <m/>
    <n v="89.55"/>
    <m/>
    <m/>
    <m/>
    <m/>
    <m/>
    <m/>
    <m/>
    <m/>
  </r>
  <r>
    <x v="10"/>
    <x v="21"/>
    <m/>
    <m/>
    <m/>
    <m/>
    <m/>
    <m/>
    <m/>
    <m/>
    <m/>
    <n v="1472.4"/>
    <m/>
    <m/>
    <m/>
    <m/>
  </r>
  <r>
    <x v="14"/>
    <x v="21"/>
    <m/>
    <m/>
    <m/>
    <m/>
    <m/>
    <m/>
    <m/>
    <m/>
    <m/>
    <n v="1275.8399999999999"/>
    <m/>
    <m/>
    <m/>
    <m/>
  </r>
  <r>
    <x v="2"/>
    <x v="21"/>
    <m/>
    <n v="8.5"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4"/>
    <x v="20"/>
    <m/>
    <n v="8.91"/>
    <m/>
    <m/>
    <m/>
    <m/>
    <m/>
    <m/>
    <m/>
    <m/>
    <m/>
    <m/>
    <m/>
    <m/>
  </r>
  <r>
    <x v="14"/>
    <x v="21"/>
    <n v="30.45"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  <r>
    <x v="7"/>
    <x v="8"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cged" cacheId="0" dataOnRows="1" applyNumberFormats="0" applyBorderFormats="0" applyFontFormats="0" applyPatternFormats="0" applyAlignmentFormats="0" applyWidthHeightFormats="1" dataCaption="Données" updatedVersion="5" minRefreshableVersion="3" showMemberPropertyTips="0" itemPrintTitles="1" createdVersion="5" indent="0" compact="0" compactData="0" multipleFieldFilters="0">
  <location ref="K4:K5" firstHeaderRow="1" firstDataRow="1" firstDataCol="0"/>
  <pivotFields count="16">
    <pivotField compact="0" outline="0" subtotalTop="0" showAll="0" includeNewItemsInFilter="1">
      <items count="32">
        <item h="1" x="2"/>
        <item h="1" m="1" x="23"/>
        <item h="1" m="1" x="21"/>
        <item h="1" m="1" x="28"/>
        <item h="1" x="15"/>
        <item h="1" m="1" x="30"/>
        <item h="1" x="11"/>
        <item h="1" m="1" x="24"/>
        <item h="1" m="1" x="29"/>
        <item h="1" m="1" x="26"/>
        <item h="1" m="1" x="18"/>
        <item h="1" x="16"/>
        <item h="1" x="6"/>
        <item h="1" x="5"/>
        <item h="1" m="1" x="20"/>
        <item h="1" x="13"/>
        <item h="1" m="1" x="19"/>
        <item x="10"/>
        <item h="1" m="1" x="25"/>
        <item h="1" x="12"/>
        <item h="1" m="1" x="27"/>
        <item h="1" m="1" x="17"/>
        <item h="1" x="9"/>
        <item h="1" x="4"/>
        <item h="1" x="1"/>
        <item h="1" m="1" x="22"/>
        <item h="1" x="0"/>
        <item h="1" x="14"/>
        <item h="1" x="3"/>
        <item h="1" x="8"/>
        <item h="1" x="7"/>
        <item t="default"/>
      </items>
    </pivotField>
    <pivotField compact="0" outline="0" subtotalTop="0" showAll="0" includeNewItemsInFilter="1">
      <items count="24"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m="1" x="22"/>
        <item x="18"/>
        <item x="19"/>
        <item x="20"/>
        <item x="21"/>
        <item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</pivotFields>
  <rowItems count="1">
    <i/>
  </rowItems>
  <colItems count="1">
    <i/>
  </colItems>
  <dataFields count="1">
    <dataField name="cged." fld="10" baseField="0" baseItem="15" numFmtId="2"/>
  </dataFields>
  <formats count="12">
    <format dxfId="1448">
      <pivotArea type="all" dataOnly="0" outline="0" fieldPosition="0"/>
    </format>
    <format dxfId="1447">
      <pivotArea outline="0" fieldPosition="0"/>
    </format>
    <format dxfId="1446">
      <pivotArea dataOnly="0" labelOnly="1" outline="0" axis="axisValues" fieldPosition="0"/>
    </format>
    <format dxfId="1445">
      <pivotArea dataOnly="0" labelOnly="1" outline="0" axis="axisValues" fieldPosition="0"/>
    </format>
    <format dxfId="1444">
      <pivotArea dataOnly="0" labelOnly="1" outline="0" axis="axisValues" fieldPosition="0"/>
    </format>
    <format dxfId="1443">
      <pivotArea dataOnly="0" labelOnly="1" outline="0" axis="axisValues" fieldPosition="0"/>
    </format>
    <format dxfId="1442">
      <pivotArea outline="0" fieldPosition="0"/>
    </format>
    <format dxfId="1441">
      <pivotArea outline="0" fieldPosition="0"/>
    </format>
    <format dxfId="1440">
      <pivotArea outline="0" collapsedLevelsAreSubtotals="1" fieldPosition="0"/>
    </format>
    <format dxfId="1439">
      <pivotArea type="all" dataOnly="0" outline="0" fieldPosition="0"/>
    </format>
    <format dxfId="1438">
      <pivotArea outline="0" collapsedLevelsAreSubtotals="1" fieldPosition="0"/>
    </format>
    <format dxfId="1437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escalier" cacheId="0" dataOnRows="1" applyNumberFormats="0" applyBorderFormats="0" applyFontFormats="0" applyPatternFormats="0" applyAlignmentFormats="0" applyWidthHeightFormats="1" dataCaption="Données" updatedVersion="5" minRefreshableVersion="3" showMemberPropertyTips="0" itemPrintTitles="1" createdVersion="5" indent="0" compact="0" compactData="0" multipleFieldFilters="0">
  <location ref="O4:O5" firstHeaderRow="1" firstDataRow="1" firstDataCol="0"/>
  <pivotFields count="16">
    <pivotField compact="0" outline="0" subtotalTop="0" showAll="0" includeNewItemsInFilter="1">
      <items count="32">
        <item h="1" x="2"/>
        <item h="1" m="1" x="23"/>
        <item h="1" m="1" x="21"/>
        <item h="1" m="1" x="28"/>
        <item h="1" x="15"/>
        <item h="1" m="1" x="30"/>
        <item h="1" x="11"/>
        <item h="1" m="1" x="24"/>
        <item h="1" m="1" x="29"/>
        <item h="1" m="1" x="26"/>
        <item h="1" m="1" x="18"/>
        <item h="1" x="16"/>
        <item h="1" x="6"/>
        <item h="1" x="5"/>
        <item h="1" m="1" x="20"/>
        <item h="1" x="13"/>
        <item h="1" m="1" x="19"/>
        <item x="10"/>
        <item h="1" m="1" x="25"/>
        <item h="1" x="12"/>
        <item h="1" m="1" x="27"/>
        <item h="1" m="1" x="17"/>
        <item h="1" x="9"/>
        <item h="1" x="4"/>
        <item h="1" x="1"/>
        <item h="1" m="1" x="22"/>
        <item h="1" x="0"/>
        <item h="1" x="14"/>
        <item h="1" x="3"/>
        <item h="1" x="8"/>
        <item h="1" x="7"/>
        <item t="default"/>
      </items>
    </pivotField>
    <pivotField compact="0" outline="0" subtotalTop="0" showAll="0" includeNewItemsInFilter="1">
      <items count="24"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m="1" x="22"/>
        <item x="18"/>
        <item x="19"/>
        <item x="20"/>
        <item x="21"/>
        <item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howAll="0" defaultSubtotal="0"/>
  </pivotFields>
  <rowItems count="1">
    <i/>
  </rowItems>
  <colItems count="1">
    <i/>
  </colItems>
  <dataFields count="1">
    <dataField name="escalier." fld="14" baseField="0" baseItem="0" numFmtId="2"/>
  </dataFields>
  <formats count="12">
    <format dxfId="1460">
      <pivotArea type="all" dataOnly="0" outline="0" fieldPosition="0"/>
    </format>
    <format dxfId="1459">
      <pivotArea outline="0" fieldPosition="0"/>
    </format>
    <format dxfId="1458">
      <pivotArea dataOnly="0" labelOnly="1" outline="0" axis="axisValues" fieldPosition="0"/>
    </format>
    <format dxfId="1457">
      <pivotArea dataOnly="0" labelOnly="1" outline="0" axis="axisValues" fieldPosition="0"/>
    </format>
    <format dxfId="1456">
      <pivotArea dataOnly="0" labelOnly="1" outline="0" axis="axisValues" fieldPosition="0"/>
    </format>
    <format dxfId="1455">
      <pivotArea dataOnly="0" labelOnly="1" outline="0" axis="axisValues" fieldPosition="0"/>
    </format>
    <format dxfId="1454">
      <pivotArea outline="0" fieldPosition="0"/>
    </format>
    <format dxfId="1453">
      <pivotArea outline="0" fieldPosition="0"/>
    </format>
    <format dxfId="1452">
      <pivotArea outline="0" collapsedLevelsAreSubtotals="1" fieldPosition="0"/>
    </format>
    <format dxfId="1451">
      <pivotArea type="all" dataOnly="0" outline="0" fieldPosition="0"/>
    </format>
    <format dxfId="1450">
      <pivotArea outline="0" collapsedLevelsAreSubtotals="1" fieldPosition="0"/>
    </format>
    <format dxfId="1449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ointp" cacheId="0" dataOnRows="1" applyNumberFormats="0" applyBorderFormats="0" applyFontFormats="0" applyPatternFormats="0" applyAlignmentFormats="0" applyWidthHeightFormats="1" dataCaption="Données" updatedVersion="5" minRefreshableVersion="3" showMemberPropertyTips="0" itemPrintTitles="1" createdVersion="5" indent="0" compact="0" compactData="0" multipleFieldFilters="0">
  <location ref="C4:C5" firstHeaderRow="1" firstDataRow="1" firstDataCol="0"/>
  <pivotFields count="16">
    <pivotField compact="0" outline="0" subtotalTop="0" showAll="0" includeNewItemsInFilter="1">
      <items count="32">
        <item h="1" x="2"/>
        <item h="1" m="1" x="23"/>
        <item h="1" m="1" x="21"/>
        <item h="1" m="1" x="28"/>
        <item h="1" x="15"/>
        <item h="1" m="1" x="30"/>
        <item h="1" x="11"/>
        <item h="1" m="1" x="24"/>
        <item h="1" m="1" x="29"/>
        <item h="1" m="1" x="26"/>
        <item h="1" m="1" x="18"/>
        <item h="1" x="16"/>
        <item h="1" x="6"/>
        <item h="1" x="5"/>
        <item h="1" m="1" x="20"/>
        <item h="1" x="13"/>
        <item h="1" m="1" x="19"/>
        <item x="10"/>
        <item h="1" m="1" x="25"/>
        <item h="1" x="12"/>
        <item h="1" m="1" x="27"/>
        <item h="1" m="1" x="17"/>
        <item h="1" x="9"/>
        <item h="1" x="4"/>
        <item h="1" x="1"/>
        <item h="1" m="1" x="22"/>
        <item h="1" x="0"/>
        <item h="1" x="14"/>
        <item h="1" x="3"/>
        <item h="1" x="8"/>
        <item h="1" x="7"/>
        <item t="default"/>
      </items>
    </pivotField>
    <pivotField compact="0" outline="0" subtotalTop="0" showAll="0" includeNewItemsInFilter="1">
      <items count="24"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m="1" x="22"/>
        <item x="18"/>
        <item x="19"/>
        <item x="20"/>
        <item x="21"/>
        <item x="8"/>
        <item t="default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</pivotFields>
  <rowItems count="1">
    <i/>
  </rowItems>
  <colItems count="1">
    <i/>
  </colItems>
  <dataFields count="1">
    <dataField name="point p." fld="2" baseField="0" baseItem="15" numFmtId="2"/>
  </dataFields>
  <formats count="13">
    <format dxfId="1473">
      <pivotArea outline="0" fieldPosition="0"/>
    </format>
    <format dxfId="1472">
      <pivotArea type="all" dataOnly="0" outline="0" fieldPosition="0"/>
    </format>
    <format dxfId="1471">
      <pivotArea outline="0" fieldPosition="0"/>
    </format>
    <format dxfId="1470">
      <pivotArea dataOnly="0" labelOnly="1" outline="0" axis="axisValues" fieldPosition="0"/>
    </format>
    <format dxfId="1469">
      <pivotArea dataOnly="0" labelOnly="1" outline="0" axis="axisValues" fieldPosition="0"/>
    </format>
    <format dxfId="1468">
      <pivotArea dataOnly="0" labelOnly="1" outline="0" axis="axisValues" fieldPosition="0"/>
    </format>
    <format dxfId="1467">
      <pivotArea dataOnly="0" labelOnly="1" outline="0" axis="axisValues" fieldPosition="0"/>
    </format>
    <format dxfId="1466">
      <pivotArea outline="0" fieldPosition="0"/>
    </format>
    <format dxfId="1465">
      <pivotArea outline="0" fieldPosition="0"/>
    </format>
    <format dxfId="1464">
      <pivotArea outline="0" collapsedLevelsAreSubtotals="1" fieldPosition="0"/>
    </format>
    <format dxfId="1463">
      <pivotArea type="all" dataOnly="0" outline="0" fieldPosition="0"/>
    </format>
    <format dxfId="1462">
      <pivotArea outline="0" collapsedLevelsAreSubtotals="1" fieldPosition="0"/>
    </format>
    <format dxfId="1461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divers" cacheId="0" dataOnRows="1" applyNumberFormats="0" applyBorderFormats="0" applyFontFormats="0" applyPatternFormats="0" applyAlignmentFormats="0" applyWidthHeightFormats="1" dataCaption="Données" updatedVersion="5" minRefreshableVersion="3" showMemberPropertyTips="0" itemPrintTitles="1" createdVersion="5" indent="0" compact="0" compactData="0" multipleFieldFilters="0">
  <location ref="P4:P5" firstHeaderRow="1" firstDataRow="1" firstDataCol="0"/>
  <pivotFields count="16">
    <pivotField compact="0" outline="0" subtotalTop="0" showAll="0" includeNewItemsInFilter="1">
      <items count="32">
        <item h="1" x="2"/>
        <item h="1" m="1" x="23"/>
        <item h="1" m="1" x="21"/>
        <item h="1" m="1" x="28"/>
        <item h="1" x="15"/>
        <item h="1" m="1" x="30"/>
        <item h="1" x="11"/>
        <item h="1" m="1" x="24"/>
        <item h="1" m="1" x="29"/>
        <item h="1" m="1" x="26"/>
        <item h="1" m="1" x="18"/>
        <item h="1" x="16"/>
        <item h="1" x="6"/>
        <item h="1" x="5"/>
        <item h="1" m="1" x="20"/>
        <item h="1" x="13"/>
        <item h="1" m="1" x="19"/>
        <item x="10"/>
        <item h="1" m="1" x="25"/>
        <item h="1" x="12"/>
        <item h="1" m="1" x="27"/>
        <item h="1" m="1" x="17"/>
        <item h="1" x="9"/>
        <item h="1" x="4"/>
        <item h="1" x="1"/>
        <item h="1" m="1" x="22"/>
        <item h="1" x="0"/>
        <item h="1" x="14"/>
        <item h="1" x="3"/>
        <item h="1" x="8"/>
        <item h="1" x="7"/>
        <item t="default"/>
      </items>
    </pivotField>
    <pivotField compact="0" outline="0" subtotalTop="0" showAll="0" includeNewItemsInFilter="1">
      <items count="24"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m="1" x="22"/>
        <item x="18"/>
        <item x="19"/>
        <item x="20"/>
        <item x="21"/>
        <item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howAll="0" defaultSubtotal="0"/>
  </pivotFields>
  <rowItems count="1">
    <i/>
  </rowItems>
  <colItems count="1">
    <i/>
  </colItems>
  <dataFields count="1">
    <dataField name="nord blayais." fld="15" baseField="0" baseItem="0"/>
  </dataFields>
  <formats count="13">
    <format dxfId="1486">
      <pivotArea type="all" dataOnly="0" outline="0" fieldPosition="0"/>
    </format>
    <format dxfId="1485">
      <pivotArea outline="0" fieldPosition="0"/>
    </format>
    <format dxfId="1484">
      <pivotArea dataOnly="0" labelOnly="1" outline="0" axis="axisValues" fieldPosition="0"/>
    </format>
    <format dxfId="1483">
      <pivotArea dataOnly="0" labelOnly="1" outline="0" axis="axisValues" fieldPosition="0"/>
    </format>
    <format dxfId="1482">
      <pivotArea dataOnly="0" labelOnly="1" outline="0" axis="axisValues" fieldPosition="0"/>
    </format>
    <format dxfId="1481">
      <pivotArea dataOnly="0" labelOnly="1" outline="0" axis="axisValues" fieldPosition="0"/>
    </format>
    <format dxfId="1480">
      <pivotArea outline="0" fieldPosition="0"/>
    </format>
    <format dxfId="1479">
      <pivotArea outline="0" fieldPosition="0"/>
    </format>
    <format dxfId="1478">
      <pivotArea outline="0" collapsedLevelsAreSubtotals="1" fieldPosition="0"/>
    </format>
    <format dxfId="1477">
      <pivotArea dataOnly="0" labelOnly="1" outline="0" axis="axisValues" fieldPosition="0"/>
    </format>
    <format dxfId="1476">
      <pivotArea type="all" dataOnly="0" outline="0" fieldPosition="0"/>
    </format>
    <format dxfId="1475">
      <pivotArea outline="0" collapsedLevelsAreSubtotals="1" fieldPosition="0"/>
    </format>
    <format dxfId="1474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fenetra" cacheId="0" dataOnRows="1" applyNumberFormats="0" applyBorderFormats="0" applyFontFormats="0" applyPatternFormats="0" applyAlignmentFormats="0" applyWidthHeightFormats="1" dataCaption="Données" updatedVersion="5" minRefreshableVersion="3" showMemberPropertyTips="0" itemPrintTitles="1" createdVersion="5" indent="0" compact="0" compactData="0" multipleFieldFilters="0">
  <location ref="E4:E5" firstHeaderRow="1" firstDataRow="1" firstDataCol="0"/>
  <pivotFields count="16">
    <pivotField compact="0" outline="0" subtotalTop="0" showAll="0" includeNewItemsInFilter="1">
      <items count="32">
        <item h="1" x="2"/>
        <item h="1" m="1" x="23"/>
        <item h="1" m="1" x="21"/>
        <item h="1" m="1" x="28"/>
        <item h="1" x="15"/>
        <item h="1" m="1" x="30"/>
        <item h="1" x="11"/>
        <item h="1" m="1" x="24"/>
        <item h="1" m="1" x="29"/>
        <item h="1" m="1" x="26"/>
        <item h="1" m="1" x="18"/>
        <item h="1" x="16"/>
        <item h="1" x="6"/>
        <item h="1" x="5"/>
        <item h="1" m="1" x="20"/>
        <item h="1" x="13"/>
        <item h="1" m="1" x="19"/>
        <item x="10"/>
        <item h="1" m="1" x="25"/>
        <item h="1" x="12"/>
        <item h="1" m="1" x="27"/>
        <item h="1" m="1" x="17"/>
        <item h="1" x="9"/>
        <item h="1" x="4"/>
        <item h="1" x="1"/>
        <item h="1" m="1" x="22"/>
        <item h="1" x="0"/>
        <item h="1" x="14"/>
        <item h="1" x="3"/>
        <item h="1" x="8"/>
        <item h="1" x="7"/>
        <item t="default"/>
      </items>
    </pivotField>
    <pivotField compact="0" outline="0" subtotalTop="0" showAll="0" includeNewItemsInFilter="1">
      <items count="24"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m="1" x="22"/>
        <item x="18"/>
        <item x="19"/>
        <item x="20"/>
        <item x="21"/>
        <item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</pivotFields>
  <rowItems count="1">
    <i/>
  </rowItems>
  <colItems count="1">
    <i/>
  </colItems>
  <dataFields count="1">
    <dataField name="fenetrea." fld="4" baseField="0" baseItem="0" numFmtId="2"/>
  </dataFields>
  <formats count="13">
    <format dxfId="1499">
      <pivotArea outline="0" fieldPosition="0"/>
    </format>
    <format dxfId="1498">
      <pivotArea type="all" dataOnly="0" outline="0" fieldPosition="0"/>
    </format>
    <format dxfId="1497">
      <pivotArea outline="0" fieldPosition="0"/>
    </format>
    <format dxfId="1496">
      <pivotArea dataOnly="0" labelOnly="1" outline="0" axis="axisValues" fieldPosition="0"/>
    </format>
    <format dxfId="1495">
      <pivotArea dataOnly="0" labelOnly="1" outline="0" axis="axisValues" fieldPosition="0"/>
    </format>
    <format dxfId="1494">
      <pivotArea dataOnly="0" labelOnly="1" outline="0" axis="axisValues" fieldPosition="0"/>
    </format>
    <format dxfId="1493">
      <pivotArea dataOnly="0" labelOnly="1" outline="0" axis="axisValues" fieldPosition="0"/>
    </format>
    <format dxfId="1492">
      <pivotArea outline="0" fieldPosition="0"/>
    </format>
    <format dxfId="1491">
      <pivotArea outline="0" fieldPosition="0"/>
    </format>
    <format dxfId="1490">
      <pivotArea outline="0" collapsedLevelsAreSubtotals="1" fieldPosition="0"/>
    </format>
    <format dxfId="1489">
      <pivotArea type="all" dataOnly="0" outline="0" fieldPosition="0"/>
    </format>
    <format dxfId="1488">
      <pivotArea outline="0" collapsedLevelsAreSubtotals="1" fieldPosition="0"/>
    </format>
    <format dxfId="1487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jointeur" cacheId="0" dataOnRows="1" applyNumberFormats="0" applyBorderFormats="0" applyFontFormats="0" applyPatternFormats="0" applyAlignmentFormats="0" applyWidthHeightFormats="1" dataCaption="Données" updatedVersion="5" minRefreshableVersion="3" showMemberPropertyTips="0" itemPrintTitles="1" createdVersion="5" indent="0" compact="0" compactData="0" multipleFieldFilters="0">
  <location ref="J4:J5" firstHeaderRow="1" firstDataRow="1" firstDataCol="0"/>
  <pivotFields count="16">
    <pivotField compact="0" outline="0" subtotalTop="0" showAll="0" includeNewItemsInFilter="1">
      <items count="32">
        <item h="1" x="2"/>
        <item h="1" m="1" x="23"/>
        <item h="1" m="1" x="21"/>
        <item h="1" m="1" x="28"/>
        <item h="1" x="15"/>
        <item h="1" m="1" x="30"/>
        <item h="1" x="11"/>
        <item h="1" m="1" x="24"/>
        <item h="1" m="1" x="29"/>
        <item h="1" m="1" x="26"/>
        <item h="1" m="1" x="18"/>
        <item h="1" x="16"/>
        <item h="1" x="6"/>
        <item h="1" x="5"/>
        <item h="1" m="1" x="20"/>
        <item h="1" x="13"/>
        <item h="1" m="1" x="19"/>
        <item x="10"/>
        <item h="1" m="1" x="25"/>
        <item h="1" x="12"/>
        <item h="1" m="1" x="27"/>
        <item h="1" m="1" x="17"/>
        <item h="1" x="9"/>
        <item h="1" x="4"/>
        <item h="1" x="1"/>
        <item h="1" m="1" x="22"/>
        <item h="1" x="0"/>
        <item h="1" x="14"/>
        <item h="1" x="3"/>
        <item h="1" x="8"/>
        <item h="1" x="7"/>
        <item t="default"/>
      </items>
    </pivotField>
    <pivotField compact="0" outline="0" subtotalTop="0" showAll="0" includeNewItemsInFilter="1">
      <items count="24"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m="1" x="22"/>
        <item x="18"/>
        <item x="19"/>
        <item x="20"/>
        <item x="21"/>
        <item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</pivotFields>
  <rowItems count="1">
    <i/>
  </rowItems>
  <colItems count="1">
    <i/>
  </colItems>
  <dataFields count="1">
    <dataField name="jointeur." fld="9" baseField="0" baseItem="15" numFmtId="2"/>
  </dataFields>
  <formats count="13">
    <format dxfId="1512">
      <pivotArea outline="0" fieldPosition="0"/>
    </format>
    <format dxfId="1511">
      <pivotArea type="all" dataOnly="0" outline="0" fieldPosition="0"/>
    </format>
    <format dxfId="1510">
      <pivotArea outline="0" fieldPosition="0"/>
    </format>
    <format dxfId="1509">
      <pivotArea dataOnly="0" labelOnly="1" outline="0" axis="axisValues" fieldPosition="0"/>
    </format>
    <format dxfId="1508">
      <pivotArea dataOnly="0" labelOnly="1" outline="0" axis="axisValues" fieldPosition="0"/>
    </format>
    <format dxfId="1507">
      <pivotArea dataOnly="0" labelOnly="1" outline="0" axis="axisValues" fieldPosition="0"/>
    </format>
    <format dxfId="1506">
      <pivotArea dataOnly="0" labelOnly="1" outline="0" axis="axisValues" fieldPosition="0"/>
    </format>
    <format dxfId="1505">
      <pivotArea outline="0" fieldPosition="0"/>
    </format>
    <format dxfId="1504">
      <pivotArea outline="0" fieldPosition="0"/>
    </format>
    <format dxfId="1503">
      <pivotArea outline="0" collapsedLevelsAreSubtotals="1" fieldPosition="0"/>
    </format>
    <format dxfId="1502">
      <pivotArea type="all" dataOnly="0" outline="0" fieldPosition="0"/>
    </format>
    <format dxfId="1501">
      <pivotArea outline="0" collapsedLevelsAreSubtotals="1" fieldPosition="0"/>
    </format>
    <format dxfId="1500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raoult" cacheId="0" dataOnRows="1" applyNumberFormats="0" applyBorderFormats="0" applyFontFormats="0" applyPatternFormats="0" applyAlignmentFormats="0" applyWidthHeightFormats="1" dataCaption="Données" updatedVersion="5" minRefreshableVersion="3" showMemberPropertyTips="0" itemPrintTitles="1" createdVersion="5" indent="0" compact="0" compactData="0" multipleFieldFilters="0">
  <location ref="D4:D5" firstHeaderRow="1" firstDataRow="1" firstDataCol="0"/>
  <pivotFields count="16">
    <pivotField compact="0" outline="0" subtotalTop="0" showAll="0" includeNewItemsInFilter="1">
      <items count="32">
        <item h="1" x="2"/>
        <item h="1" m="1" x="23"/>
        <item h="1" m="1" x="21"/>
        <item h="1" m="1" x="28"/>
        <item h="1" x="15"/>
        <item h="1" m="1" x="30"/>
        <item h="1" x="11"/>
        <item h="1" m="1" x="24"/>
        <item h="1" m="1" x="29"/>
        <item h="1" m="1" x="26"/>
        <item h="1" m="1" x="18"/>
        <item h="1" x="16"/>
        <item h="1" x="6"/>
        <item h="1" x="5"/>
        <item h="1" m="1" x="20"/>
        <item h="1" x="13"/>
        <item h="1" m="1" x="19"/>
        <item x="10"/>
        <item h="1" m="1" x="25"/>
        <item h="1" x="12"/>
        <item h="1" m="1" x="27"/>
        <item h="1" m="1" x="17"/>
        <item h="1" x="9"/>
        <item h="1" x="4"/>
        <item h="1" x="1"/>
        <item h="1" m="1" x="22"/>
        <item h="1" x="0"/>
        <item h="1" x="14"/>
        <item h="1" x="3"/>
        <item h="1" x="8"/>
        <item h="1" x="7"/>
        <item t="default"/>
      </items>
    </pivotField>
    <pivotField compact="0" outline="0" subtotalTop="0" showAll="0" includeNewItemsInFilter="1">
      <items count="24"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m="1" x="22"/>
        <item x="18"/>
        <item x="19"/>
        <item x="20"/>
        <item x="21"/>
        <item x="8"/>
        <item t="default"/>
      </items>
    </pivotField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</pivotFields>
  <rowItems count="1">
    <i/>
  </rowItems>
  <colItems count="1">
    <i/>
  </colItems>
  <dataFields count="1">
    <dataField name="raoult." fld="3" baseField="0" baseItem="15" numFmtId="2"/>
  </dataFields>
  <formats count="13">
    <format dxfId="1525">
      <pivotArea outline="0" fieldPosition="0"/>
    </format>
    <format dxfId="1524">
      <pivotArea type="all" dataOnly="0" outline="0" fieldPosition="0"/>
    </format>
    <format dxfId="1523">
      <pivotArea outline="0" fieldPosition="0"/>
    </format>
    <format dxfId="1522">
      <pivotArea dataOnly="0" labelOnly="1" outline="0" axis="axisValues" fieldPosition="0"/>
    </format>
    <format dxfId="1521">
      <pivotArea dataOnly="0" labelOnly="1" outline="0" axis="axisValues" fieldPosition="0"/>
    </format>
    <format dxfId="1520">
      <pivotArea dataOnly="0" labelOnly="1" outline="0" axis="axisValues" fieldPosition="0"/>
    </format>
    <format dxfId="1519">
      <pivotArea dataOnly="0" labelOnly="1" outline="0" axis="axisValues" fieldPosition="0"/>
    </format>
    <format dxfId="1518">
      <pivotArea outline="0" fieldPosition="0"/>
    </format>
    <format dxfId="1517">
      <pivotArea outline="0" fieldPosition="0"/>
    </format>
    <format dxfId="1516">
      <pivotArea outline="0" collapsedLevelsAreSubtotals="1" fieldPosition="0"/>
    </format>
    <format dxfId="1515">
      <pivotArea type="all" dataOnly="0" outline="0" fieldPosition="0"/>
    </format>
    <format dxfId="1514">
      <pivotArea outline="0" collapsedLevelsAreSubtotals="1" fieldPosition="0"/>
    </format>
    <format dxfId="1513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lc bois" cacheId="0" dataOnRows="1" applyNumberFormats="0" applyBorderFormats="0" applyFontFormats="0" applyPatternFormats="0" applyAlignmentFormats="0" applyWidthHeightFormats="1" dataCaption="Données" updatedVersion="5" minRefreshableVersion="3" showMemberPropertyTips="0" itemPrintTitles="1" createdVersion="5" indent="0" compact="0" compactData="0" multipleFieldFilters="0">
  <location ref="H4:H5" firstHeaderRow="1" firstDataRow="1" firstDataCol="0"/>
  <pivotFields count="16">
    <pivotField compact="0" outline="0" subtotalTop="0" showAll="0" includeNewItemsInFilter="1">
      <items count="32">
        <item h="1" x="2"/>
        <item h="1" m="1" x="23"/>
        <item h="1" m="1" x="21"/>
        <item h="1" m="1" x="28"/>
        <item h="1" x="15"/>
        <item h="1" m="1" x="30"/>
        <item h="1" x="11"/>
        <item h="1" m="1" x="24"/>
        <item h="1" m="1" x="29"/>
        <item h="1" m="1" x="26"/>
        <item h="1" m="1" x="18"/>
        <item h="1" x="16"/>
        <item h="1" x="6"/>
        <item h="1" x="5"/>
        <item h="1" m="1" x="20"/>
        <item h="1" x="13"/>
        <item h="1" m="1" x="19"/>
        <item x="10"/>
        <item h="1" m="1" x="25"/>
        <item h="1" x="12"/>
        <item h="1" m="1" x="27"/>
        <item h="1" m="1" x="17"/>
        <item h="1" x="9"/>
        <item h="1" x="4"/>
        <item h="1" x="1"/>
        <item h="1" m="1" x="22"/>
        <item h="1" x="0"/>
        <item h="1" x="14"/>
        <item h="1" x="3"/>
        <item h="1" x="8"/>
        <item h="1" x="7"/>
        <item t="default"/>
      </items>
    </pivotField>
    <pivotField compact="0" outline="0" subtotalTop="0" showAll="0" includeNewItemsInFilter="1">
      <items count="24"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m="1" x="22"/>
        <item x="18"/>
        <item x="19"/>
        <item x="20"/>
        <item x="21"/>
        <item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</pivotFields>
  <rowItems count="1">
    <i/>
  </rowItems>
  <colItems count="1">
    <i/>
  </colItems>
  <dataFields count="1">
    <dataField name="lc bois." fld="7" baseField="0" baseItem="0" numFmtId="2"/>
  </dataFields>
  <formats count="13">
    <format dxfId="1538">
      <pivotArea outline="0" fieldPosition="0"/>
    </format>
    <format dxfId="1537">
      <pivotArea type="all" dataOnly="0" outline="0" fieldPosition="0"/>
    </format>
    <format dxfId="1536">
      <pivotArea outline="0" fieldPosition="0"/>
    </format>
    <format dxfId="1535">
      <pivotArea dataOnly="0" labelOnly="1" outline="0" axis="axisValues" fieldPosition="0"/>
    </format>
    <format dxfId="1534">
      <pivotArea dataOnly="0" labelOnly="1" outline="0" axis="axisValues" fieldPosition="0"/>
    </format>
    <format dxfId="1533">
      <pivotArea dataOnly="0" labelOnly="1" outline="0" axis="axisValues" fieldPosition="0"/>
    </format>
    <format dxfId="1532">
      <pivotArea dataOnly="0" labelOnly="1" outline="0" axis="axisValues" fieldPosition="0"/>
    </format>
    <format dxfId="1531">
      <pivotArea outline="0" fieldPosition="0"/>
    </format>
    <format dxfId="1530">
      <pivotArea outline="0" fieldPosition="0"/>
    </format>
    <format dxfId="1529">
      <pivotArea outline="0" collapsedLevelsAreSubtotals="1" fieldPosition="0"/>
    </format>
    <format dxfId="1528">
      <pivotArea type="all" dataOnly="0" outline="0" fieldPosition="0"/>
    </format>
    <format dxfId="1527">
      <pivotArea outline="0" collapsedLevelsAreSubtotals="1" fieldPosition="0"/>
    </format>
    <format dxfId="1526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bdr" cacheId="0" dataOnRows="1" applyNumberFormats="0" applyBorderFormats="0" applyFontFormats="0" applyPatternFormats="0" applyAlignmentFormats="0" applyWidthHeightFormats="1" dataCaption="Données" updatedVersion="5" minRefreshableVersion="3" showMemberPropertyTips="0" itemPrintTitles="1" createdVersion="5" indent="0" compact="0" compactData="0" multipleFieldFilters="0">
  <location ref="F4:F5" firstHeaderRow="1" firstDataRow="1" firstDataCol="0"/>
  <pivotFields count="16">
    <pivotField compact="0" outline="0" subtotalTop="0" showAll="0" includeNewItemsInFilter="1">
      <items count="32">
        <item h="1" x="2"/>
        <item h="1" m="1" x="23"/>
        <item h="1" m="1" x="21"/>
        <item h="1" m="1" x="28"/>
        <item h="1" x="15"/>
        <item h="1" m="1" x="30"/>
        <item h="1" x="11"/>
        <item h="1" m="1" x="24"/>
        <item h="1" m="1" x="29"/>
        <item h="1" m="1" x="26"/>
        <item h="1" m="1" x="18"/>
        <item h="1" x="16"/>
        <item h="1" x="6"/>
        <item h="1" x="5"/>
        <item h="1" m="1" x="20"/>
        <item h="1" x="13"/>
        <item h="1" m="1" x="19"/>
        <item x="10"/>
        <item h="1" m="1" x="25"/>
        <item h="1" x="12"/>
        <item h="1" m="1" x="27"/>
        <item h="1" m="1" x="17"/>
        <item h="1" x="9"/>
        <item h="1" x="4"/>
        <item h="1" x="1"/>
        <item h="1" m="1" x="22"/>
        <item h="1" x="0"/>
        <item h="1" x="14"/>
        <item h="1" x="3"/>
        <item h="1" x="8"/>
        <item h="1" x="7"/>
        <item t="default"/>
      </items>
    </pivotField>
    <pivotField compact="0" outline="0" subtotalTop="0" showAll="0" includeNewItemsInFilter="1">
      <items count="24"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m="1" x="22"/>
        <item x="18"/>
        <item x="19"/>
        <item x="20"/>
        <item x="21"/>
        <item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</pivotFields>
  <rowItems count="1">
    <i/>
  </rowItems>
  <colItems count="1">
    <i/>
  </colItems>
  <dataFields count="1">
    <dataField name="bdr." fld="5" baseField="0" baseItem="0" numFmtId="2"/>
  </dataFields>
  <formats count="13">
    <format dxfId="1551">
      <pivotArea outline="0" fieldPosition="0"/>
    </format>
    <format dxfId="1550">
      <pivotArea type="all" dataOnly="0" outline="0" fieldPosition="0"/>
    </format>
    <format dxfId="1549">
      <pivotArea outline="0" fieldPosition="0"/>
    </format>
    <format dxfId="1548">
      <pivotArea dataOnly="0" labelOnly="1" outline="0" axis="axisValues" fieldPosition="0"/>
    </format>
    <format dxfId="1547">
      <pivotArea dataOnly="0" labelOnly="1" outline="0" axis="axisValues" fieldPosition="0"/>
    </format>
    <format dxfId="1546">
      <pivotArea dataOnly="0" labelOnly="1" outline="0" axis="axisValues" fieldPosition="0"/>
    </format>
    <format dxfId="1545">
      <pivotArea dataOnly="0" labelOnly="1" outline="0" axis="axisValues" fieldPosition="0"/>
    </format>
    <format dxfId="1544">
      <pivotArea outline="0" fieldPosition="0"/>
    </format>
    <format dxfId="1543">
      <pivotArea outline="0" fieldPosition="0"/>
    </format>
    <format dxfId="1542">
      <pivotArea outline="0" collapsedLevelsAreSubtotals="1" fieldPosition="0"/>
    </format>
    <format dxfId="1541">
      <pivotArea type="all" dataOnly="0" outline="0" fieldPosition="0"/>
    </format>
    <format dxfId="1540">
      <pivotArea outline="0" collapsedLevelsAreSubtotals="1" fieldPosition="0"/>
    </format>
    <format dxfId="1539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wurth" cacheId="0" dataOnRows="1" applyNumberFormats="0" applyBorderFormats="0" applyFontFormats="0" applyPatternFormats="0" applyAlignmentFormats="0" applyWidthHeightFormats="1" dataCaption="Données" updatedVersion="5" minRefreshableVersion="3" showMemberPropertyTips="0" itemPrintTitles="1" createdVersion="5" indent="0" compact="0" compactData="0" multipleFieldFilters="0">
  <location ref="I4:I5" firstHeaderRow="1" firstDataRow="1" firstDataCol="0"/>
  <pivotFields count="16">
    <pivotField compact="0" outline="0" subtotalTop="0" showAll="0" includeNewItemsInFilter="1">
      <items count="32">
        <item h="1" x="2"/>
        <item h="1" m="1" x="23"/>
        <item h="1" m="1" x="21"/>
        <item h="1" m="1" x="28"/>
        <item h="1" x="15"/>
        <item h="1" m="1" x="30"/>
        <item h="1" x="11"/>
        <item h="1" m="1" x="24"/>
        <item h="1" m="1" x="29"/>
        <item h="1" m="1" x="26"/>
        <item h="1" m="1" x="18"/>
        <item h="1" x="16"/>
        <item h="1" x="6"/>
        <item h="1" x="5"/>
        <item h="1" m="1" x="20"/>
        <item h="1" x="13"/>
        <item h="1" m="1" x="19"/>
        <item x="10"/>
        <item h="1" m="1" x="25"/>
        <item h="1" x="12"/>
        <item h="1" m="1" x="27"/>
        <item h="1" m="1" x="17"/>
        <item h="1" x="9"/>
        <item h="1" x="4"/>
        <item h="1" x="1"/>
        <item h="1" m="1" x="22"/>
        <item h="1" x="0"/>
        <item h="1" x="14"/>
        <item h="1" x="3"/>
        <item h="1" x="8"/>
        <item h="1" x="7"/>
        <item t="default"/>
      </items>
    </pivotField>
    <pivotField compact="0" outline="0" subtotalTop="0" showAll="0" includeNewItemsInFilter="1">
      <items count="24"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m="1" x="22"/>
        <item x="18"/>
        <item x="19"/>
        <item x="20"/>
        <item x="21"/>
        <item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</pivotFields>
  <rowItems count="1">
    <i/>
  </rowItems>
  <colItems count="1">
    <i/>
  </colItems>
  <dataFields count="1">
    <dataField name="wurth." fld="8" baseField="0" baseItem="0" numFmtId="2"/>
  </dataFields>
  <formats count="13">
    <format dxfId="1564">
      <pivotArea outline="0" fieldPosition="0"/>
    </format>
    <format dxfId="1563">
      <pivotArea type="all" dataOnly="0" outline="0" fieldPosition="0"/>
    </format>
    <format dxfId="1562">
      <pivotArea outline="0" fieldPosition="0"/>
    </format>
    <format dxfId="1561">
      <pivotArea dataOnly="0" labelOnly="1" outline="0" axis="axisValues" fieldPosition="0"/>
    </format>
    <format dxfId="1560">
      <pivotArea dataOnly="0" labelOnly="1" outline="0" axis="axisValues" fieldPosition="0"/>
    </format>
    <format dxfId="1559">
      <pivotArea dataOnly="0" labelOnly="1" outline="0" axis="axisValues" fieldPosition="0"/>
    </format>
    <format dxfId="1558">
      <pivotArea dataOnly="0" labelOnly="1" outline="0" axis="axisValues" fieldPosition="0"/>
    </format>
    <format dxfId="1557">
      <pivotArea outline="0" fieldPosition="0"/>
    </format>
    <format dxfId="1556">
      <pivotArea outline="0" fieldPosition="0"/>
    </format>
    <format dxfId="1555">
      <pivotArea outline="0" collapsedLevelsAreSubtotals="1" fieldPosition="0"/>
    </format>
    <format dxfId="1554">
      <pivotArea type="all" dataOnly="0" outline="0" fieldPosition="0"/>
    </format>
    <format dxfId="1553">
      <pivotArea outline="0" collapsedLevelsAreSubtotals="1" fieldPosition="0"/>
    </format>
    <format dxfId="1552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dechetterie" cacheId="0" dataOnRows="1" applyNumberFormats="0" applyBorderFormats="0" applyFontFormats="0" applyPatternFormats="0" applyAlignmentFormats="0" applyWidthHeightFormats="1" dataCaption="Données" updatedVersion="5" minRefreshableVersion="3" showMemberPropertyTips="0" itemPrintTitles="1" createdVersion="5" indent="0" compact="0" compactData="0" multipleFieldFilters="0">
  <location ref="M4:M5" firstHeaderRow="1" firstDataRow="1" firstDataCol="0"/>
  <pivotFields count="16">
    <pivotField compact="0" outline="0" subtotalTop="0" showAll="0" includeNewItemsInFilter="1">
      <items count="32">
        <item h="1" x="2"/>
        <item h="1" m="1" x="23"/>
        <item h="1" m="1" x="21"/>
        <item h="1" m="1" x="28"/>
        <item h="1" x="15"/>
        <item h="1" m="1" x="30"/>
        <item h="1" x="11"/>
        <item h="1" m="1" x="24"/>
        <item h="1" m="1" x="29"/>
        <item h="1" m="1" x="26"/>
        <item h="1" m="1" x="18"/>
        <item h="1" x="16"/>
        <item h="1" x="6"/>
        <item h="1" x="5"/>
        <item h="1" m="1" x="20"/>
        <item h="1" x="13"/>
        <item h="1" m="1" x="19"/>
        <item x="10"/>
        <item h="1" m="1" x="25"/>
        <item h="1" x="12"/>
        <item h="1" m="1" x="27"/>
        <item h="1" m="1" x="17"/>
        <item h="1" x="9"/>
        <item h="1" x="4"/>
        <item h="1" x="1"/>
        <item h="1" m="1" x="22"/>
        <item h="1" x="0"/>
        <item h="1" x="14"/>
        <item h="1" x="3"/>
        <item h="1" x="8"/>
        <item h="1" x="7"/>
        <item t="default"/>
      </items>
    </pivotField>
    <pivotField compact="0" outline="0" subtotalTop="0" showAll="0" includeNewItemsInFilter="1">
      <items count="24"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m="1" x="22"/>
        <item x="18"/>
        <item x="19"/>
        <item x="20"/>
        <item x="21"/>
        <item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</pivotFields>
  <rowItems count="1">
    <i/>
  </rowItems>
  <colItems count="1">
    <i/>
  </colItems>
  <dataFields count="1">
    <dataField name="dechetterie." fld="12" baseField="0" baseItem="0" numFmtId="2"/>
  </dataFields>
  <formats count="12">
    <format dxfId="1576">
      <pivotArea type="all" dataOnly="0" outline="0" fieldPosition="0"/>
    </format>
    <format dxfId="1575">
      <pivotArea outline="0" fieldPosition="0"/>
    </format>
    <format dxfId="1574">
      <pivotArea dataOnly="0" labelOnly="1" outline="0" axis="axisValues" fieldPosition="0"/>
    </format>
    <format dxfId="1573">
      <pivotArea dataOnly="0" labelOnly="1" outline="0" axis="axisValues" fieldPosition="0"/>
    </format>
    <format dxfId="1572">
      <pivotArea dataOnly="0" labelOnly="1" outline="0" axis="axisValues" fieldPosition="0"/>
    </format>
    <format dxfId="1571">
      <pivotArea dataOnly="0" labelOnly="1" outline="0" axis="axisValues" fieldPosition="0"/>
    </format>
    <format dxfId="1570">
      <pivotArea outline="0" fieldPosition="0"/>
    </format>
    <format dxfId="1569">
      <pivotArea outline="0" fieldPosition="0"/>
    </format>
    <format dxfId="1568">
      <pivotArea outline="0" collapsedLevelsAreSubtotals="1" fieldPosition="0"/>
    </format>
    <format dxfId="1567">
      <pivotArea type="all" dataOnly="0" outline="0" fieldPosition="0"/>
    </format>
    <format dxfId="1566">
      <pivotArea outline="0" collapsedLevelsAreSubtotals="1" fieldPosition="0"/>
    </format>
    <format dxfId="1565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bois" cacheId="0" dataOnRows="1" applyNumberFormats="0" applyBorderFormats="0" applyFontFormats="0" applyPatternFormats="0" applyAlignmentFormats="0" applyWidthHeightFormats="1" dataCaption="Données" updatedVersion="5" minRefreshableVersion="3" showMemberPropertyTips="0" itemPrintTitles="1" createdVersion="5" indent="0" compact="0" compactData="0" multipleFieldFilters="0">
  <location ref="L4:L5" firstHeaderRow="1" firstDataRow="1" firstDataCol="0"/>
  <pivotFields count="16">
    <pivotField compact="0" outline="0" subtotalTop="0" showAll="0" includeNewItemsInFilter="1">
      <items count="32">
        <item h="1" x="2"/>
        <item h="1" m="1" x="23"/>
        <item h="1" m="1" x="21"/>
        <item h="1" m="1" x="28"/>
        <item h="1" x="15"/>
        <item h="1" m="1" x="30"/>
        <item h="1" x="11"/>
        <item h="1" m="1" x="24"/>
        <item h="1" m="1" x="29"/>
        <item h="1" m="1" x="26"/>
        <item h="1" m="1" x="18"/>
        <item h="1" x="16"/>
        <item h="1" x="6"/>
        <item h="1" x="5"/>
        <item h="1" m="1" x="20"/>
        <item h="1" x="13"/>
        <item h="1" m="1" x="19"/>
        <item x="10"/>
        <item h="1" m="1" x="25"/>
        <item h="1" x="12"/>
        <item h="1" m="1" x="27"/>
        <item h="1" m="1" x="17"/>
        <item h="1" x="9"/>
        <item h="1" x="4"/>
        <item h="1" x="1"/>
        <item h="1" m="1" x="22"/>
        <item h="1" x="0"/>
        <item h="1" x="14"/>
        <item h="1" x="3"/>
        <item h="1" x="8"/>
        <item h="1" x="7"/>
        <item t="default"/>
      </items>
    </pivotField>
    <pivotField compact="0" outline="0" subtotalTop="0" showAll="0" includeNewItemsInFilter="1">
      <items count="24"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m="1" x="22"/>
        <item x="18"/>
        <item x="19"/>
        <item x="20"/>
        <item x="21"/>
        <item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</pivotFields>
  <rowItems count="1">
    <i/>
  </rowItems>
  <colItems count="1">
    <i/>
  </colItems>
  <dataFields count="1">
    <dataField name="bois." fld="11" baseField="0" baseItem="15" numFmtId="2"/>
  </dataFields>
  <formats count="12">
    <format dxfId="1588">
      <pivotArea type="all" dataOnly="0" outline="0" fieldPosition="0"/>
    </format>
    <format dxfId="1587">
      <pivotArea outline="0" fieldPosition="0"/>
    </format>
    <format dxfId="1586">
      <pivotArea dataOnly="0" labelOnly="1" outline="0" axis="axisValues" fieldPosition="0"/>
    </format>
    <format dxfId="1585">
      <pivotArea dataOnly="0" labelOnly="1" outline="0" axis="axisValues" fieldPosition="0"/>
    </format>
    <format dxfId="1584">
      <pivotArea dataOnly="0" labelOnly="1" outline="0" axis="axisValues" fieldPosition="0"/>
    </format>
    <format dxfId="1583">
      <pivotArea dataOnly="0" labelOnly="1" outline="0" axis="axisValues" fieldPosition="0"/>
    </format>
    <format dxfId="1582">
      <pivotArea outline="0" fieldPosition="0"/>
    </format>
    <format dxfId="1581">
      <pivotArea outline="0" fieldPosition="0"/>
    </format>
    <format dxfId="1580">
      <pivotArea outline="0" collapsedLevelsAreSubtotals="1" fieldPosition="0"/>
    </format>
    <format dxfId="1579">
      <pivotArea type="all" dataOnly="0" outline="0" fieldPosition="0"/>
    </format>
    <format dxfId="1578">
      <pivotArea outline="0" collapsedLevelsAreSubtotals="1" fieldPosition="0"/>
    </format>
    <format dxfId="1577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dispano" cacheId="0" dataOnRows="1" applyNumberFormats="0" applyBorderFormats="0" applyFontFormats="0" applyPatternFormats="0" applyAlignmentFormats="0" applyWidthHeightFormats="1" dataCaption="Données" updatedVersion="5" minRefreshableVersion="3" showMemberPropertyTips="0" itemPrintTitles="1" createdVersion="5" indent="0" compact="0" compactData="0" multipleFieldFilters="0">
  <location ref="G4:G5" firstHeaderRow="1" firstDataRow="1" firstDataCol="0"/>
  <pivotFields count="16">
    <pivotField compact="0" outline="0" subtotalTop="0" showAll="0" includeNewItemsInFilter="1">
      <items count="32">
        <item h="1" x="2"/>
        <item h="1" m="1" x="23"/>
        <item h="1" m="1" x="21"/>
        <item h="1" m="1" x="28"/>
        <item h="1" x="15"/>
        <item h="1" m="1" x="30"/>
        <item h="1" x="11"/>
        <item h="1" m="1" x="24"/>
        <item h="1" m="1" x="29"/>
        <item h="1" m="1" x="26"/>
        <item h="1" m="1" x="18"/>
        <item h="1" x="16"/>
        <item h="1" x="6"/>
        <item h="1" x="5"/>
        <item h="1" m="1" x="20"/>
        <item h="1" x="13"/>
        <item h="1" m="1" x="19"/>
        <item x="10"/>
        <item h="1" m="1" x="25"/>
        <item h="1" x="12"/>
        <item h="1" m="1" x="27"/>
        <item h="1" m="1" x="17"/>
        <item h="1" x="9"/>
        <item h="1" x="4"/>
        <item h="1" x="1"/>
        <item h="1" m="1" x="22"/>
        <item h="1" x="0"/>
        <item h="1" x="14"/>
        <item h="1" x="3"/>
        <item h="1" x="8"/>
        <item h="1" x="7"/>
        <item t="default"/>
      </items>
    </pivotField>
    <pivotField compact="0" outline="0" subtotalTop="0" showAll="0" includeNewItemsInFilter="1">
      <items count="24"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m="1" x="22"/>
        <item x="18"/>
        <item x="19"/>
        <item x="20"/>
        <item x="21"/>
        <item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</pivotFields>
  <rowItems count="1">
    <i/>
  </rowItems>
  <colItems count="1">
    <i/>
  </colItems>
  <dataFields count="1">
    <dataField name="dispano." fld="6" baseField="0" baseItem="0" numFmtId="2"/>
  </dataFields>
  <formats count="13">
    <format dxfId="1601">
      <pivotArea outline="0" fieldPosition="0"/>
    </format>
    <format dxfId="1600">
      <pivotArea type="all" dataOnly="0" outline="0" fieldPosition="0"/>
    </format>
    <format dxfId="1599">
      <pivotArea outline="0" fieldPosition="0"/>
    </format>
    <format dxfId="1598">
      <pivotArea dataOnly="0" labelOnly="1" outline="0" axis="axisValues" fieldPosition="0"/>
    </format>
    <format dxfId="1597">
      <pivotArea dataOnly="0" labelOnly="1" outline="0" axis="axisValues" fieldPosition="0"/>
    </format>
    <format dxfId="1596">
      <pivotArea dataOnly="0" labelOnly="1" outline="0" axis="axisValues" fieldPosition="0"/>
    </format>
    <format dxfId="1595">
      <pivotArea dataOnly="0" labelOnly="1" outline="0" axis="axisValues" fieldPosition="0"/>
    </format>
    <format dxfId="1594">
      <pivotArea outline="0" fieldPosition="0"/>
    </format>
    <format dxfId="1593">
      <pivotArea outline="0" fieldPosition="0"/>
    </format>
    <format dxfId="1592">
      <pivotArea outline="0" collapsedLevelsAreSubtotals="1" fieldPosition="0"/>
    </format>
    <format dxfId="1591">
      <pivotArea type="all" dataOnly="0" outline="0" fieldPosition="0"/>
    </format>
    <format dxfId="1590">
      <pivotArea outline="0" collapsedLevelsAreSubtotals="1" fieldPosition="0"/>
    </format>
    <format dxfId="1589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bricolage" cacheId="0" dataOnRows="1" applyNumberFormats="0" applyBorderFormats="0" applyFontFormats="0" applyPatternFormats="0" applyAlignmentFormats="0" applyWidthHeightFormats="1" dataCaption="Données" updatedVersion="5" minRefreshableVersion="3" showMemberPropertyTips="0" itemPrintTitles="1" createdVersion="5" indent="0" compact="0" compactData="0" multipleFieldFilters="0">
  <location ref="N4:N5" firstHeaderRow="1" firstDataRow="1" firstDataCol="0"/>
  <pivotFields count="16">
    <pivotField compact="0" outline="0" subtotalTop="0" showAll="0" includeNewItemsInFilter="1">
      <items count="32">
        <item h="1" x="2"/>
        <item h="1" m="1" x="23"/>
        <item h="1" m="1" x="21"/>
        <item h="1" m="1" x="28"/>
        <item h="1" x="15"/>
        <item h="1" m="1" x="30"/>
        <item h="1" x="11"/>
        <item h="1" m="1" x="24"/>
        <item h="1" m="1" x="29"/>
        <item h="1" m="1" x="26"/>
        <item h="1" m="1" x="18"/>
        <item h="1" x="16"/>
        <item h="1" x="6"/>
        <item h="1" x="5"/>
        <item h="1" m="1" x="20"/>
        <item h="1" x="13"/>
        <item h="1" m="1" x="19"/>
        <item x="10"/>
        <item h="1" m="1" x="25"/>
        <item h="1" x="12"/>
        <item h="1" m="1" x="27"/>
        <item h="1" m="1" x="17"/>
        <item h="1" x="9"/>
        <item h="1" x="4"/>
        <item h="1" x="1"/>
        <item h="1" m="1" x="22"/>
        <item h="1" x="0"/>
        <item h="1" x="14"/>
        <item h="1" x="3"/>
        <item h="1" x="8"/>
        <item h="1" x="7"/>
        <item t="default"/>
      </items>
    </pivotField>
    <pivotField compact="0" outline="0" subtotalTop="0" showAll="0" includeNewItemsInFilter="1">
      <items count="24"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m="1" x="22"/>
        <item x="18"/>
        <item x="19"/>
        <item x="20"/>
        <item x="21"/>
        <item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howAll="0" defaultSubtotal="0"/>
  </pivotFields>
  <rowItems count="1">
    <i/>
  </rowItems>
  <colItems count="1">
    <i/>
  </colItems>
  <dataFields count="1">
    <dataField name="bricolage." fld="13" baseField="0" baseItem="0" numFmtId="2"/>
  </dataFields>
  <formats count="12">
    <format dxfId="1613">
      <pivotArea type="all" dataOnly="0" outline="0" fieldPosition="0"/>
    </format>
    <format dxfId="1612">
      <pivotArea outline="0" fieldPosition="0"/>
    </format>
    <format dxfId="1611">
      <pivotArea dataOnly="0" labelOnly="1" outline="0" axis="axisValues" fieldPosition="0"/>
    </format>
    <format dxfId="1610">
      <pivotArea dataOnly="0" labelOnly="1" outline="0" axis="axisValues" fieldPosition="0"/>
    </format>
    <format dxfId="1609">
      <pivotArea dataOnly="0" labelOnly="1" outline="0" axis="axisValues" fieldPosition="0"/>
    </format>
    <format dxfId="1608">
      <pivotArea dataOnly="0" labelOnly="1" outline="0" axis="axisValues" fieldPosition="0"/>
    </format>
    <format dxfId="1607">
      <pivotArea outline="0" fieldPosition="0"/>
    </format>
    <format dxfId="1606">
      <pivotArea outline="0" fieldPosition="0"/>
    </format>
    <format dxfId="1605">
      <pivotArea outline="0" collapsedLevelsAreSubtotals="1" fieldPosition="0"/>
    </format>
    <format dxfId="1604">
      <pivotArea type="all" dataOnly="0" outline="0" fieldPosition="0"/>
    </format>
    <format dxfId="1603">
      <pivotArea outline="0" collapsedLevelsAreSubtotals="1" fieldPosition="0"/>
    </format>
    <format dxfId="1602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24" name="jointeur"/>
    <pivotTable tabId="24" name="bdr"/>
    <pivotTable tabId="24" name="bois"/>
    <pivotTable tabId="24" name="bricolage"/>
    <pivotTable tabId="24" name="cged"/>
    <pivotTable tabId="24" name="dechetterie"/>
    <pivotTable tabId="24" name="dispano"/>
    <pivotTable tabId="24" name="divers"/>
    <pivotTable tabId="24" name="escalier"/>
    <pivotTable tabId="24" name="fenetra"/>
    <pivotTable tabId="24" name="lc bois"/>
    <pivotTable tabId="24" name="pointp"/>
    <pivotTable tabId="24" name="raoult"/>
    <pivotTable tabId="24" name="wurth"/>
  </pivotTables>
  <data>
    <tabular pivotCacheId="1">
      <items count="23">
        <i x="14" s="1"/>
        <i x="21" s="1"/>
        <i x="0" s="1" nd="1"/>
        <i x="1" s="1" nd="1"/>
        <i x="2" s="1" nd="1"/>
        <i x="3" s="1" nd="1"/>
        <i x="4" s="1" nd="1"/>
        <i x="5" s="1" nd="1"/>
        <i x="6" s="1" nd="1"/>
        <i x="7" s="1" nd="1"/>
        <i x="9" s="1" nd="1"/>
        <i x="10" s="1" nd="1"/>
        <i x="11" s="1" nd="1"/>
        <i x="12" s="1" nd="1"/>
        <i x="13" s="1" nd="1"/>
        <i x="15" s="1" nd="1"/>
        <i x="16" s="1" nd="1"/>
        <i x="17" s="1" nd="1"/>
        <i x="22" s="1" nd="1"/>
        <i x="18" s="1" nd="1"/>
        <i x="19" s="1" nd="1"/>
        <i x="20" s="1" nd="1"/>
        <i x="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ients" sourceName="clients">
  <pivotTables>
    <pivotTable tabId="24" name="jointeur"/>
    <pivotTable tabId="24" name="bdr"/>
    <pivotTable tabId="24" name="bois"/>
    <pivotTable tabId="24" name="bricolage"/>
    <pivotTable tabId="24" name="cged"/>
    <pivotTable tabId="24" name="dechetterie"/>
    <pivotTable tabId="24" name="dispano"/>
    <pivotTable tabId="24" name="divers"/>
    <pivotTable tabId="24" name="escalier"/>
    <pivotTable tabId="24" name="fenetra"/>
    <pivotTable tabId="24" name="lc bois"/>
    <pivotTable tabId="24" name="pointp"/>
    <pivotTable tabId="24" name="raoult"/>
    <pivotTable tabId="24" name="wurth"/>
  </pivotTables>
  <data>
    <tabular pivotCacheId="1">
      <items count="31">
        <i x="2"/>
        <i x="15"/>
        <i x="11"/>
        <i x="16"/>
        <i x="6"/>
        <i x="5"/>
        <i x="13"/>
        <i x="10" s="1"/>
        <i x="12"/>
        <i x="9"/>
        <i x="4"/>
        <i x="1"/>
        <i x="0"/>
        <i x="14"/>
        <i x="3"/>
        <i x="8"/>
        <i x="23" nd="1"/>
        <i x="21" nd="1"/>
        <i x="28" nd="1"/>
        <i x="30" nd="1"/>
        <i x="24" nd="1"/>
        <i x="29" nd="1"/>
        <i x="26" nd="1"/>
        <i x="18" nd="1"/>
        <i x="20" nd="1"/>
        <i x="19" nd="1"/>
        <i x="25" nd="1"/>
        <i x="27" nd="1"/>
        <i x="17" nd="1"/>
        <i x="22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columnCount="2" rowHeight="180000"/>
  <slicer name="clients" cache="Segment_clients" caption="clients" columnCount="2" rowHeight="225425"/>
</slicers>
</file>

<file path=xl/tables/table1.xml><?xml version="1.0" encoding="utf-8"?>
<table xmlns="http://schemas.openxmlformats.org/spreadsheetml/2006/main" id="1" name="général" displayName="général" ref="A10:P211" totalsRowShown="0" headerRowDxfId="1436" dataDxfId="1434" headerRowBorderDxfId="1435">
  <autoFilter ref="A10:P2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name="clients" dataDxfId="0"/>
    <tableColumn id="2" name="mois" dataDxfId="1433"/>
    <tableColumn id="3" name="point p" dataDxfId="1432"/>
    <tableColumn id="4" name="raoult" dataDxfId="1431"/>
    <tableColumn id="5" name="fenetrea" dataDxfId="1430"/>
    <tableColumn id="6" name="bdr" dataDxfId="1429"/>
    <tableColumn id="7" name="dispano" dataDxfId="1428"/>
    <tableColumn id="8" name="lc bois" dataDxfId="1427"/>
    <tableColumn id="9" name="wurth" dataDxfId="1426"/>
    <tableColumn id="10" name="jointeur" dataDxfId="1425"/>
    <tableColumn id="11" name="cged" dataDxfId="1424"/>
    <tableColumn id="12" name="bois" dataDxfId="1423"/>
    <tableColumn id="13" name="dechetterie" dataDxfId="1422"/>
    <tableColumn id="14" name="bricolage" dataDxfId="1421"/>
    <tableColumn id="15" name="escalier" dataDxfId="1420"/>
    <tableColumn id="16" name="nord blayais" dataDxfId="1419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13" Type="http://schemas.openxmlformats.org/officeDocument/2006/relationships/pivotTable" Target="../pivotTables/pivotTable13.xml"/><Relationship Id="rId1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12" Type="http://schemas.openxmlformats.org/officeDocument/2006/relationships/pivotTable" Target="../pivotTables/pivotTable12.xml"/><Relationship Id="rId17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6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pivotTable" Target="../pivotTables/pivotTable11.xml"/><Relationship Id="rId5" Type="http://schemas.openxmlformats.org/officeDocument/2006/relationships/pivotTable" Target="../pivotTables/pivotTable5.xml"/><Relationship Id="rId15" Type="http://schemas.openxmlformats.org/officeDocument/2006/relationships/printerSettings" Target="../printerSettings/printerSettings1.bin"/><Relationship Id="rId10" Type="http://schemas.openxmlformats.org/officeDocument/2006/relationships/pivotTable" Target="../pivotTables/pivotTable10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Relationship Id="rId14" Type="http://schemas.openxmlformats.org/officeDocument/2006/relationships/pivotTable" Target="../pivotTables/pivot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41"/>
  <sheetViews>
    <sheetView tabSelected="1" workbookViewId="0">
      <selection activeCell="G27" sqref="G27"/>
    </sheetView>
  </sheetViews>
  <sheetFormatPr baseColWidth="10" defaultRowHeight="15" customHeight="1" x14ac:dyDescent="0.2"/>
  <cols>
    <col min="1" max="1" width="10.7109375" style="47" customWidth="1"/>
    <col min="2" max="16" width="10.7109375" style="9" customWidth="1"/>
    <col min="17" max="17" width="10.85546875" style="9" customWidth="1"/>
    <col min="18" max="19" width="4.7109375" style="9" customWidth="1"/>
    <col min="20" max="20" width="4" style="9" customWidth="1"/>
    <col min="21" max="21" width="5" style="9" customWidth="1"/>
    <col min="22" max="22" width="10.7109375" style="9" customWidth="1"/>
    <col min="23" max="23" width="21.140625" style="9" customWidth="1"/>
    <col min="24" max="24" width="8" style="9" customWidth="1"/>
    <col min="25" max="25" width="6.28515625" style="9" customWidth="1"/>
    <col min="26" max="26" width="5" style="9" customWidth="1"/>
    <col min="27" max="27" width="11.42578125" style="9"/>
    <col min="28" max="28" width="21.140625" style="9" bestFit="1" customWidth="1"/>
    <col min="29" max="16384" width="11.42578125" style="9"/>
  </cols>
  <sheetData>
    <row r="1" spans="1:31" ht="15" customHeight="1" thickBot="1" x14ac:dyDescent="0.25"/>
    <row r="2" spans="1:31" ht="15" customHeight="1" x14ac:dyDescent="0.2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3"/>
      <c r="Q2" s="6"/>
      <c r="R2" s="4"/>
      <c r="S2" s="4"/>
    </row>
    <row r="3" spans="1:31" ht="15" customHeight="1" thickBot="1" x14ac:dyDescent="0.2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6"/>
      <c r="Q3" s="6"/>
    </row>
    <row r="4" spans="1:31" ht="12.75" x14ac:dyDescent="0.2">
      <c r="A4" s="39" t="s">
        <v>44</v>
      </c>
      <c r="B4" s="40"/>
      <c r="C4" s="30" t="s">
        <v>33</v>
      </c>
      <c r="D4" s="30" t="s">
        <v>32</v>
      </c>
      <c r="E4" s="30" t="s">
        <v>31</v>
      </c>
      <c r="F4" s="30" t="s">
        <v>34</v>
      </c>
      <c r="G4" s="30" t="s">
        <v>35</v>
      </c>
      <c r="H4" s="30" t="s">
        <v>36</v>
      </c>
      <c r="I4" s="30" t="s">
        <v>37</v>
      </c>
      <c r="J4" s="30" t="s">
        <v>38</v>
      </c>
      <c r="K4" s="30" t="s">
        <v>39</v>
      </c>
      <c r="L4" s="30" t="s">
        <v>40</v>
      </c>
      <c r="M4" s="30" t="s">
        <v>41</v>
      </c>
      <c r="N4" s="30" t="s">
        <v>42</v>
      </c>
      <c r="O4" s="30" t="s">
        <v>43</v>
      </c>
      <c r="P4" s="31" t="s">
        <v>51</v>
      </c>
      <c r="Q4" s="17"/>
      <c r="R4" s="1"/>
      <c r="S4" s="1"/>
      <c r="T4" s="4"/>
    </row>
    <row r="5" spans="1:31" ht="15" customHeight="1" x14ac:dyDescent="0.2">
      <c r="A5" s="32" t="s">
        <v>45</v>
      </c>
      <c r="B5" s="33"/>
      <c r="C5" s="8"/>
      <c r="D5" s="8">
        <v>287.02</v>
      </c>
      <c r="E5" s="8"/>
      <c r="F5" s="8"/>
      <c r="G5" s="8">
        <v>625.13000000000011</v>
      </c>
      <c r="H5" s="8"/>
      <c r="I5" s="8"/>
      <c r="J5" s="8"/>
      <c r="K5" s="8"/>
      <c r="L5" s="8">
        <v>1472.4</v>
      </c>
      <c r="M5" s="8"/>
      <c r="N5" s="8"/>
      <c r="O5" s="8"/>
      <c r="P5" s="8"/>
      <c r="Q5" s="18">
        <f>SUM(C5:P5)</f>
        <v>2384.5500000000002</v>
      </c>
      <c r="R5" s="19"/>
      <c r="S5" s="20"/>
      <c r="T5" s="4"/>
    </row>
    <row r="6" spans="1:31" ht="15" customHeight="1" x14ac:dyDescent="0.2">
      <c r="A6" s="32" t="s">
        <v>46</v>
      </c>
      <c r="B6" s="33"/>
      <c r="C6" s="7">
        <v>1</v>
      </c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  <c r="J6" s="7">
        <v>1</v>
      </c>
      <c r="K6" s="7">
        <v>1</v>
      </c>
      <c r="L6" s="7">
        <v>1</v>
      </c>
      <c r="M6" s="7">
        <v>1</v>
      </c>
      <c r="N6" s="7">
        <v>1</v>
      </c>
      <c r="O6" s="7">
        <v>1</v>
      </c>
      <c r="P6" s="7">
        <v>1</v>
      </c>
      <c r="Q6" s="18"/>
      <c r="R6" s="19"/>
      <c r="S6" s="17"/>
      <c r="T6" s="4"/>
    </row>
    <row r="7" spans="1:31" ht="15" customHeight="1" x14ac:dyDescent="0.2">
      <c r="A7" s="34" t="s">
        <v>47</v>
      </c>
      <c r="B7" s="35"/>
      <c r="C7" s="21">
        <f>C6*C5</f>
        <v>0</v>
      </c>
      <c r="D7" s="21">
        <f t="shared" ref="D7:P7" si="0">D6*D5</f>
        <v>287.02</v>
      </c>
      <c r="E7" s="21">
        <f t="shared" si="0"/>
        <v>0</v>
      </c>
      <c r="F7" s="21">
        <f t="shared" si="0"/>
        <v>0</v>
      </c>
      <c r="G7" s="21">
        <f t="shared" si="0"/>
        <v>625.13000000000011</v>
      </c>
      <c r="H7" s="21">
        <f t="shared" si="0"/>
        <v>0</v>
      </c>
      <c r="I7" s="21">
        <f t="shared" si="0"/>
        <v>0</v>
      </c>
      <c r="J7" s="21">
        <f t="shared" si="0"/>
        <v>0</v>
      </c>
      <c r="K7" s="21">
        <f t="shared" si="0"/>
        <v>0</v>
      </c>
      <c r="L7" s="21">
        <f t="shared" si="0"/>
        <v>1472.4</v>
      </c>
      <c r="M7" s="21">
        <f t="shared" si="0"/>
        <v>0</v>
      </c>
      <c r="N7" s="21">
        <f t="shared" si="0"/>
        <v>0</v>
      </c>
      <c r="O7" s="21">
        <f t="shared" si="0"/>
        <v>0</v>
      </c>
      <c r="P7" s="21">
        <f t="shared" si="0"/>
        <v>0</v>
      </c>
      <c r="Q7" s="22">
        <f t="shared" ref="Q7" si="1">SUM(C7:P7)</f>
        <v>2384.5500000000002</v>
      </c>
      <c r="R7" s="38" t="s">
        <v>0</v>
      </c>
      <c r="S7" s="38"/>
      <c r="W7" s="4"/>
      <c r="X7" s="4"/>
      <c r="Y7" s="4"/>
    </row>
    <row r="8" spans="1:31" ht="15" customHeight="1" x14ac:dyDescent="0.2">
      <c r="A8" s="25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2">
        <f>Q7*S8/100</f>
        <v>238.45500000000001</v>
      </c>
      <c r="R8" s="23" t="s">
        <v>3</v>
      </c>
      <c r="S8" s="24">
        <v>10</v>
      </c>
      <c r="W8" s="11"/>
      <c r="X8" s="4"/>
      <c r="Y8" s="4"/>
    </row>
    <row r="9" spans="1:31" ht="15" customHeight="1" x14ac:dyDescent="0.2">
      <c r="A9" s="2"/>
      <c r="B9" s="17"/>
      <c r="C9" s="17"/>
      <c r="D9" s="17"/>
      <c r="E9" s="17"/>
      <c r="F9" s="17"/>
      <c r="G9" s="17"/>
      <c r="H9" s="28"/>
      <c r="I9" s="17"/>
      <c r="J9" s="17"/>
      <c r="K9" s="28"/>
      <c r="L9" s="17"/>
      <c r="M9" s="17"/>
      <c r="N9" s="29"/>
      <c r="O9" s="17"/>
      <c r="P9" s="17"/>
      <c r="Q9" s="22">
        <f>SUM(Q7+Q8)</f>
        <v>2623.0050000000001</v>
      </c>
      <c r="R9" s="38" t="s">
        <v>48</v>
      </c>
      <c r="S9" s="38"/>
      <c r="T9" s="4"/>
      <c r="W9" s="11"/>
      <c r="X9" s="4"/>
      <c r="Y9" s="4"/>
    </row>
    <row r="10" spans="1:31" ht="15" customHeight="1" x14ac:dyDescent="0.2">
      <c r="A10" s="12" t="s">
        <v>20</v>
      </c>
      <c r="B10" s="12" t="s">
        <v>19</v>
      </c>
      <c r="C10" s="12" t="s">
        <v>21</v>
      </c>
      <c r="D10" s="12" t="s">
        <v>22</v>
      </c>
      <c r="E10" s="12" t="s">
        <v>23</v>
      </c>
      <c r="F10" s="12" t="s">
        <v>13</v>
      </c>
      <c r="G10" s="12" t="s">
        <v>24</v>
      </c>
      <c r="H10" s="12" t="s">
        <v>25</v>
      </c>
      <c r="I10" s="12" t="s">
        <v>26</v>
      </c>
      <c r="J10" s="12" t="s">
        <v>27</v>
      </c>
      <c r="K10" s="12" t="s">
        <v>28</v>
      </c>
      <c r="L10" s="12" t="s">
        <v>1</v>
      </c>
      <c r="M10" s="12" t="s">
        <v>2</v>
      </c>
      <c r="N10" s="12" t="s">
        <v>29</v>
      </c>
      <c r="O10" s="12" t="s">
        <v>30</v>
      </c>
      <c r="P10" s="13" t="s">
        <v>50</v>
      </c>
      <c r="R10" s="11"/>
      <c r="S10" s="4"/>
      <c r="T10" s="4"/>
      <c r="W10" s="11"/>
      <c r="X10" s="4"/>
      <c r="Y10" s="4"/>
    </row>
    <row r="11" spans="1:31" ht="15" customHeight="1" x14ac:dyDescent="0.2">
      <c r="A11" s="5" t="s">
        <v>6</v>
      </c>
      <c r="B11" s="14">
        <v>42005</v>
      </c>
      <c r="C11" s="10"/>
      <c r="D11" s="10">
        <v>2.99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R11" s="11"/>
      <c r="S11" s="4"/>
      <c r="T11" s="4"/>
      <c r="W11" s="11"/>
      <c r="X11" s="4"/>
      <c r="Y11" s="4"/>
    </row>
    <row r="12" spans="1:31" ht="15" customHeight="1" x14ac:dyDescent="0.2">
      <c r="A12" s="5" t="s">
        <v>4</v>
      </c>
      <c r="B12" s="14">
        <v>42005</v>
      </c>
      <c r="C12" s="10">
        <v>-64.8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R12" s="11"/>
      <c r="S12" s="4"/>
      <c r="T12" s="4"/>
      <c r="W12" s="11"/>
      <c r="X12" s="4"/>
      <c r="Y12" s="4"/>
    </row>
    <row r="13" spans="1:31" ht="15" customHeight="1" x14ac:dyDescent="0.2">
      <c r="A13" s="5" t="s">
        <v>49</v>
      </c>
      <c r="B13" s="14">
        <v>42064</v>
      </c>
      <c r="C13" s="10"/>
      <c r="D13" s="10">
        <v>6.05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R13" s="11"/>
      <c r="S13" s="4"/>
      <c r="T13" s="4"/>
      <c r="W13" s="11"/>
      <c r="X13" s="4"/>
      <c r="Y13" s="4"/>
    </row>
    <row r="14" spans="1:31" ht="15" customHeight="1" x14ac:dyDescent="0.2">
      <c r="A14" s="5" t="s">
        <v>4</v>
      </c>
      <c r="B14" s="14">
        <v>42064</v>
      </c>
      <c r="C14" s="10">
        <f>67.5+18.75+105.98+74.52+27.03+36.72</f>
        <v>330.5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R14" s="4"/>
      <c r="S14" s="4"/>
      <c r="T14" s="4"/>
      <c r="W14" s="11"/>
      <c r="X14" s="4"/>
      <c r="Y14" s="4"/>
    </row>
    <row r="15" spans="1:31" ht="15" customHeight="1" x14ac:dyDescent="0.2">
      <c r="A15" s="5" t="s">
        <v>7</v>
      </c>
      <c r="B15" s="14">
        <v>42095</v>
      </c>
      <c r="C15" s="10"/>
      <c r="D15" s="10">
        <f>21.03</f>
        <v>21.03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R15" s="4"/>
      <c r="S15" s="4"/>
      <c r="T15" s="4"/>
      <c r="W15" s="11"/>
      <c r="X15" s="4"/>
      <c r="Y15" s="4"/>
    </row>
    <row r="16" spans="1:31" ht="15" customHeight="1" x14ac:dyDescent="0.2">
      <c r="A16" s="5" t="s">
        <v>4</v>
      </c>
      <c r="B16" s="14">
        <v>42095</v>
      </c>
      <c r="C16" s="10">
        <f>43.03+29.4+36.27+90+131.25+60.36+66.24+14.35+17.14+32.39+17.49+97.16+15.3+60.75+37.5+89.28+89.28+32.37+41.4+29.81+22.5+85.59+20.59+75+267.84+34.97+43.06+16.56+17.49</f>
        <v>1614.3699999999997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R16" s="4"/>
      <c r="S16" s="4"/>
      <c r="T16" s="4"/>
      <c r="W16" s="11"/>
      <c r="X16" s="4"/>
      <c r="Y16" s="4"/>
      <c r="Z16" s="4"/>
      <c r="AA16" s="4"/>
      <c r="AB16" s="4"/>
      <c r="AC16" s="4"/>
      <c r="AD16" s="4"/>
      <c r="AE16" s="4"/>
    </row>
    <row r="17" spans="1:31" ht="15" customHeight="1" x14ac:dyDescent="0.2">
      <c r="A17" s="5" t="s">
        <v>4</v>
      </c>
      <c r="B17" s="14">
        <v>42125</v>
      </c>
      <c r="C17" s="15">
        <f>17.49+29.4+15.3+30.91+29.84+71.76+19.44+16.84+15.3+7.35+42.5+27.03+15.3+24.84+29.4+71.76</f>
        <v>464.45999999999992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R17" s="4"/>
      <c r="S17" s="4"/>
      <c r="T17" s="4"/>
      <c r="W17" s="4"/>
      <c r="X17" s="4"/>
      <c r="Y17" s="4"/>
      <c r="Z17" s="4"/>
      <c r="AA17" s="4"/>
      <c r="AB17" s="4"/>
      <c r="AC17" s="4"/>
      <c r="AD17" s="4"/>
      <c r="AE17" s="4"/>
    </row>
    <row r="18" spans="1:31" ht="15" customHeight="1" x14ac:dyDescent="0.2">
      <c r="A18" s="5" t="s">
        <v>5</v>
      </c>
      <c r="B18" s="14">
        <v>42095</v>
      </c>
      <c r="C18" s="10"/>
      <c r="D18" s="10">
        <v>16.059999999999999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</row>
    <row r="19" spans="1:31" ht="15" customHeight="1" x14ac:dyDescent="0.2">
      <c r="A19" s="5" t="s">
        <v>5</v>
      </c>
      <c r="B19" s="14">
        <v>42156</v>
      </c>
      <c r="C19" s="10"/>
      <c r="D19" s="10">
        <f>253.82+41.44+14.44+2.99+1.36+20.19+351.5</f>
        <v>685.74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</row>
    <row r="20" spans="1:31" ht="15" customHeight="1" x14ac:dyDescent="0.2">
      <c r="A20" s="5" t="s">
        <v>4</v>
      </c>
      <c r="B20" s="14">
        <v>42156</v>
      </c>
      <c r="C20" s="10">
        <f>-267.84+239.7-89.28+79.9-89.28+79.9-85.59+77</f>
        <v>-55.489999999999981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</row>
    <row r="21" spans="1:31" ht="15" customHeight="1" x14ac:dyDescent="0.2">
      <c r="A21" s="5" t="s">
        <v>5</v>
      </c>
      <c r="B21" s="14">
        <v>42156</v>
      </c>
      <c r="C21" s="10">
        <f>-45.94-80.49-20.9-103+79.63+5.58+46.35+33.24+45.94+45.5+58.8+27.03+1.3+80.49+104.35+159.25+103+22.75+22.5+117.2+82.4+63.84+95.77+12.58</f>
        <v>957.17000000000007</v>
      </c>
      <c r="D21" s="10"/>
      <c r="E21" s="10"/>
      <c r="F21" s="10"/>
      <c r="G21" s="10"/>
      <c r="H21" s="10"/>
      <c r="I21" s="10"/>
      <c r="J21" s="10"/>
      <c r="K21" s="10"/>
      <c r="L21" s="10"/>
      <c r="M21" s="10">
        <f>0.04*180</f>
        <v>7.2</v>
      </c>
      <c r="N21" s="10"/>
      <c r="O21" s="10"/>
      <c r="P21" s="10">
        <f>17.16</f>
        <v>17.16</v>
      </c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</row>
    <row r="22" spans="1:31" ht="15" customHeight="1" x14ac:dyDescent="0.2">
      <c r="A22" s="5" t="s">
        <v>4</v>
      </c>
      <c r="B22" s="14">
        <v>42156</v>
      </c>
      <c r="C22" s="10">
        <f>78+45.9+69+57.96+57.42+45.36+8.28+29.4+54.06+16.25</f>
        <v>461.63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4"/>
      <c r="R22" s="4"/>
      <c r="S22" s="4"/>
      <c r="T22" s="4"/>
      <c r="U22" s="4"/>
      <c r="V22" s="4"/>
      <c r="W22" s="11"/>
      <c r="X22" s="4"/>
      <c r="Y22" s="4"/>
      <c r="Z22" s="4"/>
      <c r="AA22" s="4"/>
      <c r="AB22" s="4"/>
      <c r="AC22" s="4"/>
      <c r="AD22" s="4"/>
      <c r="AE22" s="4"/>
    </row>
    <row r="23" spans="1:31" ht="15" customHeight="1" x14ac:dyDescent="0.2">
      <c r="A23" s="5" t="s">
        <v>9</v>
      </c>
      <c r="B23" s="14">
        <v>42156</v>
      </c>
      <c r="C23" s="10">
        <f>47.9+12.72</f>
        <v>60.62</v>
      </c>
      <c r="D23" s="10"/>
      <c r="E23" s="10"/>
      <c r="F23" s="10"/>
      <c r="G23" s="10"/>
      <c r="H23" s="10"/>
      <c r="I23" s="10"/>
      <c r="J23" s="10"/>
      <c r="K23" s="10">
        <v>90.72</v>
      </c>
      <c r="L23" s="10"/>
      <c r="M23" s="10">
        <f>1.5*40</f>
        <v>60</v>
      </c>
      <c r="N23" s="10"/>
      <c r="O23" s="10"/>
      <c r="P23" s="10"/>
      <c r="Q23" s="4"/>
      <c r="R23" s="4"/>
      <c r="S23" s="4"/>
      <c r="T23" s="4"/>
      <c r="U23" s="4"/>
      <c r="V23" s="4"/>
      <c r="W23" s="11"/>
      <c r="X23" s="4"/>
      <c r="Y23" s="4"/>
      <c r="Z23" s="4"/>
      <c r="AA23" s="4"/>
      <c r="AB23" s="4"/>
      <c r="AC23" s="4"/>
      <c r="AD23" s="4"/>
      <c r="AE23" s="4"/>
    </row>
    <row r="24" spans="1:31" ht="15" customHeight="1" x14ac:dyDescent="0.2">
      <c r="A24" s="5" t="s">
        <v>9</v>
      </c>
      <c r="B24" s="14">
        <v>42186</v>
      </c>
      <c r="C24" s="10">
        <f>24.99+6.47+3.06+19.87+13.63+68.68</f>
        <v>136.69999999999999</v>
      </c>
      <c r="D24" s="10"/>
      <c r="E24" s="10"/>
      <c r="F24" s="10"/>
      <c r="G24" s="10"/>
      <c r="H24" s="10"/>
      <c r="I24" s="10"/>
      <c r="J24" s="10"/>
      <c r="K24" s="10">
        <v>83.32</v>
      </c>
      <c r="L24" s="10"/>
      <c r="M24" s="10">
        <f>1.2*40</f>
        <v>48</v>
      </c>
      <c r="N24" s="10"/>
      <c r="O24" s="10"/>
      <c r="P24" s="10"/>
      <c r="Q24" s="4"/>
      <c r="R24" s="4"/>
      <c r="S24" s="4"/>
      <c r="T24" s="4"/>
      <c r="U24" s="4"/>
      <c r="V24" s="4"/>
      <c r="W24" s="11"/>
      <c r="X24" s="4"/>
      <c r="Y24" s="4"/>
      <c r="Z24" s="4"/>
      <c r="AA24" s="4"/>
      <c r="AB24" s="4"/>
      <c r="AC24" s="4"/>
      <c r="AD24" s="4"/>
      <c r="AE24" s="4"/>
    </row>
    <row r="25" spans="1:31" ht="15" customHeight="1" x14ac:dyDescent="0.2">
      <c r="A25" s="5" t="s">
        <v>5</v>
      </c>
      <c r="B25" s="14">
        <v>42186</v>
      </c>
      <c r="C25" s="10">
        <f>-104.35+79.95-159.25+131.25-22.75+18.75-79.63+65.63+607.5+54.06+29.4+118.56+362.07+54.06+37.26+40.5+14.7+34.97+9.69+13.35+55.24+15.61+27.03+17.28+74.52+40.5+37.5+13.25+20.37+5.13+19.56+40.1+40.1</f>
        <v>1711.9099999999996</v>
      </c>
      <c r="D25" s="10"/>
      <c r="E25" s="10">
        <f>814.3+858.74+528.59+286.28</f>
        <v>2487.91</v>
      </c>
      <c r="F25" s="10"/>
      <c r="G25" s="10"/>
      <c r="H25" s="10"/>
      <c r="I25" s="10">
        <f>127.2+11.16</f>
        <v>138.36000000000001</v>
      </c>
      <c r="J25" s="10"/>
      <c r="K25" s="10"/>
      <c r="L25" s="10"/>
      <c r="M25" s="10"/>
      <c r="N25" s="10"/>
      <c r="O25" s="10"/>
      <c r="P25" s="10"/>
      <c r="Q25" s="4"/>
      <c r="R25" s="4"/>
      <c r="S25" s="4"/>
      <c r="T25" s="4"/>
      <c r="U25" s="4"/>
      <c r="V25" s="4"/>
      <c r="W25" s="11"/>
      <c r="X25" s="4"/>
      <c r="Y25" s="4"/>
      <c r="Z25" s="4"/>
      <c r="AA25" s="4"/>
      <c r="AB25" s="4"/>
      <c r="AC25" s="4"/>
      <c r="AD25" s="4"/>
      <c r="AE25" s="4"/>
    </row>
    <row r="26" spans="1:31" ht="15" customHeight="1" x14ac:dyDescent="0.2">
      <c r="A26" s="5" t="s">
        <v>4</v>
      </c>
      <c r="B26" s="14">
        <v>42186</v>
      </c>
      <c r="C26" s="10">
        <f>71.76+42.4+15.3+86.11+5.34+15.38</f>
        <v>236.29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4"/>
      <c r="R26" s="4"/>
      <c r="S26" s="4"/>
      <c r="T26" s="4"/>
      <c r="U26" s="4"/>
      <c r="V26" s="4"/>
      <c r="W26" s="11"/>
      <c r="X26" s="4"/>
      <c r="Y26" s="4"/>
      <c r="Z26" s="4"/>
      <c r="AA26" s="4"/>
      <c r="AB26" s="4"/>
      <c r="AC26" s="4"/>
      <c r="AD26" s="4"/>
      <c r="AE26" s="4"/>
    </row>
    <row r="27" spans="1:31" ht="15" customHeight="1" x14ac:dyDescent="0.2">
      <c r="A27" s="5" t="s">
        <v>5</v>
      </c>
      <c r="B27" s="14">
        <v>42217</v>
      </c>
      <c r="C27" s="10">
        <f>-19.56-27.62-17.28+12.24-16.19-31.92-98.68+60.75+74.52+8.02+8.02+16.19+34.78+56.25+41.4+684.34+19.56+342.17+69+37.5+19.87+62.52+26.49+23.71+57.41+9.69+4.84+72.9+29.4+15.3+59.62+28.7+98.68+14.9+14.9+8.74+19.5+37.5+33.12+20.7+9.69+105.63+346.93+482.69+38.34+9.69+29.4+54.12+24.86</f>
        <v>3013.3300000000004</v>
      </c>
      <c r="D27" s="10"/>
      <c r="E27" s="10"/>
      <c r="F27" s="10"/>
      <c r="G27" s="10"/>
      <c r="H27" s="10"/>
      <c r="I27" s="10"/>
      <c r="J27" s="10"/>
      <c r="K27" s="10"/>
      <c r="L27" s="10"/>
      <c r="M27" s="10">
        <f>0.2*180</f>
        <v>36</v>
      </c>
      <c r="N27" s="10">
        <f>8.17</f>
        <v>8.17</v>
      </c>
      <c r="O27" s="10"/>
      <c r="P27" s="10"/>
      <c r="Q27" s="4"/>
      <c r="R27" s="4"/>
      <c r="S27" s="4"/>
      <c r="T27" s="4"/>
      <c r="U27" s="4"/>
      <c r="V27" s="4"/>
      <c r="W27" s="11"/>
      <c r="X27" s="4"/>
      <c r="Y27" s="4"/>
      <c r="Z27" s="4"/>
      <c r="AA27" s="4"/>
      <c r="AB27" s="4"/>
      <c r="AC27" s="4"/>
      <c r="AD27" s="4"/>
      <c r="AE27" s="4"/>
    </row>
    <row r="28" spans="1:31" ht="15" customHeight="1" x14ac:dyDescent="0.2">
      <c r="A28" s="5" t="s">
        <v>4</v>
      </c>
      <c r="B28" s="14">
        <v>42217</v>
      </c>
      <c r="C28" s="10">
        <f>146.95+7.18+1.53+39.03+105.9+17.82+69.57+30.81+40.47+7.07+52.43+10.62+50.78</f>
        <v>580.16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4"/>
      <c r="R28" s="4"/>
      <c r="S28" s="4"/>
      <c r="T28" s="4"/>
      <c r="U28" s="4"/>
      <c r="V28" s="4"/>
      <c r="W28" s="11"/>
      <c r="X28" s="4"/>
      <c r="Y28" s="4"/>
      <c r="Z28" s="4"/>
      <c r="AA28" s="4"/>
      <c r="AB28" s="4"/>
      <c r="AC28" s="4"/>
      <c r="AD28" s="4"/>
      <c r="AE28" s="4"/>
    </row>
    <row r="29" spans="1:31" ht="15" customHeight="1" x14ac:dyDescent="0.2">
      <c r="A29" s="5" t="s">
        <v>49</v>
      </c>
      <c r="B29" s="14">
        <v>42217</v>
      </c>
      <c r="C29" s="10"/>
      <c r="D29" s="10">
        <v>-6.05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4"/>
      <c r="R29" s="4"/>
      <c r="S29" s="4"/>
      <c r="T29" s="4"/>
      <c r="U29" s="4"/>
      <c r="V29" s="4"/>
      <c r="W29" s="11"/>
      <c r="X29" s="4"/>
      <c r="Y29" s="4"/>
      <c r="Z29" s="4"/>
      <c r="AA29" s="4"/>
      <c r="AB29" s="11"/>
      <c r="AC29" s="4"/>
      <c r="AD29" s="4"/>
      <c r="AE29" s="4"/>
    </row>
    <row r="30" spans="1:31" ht="15" customHeight="1" x14ac:dyDescent="0.2">
      <c r="A30" s="5" t="s">
        <v>5</v>
      </c>
      <c r="B30" s="14">
        <v>42248</v>
      </c>
      <c r="C30" s="10">
        <f>497.95+7.65+48.6+26.5+14.35+12.76+7.5+3.41+8.76</f>
        <v>627.4799999999999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>
        <f>16.68</f>
        <v>16.68</v>
      </c>
      <c r="W30" s="11"/>
      <c r="X30" s="4"/>
      <c r="Y30" s="4"/>
      <c r="AB30" s="11"/>
      <c r="AC30" s="4"/>
      <c r="AD30" s="4"/>
    </row>
    <row r="31" spans="1:31" ht="15" customHeight="1" x14ac:dyDescent="0.2">
      <c r="A31" s="5" t="s">
        <v>8</v>
      </c>
      <c r="B31" s="14">
        <v>42248</v>
      </c>
      <c r="C31" s="10"/>
      <c r="D31" s="10">
        <f>24.59</f>
        <v>24.59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W31" s="11"/>
      <c r="X31" s="4"/>
      <c r="Y31" s="4"/>
      <c r="AB31" s="11"/>
      <c r="AC31" s="4"/>
      <c r="AD31" s="4"/>
    </row>
    <row r="32" spans="1:31" ht="15" customHeight="1" x14ac:dyDescent="0.2">
      <c r="A32" s="5" t="s">
        <v>4</v>
      </c>
      <c r="B32" s="14">
        <v>42248</v>
      </c>
      <c r="C32" s="10">
        <f>152.1</f>
        <v>152.1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W32" s="11"/>
      <c r="X32" s="4"/>
      <c r="Y32" s="4"/>
      <c r="AB32" s="11"/>
      <c r="AC32" s="4"/>
      <c r="AD32" s="4"/>
    </row>
    <row r="33" spans="1:30" ht="15" customHeight="1" x14ac:dyDescent="0.2">
      <c r="A33" s="5"/>
      <c r="B33" s="1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W33" s="11"/>
      <c r="X33" s="4"/>
      <c r="Y33" s="4"/>
      <c r="AB33" s="11"/>
      <c r="AC33" s="4"/>
      <c r="AD33" s="4"/>
    </row>
    <row r="34" spans="1:30" ht="15" customHeight="1" x14ac:dyDescent="0.2">
      <c r="A34" s="5" t="s">
        <v>4</v>
      </c>
      <c r="B34" s="14">
        <v>42278</v>
      </c>
      <c r="C34" s="10">
        <f>37.11+39.84</f>
        <v>76.95</v>
      </c>
      <c r="D34" s="10"/>
      <c r="E34" s="10"/>
      <c r="F34" s="10">
        <f>236.2</f>
        <v>236.2</v>
      </c>
      <c r="G34" s="10"/>
      <c r="H34" s="10"/>
      <c r="I34" s="10"/>
      <c r="J34" s="10"/>
      <c r="K34" s="10"/>
      <c r="L34" s="10"/>
      <c r="M34" s="10"/>
      <c r="N34" s="10"/>
      <c r="O34" s="10"/>
      <c r="P34" s="10"/>
      <c r="W34" s="11"/>
      <c r="X34" s="4"/>
      <c r="Y34" s="4"/>
      <c r="AB34" s="11"/>
      <c r="AC34" s="4"/>
      <c r="AD34" s="4"/>
    </row>
    <row r="35" spans="1:30" ht="15" customHeight="1" x14ac:dyDescent="0.2">
      <c r="A35" s="5" t="s">
        <v>7</v>
      </c>
      <c r="B35" s="14">
        <v>42278</v>
      </c>
      <c r="C35" s="10">
        <f>20.33</f>
        <v>20.329999999999998</v>
      </c>
      <c r="D35" s="10">
        <f>1.03</f>
        <v>1.03</v>
      </c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W35" s="4"/>
      <c r="X35" s="4"/>
      <c r="Y35" s="4"/>
      <c r="AB35" s="11"/>
      <c r="AC35" s="4"/>
      <c r="AD35" s="4"/>
    </row>
    <row r="36" spans="1:30" ht="15" customHeight="1" x14ac:dyDescent="0.2">
      <c r="A36" s="5" t="s">
        <v>5</v>
      </c>
      <c r="B36" s="14">
        <v>42278</v>
      </c>
      <c r="C36" s="15">
        <f>232.5+113.7+191.16+10.5+16.68</f>
        <v>564.54</v>
      </c>
      <c r="D36" s="10">
        <f>277.8+5.52+0.74</f>
        <v>284.06</v>
      </c>
      <c r="E36" s="10"/>
      <c r="F36" s="10">
        <f>49.5</f>
        <v>49.5</v>
      </c>
      <c r="G36" s="10"/>
      <c r="H36" s="10"/>
      <c r="I36" s="10"/>
      <c r="J36" s="10">
        <f>1214.06</f>
        <v>1214.06</v>
      </c>
      <c r="K36" s="10"/>
      <c r="L36" s="10"/>
      <c r="M36" s="10"/>
      <c r="N36" s="10"/>
      <c r="O36" s="10"/>
      <c r="P36" s="10"/>
      <c r="W36" s="4"/>
      <c r="X36" s="4"/>
      <c r="Y36" s="4"/>
      <c r="AB36" s="11"/>
      <c r="AC36" s="4"/>
      <c r="AD36" s="4"/>
    </row>
    <row r="37" spans="1:30" ht="15" customHeight="1" x14ac:dyDescent="0.2">
      <c r="A37" s="5" t="s">
        <v>5</v>
      </c>
      <c r="B37" s="14">
        <v>42309</v>
      </c>
      <c r="C37" s="10">
        <f>722.96+62.7+41.98+45.6+24.42+419.21+33.92+175.68+346.32+1.66+488.39+2.5+262.45+0.83+19.45+3.89+28.22+0.26+28.7-165.98</f>
        <v>2543.1599999999994</v>
      </c>
      <c r="D37" s="10">
        <f>44.55+40.5+11.11</f>
        <v>96.16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>
        <f>90.71</f>
        <v>90.71</v>
      </c>
      <c r="W37" s="4"/>
      <c r="X37" s="4"/>
      <c r="Y37" s="4"/>
      <c r="AB37" s="4"/>
      <c r="AC37" s="4"/>
      <c r="AD37" s="4"/>
    </row>
    <row r="38" spans="1:30" ht="15" customHeight="1" x14ac:dyDescent="0.2">
      <c r="A38" s="5" t="s">
        <v>4</v>
      </c>
      <c r="B38" s="14">
        <v>42309</v>
      </c>
      <c r="C38" s="10">
        <f>1563.44+380.16+58.31</f>
        <v>2001.91</v>
      </c>
      <c r="D38" s="10"/>
      <c r="E38" s="10"/>
      <c r="F38" s="10">
        <f>-33.77</f>
        <v>-33.770000000000003</v>
      </c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36"/>
      <c r="R38" s="37"/>
      <c r="S38" s="37"/>
      <c r="T38" s="37"/>
      <c r="U38" s="37"/>
      <c r="V38" s="37"/>
      <c r="W38" s="4"/>
      <c r="X38" s="4"/>
      <c r="Y38" s="4"/>
      <c r="AB38" s="4"/>
      <c r="AC38" s="4"/>
      <c r="AD38" s="4"/>
    </row>
    <row r="39" spans="1:30" ht="15" customHeight="1" x14ac:dyDescent="0.2">
      <c r="A39" s="5"/>
      <c r="B39" s="14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36"/>
      <c r="R39" s="37"/>
      <c r="S39" s="37"/>
      <c r="T39" s="37"/>
      <c r="U39" s="37"/>
      <c r="V39" s="37"/>
      <c r="AB39" s="4"/>
      <c r="AC39" s="4"/>
      <c r="AD39" s="4"/>
    </row>
    <row r="40" spans="1:30" ht="15" customHeight="1" x14ac:dyDescent="0.2">
      <c r="A40" s="5" t="s">
        <v>5</v>
      </c>
      <c r="B40" s="14">
        <v>42339</v>
      </c>
      <c r="C40" s="10">
        <f>5.22+22.68+0.26+16.72+0.13+16.72+0.13+22.68+0.26+6.75+10.17+3.89+4.77</f>
        <v>110.38</v>
      </c>
      <c r="D40" s="10">
        <f>0.89+1.15+5.19+5.19+4.36</f>
        <v>16.78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36"/>
      <c r="R40" s="37"/>
      <c r="S40" s="37"/>
      <c r="T40" s="37"/>
      <c r="U40" s="37"/>
      <c r="V40" s="37"/>
      <c r="AB40" s="4"/>
      <c r="AC40" s="4"/>
      <c r="AD40" s="4"/>
    </row>
    <row r="41" spans="1:30" ht="15" customHeight="1" x14ac:dyDescent="0.2">
      <c r="A41" s="5"/>
      <c r="B41" s="14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36"/>
      <c r="R41" s="37"/>
      <c r="S41" s="37"/>
      <c r="T41" s="37"/>
      <c r="U41" s="37"/>
      <c r="V41" s="37"/>
      <c r="AB41" s="4"/>
      <c r="AC41" s="4"/>
      <c r="AD41" s="4"/>
    </row>
    <row r="42" spans="1:30" ht="15" customHeight="1" x14ac:dyDescent="0.2">
      <c r="A42" s="5" t="s">
        <v>8</v>
      </c>
      <c r="B42" s="14">
        <v>42339</v>
      </c>
      <c r="C42" s="10">
        <v>19.920000000000002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36"/>
      <c r="R42" s="37"/>
      <c r="S42" s="37"/>
      <c r="T42" s="37"/>
      <c r="U42" s="37"/>
      <c r="V42" s="37"/>
      <c r="AB42" s="4"/>
      <c r="AC42" s="4"/>
      <c r="AD42" s="4"/>
    </row>
    <row r="43" spans="1:30" ht="15" customHeight="1" x14ac:dyDescent="0.2">
      <c r="A43" s="5" t="s">
        <v>4</v>
      </c>
      <c r="B43" s="14">
        <v>42339</v>
      </c>
      <c r="C43" s="10"/>
      <c r="D43" s="10">
        <f>7.98</f>
        <v>7.98</v>
      </c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36"/>
      <c r="R43" s="37"/>
      <c r="S43" s="37"/>
      <c r="T43" s="37"/>
      <c r="U43" s="37"/>
      <c r="V43" s="37"/>
      <c r="AB43" s="4"/>
      <c r="AC43" s="4"/>
      <c r="AD43" s="4"/>
    </row>
    <row r="44" spans="1:30" ht="15" customHeight="1" x14ac:dyDescent="0.2">
      <c r="A44" s="5" t="s">
        <v>4</v>
      </c>
      <c r="B44" s="14">
        <v>42370</v>
      </c>
      <c r="C44" s="15">
        <f>11.17+134.58</f>
        <v>145.75</v>
      </c>
      <c r="D44" s="10"/>
      <c r="E44" s="10"/>
      <c r="F44" s="10"/>
      <c r="G44" s="10"/>
      <c r="H44" s="10"/>
      <c r="I44" s="10"/>
      <c r="J44" s="10"/>
      <c r="K44" s="10"/>
      <c r="L44" s="16">
        <f>631.55</f>
        <v>631.54999999999995</v>
      </c>
      <c r="M44" s="10"/>
      <c r="N44" s="10"/>
      <c r="O44" s="10"/>
      <c r="P44" s="10"/>
      <c r="Q44" s="36"/>
      <c r="R44" s="37"/>
      <c r="S44" s="37"/>
      <c r="T44" s="37"/>
      <c r="U44" s="37"/>
      <c r="V44" s="37"/>
      <c r="AB44" s="4"/>
      <c r="AC44" s="4"/>
      <c r="AD44" s="4"/>
    </row>
    <row r="45" spans="1:30" ht="15" customHeight="1" x14ac:dyDescent="0.2">
      <c r="A45" s="5" t="s">
        <v>5</v>
      </c>
      <c r="B45" s="14">
        <v>42370</v>
      </c>
      <c r="C45" s="10"/>
      <c r="D45" s="10">
        <v>-1.1499999999999999</v>
      </c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36"/>
      <c r="R45" s="37"/>
      <c r="S45" s="37"/>
      <c r="T45" s="37"/>
      <c r="U45" s="37"/>
      <c r="V45" s="37"/>
      <c r="AB45" s="4"/>
      <c r="AC45" s="4"/>
      <c r="AD45" s="4"/>
    </row>
    <row r="46" spans="1:30" ht="15" customHeight="1" x14ac:dyDescent="0.2">
      <c r="A46" s="5" t="s">
        <v>49</v>
      </c>
      <c r="B46" s="14">
        <v>42370</v>
      </c>
      <c r="C46" s="10"/>
      <c r="D46" s="10">
        <f>7.56</f>
        <v>7.56</v>
      </c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36"/>
      <c r="R46" s="37"/>
      <c r="S46" s="37"/>
      <c r="T46" s="37"/>
      <c r="U46" s="37"/>
      <c r="V46" s="37"/>
    </row>
    <row r="47" spans="1:30" ht="15" customHeight="1" x14ac:dyDescent="0.2">
      <c r="A47" s="5" t="s">
        <v>8</v>
      </c>
      <c r="B47" s="14">
        <v>42370</v>
      </c>
      <c r="C47" s="10"/>
      <c r="D47" s="10">
        <f>4+2.22+2.28</f>
        <v>8.5</v>
      </c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36"/>
      <c r="R47" s="37"/>
      <c r="S47" s="37"/>
      <c r="T47" s="37"/>
      <c r="U47" s="37"/>
      <c r="V47" s="37"/>
    </row>
    <row r="48" spans="1:30" ht="15" customHeight="1" x14ac:dyDescent="0.2">
      <c r="A48" s="5" t="s">
        <v>16</v>
      </c>
      <c r="B48" s="14">
        <v>42370</v>
      </c>
      <c r="C48" s="10"/>
      <c r="D48" s="10"/>
      <c r="E48" s="10"/>
      <c r="F48" s="10">
        <f>102.94+90.63+5.94</f>
        <v>199.51</v>
      </c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36"/>
      <c r="R48" s="37"/>
      <c r="S48" s="37"/>
      <c r="T48" s="37"/>
      <c r="U48" s="37"/>
      <c r="V48" s="37"/>
    </row>
    <row r="49" spans="1:22" ht="15" customHeight="1" x14ac:dyDescent="0.2">
      <c r="A49" s="5" t="s">
        <v>16</v>
      </c>
      <c r="B49" s="14">
        <v>42401</v>
      </c>
      <c r="C49" s="10">
        <f>73.26</f>
        <v>73.260000000000005</v>
      </c>
      <c r="D49" s="10"/>
      <c r="E49" s="10"/>
      <c r="F49" s="10">
        <f>205.88+135.94+297+27.82+51.6</f>
        <v>718.24</v>
      </c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36"/>
      <c r="R49" s="37"/>
      <c r="S49" s="37"/>
      <c r="T49" s="37"/>
      <c r="U49" s="37"/>
      <c r="V49" s="37"/>
    </row>
    <row r="50" spans="1:22" ht="15" customHeight="1" x14ac:dyDescent="0.2">
      <c r="A50" s="5" t="s">
        <v>9</v>
      </c>
      <c r="B50" s="14">
        <v>42401</v>
      </c>
      <c r="C50" s="10">
        <f>38.64+9.82+8.76</f>
        <v>57.22</v>
      </c>
      <c r="D50" s="10"/>
      <c r="E50" s="10"/>
      <c r="F50" s="10"/>
      <c r="G50" s="10"/>
      <c r="H50" s="10"/>
      <c r="I50" s="10"/>
      <c r="J50" s="10">
        <f>94.88</f>
        <v>94.88</v>
      </c>
      <c r="K50" s="10"/>
      <c r="L50" s="10"/>
      <c r="M50" s="10"/>
      <c r="N50" s="10"/>
      <c r="O50" s="10">
        <f>5775.2</f>
        <v>5775.2</v>
      </c>
      <c r="P50" s="10"/>
      <c r="Q50" s="36"/>
      <c r="R50" s="37"/>
      <c r="S50" s="37"/>
      <c r="T50" s="37"/>
      <c r="U50" s="37"/>
      <c r="V50" s="37"/>
    </row>
    <row r="51" spans="1:22" ht="15" customHeight="1" x14ac:dyDescent="0.2">
      <c r="A51" s="5" t="s">
        <v>11</v>
      </c>
      <c r="B51" s="14">
        <v>42401</v>
      </c>
      <c r="C51" s="10"/>
      <c r="D51" s="10">
        <f>14.33</f>
        <v>14.33</v>
      </c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36"/>
      <c r="R51" s="37"/>
      <c r="S51" s="37"/>
      <c r="T51" s="37"/>
      <c r="U51" s="37"/>
      <c r="V51" s="37"/>
    </row>
    <row r="52" spans="1:22" ht="15" customHeight="1" x14ac:dyDescent="0.2">
      <c r="A52" s="5" t="s">
        <v>5</v>
      </c>
      <c r="B52" s="14">
        <v>42401</v>
      </c>
      <c r="C52" s="10"/>
      <c r="D52" s="10">
        <f>-10.38</f>
        <v>-10.38</v>
      </c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36"/>
      <c r="R52" s="37"/>
      <c r="S52" s="37"/>
      <c r="T52" s="37"/>
      <c r="U52" s="37"/>
      <c r="V52" s="37"/>
    </row>
    <row r="53" spans="1:22" ht="15" customHeight="1" x14ac:dyDescent="0.2">
      <c r="A53" s="5" t="s">
        <v>9</v>
      </c>
      <c r="B53" s="14">
        <v>42430</v>
      </c>
      <c r="C53" s="10">
        <f>13.14+6.9</f>
        <v>20.04</v>
      </c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36"/>
      <c r="R53" s="37"/>
      <c r="S53" s="37"/>
      <c r="T53" s="37"/>
      <c r="U53" s="37"/>
      <c r="V53" s="37"/>
    </row>
    <row r="54" spans="1:22" ht="15" customHeight="1" x14ac:dyDescent="0.2">
      <c r="A54" s="5" t="s">
        <v>4</v>
      </c>
      <c r="B54" s="14">
        <v>42430</v>
      </c>
      <c r="C54" s="10"/>
      <c r="D54" s="10"/>
      <c r="E54" s="10"/>
      <c r="F54" s="10"/>
      <c r="G54" s="10"/>
      <c r="H54" s="10"/>
      <c r="I54" s="10"/>
      <c r="J54" s="10"/>
      <c r="K54" s="10"/>
      <c r="L54" s="16">
        <f>-631.55+445.8</f>
        <v>-185.74999999999994</v>
      </c>
      <c r="M54" s="10"/>
      <c r="N54" s="10"/>
      <c r="O54" s="10"/>
      <c r="P54" s="10"/>
      <c r="Q54" s="36"/>
      <c r="R54" s="37"/>
      <c r="S54" s="37"/>
      <c r="T54" s="37"/>
      <c r="U54" s="37"/>
      <c r="V54" s="37"/>
    </row>
    <row r="55" spans="1:22" ht="15" customHeight="1" x14ac:dyDescent="0.2">
      <c r="A55" s="5" t="s">
        <v>18</v>
      </c>
      <c r="B55" s="14">
        <v>42430</v>
      </c>
      <c r="C55" s="10"/>
      <c r="D55" s="10">
        <f>0.7+3.04+9.55+77.31+8.12+7.23+12.88+1.71+1.02+47.25+0.71+0.71+2.86+3.32+5.37+20.58+11.48+38.84+14.14+6.74+13.46</f>
        <v>287.02</v>
      </c>
      <c r="E55" s="10"/>
      <c r="F55" s="10"/>
      <c r="G55" s="10">
        <f>-77.2-269.51-21.01+31.41+15.55+77.2+21.01+77.2+21.01+45.6+413.35+269.51+21.01</f>
        <v>625.13000000000011</v>
      </c>
      <c r="H55" s="10"/>
      <c r="I55" s="10"/>
      <c r="J55" s="10"/>
      <c r="K55" s="10"/>
      <c r="L55" s="10"/>
      <c r="M55" s="10"/>
      <c r="N55" s="10"/>
      <c r="O55" s="10"/>
      <c r="P55" s="10"/>
      <c r="Q55" s="36"/>
      <c r="R55" s="37"/>
      <c r="S55" s="37"/>
      <c r="T55" s="37"/>
      <c r="U55" s="37"/>
      <c r="V55" s="37"/>
    </row>
    <row r="56" spans="1:22" ht="15" customHeight="1" x14ac:dyDescent="0.2">
      <c r="A56" s="5" t="s">
        <v>5</v>
      </c>
      <c r="B56" s="14">
        <v>42430</v>
      </c>
      <c r="C56" s="10"/>
      <c r="D56" s="10"/>
      <c r="E56" s="10"/>
      <c r="F56" s="10"/>
      <c r="G56" s="10">
        <f>179.57+136.54+28.3+49.68+21.01</f>
        <v>415.1</v>
      </c>
      <c r="H56" s="10"/>
      <c r="I56" s="10"/>
      <c r="J56" s="10"/>
      <c r="K56" s="10"/>
      <c r="L56" s="10"/>
      <c r="M56" s="10"/>
      <c r="N56" s="10"/>
      <c r="O56" s="10"/>
      <c r="P56" s="10"/>
      <c r="Q56" s="36"/>
      <c r="R56" s="37"/>
      <c r="S56" s="37"/>
      <c r="T56" s="37"/>
      <c r="U56" s="37"/>
      <c r="V56" s="37"/>
    </row>
    <row r="57" spans="1:22" ht="15" customHeight="1" x14ac:dyDescent="0.2">
      <c r="A57" s="5" t="s">
        <v>12</v>
      </c>
      <c r="B57" s="14">
        <v>42461</v>
      </c>
      <c r="C57" s="10"/>
      <c r="D57" s="10"/>
      <c r="E57" s="10">
        <f>464.56+586.75</f>
        <v>1051.31</v>
      </c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36"/>
      <c r="R57" s="37"/>
      <c r="S57" s="37"/>
      <c r="T57" s="37"/>
      <c r="U57" s="37"/>
      <c r="V57" s="37"/>
    </row>
    <row r="58" spans="1:22" ht="15" customHeight="1" x14ac:dyDescent="0.2">
      <c r="A58" s="5" t="s">
        <v>52</v>
      </c>
      <c r="B58" s="14">
        <v>42461</v>
      </c>
      <c r="C58" s="10"/>
      <c r="D58" s="10"/>
      <c r="E58" s="10">
        <f>665.6</f>
        <v>665.6</v>
      </c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36"/>
      <c r="R58" s="37"/>
      <c r="S58" s="37"/>
      <c r="T58" s="37"/>
      <c r="U58" s="37"/>
      <c r="V58" s="37"/>
    </row>
    <row r="59" spans="1:22" ht="15" customHeight="1" x14ac:dyDescent="0.2">
      <c r="A59" s="5" t="s">
        <v>5</v>
      </c>
      <c r="B59" s="14">
        <v>42461</v>
      </c>
      <c r="C59" s="10">
        <f>6.5+44.55</f>
        <v>51.05</v>
      </c>
      <c r="D59" s="10">
        <f>30.45+14.06+9.77+5.62+20.21+38.42+60.64+53.75+25.3+54.6</f>
        <v>312.82000000000005</v>
      </c>
      <c r="E59" s="10"/>
      <c r="F59" s="10"/>
      <c r="G59" s="10">
        <f>27.31+21.01+27.31+21.01</f>
        <v>96.64</v>
      </c>
      <c r="H59" s="10"/>
      <c r="I59" s="10"/>
      <c r="J59" s="10"/>
      <c r="K59" s="10"/>
      <c r="L59" s="10"/>
      <c r="M59" s="10"/>
      <c r="N59" s="10"/>
      <c r="O59" s="10"/>
      <c r="P59" s="10">
        <f>20.41</f>
        <v>20.41</v>
      </c>
      <c r="Q59" s="36"/>
      <c r="R59" s="37"/>
      <c r="S59" s="37"/>
      <c r="T59" s="37"/>
      <c r="U59" s="37"/>
      <c r="V59" s="37"/>
    </row>
    <row r="60" spans="1:22" ht="15" customHeight="1" x14ac:dyDescent="0.2">
      <c r="A60" s="5"/>
      <c r="B60" s="14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36"/>
      <c r="R60" s="37"/>
      <c r="S60" s="37"/>
      <c r="T60" s="37"/>
      <c r="U60" s="37"/>
      <c r="V60" s="37"/>
    </row>
    <row r="61" spans="1:22" ht="15" customHeight="1" x14ac:dyDescent="0.2">
      <c r="A61" s="5" t="s">
        <v>10</v>
      </c>
      <c r="B61" s="14">
        <v>42491</v>
      </c>
      <c r="C61" s="10">
        <f>51.66</f>
        <v>51.66</v>
      </c>
      <c r="D61" s="10"/>
      <c r="E61" s="10"/>
      <c r="F61" s="10"/>
      <c r="G61" s="10">
        <f>309.05+94.68+21.01+105.6+14.4+44.15</f>
        <v>588.89</v>
      </c>
      <c r="H61" s="10"/>
      <c r="I61" s="10"/>
      <c r="J61" s="10"/>
      <c r="K61" s="10"/>
      <c r="L61" s="10"/>
      <c r="M61" s="10"/>
      <c r="N61" s="10"/>
      <c r="O61" s="10"/>
      <c r="P61" s="10"/>
      <c r="Q61" s="36"/>
      <c r="R61" s="37"/>
      <c r="S61" s="37"/>
      <c r="T61" s="37"/>
      <c r="U61" s="37"/>
      <c r="V61" s="37"/>
    </row>
    <row r="62" spans="1:22" ht="15" customHeight="1" x14ac:dyDescent="0.2">
      <c r="A62" s="5"/>
      <c r="B62" s="14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36"/>
      <c r="R62" s="37"/>
      <c r="S62" s="37"/>
      <c r="T62" s="37"/>
      <c r="U62" s="37"/>
      <c r="V62" s="37"/>
    </row>
    <row r="63" spans="1:22" ht="15" customHeight="1" x14ac:dyDescent="0.2">
      <c r="A63" s="5" t="s">
        <v>4</v>
      </c>
      <c r="B63" s="14">
        <v>42522</v>
      </c>
      <c r="C63" s="10"/>
      <c r="D63" s="10"/>
      <c r="E63" s="10">
        <f>272.31</f>
        <v>272.31</v>
      </c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36"/>
      <c r="R63" s="37"/>
      <c r="S63" s="37"/>
      <c r="T63" s="37"/>
      <c r="U63" s="37"/>
      <c r="V63" s="37"/>
    </row>
    <row r="64" spans="1:22" ht="15" customHeight="1" x14ac:dyDescent="0.2">
      <c r="A64" s="5"/>
      <c r="B64" s="14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36"/>
      <c r="R64" s="37"/>
      <c r="S64" s="37"/>
      <c r="T64" s="37"/>
      <c r="U64" s="37"/>
      <c r="V64" s="37"/>
    </row>
    <row r="65" spans="1:23" ht="15" customHeight="1" x14ac:dyDescent="0.2">
      <c r="A65" s="5" t="s">
        <v>10</v>
      </c>
      <c r="B65" s="14">
        <v>42583</v>
      </c>
      <c r="C65" s="10"/>
      <c r="D65" s="10"/>
      <c r="E65" s="10"/>
      <c r="F65" s="10"/>
      <c r="G65" s="10">
        <f>-27.31</f>
        <v>-27.31</v>
      </c>
      <c r="H65" s="10"/>
      <c r="I65" s="10"/>
      <c r="J65" s="10"/>
      <c r="K65" s="10"/>
      <c r="L65" s="10"/>
      <c r="M65" s="10"/>
      <c r="N65" s="10"/>
      <c r="O65" s="10"/>
      <c r="P65" s="10"/>
      <c r="Q65" s="36"/>
      <c r="R65" s="37"/>
      <c r="S65" s="37"/>
      <c r="T65" s="37"/>
      <c r="U65" s="37"/>
      <c r="V65" s="37"/>
    </row>
    <row r="66" spans="1:23" ht="15" customHeight="1" x14ac:dyDescent="0.2">
      <c r="A66" s="5" t="s">
        <v>15</v>
      </c>
      <c r="B66" s="14">
        <v>42614</v>
      </c>
      <c r="C66" s="10">
        <f>46.2+29.96+40.81+344.74+3.85+46.25+82.2+86.9+34.78</f>
        <v>715.69</v>
      </c>
      <c r="D66" s="10">
        <f>(148.46/2)+(20.64/2)</f>
        <v>84.550000000000011</v>
      </c>
      <c r="E66" s="10"/>
      <c r="F66" s="10"/>
      <c r="G66" s="10"/>
      <c r="H66" s="10"/>
      <c r="I66" s="10"/>
      <c r="J66" s="10"/>
      <c r="K66" s="10"/>
      <c r="L66" s="16">
        <f>286.9/1.3</f>
        <v>220.69230769230768</v>
      </c>
      <c r="M66" s="10"/>
      <c r="N66" s="10"/>
      <c r="O66" s="10"/>
      <c r="P66" s="10"/>
      <c r="Q66" s="36" t="s">
        <v>58</v>
      </c>
      <c r="R66" s="37"/>
      <c r="S66" s="37"/>
      <c r="T66" s="37"/>
      <c r="U66" s="37"/>
      <c r="V66" s="37"/>
    </row>
    <row r="67" spans="1:23" ht="15" customHeight="1" x14ac:dyDescent="0.2">
      <c r="A67" s="5" t="s">
        <v>16</v>
      </c>
      <c r="B67" s="14">
        <v>42614</v>
      </c>
      <c r="C67" s="10"/>
      <c r="D67" s="10">
        <f>9.58</f>
        <v>9.58</v>
      </c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36"/>
      <c r="R67" s="37"/>
      <c r="S67" s="37"/>
      <c r="T67" s="37"/>
      <c r="U67" s="37"/>
      <c r="V67" s="37"/>
    </row>
    <row r="68" spans="1:23" ht="15" customHeight="1" x14ac:dyDescent="0.2">
      <c r="A68" s="5" t="s">
        <v>5</v>
      </c>
      <c r="B68" s="14">
        <v>42614</v>
      </c>
      <c r="C68" s="10"/>
      <c r="D68" s="10">
        <v>18.75</v>
      </c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36"/>
      <c r="R68" s="37"/>
      <c r="S68" s="37"/>
      <c r="T68" s="37"/>
      <c r="U68" s="37"/>
      <c r="V68" s="37"/>
    </row>
    <row r="69" spans="1:23" ht="15" customHeight="1" x14ac:dyDescent="0.2">
      <c r="A69" s="5" t="s">
        <v>16</v>
      </c>
      <c r="B69" s="14">
        <v>42614</v>
      </c>
      <c r="C69" s="10"/>
      <c r="D69" s="10"/>
      <c r="E69" s="10"/>
      <c r="F69" s="10">
        <f>136.25+74.25</f>
        <v>210.5</v>
      </c>
      <c r="G69" s="10"/>
      <c r="H69" s="10"/>
      <c r="I69" s="10">
        <f>24.45+59.05</f>
        <v>83.5</v>
      </c>
      <c r="J69" s="10"/>
      <c r="K69" s="10"/>
      <c r="L69" s="10"/>
      <c r="M69" s="10"/>
      <c r="N69" s="10"/>
      <c r="O69" s="10"/>
      <c r="P69" s="10"/>
      <c r="Q69" s="36"/>
      <c r="R69" s="37"/>
      <c r="S69" s="37"/>
      <c r="T69" s="37"/>
      <c r="U69" s="37"/>
      <c r="V69" s="37"/>
    </row>
    <row r="70" spans="1:23" ht="15" customHeight="1" x14ac:dyDescent="0.2">
      <c r="A70" s="5" t="s">
        <v>10</v>
      </c>
      <c r="B70" s="14">
        <v>42614</v>
      </c>
      <c r="C70" s="10"/>
      <c r="D70" s="10"/>
      <c r="E70" s="10"/>
      <c r="F70" s="10"/>
      <c r="G70" s="10">
        <f>-52.8-44.15</f>
        <v>-96.949999999999989</v>
      </c>
      <c r="H70" s="10"/>
      <c r="I70" s="10"/>
      <c r="J70" s="10"/>
      <c r="K70" s="10"/>
      <c r="L70" s="10"/>
      <c r="M70" s="10"/>
      <c r="N70" s="10"/>
      <c r="O70" s="10"/>
      <c r="P70" s="10"/>
      <c r="Q70" s="36"/>
      <c r="R70" s="37"/>
      <c r="S70" s="37"/>
      <c r="T70" s="37"/>
      <c r="U70" s="37"/>
      <c r="V70" s="37"/>
    </row>
    <row r="71" spans="1:23" ht="15" customHeight="1" x14ac:dyDescent="0.2">
      <c r="A71" s="5" t="s">
        <v>16</v>
      </c>
      <c r="B71" s="14">
        <v>42644</v>
      </c>
      <c r="C71" s="10"/>
      <c r="D71" s="10"/>
      <c r="E71" s="10"/>
      <c r="F71" s="10"/>
      <c r="G71" s="10"/>
      <c r="H71" s="10">
        <f>83.7+134.33</f>
        <v>218.03000000000003</v>
      </c>
      <c r="I71" s="10"/>
      <c r="J71" s="10"/>
      <c r="K71" s="10"/>
      <c r="L71" s="10"/>
      <c r="M71" s="10"/>
      <c r="N71" s="10"/>
      <c r="O71" s="10"/>
      <c r="P71" s="10"/>
      <c r="Q71" s="36"/>
      <c r="R71" s="37"/>
      <c r="S71" s="37"/>
      <c r="T71" s="37"/>
      <c r="U71" s="37"/>
      <c r="V71" s="37"/>
    </row>
    <row r="72" spans="1:23" ht="15" customHeight="1" x14ac:dyDescent="0.2">
      <c r="A72" s="5" t="s">
        <v>15</v>
      </c>
      <c r="B72" s="14">
        <v>42644</v>
      </c>
      <c r="C72" s="10">
        <f>37.2+49.25+30.81+66.24+15.11+41.4+104.6+7.76+3.69+114.6+16.64+8.72-104.6</f>
        <v>391.41999999999996</v>
      </c>
      <c r="D72" s="10">
        <f>6+5.6+19.39+34.21+8.6+10.29+10.3+15.76+12.86+6.56+3.66</f>
        <v>133.22999999999999</v>
      </c>
      <c r="E72" s="10"/>
      <c r="F72" s="10"/>
      <c r="G72" s="10"/>
      <c r="H72" s="10"/>
      <c r="I72" s="10"/>
      <c r="J72" s="10">
        <f>224.35</f>
        <v>224.35</v>
      </c>
      <c r="K72" s="10"/>
      <c r="L72" s="10">
        <f>104.1/1.3</f>
        <v>80.076923076923066</v>
      </c>
      <c r="M72" s="10"/>
      <c r="N72" s="10"/>
      <c r="O72" s="10"/>
      <c r="P72" s="10"/>
      <c r="Q72" s="36" t="s">
        <v>59</v>
      </c>
      <c r="R72" s="37"/>
      <c r="S72" s="37"/>
      <c r="T72" s="37"/>
      <c r="U72" s="37"/>
      <c r="V72" s="37"/>
    </row>
    <row r="73" spans="1:23" ht="15" customHeight="1" x14ac:dyDescent="0.2">
      <c r="A73" s="5" t="s">
        <v>17</v>
      </c>
      <c r="B73" s="14">
        <v>42644</v>
      </c>
      <c r="C73" s="10"/>
      <c r="D73" s="10">
        <f>349.2+56.25</f>
        <v>405.45</v>
      </c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36"/>
      <c r="R73" s="37"/>
      <c r="S73" s="37"/>
      <c r="T73" s="37"/>
      <c r="U73" s="37"/>
      <c r="V73" s="37"/>
    </row>
    <row r="74" spans="1:23" ht="15" customHeight="1" x14ac:dyDescent="0.2">
      <c r="A74" s="5"/>
      <c r="B74" s="1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36"/>
      <c r="R74" s="37"/>
      <c r="S74" s="37"/>
      <c r="T74" s="37"/>
      <c r="U74" s="37"/>
      <c r="V74" s="37"/>
    </row>
    <row r="75" spans="1:23" ht="15" customHeight="1" x14ac:dyDescent="0.2">
      <c r="A75" s="5"/>
      <c r="B75" s="14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36"/>
      <c r="R75" s="37"/>
      <c r="S75" s="37"/>
      <c r="T75" s="37"/>
      <c r="U75" s="37"/>
      <c r="V75" s="37"/>
    </row>
    <row r="76" spans="1:23" ht="15" customHeight="1" x14ac:dyDescent="0.2">
      <c r="A76" s="5" t="s">
        <v>49</v>
      </c>
      <c r="B76" s="14">
        <v>42644</v>
      </c>
      <c r="C76" s="10"/>
      <c r="D76" s="10">
        <f>15.92+4.76+4.88</f>
        <v>25.56</v>
      </c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36"/>
      <c r="R76" s="37"/>
      <c r="S76" s="37"/>
      <c r="T76" s="37"/>
      <c r="U76" s="37"/>
      <c r="V76" s="37"/>
    </row>
    <row r="77" spans="1:23" ht="15" customHeight="1" x14ac:dyDescent="0.2">
      <c r="A77" s="5"/>
      <c r="B77" s="14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36"/>
      <c r="R77" s="37"/>
      <c r="S77" s="37"/>
      <c r="T77" s="37"/>
      <c r="U77" s="37"/>
      <c r="V77" s="37"/>
    </row>
    <row r="78" spans="1:23" ht="15" customHeight="1" x14ac:dyDescent="0.2">
      <c r="A78" s="5" t="s">
        <v>14</v>
      </c>
      <c r="B78" s="14">
        <v>42675</v>
      </c>
      <c r="C78" s="10"/>
      <c r="D78" s="10"/>
      <c r="E78" s="10"/>
      <c r="F78" s="10"/>
      <c r="G78" s="10"/>
      <c r="H78" s="10"/>
      <c r="I78" s="10"/>
      <c r="J78" s="10"/>
      <c r="K78" s="10"/>
      <c r="L78" s="16">
        <f>1448.04+1087.68</f>
        <v>2535.7200000000003</v>
      </c>
      <c r="M78" s="10"/>
      <c r="N78" s="10"/>
      <c r="O78" s="10"/>
      <c r="P78" s="10"/>
      <c r="Q78" s="36" t="s">
        <v>55</v>
      </c>
      <c r="R78" s="37"/>
      <c r="S78" s="37"/>
      <c r="T78" s="37"/>
      <c r="U78" s="37"/>
      <c r="V78" s="37"/>
      <c r="W78" s="16"/>
    </row>
    <row r="79" spans="1:23" ht="15" customHeight="1" x14ac:dyDescent="0.2">
      <c r="A79" s="5" t="s">
        <v>16</v>
      </c>
      <c r="B79" s="14">
        <v>42675</v>
      </c>
      <c r="C79" s="10"/>
      <c r="D79" s="10"/>
      <c r="E79" s="10"/>
      <c r="F79" s="10"/>
      <c r="G79" s="10"/>
      <c r="H79" s="10">
        <f>89.55</f>
        <v>89.55</v>
      </c>
      <c r="I79" s="10"/>
      <c r="J79" s="10"/>
      <c r="K79" s="10"/>
      <c r="L79" s="10"/>
      <c r="M79" s="10"/>
      <c r="N79" s="10"/>
      <c r="O79" s="10"/>
      <c r="P79" s="10"/>
      <c r="Q79" s="36"/>
      <c r="R79" s="37"/>
      <c r="S79" s="37"/>
      <c r="T79" s="37"/>
      <c r="U79" s="37"/>
      <c r="V79" s="37"/>
    </row>
    <row r="80" spans="1:23" ht="15" customHeight="1" x14ac:dyDescent="0.2">
      <c r="A80" s="5" t="s">
        <v>18</v>
      </c>
      <c r="B80" s="14">
        <v>42675</v>
      </c>
      <c r="C80" s="10"/>
      <c r="D80" s="10"/>
      <c r="E80" s="10"/>
      <c r="F80" s="10"/>
      <c r="G80" s="10"/>
      <c r="H80" s="10"/>
      <c r="I80" s="10"/>
      <c r="J80" s="10"/>
      <c r="K80" s="10"/>
      <c r="L80" s="16">
        <f>752.4+720</f>
        <v>1472.4</v>
      </c>
      <c r="M80" s="10"/>
      <c r="N80" s="10"/>
      <c r="O80" s="10"/>
      <c r="P80" s="10"/>
      <c r="Q80" s="36" t="s">
        <v>56</v>
      </c>
      <c r="R80" s="37"/>
      <c r="S80" s="37"/>
      <c r="T80" s="37"/>
      <c r="U80" s="37"/>
      <c r="V80" s="37"/>
    </row>
    <row r="81" spans="1:22" ht="15" customHeight="1" x14ac:dyDescent="0.2">
      <c r="A81" s="5" t="s">
        <v>15</v>
      </c>
      <c r="B81" s="14">
        <v>42675</v>
      </c>
      <c r="C81" s="10"/>
      <c r="D81" s="10"/>
      <c r="E81" s="10"/>
      <c r="F81" s="10"/>
      <c r="G81" s="10"/>
      <c r="H81" s="10"/>
      <c r="I81" s="10"/>
      <c r="J81" s="10"/>
      <c r="K81" s="10"/>
      <c r="L81" s="16">
        <f>1275.84</f>
        <v>1275.8399999999999</v>
      </c>
      <c r="M81" s="10"/>
      <c r="N81" s="10"/>
      <c r="O81" s="10"/>
      <c r="P81" s="10"/>
      <c r="Q81" s="36" t="s">
        <v>57</v>
      </c>
      <c r="R81" s="37"/>
      <c r="S81" s="37"/>
      <c r="T81" s="37"/>
      <c r="U81" s="37"/>
      <c r="V81" s="37"/>
    </row>
    <row r="82" spans="1:22" ht="15" customHeight="1" x14ac:dyDescent="0.2">
      <c r="A82" s="5" t="s">
        <v>49</v>
      </c>
      <c r="B82" s="14">
        <v>42675</v>
      </c>
      <c r="C82" s="10"/>
      <c r="D82" s="10">
        <v>8.5</v>
      </c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36" t="s">
        <v>53</v>
      </c>
      <c r="R82" s="37"/>
      <c r="S82" s="37"/>
      <c r="T82" s="37"/>
      <c r="U82" s="37"/>
      <c r="V82" s="37"/>
    </row>
    <row r="83" spans="1:22" ht="15" customHeight="1" x14ac:dyDescent="0.2">
      <c r="A83" s="5"/>
      <c r="B83" s="14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36"/>
      <c r="R83" s="37"/>
      <c r="S83" s="37"/>
      <c r="T83" s="37"/>
      <c r="U83" s="37"/>
      <c r="V83" s="37"/>
    </row>
    <row r="84" spans="1:22" ht="15" customHeight="1" x14ac:dyDescent="0.2">
      <c r="A84" s="5" t="s">
        <v>5</v>
      </c>
      <c r="B84" s="14">
        <v>42644</v>
      </c>
      <c r="C84" s="10"/>
      <c r="D84" s="10">
        <f>7.14+1.77</f>
        <v>8.91</v>
      </c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36" t="s">
        <v>54</v>
      </c>
      <c r="R84" s="37"/>
      <c r="S84" s="37"/>
      <c r="T84" s="37"/>
      <c r="U84" s="37"/>
      <c r="V84" s="37"/>
    </row>
    <row r="85" spans="1:22" ht="15" customHeight="1" x14ac:dyDescent="0.2">
      <c r="A85" s="5" t="s">
        <v>15</v>
      </c>
      <c r="B85" s="14">
        <v>42675</v>
      </c>
      <c r="C85" s="10">
        <f>30.45</f>
        <v>30.45</v>
      </c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36"/>
      <c r="R85" s="37"/>
      <c r="S85" s="37"/>
      <c r="T85" s="37"/>
      <c r="U85" s="37"/>
      <c r="V85" s="37"/>
    </row>
    <row r="86" spans="1:22" ht="15" customHeight="1" x14ac:dyDescent="0.2">
      <c r="A86" s="5"/>
      <c r="B86" s="14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36"/>
      <c r="R86" s="37"/>
      <c r="S86" s="37"/>
      <c r="T86" s="37"/>
      <c r="U86" s="37"/>
      <c r="V86" s="37"/>
    </row>
    <row r="87" spans="1:22" ht="15" customHeight="1" x14ac:dyDescent="0.2">
      <c r="A87" s="3"/>
      <c r="B87" s="14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36"/>
      <c r="R87" s="37"/>
      <c r="S87" s="37"/>
      <c r="T87" s="37"/>
      <c r="U87" s="37"/>
      <c r="V87" s="37"/>
    </row>
    <row r="88" spans="1:22" ht="15" customHeight="1" x14ac:dyDescent="0.2">
      <c r="A88" s="3"/>
      <c r="B88" s="14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36"/>
      <c r="R88" s="37"/>
      <c r="S88" s="37"/>
      <c r="T88" s="37"/>
      <c r="U88" s="37"/>
      <c r="V88" s="37"/>
    </row>
    <row r="89" spans="1:22" ht="15" customHeight="1" x14ac:dyDescent="0.2">
      <c r="A89" s="3"/>
      <c r="B89" s="14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36"/>
      <c r="R89" s="37"/>
      <c r="S89" s="37"/>
      <c r="T89" s="37"/>
      <c r="U89" s="37"/>
      <c r="V89" s="37"/>
    </row>
    <row r="90" spans="1:22" ht="15" customHeight="1" x14ac:dyDescent="0.2">
      <c r="A90" s="3"/>
      <c r="B90" s="14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36"/>
      <c r="R90" s="37"/>
      <c r="S90" s="37"/>
      <c r="T90" s="37"/>
      <c r="U90" s="37"/>
      <c r="V90" s="37"/>
    </row>
    <row r="91" spans="1:22" ht="15" customHeight="1" x14ac:dyDescent="0.2">
      <c r="A91" s="3"/>
      <c r="B91" s="14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36"/>
      <c r="R91" s="37"/>
      <c r="S91" s="37"/>
      <c r="T91" s="37"/>
      <c r="U91" s="37"/>
      <c r="V91" s="37"/>
    </row>
    <row r="92" spans="1:22" ht="15" customHeight="1" x14ac:dyDescent="0.2">
      <c r="A92" s="3"/>
      <c r="B92" s="14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36"/>
      <c r="R92" s="37"/>
      <c r="S92" s="37"/>
      <c r="T92" s="37"/>
      <c r="U92" s="37"/>
      <c r="V92" s="37"/>
    </row>
    <row r="93" spans="1:22" ht="15" customHeight="1" x14ac:dyDescent="0.2">
      <c r="A93" s="3"/>
      <c r="B93" s="14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36"/>
      <c r="R93" s="37"/>
      <c r="S93" s="37"/>
      <c r="T93" s="37"/>
      <c r="U93" s="37"/>
      <c r="V93" s="37"/>
    </row>
    <row r="94" spans="1:22" ht="15" customHeight="1" x14ac:dyDescent="0.2">
      <c r="A94" s="3"/>
      <c r="B94" s="14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36"/>
      <c r="R94" s="37"/>
      <c r="S94" s="37"/>
      <c r="T94" s="37"/>
      <c r="U94" s="37"/>
      <c r="V94" s="37"/>
    </row>
    <row r="95" spans="1:22" ht="15" customHeight="1" x14ac:dyDescent="0.2">
      <c r="A95" s="3"/>
      <c r="B95" s="14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36"/>
      <c r="R95" s="37"/>
      <c r="S95" s="37"/>
      <c r="T95" s="37"/>
      <c r="U95" s="37"/>
      <c r="V95" s="37"/>
    </row>
    <row r="96" spans="1:22" ht="15" customHeight="1" x14ac:dyDescent="0.2">
      <c r="A96" s="3"/>
      <c r="B96" s="14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36"/>
      <c r="R96" s="37"/>
      <c r="S96" s="37"/>
      <c r="T96" s="37"/>
      <c r="U96" s="37"/>
      <c r="V96" s="37"/>
    </row>
    <row r="97" spans="1:22" ht="15" customHeight="1" x14ac:dyDescent="0.2">
      <c r="A97" s="3"/>
      <c r="B97" s="14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36"/>
      <c r="R97" s="37"/>
      <c r="S97" s="37"/>
      <c r="T97" s="37"/>
      <c r="U97" s="37"/>
      <c r="V97" s="37"/>
    </row>
    <row r="98" spans="1:22" ht="15" customHeight="1" x14ac:dyDescent="0.2">
      <c r="A98" s="3"/>
      <c r="B98" s="14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36"/>
      <c r="R98" s="37"/>
      <c r="S98" s="37"/>
      <c r="T98" s="37"/>
      <c r="U98" s="37"/>
      <c r="V98" s="37"/>
    </row>
    <row r="99" spans="1:22" ht="15" customHeight="1" x14ac:dyDescent="0.2">
      <c r="A99" s="3"/>
      <c r="B99" s="14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36"/>
      <c r="R99" s="37"/>
      <c r="S99" s="37"/>
      <c r="T99" s="37"/>
      <c r="U99" s="37"/>
      <c r="V99" s="37"/>
    </row>
    <row r="100" spans="1:22" ht="15" customHeight="1" x14ac:dyDescent="0.2">
      <c r="A100" s="3"/>
      <c r="B100" s="14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36"/>
      <c r="R100" s="37"/>
      <c r="S100" s="37"/>
      <c r="T100" s="37"/>
      <c r="U100" s="37"/>
      <c r="V100" s="37"/>
    </row>
    <row r="101" spans="1:22" ht="15" customHeight="1" x14ac:dyDescent="0.2">
      <c r="A101" s="3"/>
      <c r="B101" s="14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36"/>
      <c r="R101" s="37"/>
      <c r="S101" s="37"/>
      <c r="T101" s="37"/>
      <c r="U101" s="37"/>
      <c r="V101" s="37"/>
    </row>
    <row r="102" spans="1:22" ht="15" customHeight="1" x14ac:dyDescent="0.2">
      <c r="A102" s="3"/>
      <c r="B102" s="14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36"/>
      <c r="R102" s="37"/>
      <c r="S102" s="37"/>
      <c r="T102" s="37"/>
      <c r="U102" s="37"/>
      <c r="V102" s="37"/>
    </row>
    <row r="103" spans="1:22" ht="15" customHeight="1" x14ac:dyDescent="0.2">
      <c r="A103" s="3"/>
      <c r="B103" s="14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36"/>
      <c r="R103" s="37"/>
      <c r="S103" s="37"/>
      <c r="T103" s="37"/>
      <c r="U103" s="37"/>
      <c r="V103" s="37"/>
    </row>
    <row r="104" spans="1:22" ht="15" customHeight="1" x14ac:dyDescent="0.2">
      <c r="A104" s="3"/>
      <c r="B104" s="14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36"/>
      <c r="R104" s="37"/>
      <c r="S104" s="37"/>
      <c r="T104" s="37"/>
      <c r="U104" s="37"/>
      <c r="V104" s="37"/>
    </row>
    <row r="105" spans="1:22" ht="15" customHeight="1" x14ac:dyDescent="0.2">
      <c r="A105" s="3"/>
      <c r="B105" s="14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36"/>
      <c r="R105" s="37"/>
      <c r="S105" s="37"/>
      <c r="T105" s="37"/>
      <c r="U105" s="37"/>
      <c r="V105" s="37"/>
    </row>
    <row r="106" spans="1:22" ht="15" customHeight="1" x14ac:dyDescent="0.2">
      <c r="A106" s="3"/>
      <c r="B106" s="14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36"/>
      <c r="R106" s="37"/>
      <c r="S106" s="37"/>
      <c r="T106" s="37"/>
      <c r="U106" s="37"/>
      <c r="V106" s="37"/>
    </row>
    <row r="107" spans="1:22" ht="15" customHeight="1" x14ac:dyDescent="0.2">
      <c r="A107" s="3"/>
      <c r="B107" s="14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36"/>
      <c r="R107" s="37"/>
      <c r="S107" s="37"/>
      <c r="T107" s="37"/>
      <c r="U107" s="37"/>
      <c r="V107" s="37"/>
    </row>
    <row r="108" spans="1:22" ht="15" customHeight="1" x14ac:dyDescent="0.2">
      <c r="A108" s="3"/>
      <c r="B108" s="14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36"/>
      <c r="R108" s="37"/>
      <c r="S108" s="37"/>
      <c r="T108" s="37"/>
      <c r="U108" s="37"/>
      <c r="V108" s="37"/>
    </row>
    <row r="109" spans="1:22" ht="15" customHeight="1" x14ac:dyDescent="0.2">
      <c r="A109" s="3"/>
      <c r="B109" s="14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36"/>
      <c r="R109" s="37"/>
      <c r="S109" s="37"/>
      <c r="T109" s="37"/>
      <c r="U109" s="37"/>
      <c r="V109" s="37"/>
    </row>
    <row r="110" spans="1:22" ht="15" customHeight="1" x14ac:dyDescent="0.2">
      <c r="A110" s="3"/>
      <c r="B110" s="14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36"/>
      <c r="R110" s="37"/>
      <c r="S110" s="37"/>
      <c r="T110" s="37"/>
      <c r="U110" s="37"/>
      <c r="V110" s="37"/>
    </row>
    <row r="111" spans="1:22" ht="15" customHeight="1" x14ac:dyDescent="0.2">
      <c r="A111" s="3"/>
      <c r="B111" s="14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36"/>
      <c r="R111" s="37"/>
      <c r="S111" s="37"/>
      <c r="T111" s="37"/>
      <c r="U111" s="37"/>
      <c r="V111" s="37"/>
    </row>
    <row r="112" spans="1:22" ht="15" customHeight="1" x14ac:dyDescent="0.2">
      <c r="A112" s="3"/>
      <c r="B112" s="14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36"/>
      <c r="R112" s="37"/>
      <c r="S112" s="37"/>
      <c r="T112" s="37"/>
      <c r="U112" s="37"/>
      <c r="V112" s="37"/>
    </row>
    <row r="113" spans="1:22" ht="15" customHeight="1" x14ac:dyDescent="0.2">
      <c r="A113" s="3"/>
      <c r="B113" s="14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36"/>
      <c r="R113" s="37"/>
      <c r="S113" s="37"/>
      <c r="T113" s="37"/>
      <c r="U113" s="37"/>
      <c r="V113" s="37"/>
    </row>
    <row r="114" spans="1:22" ht="15" customHeight="1" x14ac:dyDescent="0.2">
      <c r="A114" s="3"/>
      <c r="B114" s="14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36"/>
      <c r="R114" s="37"/>
      <c r="S114" s="37"/>
      <c r="T114" s="37"/>
      <c r="U114" s="37"/>
      <c r="V114" s="37"/>
    </row>
    <row r="115" spans="1:22" ht="15" customHeight="1" x14ac:dyDescent="0.2">
      <c r="A115" s="3"/>
      <c r="B115" s="14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36"/>
      <c r="R115" s="37"/>
      <c r="S115" s="37"/>
      <c r="T115" s="37"/>
      <c r="U115" s="37"/>
      <c r="V115" s="37"/>
    </row>
    <row r="116" spans="1:22" ht="15" customHeight="1" x14ac:dyDescent="0.2">
      <c r="A116" s="3"/>
      <c r="B116" s="14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36"/>
      <c r="R116" s="37"/>
      <c r="S116" s="37"/>
      <c r="T116" s="37"/>
      <c r="U116" s="37"/>
      <c r="V116" s="37"/>
    </row>
    <row r="117" spans="1:22" ht="15" customHeight="1" x14ac:dyDescent="0.2">
      <c r="A117" s="3"/>
      <c r="B117" s="14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36"/>
      <c r="R117" s="37"/>
      <c r="S117" s="37"/>
      <c r="T117" s="37"/>
      <c r="U117" s="37"/>
      <c r="V117" s="37"/>
    </row>
    <row r="118" spans="1:22" ht="15" customHeight="1" x14ac:dyDescent="0.2">
      <c r="A118" s="3"/>
      <c r="B118" s="14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36"/>
      <c r="R118" s="37"/>
      <c r="S118" s="37"/>
      <c r="T118" s="37"/>
      <c r="U118" s="37"/>
      <c r="V118" s="37"/>
    </row>
    <row r="119" spans="1:22" ht="15" customHeight="1" x14ac:dyDescent="0.2">
      <c r="A119" s="3"/>
      <c r="B119" s="14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36"/>
      <c r="R119" s="37"/>
      <c r="S119" s="37"/>
      <c r="T119" s="37"/>
      <c r="U119" s="37"/>
      <c r="V119" s="37"/>
    </row>
    <row r="120" spans="1:22" ht="15" customHeight="1" x14ac:dyDescent="0.2">
      <c r="A120" s="3"/>
      <c r="B120" s="14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36"/>
      <c r="R120" s="37"/>
      <c r="S120" s="37"/>
      <c r="T120" s="37"/>
      <c r="U120" s="37"/>
      <c r="V120" s="37"/>
    </row>
    <row r="121" spans="1:22" ht="15" customHeight="1" x14ac:dyDescent="0.2">
      <c r="A121" s="3"/>
      <c r="B121" s="14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36"/>
      <c r="R121" s="37"/>
      <c r="S121" s="37"/>
      <c r="T121" s="37"/>
      <c r="U121" s="37"/>
      <c r="V121" s="37"/>
    </row>
    <row r="122" spans="1:22" ht="15" customHeight="1" x14ac:dyDescent="0.2">
      <c r="A122" s="3"/>
      <c r="B122" s="14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36"/>
      <c r="R122" s="37"/>
      <c r="S122" s="37"/>
      <c r="T122" s="37"/>
      <c r="U122" s="37"/>
      <c r="V122" s="37"/>
    </row>
    <row r="123" spans="1:22" ht="15" customHeight="1" x14ac:dyDescent="0.2">
      <c r="A123" s="3"/>
      <c r="B123" s="14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36"/>
      <c r="R123" s="37"/>
      <c r="S123" s="37"/>
      <c r="T123" s="37"/>
      <c r="U123" s="37"/>
      <c r="V123" s="37"/>
    </row>
    <row r="124" spans="1:22" ht="15" customHeight="1" x14ac:dyDescent="0.2">
      <c r="A124" s="3"/>
      <c r="B124" s="14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36"/>
      <c r="R124" s="37"/>
      <c r="S124" s="37"/>
      <c r="T124" s="37"/>
      <c r="U124" s="37"/>
      <c r="V124" s="37"/>
    </row>
    <row r="125" spans="1:22" ht="15" customHeight="1" x14ac:dyDescent="0.2">
      <c r="A125" s="3"/>
      <c r="B125" s="14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36"/>
      <c r="R125" s="37"/>
      <c r="S125" s="37"/>
      <c r="T125" s="37"/>
      <c r="U125" s="37"/>
      <c r="V125" s="37"/>
    </row>
    <row r="126" spans="1:22" ht="15" customHeight="1" x14ac:dyDescent="0.2">
      <c r="A126" s="3"/>
      <c r="B126" s="14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36"/>
      <c r="R126" s="37"/>
      <c r="S126" s="37"/>
      <c r="T126" s="37"/>
      <c r="U126" s="37"/>
      <c r="V126" s="37"/>
    </row>
    <row r="127" spans="1:22" ht="15" customHeight="1" x14ac:dyDescent="0.2">
      <c r="A127" s="3"/>
      <c r="B127" s="14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36"/>
      <c r="R127" s="37"/>
      <c r="S127" s="37"/>
      <c r="T127" s="37"/>
      <c r="U127" s="37"/>
      <c r="V127" s="37"/>
    </row>
    <row r="128" spans="1:22" ht="15" customHeight="1" x14ac:dyDescent="0.2">
      <c r="A128" s="3"/>
      <c r="B128" s="14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36"/>
      <c r="R128" s="37"/>
      <c r="S128" s="37"/>
      <c r="T128" s="37"/>
      <c r="U128" s="37"/>
      <c r="V128" s="37"/>
    </row>
    <row r="129" spans="1:22" ht="15" customHeight="1" x14ac:dyDescent="0.2">
      <c r="A129" s="3"/>
      <c r="B129" s="14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36"/>
      <c r="R129" s="37"/>
      <c r="S129" s="37"/>
      <c r="T129" s="37"/>
      <c r="U129" s="37"/>
      <c r="V129" s="37"/>
    </row>
    <row r="130" spans="1:22" ht="15" customHeight="1" x14ac:dyDescent="0.2">
      <c r="A130" s="3"/>
      <c r="B130" s="14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36"/>
      <c r="R130" s="37"/>
      <c r="S130" s="37"/>
      <c r="T130" s="37"/>
      <c r="U130" s="37"/>
      <c r="V130" s="37"/>
    </row>
    <row r="131" spans="1:22" ht="15" customHeight="1" x14ac:dyDescent="0.2">
      <c r="A131" s="3"/>
      <c r="B131" s="14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36"/>
      <c r="R131" s="37"/>
      <c r="S131" s="37"/>
      <c r="T131" s="37"/>
      <c r="U131" s="37"/>
      <c r="V131" s="37"/>
    </row>
    <row r="132" spans="1:22" ht="15" customHeight="1" x14ac:dyDescent="0.2">
      <c r="A132" s="3"/>
      <c r="B132" s="14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36"/>
      <c r="R132" s="37"/>
      <c r="S132" s="37"/>
      <c r="T132" s="37"/>
      <c r="U132" s="37"/>
      <c r="V132" s="37"/>
    </row>
    <row r="133" spans="1:22" ht="15" customHeight="1" x14ac:dyDescent="0.2">
      <c r="A133" s="3"/>
      <c r="B133" s="14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36"/>
      <c r="R133" s="37"/>
      <c r="S133" s="37"/>
      <c r="T133" s="37"/>
      <c r="U133" s="37"/>
      <c r="V133" s="37"/>
    </row>
    <row r="134" spans="1:22" ht="15" customHeight="1" x14ac:dyDescent="0.2">
      <c r="A134" s="3"/>
      <c r="B134" s="14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36"/>
      <c r="R134" s="37"/>
      <c r="S134" s="37"/>
      <c r="T134" s="37"/>
      <c r="U134" s="37"/>
      <c r="V134" s="37"/>
    </row>
    <row r="135" spans="1:22" ht="15" customHeight="1" x14ac:dyDescent="0.2">
      <c r="A135" s="3"/>
      <c r="B135" s="14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36"/>
      <c r="R135" s="37"/>
      <c r="S135" s="37"/>
      <c r="T135" s="37"/>
      <c r="U135" s="37"/>
      <c r="V135" s="37"/>
    </row>
    <row r="136" spans="1:22" ht="15" customHeight="1" x14ac:dyDescent="0.2">
      <c r="A136" s="3"/>
      <c r="B136" s="14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36"/>
      <c r="R136" s="37"/>
      <c r="S136" s="37"/>
      <c r="T136" s="37"/>
      <c r="U136" s="37"/>
      <c r="V136" s="37"/>
    </row>
    <row r="137" spans="1:22" ht="15" customHeight="1" x14ac:dyDescent="0.2">
      <c r="A137" s="3"/>
      <c r="B137" s="14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36"/>
      <c r="R137" s="37"/>
      <c r="S137" s="37"/>
      <c r="T137" s="37"/>
      <c r="U137" s="37"/>
      <c r="V137" s="37"/>
    </row>
    <row r="138" spans="1:22" ht="15" customHeight="1" x14ac:dyDescent="0.2">
      <c r="A138" s="3"/>
      <c r="B138" s="14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36"/>
      <c r="R138" s="37"/>
      <c r="S138" s="37"/>
      <c r="T138" s="37"/>
      <c r="U138" s="37"/>
      <c r="V138" s="37"/>
    </row>
    <row r="139" spans="1:22" ht="15" customHeight="1" x14ac:dyDescent="0.2">
      <c r="A139" s="3"/>
      <c r="B139" s="14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36"/>
      <c r="R139" s="37"/>
      <c r="S139" s="37"/>
      <c r="T139" s="37"/>
      <c r="U139" s="37"/>
      <c r="V139" s="37"/>
    </row>
    <row r="140" spans="1:22" ht="15" customHeight="1" x14ac:dyDescent="0.2">
      <c r="A140" s="3"/>
      <c r="B140" s="14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36"/>
      <c r="R140" s="37"/>
      <c r="S140" s="37"/>
      <c r="T140" s="37"/>
      <c r="U140" s="37"/>
      <c r="V140" s="37"/>
    </row>
    <row r="141" spans="1:22" ht="15" customHeight="1" x14ac:dyDescent="0.2">
      <c r="A141" s="3"/>
      <c r="B141" s="14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36"/>
      <c r="R141" s="37"/>
      <c r="S141" s="37"/>
      <c r="T141" s="37"/>
      <c r="U141" s="37"/>
      <c r="V141" s="37"/>
    </row>
    <row r="142" spans="1:22" ht="15" customHeight="1" x14ac:dyDescent="0.2">
      <c r="A142" s="3"/>
      <c r="B142" s="14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36"/>
      <c r="R142" s="37"/>
      <c r="S142" s="37"/>
      <c r="T142" s="37"/>
      <c r="U142" s="37"/>
      <c r="V142" s="37"/>
    </row>
    <row r="143" spans="1:22" ht="15" customHeight="1" x14ac:dyDescent="0.2">
      <c r="A143" s="3"/>
      <c r="B143" s="14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36"/>
      <c r="R143" s="37"/>
      <c r="S143" s="37"/>
      <c r="T143" s="37"/>
      <c r="U143" s="37"/>
      <c r="V143" s="37"/>
    </row>
    <row r="144" spans="1:22" ht="15" customHeight="1" x14ac:dyDescent="0.2">
      <c r="A144" s="3"/>
      <c r="B144" s="14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36"/>
      <c r="R144" s="37"/>
      <c r="S144" s="37"/>
      <c r="T144" s="37"/>
      <c r="U144" s="37"/>
      <c r="V144" s="37"/>
    </row>
    <row r="145" spans="1:22" ht="15" customHeight="1" x14ac:dyDescent="0.2">
      <c r="A145" s="3"/>
      <c r="B145" s="14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36"/>
      <c r="R145" s="37"/>
      <c r="S145" s="37"/>
      <c r="T145" s="37"/>
      <c r="U145" s="37"/>
      <c r="V145" s="37"/>
    </row>
    <row r="146" spans="1:22" ht="15" customHeight="1" x14ac:dyDescent="0.2">
      <c r="A146" s="3"/>
      <c r="B146" s="14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36"/>
      <c r="R146" s="37"/>
      <c r="S146" s="37"/>
      <c r="T146" s="37"/>
      <c r="U146" s="37"/>
      <c r="V146" s="37"/>
    </row>
    <row r="147" spans="1:22" ht="15" customHeight="1" x14ac:dyDescent="0.2">
      <c r="A147" s="3"/>
      <c r="B147" s="14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36"/>
      <c r="R147" s="37"/>
      <c r="S147" s="37"/>
      <c r="T147" s="37"/>
      <c r="U147" s="37"/>
      <c r="V147" s="37"/>
    </row>
    <row r="148" spans="1:22" ht="15" customHeight="1" x14ac:dyDescent="0.2">
      <c r="A148" s="3"/>
      <c r="B148" s="14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36"/>
      <c r="R148" s="37"/>
      <c r="S148" s="37"/>
      <c r="T148" s="37"/>
      <c r="U148" s="37"/>
      <c r="V148" s="37"/>
    </row>
    <row r="149" spans="1:22" ht="15" customHeight="1" x14ac:dyDescent="0.2">
      <c r="A149" s="3"/>
      <c r="B149" s="14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36"/>
      <c r="R149" s="37"/>
      <c r="S149" s="37"/>
      <c r="T149" s="37"/>
      <c r="U149" s="37"/>
      <c r="V149" s="37"/>
    </row>
    <row r="150" spans="1:22" ht="15" customHeight="1" x14ac:dyDescent="0.2">
      <c r="A150" s="3"/>
      <c r="B150" s="14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36"/>
      <c r="R150" s="37"/>
      <c r="S150" s="37"/>
      <c r="T150" s="37"/>
      <c r="U150" s="37"/>
      <c r="V150" s="37"/>
    </row>
    <row r="151" spans="1:22" ht="15" customHeight="1" x14ac:dyDescent="0.2">
      <c r="A151" s="3"/>
      <c r="B151" s="14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36"/>
      <c r="R151" s="37"/>
      <c r="S151" s="37"/>
      <c r="T151" s="37"/>
      <c r="U151" s="37"/>
      <c r="V151" s="37"/>
    </row>
    <row r="152" spans="1:22" ht="15" customHeight="1" x14ac:dyDescent="0.2">
      <c r="A152" s="3"/>
      <c r="B152" s="14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36"/>
      <c r="R152" s="37"/>
      <c r="S152" s="37"/>
      <c r="T152" s="37"/>
      <c r="U152" s="37"/>
      <c r="V152" s="37"/>
    </row>
    <row r="153" spans="1:22" ht="15" customHeight="1" x14ac:dyDescent="0.2">
      <c r="A153" s="3"/>
      <c r="B153" s="14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36"/>
      <c r="R153" s="37"/>
      <c r="S153" s="37"/>
      <c r="T153" s="37"/>
      <c r="U153" s="37"/>
      <c r="V153" s="37"/>
    </row>
    <row r="154" spans="1:22" ht="15" customHeight="1" x14ac:dyDescent="0.2">
      <c r="A154" s="3"/>
      <c r="B154" s="14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36"/>
      <c r="R154" s="37"/>
      <c r="S154" s="37"/>
      <c r="T154" s="37"/>
      <c r="U154" s="37"/>
      <c r="V154" s="37"/>
    </row>
    <row r="155" spans="1:22" ht="15" customHeight="1" x14ac:dyDescent="0.2">
      <c r="A155" s="3"/>
      <c r="B155" s="14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36"/>
      <c r="R155" s="37"/>
      <c r="S155" s="37"/>
      <c r="T155" s="37"/>
      <c r="U155" s="37"/>
      <c r="V155" s="37"/>
    </row>
    <row r="156" spans="1:22" ht="15" customHeight="1" x14ac:dyDescent="0.2">
      <c r="A156" s="3"/>
      <c r="B156" s="14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36"/>
      <c r="R156" s="37"/>
      <c r="S156" s="37"/>
      <c r="T156" s="37"/>
      <c r="U156" s="37"/>
      <c r="V156" s="37"/>
    </row>
    <row r="157" spans="1:22" ht="15" customHeight="1" x14ac:dyDescent="0.2">
      <c r="A157" s="3"/>
      <c r="B157" s="14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36"/>
      <c r="R157" s="37"/>
      <c r="S157" s="37"/>
      <c r="T157" s="37"/>
      <c r="U157" s="37"/>
      <c r="V157" s="37"/>
    </row>
    <row r="158" spans="1:22" ht="15" customHeight="1" x14ac:dyDescent="0.2">
      <c r="A158" s="3"/>
      <c r="B158" s="14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36"/>
      <c r="R158" s="37"/>
      <c r="S158" s="37"/>
      <c r="T158" s="37"/>
      <c r="U158" s="37"/>
      <c r="V158" s="37"/>
    </row>
    <row r="159" spans="1:22" ht="15" customHeight="1" x14ac:dyDescent="0.2">
      <c r="A159" s="3"/>
      <c r="B159" s="14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36"/>
      <c r="R159" s="37"/>
      <c r="S159" s="37"/>
      <c r="T159" s="37"/>
      <c r="U159" s="37"/>
      <c r="V159" s="37"/>
    </row>
    <row r="160" spans="1:22" ht="15" customHeight="1" x14ac:dyDescent="0.2">
      <c r="A160" s="3"/>
      <c r="B160" s="14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36"/>
      <c r="R160" s="37"/>
      <c r="S160" s="37"/>
      <c r="T160" s="37"/>
      <c r="U160" s="37"/>
      <c r="V160" s="37"/>
    </row>
    <row r="161" spans="1:22" ht="15" customHeight="1" x14ac:dyDescent="0.2">
      <c r="A161" s="3"/>
      <c r="B161" s="14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36"/>
      <c r="R161" s="37"/>
      <c r="S161" s="37"/>
      <c r="T161" s="37"/>
      <c r="U161" s="37"/>
      <c r="V161" s="37"/>
    </row>
    <row r="162" spans="1:22" ht="15" customHeight="1" x14ac:dyDescent="0.2">
      <c r="A162" s="3"/>
      <c r="B162" s="14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36"/>
      <c r="R162" s="37"/>
      <c r="S162" s="37"/>
      <c r="T162" s="37"/>
      <c r="U162" s="37"/>
      <c r="V162" s="37"/>
    </row>
    <row r="163" spans="1:22" ht="15" customHeight="1" x14ac:dyDescent="0.2">
      <c r="A163" s="3"/>
      <c r="B163" s="14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36"/>
      <c r="R163" s="37"/>
      <c r="S163" s="37"/>
      <c r="T163" s="37"/>
      <c r="U163" s="37"/>
      <c r="V163" s="37"/>
    </row>
    <row r="164" spans="1:22" ht="15" customHeight="1" x14ac:dyDescent="0.2">
      <c r="A164" s="3"/>
      <c r="B164" s="14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36"/>
      <c r="R164" s="37"/>
      <c r="S164" s="37"/>
      <c r="T164" s="37"/>
      <c r="U164" s="37"/>
      <c r="V164" s="37"/>
    </row>
    <row r="165" spans="1:22" ht="15" customHeight="1" x14ac:dyDescent="0.2">
      <c r="A165" s="3"/>
      <c r="B165" s="14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36"/>
      <c r="R165" s="37"/>
      <c r="S165" s="37"/>
      <c r="T165" s="37"/>
      <c r="U165" s="37"/>
      <c r="V165" s="37"/>
    </row>
    <row r="166" spans="1:22" ht="15" customHeight="1" x14ac:dyDescent="0.2">
      <c r="A166" s="3"/>
      <c r="B166" s="14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36"/>
      <c r="R166" s="37"/>
      <c r="S166" s="37"/>
      <c r="T166" s="37"/>
      <c r="U166" s="37"/>
      <c r="V166" s="37"/>
    </row>
    <row r="167" spans="1:22" ht="15" customHeight="1" x14ac:dyDescent="0.2">
      <c r="A167" s="3"/>
      <c r="B167" s="14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36"/>
      <c r="R167" s="37"/>
      <c r="S167" s="37"/>
      <c r="T167" s="37"/>
      <c r="U167" s="37"/>
      <c r="V167" s="37"/>
    </row>
    <row r="168" spans="1:22" ht="15" customHeight="1" x14ac:dyDescent="0.2">
      <c r="A168" s="3"/>
      <c r="B168" s="14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36"/>
      <c r="R168" s="37"/>
      <c r="S168" s="37"/>
      <c r="T168" s="37"/>
      <c r="U168" s="37"/>
      <c r="V168" s="37"/>
    </row>
    <row r="169" spans="1:22" ht="15" customHeight="1" x14ac:dyDescent="0.2">
      <c r="A169" s="3"/>
      <c r="B169" s="14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36"/>
      <c r="R169" s="37"/>
      <c r="S169" s="37"/>
      <c r="T169" s="37"/>
      <c r="U169" s="37"/>
      <c r="V169" s="37"/>
    </row>
    <row r="170" spans="1:22" ht="15" customHeight="1" x14ac:dyDescent="0.2">
      <c r="A170" s="3"/>
      <c r="B170" s="14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36"/>
      <c r="R170" s="37"/>
      <c r="S170" s="37"/>
      <c r="T170" s="37"/>
      <c r="U170" s="37"/>
      <c r="V170" s="37"/>
    </row>
    <row r="171" spans="1:22" ht="15" customHeight="1" x14ac:dyDescent="0.2">
      <c r="A171" s="3"/>
      <c r="B171" s="14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36"/>
      <c r="R171" s="37"/>
      <c r="S171" s="37"/>
      <c r="T171" s="37"/>
      <c r="U171" s="37"/>
      <c r="V171" s="37"/>
    </row>
    <row r="172" spans="1:22" ht="15" customHeight="1" x14ac:dyDescent="0.2">
      <c r="A172" s="3"/>
      <c r="B172" s="14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36"/>
      <c r="R172" s="37"/>
      <c r="S172" s="37"/>
      <c r="T172" s="37"/>
      <c r="U172" s="37"/>
      <c r="V172" s="37"/>
    </row>
    <row r="173" spans="1:22" ht="15" customHeight="1" x14ac:dyDescent="0.2">
      <c r="A173" s="3"/>
      <c r="B173" s="14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36"/>
      <c r="R173" s="37"/>
      <c r="S173" s="37"/>
      <c r="T173" s="37"/>
      <c r="U173" s="37"/>
      <c r="V173" s="37"/>
    </row>
    <row r="174" spans="1:22" ht="15" customHeight="1" x14ac:dyDescent="0.2">
      <c r="A174" s="3"/>
      <c r="B174" s="14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36"/>
      <c r="R174" s="37"/>
      <c r="S174" s="37"/>
      <c r="T174" s="37"/>
      <c r="U174" s="37"/>
      <c r="V174" s="37"/>
    </row>
    <row r="175" spans="1:22" ht="15" customHeight="1" x14ac:dyDescent="0.2">
      <c r="A175" s="3"/>
      <c r="B175" s="14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36"/>
      <c r="R175" s="37"/>
      <c r="S175" s="37"/>
      <c r="T175" s="37"/>
      <c r="U175" s="37"/>
      <c r="V175" s="37"/>
    </row>
    <row r="176" spans="1:22" ht="15" customHeight="1" x14ac:dyDescent="0.2">
      <c r="A176" s="3"/>
      <c r="B176" s="14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36"/>
      <c r="R176" s="37"/>
      <c r="S176" s="37"/>
      <c r="T176" s="37"/>
      <c r="U176" s="37"/>
      <c r="V176" s="37"/>
    </row>
    <row r="177" spans="1:22" ht="15" customHeight="1" x14ac:dyDescent="0.2">
      <c r="A177" s="3"/>
      <c r="B177" s="14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36"/>
      <c r="R177" s="37"/>
      <c r="S177" s="37"/>
      <c r="T177" s="37"/>
      <c r="U177" s="37"/>
      <c r="V177" s="37"/>
    </row>
    <row r="178" spans="1:22" ht="15" customHeight="1" x14ac:dyDescent="0.2">
      <c r="A178" s="3"/>
      <c r="B178" s="14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36"/>
      <c r="R178" s="37"/>
      <c r="S178" s="37"/>
      <c r="T178" s="37"/>
      <c r="U178" s="37"/>
      <c r="V178" s="37"/>
    </row>
    <row r="179" spans="1:22" ht="15" customHeight="1" x14ac:dyDescent="0.2">
      <c r="A179" s="3"/>
      <c r="B179" s="14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36"/>
      <c r="R179" s="37"/>
      <c r="S179" s="37"/>
      <c r="T179" s="37"/>
      <c r="U179" s="37"/>
      <c r="V179" s="37"/>
    </row>
    <row r="180" spans="1:22" ht="15" customHeight="1" x14ac:dyDescent="0.2">
      <c r="A180" s="3"/>
      <c r="B180" s="14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36"/>
      <c r="R180" s="37"/>
      <c r="S180" s="37"/>
      <c r="T180" s="37"/>
      <c r="U180" s="37"/>
      <c r="V180" s="37"/>
    </row>
    <row r="181" spans="1:22" ht="15" customHeight="1" x14ac:dyDescent="0.2">
      <c r="A181" s="3"/>
      <c r="B181" s="14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36"/>
      <c r="R181" s="37"/>
      <c r="S181" s="37"/>
      <c r="T181" s="37"/>
      <c r="U181" s="37"/>
      <c r="V181" s="37"/>
    </row>
    <row r="182" spans="1:22" ht="15" customHeight="1" x14ac:dyDescent="0.2">
      <c r="A182" s="3"/>
      <c r="B182" s="14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36"/>
      <c r="R182" s="37"/>
      <c r="S182" s="37"/>
      <c r="T182" s="37"/>
      <c r="U182" s="37"/>
      <c r="V182" s="37"/>
    </row>
    <row r="183" spans="1:22" ht="15" customHeight="1" x14ac:dyDescent="0.2">
      <c r="A183" s="3"/>
      <c r="B183" s="14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36"/>
      <c r="R183" s="37"/>
      <c r="S183" s="37"/>
      <c r="T183" s="37"/>
      <c r="U183" s="37"/>
      <c r="V183" s="37"/>
    </row>
    <row r="184" spans="1:22" ht="15" customHeight="1" x14ac:dyDescent="0.2">
      <c r="A184" s="3"/>
      <c r="B184" s="14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36"/>
      <c r="R184" s="37"/>
      <c r="S184" s="37"/>
      <c r="T184" s="37"/>
      <c r="U184" s="37"/>
      <c r="V184" s="37"/>
    </row>
    <row r="185" spans="1:22" ht="15" customHeight="1" x14ac:dyDescent="0.2">
      <c r="A185" s="3"/>
      <c r="B185" s="14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36"/>
      <c r="R185" s="37"/>
      <c r="S185" s="37"/>
      <c r="T185" s="37"/>
      <c r="U185" s="37"/>
      <c r="V185" s="37"/>
    </row>
    <row r="186" spans="1:22" ht="15" customHeight="1" x14ac:dyDescent="0.2">
      <c r="A186" s="3"/>
      <c r="B186" s="14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36"/>
      <c r="R186" s="37"/>
      <c r="S186" s="37"/>
      <c r="T186" s="37"/>
      <c r="U186" s="37"/>
      <c r="V186" s="37"/>
    </row>
    <row r="187" spans="1:22" ht="15" customHeight="1" x14ac:dyDescent="0.2">
      <c r="A187" s="3"/>
      <c r="B187" s="14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36"/>
      <c r="R187" s="37"/>
      <c r="S187" s="37"/>
      <c r="T187" s="37"/>
      <c r="U187" s="37"/>
      <c r="V187" s="37"/>
    </row>
    <row r="188" spans="1:22" ht="15" customHeight="1" x14ac:dyDescent="0.2">
      <c r="A188" s="3"/>
      <c r="B188" s="14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36"/>
      <c r="R188" s="37"/>
      <c r="S188" s="37"/>
      <c r="T188" s="37"/>
      <c r="U188" s="37"/>
      <c r="V188" s="37"/>
    </row>
    <row r="189" spans="1:22" ht="15" customHeight="1" x14ac:dyDescent="0.2">
      <c r="A189" s="3"/>
      <c r="B189" s="14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36"/>
      <c r="R189" s="37"/>
      <c r="S189" s="37"/>
      <c r="T189" s="37"/>
      <c r="U189" s="37"/>
      <c r="V189" s="37"/>
    </row>
    <row r="190" spans="1:22" ht="15" customHeight="1" x14ac:dyDescent="0.2">
      <c r="A190" s="3"/>
      <c r="B190" s="14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36"/>
      <c r="R190" s="37"/>
      <c r="S190" s="37"/>
      <c r="T190" s="37"/>
      <c r="U190" s="37"/>
      <c r="V190" s="37"/>
    </row>
    <row r="191" spans="1:22" ht="15" customHeight="1" x14ac:dyDescent="0.2">
      <c r="A191" s="3"/>
      <c r="B191" s="14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36"/>
      <c r="R191" s="37"/>
      <c r="S191" s="37"/>
      <c r="T191" s="37"/>
      <c r="U191" s="37"/>
      <c r="V191" s="37"/>
    </row>
    <row r="192" spans="1:22" ht="15" customHeight="1" x14ac:dyDescent="0.2">
      <c r="A192" s="3"/>
      <c r="B192" s="14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36"/>
      <c r="R192" s="37"/>
      <c r="S192" s="37"/>
      <c r="T192" s="37"/>
      <c r="U192" s="37"/>
      <c r="V192" s="37"/>
    </row>
    <row r="193" spans="1:22" ht="15" customHeight="1" x14ac:dyDescent="0.2">
      <c r="A193" s="3"/>
      <c r="B193" s="14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36"/>
      <c r="R193" s="37"/>
      <c r="S193" s="37"/>
      <c r="T193" s="37"/>
      <c r="U193" s="37"/>
      <c r="V193" s="37"/>
    </row>
    <row r="194" spans="1:22" ht="15" customHeight="1" x14ac:dyDescent="0.2">
      <c r="A194" s="3"/>
      <c r="B194" s="14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36"/>
      <c r="R194" s="37"/>
      <c r="S194" s="37"/>
      <c r="T194" s="37"/>
      <c r="U194" s="37"/>
      <c r="V194" s="37"/>
    </row>
    <row r="195" spans="1:22" ht="15" customHeight="1" x14ac:dyDescent="0.2">
      <c r="A195" s="3"/>
      <c r="B195" s="14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36"/>
      <c r="R195" s="37"/>
      <c r="S195" s="37"/>
      <c r="T195" s="37"/>
      <c r="U195" s="37"/>
      <c r="V195" s="37"/>
    </row>
    <row r="196" spans="1:22" ht="15" customHeight="1" x14ac:dyDescent="0.2">
      <c r="A196" s="3"/>
      <c r="B196" s="14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36"/>
      <c r="R196" s="37"/>
      <c r="S196" s="37"/>
      <c r="T196" s="37"/>
      <c r="U196" s="37"/>
      <c r="V196" s="37"/>
    </row>
    <row r="197" spans="1:22" ht="15" customHeight="1" x14ac:dyDescent="0.2">
      <c r="A197" s="3"/>
      <c r="B197" s="14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36"/>
      <c r="R197" s="37"/>
      <c r="S197" s="37"/>
      <c r="T197" s="37"/>
      <c r="U197" s="37"/>
      <c r="V197" s="37"/>
    </row>
    <row r="198" spans="1:22" ht="15" customHeight="1" x14ac:dyDescent="0.2">
      <c r="A198" s="3"/>
      <c r="B198" s="14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36"/>
      <c r="R198" s="37"/>
      <c r="S198" s="37"/>
      <c r="T198" s="37"/>
      <c r="U198" s="37"/>
      <c r="V198" s="37"/>
    </row>
    <row r="199" spans="1:22" ht="15" customHeight="1" x14ac:dyDescent="0.2">
      <c r="A199" s="3"/>
      <c r="B199" s="14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36"/>
      <c r="R199" s="37"/>
      <c r="S199" s="37"/>
      <c r="T199" s="37"/>
      <c r="U199" s="37"/>
      <c r="V199" s="37"/>
    </row>
    <row r="200" spans="1:22" ht="15" customHeight="1" x14ac:dyDescent="0.2">
      <c r="A200" s="3"/>
      <c r="B200" s="14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36"/>
      <c r="R200" s="37"/>
      <c r="S200" s="37"/>
      <c r="T200" s="37"/>
      <c r="U200" s="37"/>
      <c r="V200" s="37"/>
    </row>
    <row r="201" spans="1:22" ht="15" customHeight="1" x14ac:dyDescent="0.2">
      <c r="A201" s="3"/>
      <c r="B201" s="14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36"/>
      <c r="R201" s="37"/>
      <c r="S201" s="37"/>
      <c r="T201" s="37"/>
      <c r="U201" s="37"/>
      <c r="V201" s="37"/>
    </row>
    <row r="202" spans="1:22" ht="15" customHeight="1" x14ac:dyDescent="0.2">
      <c r="A202" s="3"/>
      <c r="B202" s="14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36"/>
      <c r="R202" s="37"/>
      <c r="S202" s="37"/>
      <c r="T202" s="37"/>
      <c r="U202" s="37"/>
      <c r="V202" s="37"/>
    </row>
    <row r="203" spans="1:22" ht="15" customHeight="1" x14ac:dyDescent="0.2">
      <c r="A203" s="3"/>
      <c r="B203" s="14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36"/>
      <c r="R203" s="37"/>
      <c r="S203" s="37"/>
      <c r="T203" s="37"/>
      <c r="U203" s="37"/>
      <c r="V203" s="37"/>
    </row>
    <row r="204" spans="1:22" ht="15" customHeight="1" x14ac:dyDescent="0.2">
      <c r="A204" s="3"/>
      <c r="B204" s="14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36"/>
      <c r="R204" s="37"/>
      <c r="S204" s="37"/>
      <c r="T204" s="37"/>
      <c r="U204" s="37"/>
      <c r="V204" s="37"/>
    </row>
    <row r="205" spans="1:22" ht="15" customHeight="1" x14ac:dyDescent="0.2">
      <c r="A205" s="3"/>
      <c r="B205" s="14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36"/>
      <c r="R205" s="37"/>
      <c r="S205" s="37"/>
      <c r="T205" s="37"/>
      <c r="U205" s="37"/>
      <c r="V205" s="37"/>
    </row>
    <row r="206" spans="1:22" ht="15" customHeight="1" x14ac:dyDescent="0.2">
      <c r="A206" s="3"/>
      <c r="B206" s="14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36"/>
      <c r="R206" s="37"/>
      <c r="S206" s="37"/>
      <c r="T206" s="37"/>
      <c r="U206" s="37"/>
      <c r="V206" s="37"/>
    </row>
    <row r="207" spans="1:22" ht="15" customHeight="1" x14ac:dyDescent="0.2">
      <c r="A207" s="3"/>
      <c r="B207" s="14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36"/>
      <c r="R207" s="37"/>
      <c r="S207" s="37"/>
      <c r="T207" s="37"/>
      <c r="U207" s="37"/>
      <c r="V207" s="37"/>
    </row>
    <row r="208" spans="1:22" ht="15" customHeight="1" x14ac:dyDescent="0.2">
      <c r="A208" s="3"/>
      <c r="B208" s="14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36"/>
      <c r="R208" s="37"/>
      <c r="S208" s="37"/>
      <c r="T208" s="37"/>
      <c r="U208" s="37"/>
      <c r="V208" s="37"/>
    </row>
    <row r="209" spans="1:22" ht="15" customHeight="1" x14ac:dyDescent="0.2">
      <c r="A209" s="3"/>
      <c r="B209" s="14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36"/>
      <c r="R209" s="37"/>
      <c r="S209" s="37"/>
      <c r="T209" s="37"/>
      <c r="U209" s="37"/>
      <c r="V209" s="37"/>
    </row>
    <row r="210" spans="1:22" ht="15" customHeight="1" x14ac:dyDescent="0.2">
      <c r="A210" s="3"/>
      <c r="B210" s="14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36"/>
      <c r="R210" s="37"/>
      <c r="S210" s="37"/>
      <c r="T210" s="37"/>
      <c r="U210" s="37"/>
      <c r="V210" s="37"/>
    </row>
    <row r="211" spans="1:22" ht="15" customHeight="1" x14ac:dyDescent="0.2">
      <c r="A211" s="3"/>
      <c r="B211" s="14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36"/>
      <c r="R211" s="37"/>
      <c r="S211" s="37"/>
      <c r="T211" s="37"/>
      <c r="U211" s="37"/>
      <c r="V211" s="37"/>
    </row>
    <row r="224" spans="1:22" ht="15" customHeight="1" x14ac:dyDescent="0.2">
      <c r="J224" s="4"/>
      <c r="K224" s="4"/>
      <c r="L224" s="4"/>
    </row>
    <row r="225" spans="10:12" ht="15" customHeight="1" x14ac:dyDescent="0.2">
      <c r="J225" s="11"/>
      <c r="K225" s="4"/>
      <c r="L225" s="4"/>
    </row>
    <row r="226" spans="10:12" ht="15" customHeight="1" x14ac:dyDescent="0.2">
      <c r="J226" s="11"/>
      <c r="K226" s="4"/>
      <c r="L226" s="4"/>
    </row>
    <row r="227" spans="10:12" ht="15" customHeight="1" x14ac:dyDescent="0.2">
      <c r="J227" s="11"/>
      <c r="K227" s="4"/>
      <c r="L227" s="4"/>
    </row>
    <row r="228" spans="10:12" ht="15" customHeight="1" x14ac:dyDescent="0.2">
      <c r="J228" s="11"/>
      <c r="K228" s="4"/>
      <c r="L228" s="4"/>
    </row>
    <row r="229" spans="10:12" ht="15" customHeight="1" x14ac:dyDescent="0.2">
      <c r="J229" s="11"/>
      <c r="K229" s="4"/>
      <c r="L229" s="4"/>
    </row>
    <row r="230" spans="10:12" ht="15" customHeight="1" x14ac:dyDescent="0.2">
      <c r="J230" s="11"/>
      <c r="K230" s="4"/>
      <c r="L230" s="4"/>
    </row>
    <row r="231" spans="10:12" ht="15" customHeight="1" x14ac:dyDescent="0.2">
      <c r="J231" s="11"/>
      <c r="K231" s="4"/>
      <c r="L231" s="4"/>
    </row>
    <row r="232" spans="10:12" ht="15" customHeight="1" x14ac:dyDescent="0.2">
      <c r="J232" s="11"/>
      <c r="K232" s="4"/>
      <c r="L232" s="4"/>
    </row>
    <row r="233" spans="10:12" ht="15" customHeight="1" x14ac:dyDescent="0.2">
      <c r="J233" s="4"/>
      <c r="K233" s="4"/>
      <c r="L233" s="4"/>
    </row>
    <row r="234" spans="10:12" ht="15" customHeight="1" x14ac:dyDescent="0.2">
      <c r="J234" s="4"/>
      <c r="K234" s="4"/>
      <c r="L234" s="4"/>
    </row>
    <row r="235" spans="10:12" ht="15" customHeight="1" x14ac:dyDescent="0.2">
      <c r="J235" s="4"/>
      <c r="K235" s="4"/>
      <c r="L235" s="4"/>
    </row>
    <row r="236" spans="10:12" ht="15" customHeight="1" x14ac:dyDescent="0.2">
      <c r="J236" s="4"/>
      <c r="K236" s="4"/>
      <c r="L236" s="4"/>
    </row>
    <row r="237" spans="10:12" ht="15" customHeight="1" x14ac:dyDescent="0.2">
      <c r="J237" s="4"/>
      <c r="K237" s="4"/>
      <c r="L237" s="4"/>
    </row>
    <row r="238" spans="10:12" ht="15" customHeight="1" x14ac:dyDescent="0.2">
      <c r="J238" s="4"/>
      <c r="K238" s="4"/>
      <c r="L238" s="4"/>
    </row>
    <row r="239" spans="10:12" ht="15" customHeight="1" x14ac:dyDescent="0.2">
      <c r="J239" s="4"/>
      <c r="K239" s="4"/>
      <c r="L239" s="4"/>
    </row>
    <row r="240" spans="10:12" ht="15" customHeight="1" x14ac:dyDescent="0.2">
      <c r="J240" s="4"/>
      <c r="K240" s="4"/>
      <c r="L240" s="4"/>
    </row>
    <row r="241" spans="10:12" ht="15" customHeight="1" x14ac:dyDescent="0.2">
      <c r="J241" s="4"/>
      <c r="K241" s="4"/>
      <c r="L241" s="4"/>
    </row>
  </sheetData>
  <mergeCells count="181">
    <mergeCell ref="Q210:V210"/>
    <mergeCell ref="Q211:V211"/>
    <mergeCell ref="Q38:V38"/>
    <mergeCell ref="Q39:V39"/>
    <mergeCell ref="Q40:V40"/>
    <mergeCell ref="Q41:V41"/>
    <mergeCell ref="Q42:V42"/>
    <mergeCell ref="Q43:V43"/>
    <mergeCell ref="Q44:V44"/>
    <mergeCell ref="Q45:V45"/>
    <mergeCell ref="Q46:V46"/>
    <mergeCell ref="Q47:V47"/>
    <mergeCell ref="Q48:V48"/>
    <mergeCell ref="Q49:V49"/>
    <mergeCell ref="Q50:V50"/>
    <mergeCell ref="Q51:V51"/>
    <mergeCell ref="Q205:V205"/>
    <mergeCell ref="Q206:V206"/>
    <mergeCell ref="Q207:V207"/>
    <mergeCell ref="Q208:V208"/>
    <mergeCell ref="Q209:V209"/>
    <mergeCell ref="Q200:V200"/>
    <mergeCell ref="Q201:V201"/>
    <mergeCell ref="Q202:V202"/>
    <mergeCell ref="Q203:V203"/>
    <mergeCell ref="Q204:V204"/>
    <mergeCell ref="Q195:V195"/>
    <mergeCell ref="Q196:V196"/>
    <mergeCell ref="Q197:V197"/>
    <mergeCell ref="Q198:V198"/>
    <mergeCell ref="Q199:V199"/>
    <mergeCell ref="Q190:V190"/>
    <mergeCell ref="Q191:V191"/>
    <mergeCell ref="Q192:V192"/>
    <mergeCell ref="Q193:V193"/>
    <mergeCell ref="Q194:V194"/>
    <mergeCell ref="Q185:V185"/>
    <mergeCell ref="Q186:V186"/>
    <mergeCell ref="Q187:V187"/>
    <mergeCell ref="Q188:V188"/>
    <mergeCell ref="Q189:V189"/>
    <mergeCell ref="Q180:V180"/>
    <mergeCell ref="Q181:V181"/>
    <mergeCell ref="Q182:V182"/>
    <mergeCell ref="Q183:V183"/>
    <mergeCell ref="Q184:V184"/>
    <mergeCell ref="Q175:V175"/>
    <mergeCell ref="Q176:V176"/>
    <mergeCell ref="Q177:V177"/>
    <mergeCell ref="Q178:V178"/>
    <mergeCell ref="Q179:V179"/>
    <mergeCell ref="Q170:V170"/>
    <mergeCell ref="Q171:V171"/>
    <mergeCell ref="Q172:V172"/>
    <mergeCell ref="Q173:V173"/>
    <mergeCell ref="Q174:V174"/>
    <mergeCell ref="Q165:V165"/>
    <mergeCell ref="Q166:V166"/>
    <mergeCell ref="Q167:V167"/>
    <mergeCell ref="Q168:V168"/>
    <mergeCell ref="Q169:V169"/>
    <mergeCell ref="Q160:V160"/>
    <mergeCell ref="Q161:V161"/>
    <mergeCell ref="Q162:V162"/>
    <mergeCell ref="Q163:V163"/>
    <mergeCell ref="Q164:V164"/>
    <mergeCell ref="Q155:V155"/>
    <mergeCell ref="Q156:V156"/>
    <mergeCell ref="Q157:V157"/>
    <mergeCell ref="Q158:V158"/>
    <mergeCell ref="Q159:V159"/>
    <mergeCell ref="Q150:V150"/>
    <mergeCell ref="Q151:V151"/>
    <mergeCell ref="Q152:V152"/>
    <mergeCell ref="Q153:V153"/>
    <mergeCell ref="Q154:V154"/>
    <mergeCell ref="Q145:V145"/>
    <mergeCell ref="Q146:V146"/>
    <mergeCell ref="Q147:V147"/>
    <mergeCell ref="Q148:V148"/>
    <mergeCell ref="Q149:V149"/>
    <mergeCell ref="Q140:V140"/>
    <mergeCell ref="Q141:V141"/>
    <mergeCell ref="Q142:V142"/>
    <mergeCell ref="Q143:V143"/>
    <mergeCell ref="Q144:V144"/>
    <mergeCell ref="Q135:V135"/>
    <mergeCell ref="Q136:V136"/>
    <mergeCell ref="Q137:V137"/>
    <mergeCell ref="Q138:V138"/>
    <mergeCell ref="Q139:V139"/>
    <mergeCell ref="Q130:V130"/>
    <mergeCell ref="Q131:V131"/>
    <mergeCell ref="Q132:V132"/>
    <mergeCell ref="Q133:V133"/>
    <mergeCell ref="Q134:V134"/>
    <mergeCell ref="Q125:V125"/>
    <mergeCell ref="Q126:V126"/>
    <mergeCell ref="Q127:V127"/>
    <mergeCell ref="Q128:V128"/>
    <mergeCell ref="Q129:V129"/>
    <mergeCell ref="Q120:V120"/>
    <mergeCell ref="Q121:V121"/>
    <mergeCell ref="Q122:V122"/>
    <mergeCell ref="Q123:V123"/>
    <mergeCell ref="Q124:V124"/>
    <mergeCell ref="Q115:V115"/>
    <mergeCell ref="Q116:V116"/>
    <mergeCell ref="Q117:V117"/>
    <mergeCell ref="Q118:V118"/>
    <mergeCell ref="Q119:V119"/>
    <mergeCell ref="Q110:V110"/>
    <mergeCell ref="Q111:V111"/>
    <mergeCell ref="Q112:V112"/>
    <mergeCell ref="Q113:V113"/>
    <mergeCell ref="Q114:V114"/>
    <mergeCell ref="Q105:V105"/>
    <mergeCell ref="Q106:V106"/>
    <mergeCell ref="Q107:V107"/>
    <mergeCell ref="Q108:V108"/>
    <mergeCell ref="Q109:V109"/>
    <mergeCell ref="Q100:V100"/>
    <mergeCell ref="Q101:V101"/>
    <mergeCell ref="Q102:V102"/>
    <mergeCell ref="Q103:V103"/>
    <mergeCell ref="Q104:V104"/>
    <mergeCell ref="Q95:V95"/>
    <mergeCell ref="Q96:V96"/>
    <mergeCell ref="Q97:V97"/>
    <mergeCell ref="Q98:V98"/>
    <mergeCell ref="Q99:V99"/>
    <mergeCell ref="Q90:V90"/>
    <mergeCell ref="Q91:V91"/>
    <mergeCell ref="Q92:V92"/>
    <mergeCell ref="Q93:V93"/>
    <mergeCell ref="Q94:V94"/>
    <mergeCell ref="Q85:V85"/>
    <mergeCell ref="Q86:V86"/>
    <mergeCell ref="Q87:V87"/>
    <mergeCell ref="Q88:V88"/>
    <mergeCell ref="Q89:V89"/>
    <mergeCell ref="Q76:V76"/>
    <mergeCell ref="Q52:V52"/>
    <mergeCell ref="Q53:V53"/>
    <mergeCell ref="Q54:V54"/>
    <mergeCell ref="Q55:V55"/>
    <mergeCell ref="Q56:V56"/>
    <mergeCell ref="Q57:V57"/>
    <mergeCell ref="Q58:V58"/>
    <mergeCell ref="Q59:V59"/>
    <mergeCell ref="Q60:V60"/>
    <mergeCell ref="Q61:V61"/>
    <mergeCell ref="Q63:V63"/>
    <mergeCell ref="Q68:V68"/>
    <mergeCell ref="Q69:V69"/>
    <mergeCell ref="Q70:V70"/>
    <mergeCell ref="Q71:V71"/>
    <mergeCell ref="A2:P3"/>
    <mergeCell ref="A4:B4"/>
    <mergeCell ref="A5:B5"/>
    <mergeCell ref="A6:B6"/>
    <mergeCell ref="A7:B7"/>
    <mergeCell ref="Q62:V62"/>
    <mergeCell ref="Q72:V72"/>
    <mergeCell ref="Q84:V84"/>
    <mergeCell ref="R9:S9"/>
    <mergeCell ref="Q77:V77"/>
    <mergeCell ref="Q78:V78"/>
    <mergeCell ref="Q79:V79"/>
    <mergeCell ref="Q80:V80"/>
    <mergeCell ref="Q81:V81"/>
    <mergeCell ref="Q82:V82"/>
    <mergeCell ref="Q83:V83"/>
    <mergeCell ref="Q64:V64"/>
    <mergeCell ref="Q65:V65"/>
    <mergeCell ref="Q66:V66"/>
    <mergeCell ref="Q67:V67"/>
    <mergeCell ref="R7:S7"/>
    <mergeCell ref="Q73:V73"/>
    <mergeCell ref="Q74:V74"/>
    <mergeCell ref="Q75:V75"/>
  </mergeCells>
  <conditionalFormatting sqref="A11:P53 A55:P211 A54:B54 D54:P54">
    <cfRule type="expression" dxfId="1418" priority="2">
      <formula>$A11:$A211=$A$2</formula>
    </cfRule>
  </conditionalFormatting>
  <conditionalFormatting sqref="W78">
    <cfRule type="expression" dxfId="1417" priority="1">
      <formula>$A72:$A272=$A$2</formula>
    </cfRule>
  </conditionalFormatting>
  <pageMargins left="0.7" right="0.7" top="0.75" bottom="0.75" header="0.3" footer="0.3"/>
  <pageSetup paperSize="9" orientation="landscape" horizontalDpi="0" verticalDpi="0" r:id="rId15"/>
  <drawing r:id="rId16"/>
  <tableParts count="1">
    <tablePart r:id="rId17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S8</xm:sqref>
        </x14:dataValidation>
        <x14:dataValidation type="list" allowBlank="1" showInputMessage="1" showErrorMessage="1">
          <x14:formula1>
            <xm:f>#REF!</xm:f>
          </x14:formula1>
          <xm:sqref>B11:B211</xm:sqref>
        </x14:dataValidation>
      </x14:dataValidations>
    </ext>
    <ext xmlns:x14="http://schemas.microsoft.com/office/spreadsheetml/2009/9/main" uri="{A8765BA9-456A-4dab-B4F3-ACF838C121DE}">
      <x14:slicerList>
        <x14:slicer r:id="rId18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fournisseurs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Sicaud Frédéric</dc:creator>
  <cp:lastModifiedBy>Fred</cp:lastModifiedBy>
  <cp:lastPrinted>2016-12-05T18:55:50Z</cp:lastPrinted>
  <dcterms:created xsi:type="dcterms:W3CDTF">2005-03-03T14:34:40Z</dcterms:created>
  <dcterms:modified xsi:type="dcterms:W3CDTF">2016-12-05T21:39:11Z</dcterms:modified>
</cp:coreProperties>
</file>