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opro\Desktop\Compta\"/>
    </mc:Choice>
  </mc:AlternateContent>
  <bookViews>
    <workbookView xWindow="0" yWindow="0" windowWidth="23040" windowHeight="9096"/>
  </bookViews>
  <sheets>
    <sheet name="Big Mat" sheetId="1" r:id="rId1"/>
  </sheets>
  <definedNames>
    <definedName name="Montant">Tableau189109[Montant facturé]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L28" i="1"/>
  <c r="M27" i="1"/>
  <c r="L27" i="1"/>
  <c r="N27" i="1" s="1"/>
  <c r="K27" i="1"/>
  <c r="L26" i="1"/>
  <c r="M25" i="1"/>
  <c r="L25" i="1"/>
  <c r="N25" i="1" s="1"/>
  <c r="K25" i="1"/>
  <c r="L24" i="1"/>
  <c r="M23" i="1"/>
  <c r="N23" i="1" s="1"/>
  <c r="L23" i="1"/>
  <c r="K23" i="1"/>
  <c r="L22" i="1"/>
  <c r="N21" i="1"/>
  <c r="M21" i="1"/>
  <c r="L21" i="1"/>
  <c r="K21" i="1"/>
  <c r="L20" i="1"/>
  <c r="M19" i="1"/>
  <c r="L19" i="1"/>
  <c r="K19" i="1"/>
  <c r="L18" i="1"/>
  <c r="M17" i="1"/>
  <c r="L17" i="1"/>
  <c r="K17" i="1"/>
  <c r="L16" i="1"/>
  <c r="M15" i="1"/>
  <c r="L15" i="1"/>
  <c r="N15" i="1" s="1"/>
  <c r="K15" i="1"/>
  <c r="L14" i="1"/>
  <c r="M13" i="1"/>
  <c r="L13" i="1"/>
  <c r="N13" i="1" s="1"/>
  <c r="K13" i="1"/>
  <c r="L12" i="1"/>
  <c r="M11" i="1"/>
  <c r="L11" i="1"/>
  <c r="N11" i="1" s="1"/>
  <c r="K11" i="1"/>
  <c r="L10" i="1"/>
  <c r="M9" i="1"/>
  <c r="L9" i="1"/>
  <c r="N9" i="1" s="1"/>
  <c r="K9" i="1"/>
  <c r="L8" i="1"/>
  <c r="M7" i="1"/>
  <c r="N7" i="1" s="1"/>
  <c r="L7" i="1"/>
  <c r="K7" i="1"/>
  <c r="L6" i="1"/>
  <c r="N5" i="1"/>
  <c r="M5" i="1"/>
  <c r="L5" i="1"/>
  <c r="K5" i="1"/>
  <c r="K29" i="1" l="1"/>
  <c r="L29" i="1"/>
  <c r="N17" i="1"/>
  <c r="N29" i="1" s="1"/>
  <c r="N19" i="1"/>
  <c r="M29" i="1"/>
</calcChain>
</file>

<file path=xl/sharedStrings.xml><?xml version="1.0" encoding="utf-8"?>
<sst xmlns="http://schemas.openxmlformats.org/spreadsheetml/2006/main" count="14" uniqueCount="14">
  <si>
    <t>Date</t>
  </si>
  <si>
    <t>Chantier</t>
  </si>
  <si>
    <t>N° BL</t>
  </si>
  <si>
    <t>Désignation</t>
  </si>
  <si>
    <t>Montant du BL  Paiement LCR</t>
  </si>
  <si>
    <t>Montant facturé</t>
  </si>
  <si>
    <t>Paiement comptant</t>
  </si>
  <si>
    <t>Mois</t>
  </si>
  <si>
    <t>Somme des BL mensuel</t>
  </si>
  <si>
    <t>Facture à régler (Fin de mois)</t>
  </si>
  <si>
    <t xml:space="preserve">Paiement comptant </t>
  </si>
  <si>
    <t>Total mensuel</t>
  </si>
  <si>
    <t>Totaux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</si>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</sst>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44" fontId="1" fillId="5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164" fontId="0" fillId="0" borderId="0" xfId="0" applyNumberFormat="1"/>
  </cellXfs>
  <cellStyles count="1">
    <cellStyle name="Normal" xfId="0" builtinId="0"/>
  </cellStyles>
  <dxfs count="14"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89109" displayName="Tableau189109" ref="B4:H31" totalsRowCount="1" headerRowDxfId="13" dataDxfId="12">
  <autoFilter ref="B4:H30"/>
  <sortState ref="B5:H30">
    <sortCondition descending="1" ref="B4:B30"/>
  </sortState>
  <tableColumns count="7">
    <tableColumn id="1" name="Date" totalsRowLabel="Total" dataDxfId="11" totalsRowDxfId="4"/>
    <tableColumn id="5" name="Chantier" dataDxfId="10" totalsRowDxfId="3"/>
    <tableColumn id="2" name="N° BL" dataDxfId="9"/>
    <tableColumn id="3" name="Désignation" dataDxfId="8" totalsRowDxfId="2"/>
    <tableColumn id="4" name="Montant du BL  Paiement LCR" totalsRowFunction="sum" dataDxfId="7" totalsRowDxfId="1"/>
    <tableColumn id="7" name="Montant facturé" dataDxfId="6" totalsRowDxfId="0"/>
    <tableColumn id="6" name="Paiement comptant" dataDxfId="5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B4:N42"/>
  <sheetViews>
    <sheetView tabSelected="1" topLeftCell="A19" workbookViewId="0">
      <selection activeCell="J31" sqref="J31:L33"/>
    </sheetView>
  </sheetViews>
  <sheetFormatPr baseColWidth="10" defaultRowHeight="14.4" x14ac:dyDescent="0.3"/>
  <cols>
    <col min="1" max="1" width="7" customWidth="1"/>
    <col min="2" max="2" width="15.109375" style="1" customWidth="1"/>
    <col min="3" max="3" width="18" style="2" customWidth="1"/>
    <col min="4" max="4" width="18.77734375" customWidth="1"/>
    <col min="5" max="5" width="18.77734375" style="12" customWidth="1"/>
    <col min="6" max="7" width="15.88671875" customWidth="1"/>
    <col min="8" max="8" width="13.77734375" customWidth="1"/>
    <col min="11" max="11" width="13.44140625" customWidth="1"/>
    <col min="12" max="12" width="15.33203125" customWidth="1"/>
    <col min="13" max="13" width="11.44140625" customWidth="1"/>
  </cols>
  <sheetData>
    <row r="4" spans="2:14" ht="30" customHeigh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</row>
    <row r="5" spans="2:14" s="1" customFormat="1" ht="27" customHeight="1" x14ac:dyDescent="0.3">
      <c r="B5" s="4">
        <v>42688</v>
      </c>
      <c r="C5" s="2"/>
      <c r="E5" s="2"/>
      <c r="F5" s="5">
        <v>3.6</v>
      </c>
      <c r="G5" s="5"/>
      <c r="J5" s="6">
        <v>42370</v>
      </c>
      <c r="K5" s="7">
        <f>SUMPRODUCT((MONTH(Tableau189109[Date])=MONTH(1&amp;"Janvier"))*Tableau189109[Montant du BL  Paiement LCR])</f>
        <v>0</v>
      </c>
      <c r="L5" s="7">
        <f>SUMPRODUCT((MONTH(Tableau189109[Date])=MONTH($J5))*(DAY(Tableau189109[Date])&lt;16)*Tableau189109[Montant du BL  Paiement LCR])</f>
        <v>0</v>
      </c>
      <c r="M5" s="7">
        <f>SUMPRODUCT((MONTH(Tableau189109[Date])=MONTH(1&amp;"Janvier"))*Tableau189109[Paiement comptant])</f>
        <v>0</v>
      </c>
      <c r="N5" s="7">
        <f>L5+M5</f>
        <v>0</v>
      </c>
    </row>
    <row r="6" spans="2:14" s="1" customFormat="1" ht="27" customHeight="1" x14ac:dyDescent="0.3">
      <c r="B6" s="4">
        <v>42682</v>
      </c>
      <c r="C6" s="2"/>
      <c r="E6" s="2"/>
      <c r="F6" s="5">
        <v>28.18</v>
      </c>
      <c r="G6" s="5"/>
      <c r="J6" s="6"/>
      <c r="K6" s="7"/>
      <c r="L6" s="7">
        <f>SUMPRODUCT((MONTH(Tableau189109[Date])=MONTH($J6))*(DAY(Tableau189109[Date])&lt;15)*Tableau189109[Montant du BL  Paiement LCR])</f>
        <v>0</v>
      </c>
      <c r="M6" s="7"/>
      <c r="N6" s="7"/>
    </row>
    <row r="7" spans="2:14" s="1" customFormat="1" ht="27" customHeight="1" x14ac:dyDescent="0.3">
      <c r="B7" s="4">
        <v>42681</v>
      </c>
      <c r="C7" s="2"/>
      <c r="E7" s="2"/>
      <c r="F7" s="5">
        <v>19.87</v>
      </c>
      <c r="G7" s="5"/>
      <c r="J7" s="6">
        <v>42401</v>
      </c>
      <c r="K7" s="7">
        <f>SUMPRODUCT((MONTH(Tableau189109[Date])=MONTH(2&amp;"Février"))*Tableau189109[Montant du BL  Paiement LCR])</f>
        <v>0</v>
      </c>
      <c r="L7" s="7">
        <f>SUMPRODUCT((MONTH(Tableau189109[Date])=MONTH($J7))*(DAY(Tableau189109[Date])&lt;16)*Tableau189109[Montant du BL  Paiement LCR])</f>
        <v>0</v>
      </c>
      <c r="M7" s="7">
        <f>SUMPRODUCT((MONTH(Tableau189109[Date])=MONTH(2&amp;"février"))*Tableau189109[Paiement comptant])</f>
        <v>0</v>
      </c>
      <c r="N7" s="7">
        <f t="shared" ref="N7:N27" si="0">L7+M7</f>
        <v>0</v>
      </c>
    </row>
    <row r="8" spans="2:14" s="1" customFormat="1" ht="27" customHeight="1" x14ac:dyDescent="0.3">
      <c r="B8" s="4">
        <v>42681</v>
      </c>
      <c r="C8" s="2"/>
      <c r="E8" s="2"/>
      <c r="F8" s="5">
        <v>33.700000000000003</v>
      </c>
      <c r="G8" s="5"/>
      <c r="J8" s="6"/>
      <c r="K8" s="7"/>
      <c r="L8" s="7">
        <f>SUMPRODUCT((MONTH(Tableau189109[Date])=MONTH($J8))*(DAY(Tableau189109[Date])&lt;15)*Tableau189109[Montant du BL  Paiement LCR])</f>
        <v>0</v>
      </c>
      <c r="M8" s="7"/>
      <c r="N8" s="7"/>
    </row>
    <row r="9" spans="2:14" s="1" customFormat="1" ht="27" customHeight="1" x14ac:dyDescent="0.3">
      <c r="B9" s="4">
        <v>42681</v>
      </c>
      <c r="C9" s="2"/>
      <c r="E9" s="2"/>
      <c r="F9" s="5">
        <v>27.23</v>
      </c>
      <c r="G9" s="5"/>
      <c r="J9" s="6">
        <v>42430</v>
      </c>
      <c r="K9" s="7">
        <f>SUMPRODUCT((MONTH(Tableau189109[Date])=MONTH(3&amp;"Mars"))*Tableau189109[Montant du BL  Paiement LCR])</f>
        <v>0</v>
      </c>
      <c r="L9" s="7">
        <f>SUMPRODUCT((MONTH(Tableau189109[Date])=MONTH($J9))*(DAY(Tableau189109[Date])&lt;16)*Tableau189109[Montant du BL  Paiement LCR])</f>
        <v>0</v>
      </c>
      <c r="M9" s="7">
        <f>SUMPRODUCT((MONTH(Tableau189109[Date])=MONTH(3&amp;"Mars"))*Tableau189109[Paiement comptant])</f>
        <v>0</v>
      </c>
      <c r="N9" s="7">
        <f t="shared" si="0"/>
        <v>0</v>
      </c>
    </row>
    <row r="10" spans="2:14" s="1" customFormat="1" ht="27" customHeight="1" x14ac:dyDescent="0.3">
      <c r="B10" s="4">
        <v>42678</v>
      </c>
      <c r="C10" s="2"/>
      <c r="E10" s="2"/>
      <c r="F10" s="5">
        <v>123.24</v>
      </c>
      <c r="G10" s="5"/>
      <c r="J10" s="6"/>
      <c r="K10" s="7"/>
      <c r="L10" s="7">
        <f>SUMPRODUCT((MONTH(Tableau189109[Date])=MONTH($J10))*(DAY(Tableau189109[Date])&lt;15)*Tableau189109[Montant du BL  Paiement LCR])</f>
        <v>0</v>
      </c>
      <c r="M10" s="7"/>
      <c r="N10" s="7"/>
    </row>
    <row r="11" spans="2:14" s="1" customFormat="1" ht="27" customHeight="1" x14ac:dyDescent="0.3">
      <c r="B11" s="4">
        <v>42674</v>
      </c>
      <c r="C11" s="2"/>
      <c r="E11" s="2"/>
      <c r="F11" s="8">
        <v>27.68</v>
      </c>
      <c r="G11" s="5">
        <v>27.68</v>
      </c>
      <c r="J11" s="6">
        <v>42461</v>
      </c>
      <c r="K11" s="7">
        <f>SUMPRODUCT((MONTH(Tableau189109[Date])=MONTH(4&amp;"Avril"))*Tableau189109[Montant du BL  Paiement LCR])</f>
        <v>0</v>
      </c>
      <c r="L11" s="7">
        <f>SUMPRODUCT((MONTH(Tableau189109[Date])=MONTH($J11))*(DAY(Tableau189109[Date])&lt;16)*Tableau189109[Montant du BL  Paiement LCR])</f>
        <v>0</v>
      </c>
      <c r="M11" s="7">
        <f>SUMPRODUCT((MONTH(Tableau189109[Date])=MONTH(4&amp;"Avril"))*Tableau189109[Paiement comptant])</f>
        <v>0</v>
      </c>
      <c r="N11" s="7">
        <f t="shared" si="0"/>
        <v>0</v>
      </c>
    </row>
    <row r="12" spans="2:14" s="1" customFormat="1" ht="27" customHeight="1" x14ac:dyDescent="0.3">
      <c r="B12" s="4">
        <v>42671</v>
      </c>
      <c r="C12" s="2"/>
      <c r="E12" s="2"/>
      <c r="F12" s="9">
        <v>10.85</v>
      </c>
      <c r="G12" s="5">
        <v>10.02</v>
      </c>
      <c r="J12" s="6"/>
      <c r="K12" s="7"/>
      <c r="L12" s="7">
        <f>SUMPRODUCT((MONTH(Tableau189109[Date])=MONTH($J12))*(DAY(Tableau189109[Date])&lt;15)*Tableau189109[Montant du BL  Paiement LCR])</f>
        <v>0</v>
      </c>
      <c r="M12" s="7"/>
      <c r="N12" s="7"/>
    </row>
    <row r="13" spans="2:14" s="1" customFormat="1" ht="27" customHeight="1" x14ac:dyDescent="0.3">
      <c r="B13" s="4">
        <v>42671</v>
      </c>
      <c r="C13" s="2"/>
      <c r="E13" s="2"/>
      <c r="F13" s="9">
        <v>44.82</v>
      </c>
      <c r="G13" s="5">
        <v>37.44</v>
      </c>
      <c r="J13" s="6">
        <v>42491</v>
      </c>
      <c r="K13" s="7">
        <f>SUMPRODUCT((MONTH(Tableau189109[Date])=MONTH(5&amp;"Mai"))*Tableau189109[Montant du BL  Paiement LCR])</f>
        <v>0</v>
      </c>
      <c r="L13" s="7">
        <f>SUMPRODUCT((MONTH(Tableau189109[Date])=MONTH($J13))*(DAY(Tableau189109[Date])&lt;16)*Tableau189109[Montant du BL  Paiement LCR])</f>
        <v>0</v>
      </c>
      <c r="M13" s="7">
        <f>SUMPRODUCT((MONTH(Tableau189109[Date])=MONTH(5&amp;"Mai"))*Tableau189109[Paiement comptant])</f>
        <v>0</v>
      </c>
      <c r="N13" s="7">
        <f t="shared" si="0"/>
        <v>0</v>
      </c>
    </row>
    <row r="14" spans="2:14" s="1" customFormat="1" ht="27" customHeight="1" x14ac:dyDescent="0.3">
      <c r="B14" s="4">
        <v>42667</v>
      </c>
      <c r="C14" s="2"/>
      <c r="E14" s="2"/>
      <c r="F14" s="9">
        <v>68.88</v>
      </c>
      <c r="G14" s="5">
        <v>55.1</v>
      </c>
      <c r="J14" s="6"/>
      <c r="K14" s="7"/>
      <c r="L14" s="7">
        <f>SUMPRODUCT((MONTH(Tableau189109[Date])=MONTH($J14))*(DAY(Tableau189109[Date])&lt;15)*Tableau189109[Montant du BL  Paiement LCR])</f>
        <v>0</v>
      </c>
      <c r="M14" s="7"/>
      <c r="N14" s="7"/>
    </row>
    <row r="15" spans="2:14" s="1" customFormat="1" ht="27" customHeight="1" x14ac:dyDescent="0.3">
      <c r="B15" s="4">
        <v>42663</v>
      </c>
      <c r="C15" s="2"/>
      <c r="E15" s="2"/>
      <c r="F15" s="9">
        <v>47.64</v>
      </c>
      <c r="G15" s="5">
        <v>42.66</v>
      </c>
      <c r="J15" s="6">
        <v>42522</v>
      </c>
      <c r="K15" s="7">
        <f>SUMPRODUCT((MONTH(Tableau189109[Date])=MONTH(6&amp;"Juin"))*Tableau189109[Montant du BL  Paiement LCR])</f>
        <v>0</v>
      </c>
      <c r="L15" s="7">
        <f>SUMPRODUCT((MONTH(Tableau189109[Date])=MONTH($J15))*(DAY(Tableau189109[Date])&lt;16)*Tableau189109[Montant du BL  Paiement LCR])</f>
        <v>0</v>
      </c>
      <c r="M15" s="7">
        <f>SUMPRODUCT((MONTH(Tableau189109[Date])=MONTH(6&amp;"Juin"))*Tableau189109[Paiement comptant])</f>
        <v>12.24</v>
      </c>
      <c r="N15" s="7">
        <f t="shared" si="0"/>
        <v>12.24</v>
      </c>
    </row>
    <row r="16" spans="2:14" s="1" customFormat="1" ht="27" customHeight="1" x14ac:dyDescent="0.3">
      <c r="B16" s="4">
        <v>42663</v>
      </c>
      <c r="C16" s="2"/>
      <c r="E16" s="2"/>
      <c r="F16" s="8">
        <v>23.04</v>
      </c>
      <c r="G16" s="5">
        <v>23.04</v>
      </c>
      <c r="J16" s="6"/>
      <c r="K16" s="7"/>
      <c r="L16" s="7">
        <f>SUMPRODUCT((MONTH(Tableau189109[Date])=MONTH($J16))*(DAY(Tableau189109[Date])&lt;15)*Tableau189109[Montant du BL  Paiement LCR])</f>
        <v>0</v>
      </c>
      <c r="M16" s="7"/>
      <c r="N16" s="7"/>
    </row>
    <row r="17" spans="2:14" s="1" customFormat="1" ht="27" customHeight="1" x14ac:dyDescent="0.3">
      <c r="B17" s="4">
        <v>42662</v>
      </c>
      <c r="C17" s="2"/>
      <c r="E17" s="2"/>
      <c r="F17" s="8">
        <v>50.4</v>
      </c>
      <c r="G17" s="5">
        <v>50.4</v>
      </c>
      <c r="J17" s="6">
        <v>42552</v>
      </c>
      <c r="K17" s="7">
        <f>SUMPRODUCT((MONTH(Tableau189109[Date])=MONTH(7&amp;"Juillet"))*Tableau189109[Montant du BL  Paiement LCR])</f>
        <v>0</v>
      </c>
      <c r="L17" s="7">
        <f>SUMPRODUCT((MONTH(Tableau189109[Date])=MONTH($J17))*(DAY(Tableau189109[Date])&lt;16)*Tableau189109[Montant du BL  Paiement LCR])</f>
        <v>0</v>
      </c>
      <c r="M17" s="7">
        <f>SUMPRODUCT((MONTH(Tableau189109[Date])=MONTH(7&amp;"Juillet"))*Tableau189109[Paiement comptant])</f>
        <v>211.88</v>
      </c>
      <c r="N17" s="7">
        <f t="shared" si="0"/>
        <v>211.88</v>
      </c>
    </row>
    <row r="18" spans="2:14" s="1" customFormat="1" ht="27" customHeight="1" x14ac:dyDescent="0.3">
      <c r="B18" s="4">
        <v>42661</v>
      </c>
      <c r="C18" s="2"/>
      <c r="E18" s="2"/>
      <c r="F18" s="5"/>
      <c r="G18" s="5"/>
      <c r="H18" s="1">
        <v>23.1</v>
      </c>
      <c r="J18" s="6"/>
      <c r="K18" s="7"/>
      <c r="L18" s="7">
        <f>SUMPRODUCT((MONTH(Tableau189109[Date])=MONTH($J18))*(DAY(Tableau189109[Date])&lt;15)*Tableau189109[Montant du BL  Paiement LCR])</f>
        <v>0</v>
      </c>
      <c r="M18" s="7"/>
      <c r="N18" s="7"/>
    </row>
    <row r="19" spans="2:14" s="1" customFormat="1" ht="27" customHeight="1" x14ac:dyDescent="0.3">
      <c r="B19" s="4">
        <v>42660</v>
      </c>
      <c r="C19" s="2"/>
      <c r="E19" s="2"/>
      <c r="F19" s="8">
        <v>363.29</v>
      </c>
      <c r="G19" s="5">
        <v>363.29</v>
      </c>
      <c r="J19" s="6">
        <v>42583</v>
      </c>
      <c r="K19" s="7">
        <f>SUMPRODUCT((MONTH(Tableau189109[Date])=MONTH(8&amp;"Août"))*Tableau189109[Montant du BL  Paiement LCR])</f>
        <v>0</v>
      </c>
      <c r="L19" s="7">
        <f>SUMPRODUCT((MONTH(Tableau189109[Date])=MONTH($J19))*(DAY(Tableau189109[Date])&lt;16)*Tableau189109[Montant du BL  Paiement LCR])</f>
        <v>0</v>
      </c>
      <c r="M19" s="7">
        <f>SUMPRODUCT((MONTH(Tableau189109[Date])=MONTH(8&amp;"Août"))*Tableau189109[Paiement comptant])</f>
        <v>0</v>
      </c>
      <c r="N19" s="7">
        <f t="shared" si="0"/>
        <v>0</v>
      </c>
    </row>
    <row r="20" spans="2:14" s="1" customFormat="1" ht="27" customHeight="1" x14ac:dyDescent="0.3">
      <c r="B20" s="4">
        <v>42660</v>
      </c>
      <c r="C20" s="2"/>
      <c r="E20" s="2"/>
      <c r="F20" s="8">
        <v>34.020000000000003</v>
      </c>
      <c r="G20" s="5">
        <v>34.020000000000003</v>
      </c>
      <c r="J20" s="6"/>
      <c r="K20" s="7"/>
      <c r="L20" s="7">
        <f>SUMPRODUCT((MONTH(Tableau189109[Date])=MONTH($J20))*(DAY(Tableau189109[Date])&lt;15)*Tableau189109[Montant du BL  Paiement LCR])</f>
        <v>0</v>
      </c>
      <c r="M20" s="7"/>
      <c r="N20" s="7"/>
    </row>
    <row r="21" spans="2:14" s="1" customFormat="1" ht="27" customHeight="1" x14ac:dyDescent="0.3">
      <c r="B21" s="4">
        <v>42636</v>
      </c>
      <c r="C21" s="2"/>
      <c r="E21" s="2"/>
      <c r="F21" s="5"/>
      <c r="G21" s="5"/>
      <c r="H21" s="1">
        <v>5.61</v>
      </c>
      <c r="J21" s="6">
        <v>42614</v>
      </c>
      <c r="K21" s="7">
        <f>SUMPRODUCT((MONTH(Tableau189109[Date])=MONTH(9&amp;"septembre"))*Tableau189109[Montant du BL  Paiement LCR])</f>
        <v>0</v>
      </c>
      <c r="L21" s="7">
        <f>SUMPRODUCT((MONTH(Tableau189109[Date])=MONTH($J21))*(DAY(Tableau189109[Date])&lt;16)*Tableau189109[Montant du BL  Paiement LCR])</f>
        <v>0</v>
      </c>
      <c r="M21" s="7">
        <f>SUMPRODUCT((MONTH(Tableau189109[Date])=MONTH(9&amp;"Septembre"))*Tableau189109[Paiement comptant])</f>
        <v>5.61</v>
      </c>
      <c r="N21" s="7">
        <f t="shared" si="0"/>
        <v>5.61</v>
      </c>
    </row>
    <row r="22" spans="2:14" s="1" customFormat="1" ht="27" customHeight="1" x14ac:dyDescent="0.3">
      <c r="B22" s="4">
        <v>42569</v>
      </c>
      <c r="C22" s="2"/>
      <c r="E22" s="2"/>
      <c r="F22" s="5"/>
      <c r="G22" s="5"/>
      <c r="H22" s="1">
        <v>43.28</v>
      </c>
      <c r="J22" s="6"/>
      <c r="K22" s="7"/>
      <c r="L22" s="7">
        <f>SUMPRODUCT((MONTH(Tableau189109[Date])=MONTH($J22))*(DAY(Tableau189109[Date])&lt;15)*Tableau189109[Montant du BL  Paiement LCR])</f>
        <v>0</v>
      </c>
      <c r="M22" s="7"/>
      <c r="N22" s="7"/>
    </row>
    <row r="23" spans="2:14" s="1" customFormat="1" ht="27" customHeight="1" x14ac:dyDescent="0.3">
      <c r="B23" s="4">
        <v>42559</v>
      </c>
      <c r="C23" s="2"/>
      <c r="E23" s="2"/>
      <c r="F23" s="5"/>
      <c r="G23" s="5"/>
      <c r="H23" s="1">
        <v>5.88</v>
      </c>
      <c r="J23" s="6">
        <v>42644</v>
      </c>
      <c r="K23" s="7">
        <f>SUMPRODUCT((MONTH(Tableau189109[Date])=MONTH(10&amp;"octobre"))*Tableau189109[Montant du BL  Paiement LCR])</f>
        <v>670.62</v>
      </c>
      <c r="L23" s="7">
        <f>SUMPRODUCT((MONTH(Tableau189109[Date])=MONTH($J23))*(DAY(Tableau189109[Date])&lt;16)*Tableau189109[Montant du BL  Paiement LCR])</f>
        <v>0</v>
      </c>
      <c r="M23" s="7">
        <f>SUMPRODUCT((MONTH(Tableau189109[Date])=MONTH(10&amp;"Octobre"))*Tableau189109[Paiement comptant])</f>
        <v>23.1</v>
      </c>
      <c r="N23" s="7">
        <f t="shared" si="0"/>
        <v>23.1</v>
      </c>
    </row>
    <row r="24" spans="2:14" s="1" customFormat="1" ht="27" customHeight="1" x14ac:dyDescent="0.3">
      <c r="B24" s="4">
        <v>42558</v>
      </c>
      <c r="C24" s="2"/>
      <c r="E24" s="2"/>
      <c r="F24" s="5"/>
      <c r="G24" s="5"/>
      <c r="H24" s="1">
        <v>64.22</v>
      </c>
      <c r="J24" s="6"/>
      <c r="K24" s="7"/>
      <c r="L24" s="7">
        <f>SUMPRODUCT((MONTH(Tableau189109[Date])=MONTH($J24))*(DAY(Tableau189109[Date])&lt;15)*Tableau189109[Montant du BL  Paiement LCR])</f>
        <v>0</v>
      </c>
      <c r="M24" s="7"/>
      <c r="N24" s="7"/>
    </row>
    <row r="25" spans="2:14" s="1" customFormat="1" ht="27" customHeight="1" x14ac:dyDescent="0.3">
      <c r="B25" s="4">
        <v>42553</v>
      </c>
      <c r="C25" s="2"/>
      <c r="E25" s="2"/>
      <c r="F25" s="5"/>
      <c r="G25" s="5"/>
      <c r="H25" s="1">
        <v>98.5</v>
      </c>
      <c r="J25" s="6">
        <v>42675</v>
      </c>
      <c r="K25" s="7">
        <f>SUMPRODUCT((MONTH(Tableau189109[Date])=MONTH(11&amp;"Novembre"))*Tableau189109[Montant du BL  Paiement LCR])</f>
        <v>235.82</v>
      </c>
      <c r="L25" s="7">
        <f>SUMPRODUCT((MONTH(Tableau189109[Date])=MONTH($J25))*(DAY(Tableau189109[Date])&lt;16)*Tableau189109[Montant du BL  Paiement LCR])</f>
        <v>235.82</v>
      </c>
      <c r="M25" s="7">
        <f>SUMPRODUCT((MONTH(Tableau189109[Date])=MONTH(11&amp;"Novembre"))*Tableau189109[Paiement comptant])</f>
        <v>0</v>
      </c>
      <c r="N25" s="7">
        <f t="shared" si="0"/>
        <v>235.82</v>
      </c>
    </row>
    <row r="26" spans="2:14" s="1" customFormat="1" ht="27" customHeight="1" x14ac:dyDescent="0.3">
      <c r="B26" s="4">
        <v>42545</v>
      </c>
      <c r="C26" s="2"/>
      <c r="E26" s="2"/>
      <c r="F26" s="5"/>
      <c r="G26" s="5"/>
      <c r="H26" s="1">
        <v>12.24</v>
      </c>
      <c r="J26" s="6"/>
      <c r="K26" s="7"/>
      <c r="L26" s="7">
        <f>SUMPRODUCT((MONTH(Tableau189109[Date])=MONTH($J26))*(DAY(Tableau189109[Date])&lt;15)*Tableau189109[Montant du BL  Paiement LCR])</f>
        <v>0</v>
      </c>
      <c r="M26" s="7"/>
      <c r="N26" s="7"/>
    </row>
    <row r="27" spans="2:14" s="1" customFormat="1" ht="27" customHeight="1" x14ac:dyDescent="0.3">
      <c r="B27" s="4"/>
      <c r="C27" s="2"/>
      <c r="E27" s="2"/>
      <c r="F27" s="5"/>
      <c r="G27" s="5"/>
      <c r="J27" s="6">
        <v>42705</v>
      </c>
      <c r="K27" s="7">
        <f>SUMPRODUCT((MONTH(Tableau189109[Date])=MONTH(12&amp;"Décembre"))*Tableau189109[Montant du BL  Paiement LCR])</f>
        <v>0</v>
      </c>
      <c r="L27" s="7">
        <f>SUMPRODUCT((MONTH(Tableau189109[Date])=MONTH($J27))*(DAY(Tableau189109[Date])&lt;16)*Tableau189109[Montant du BL  Paiement LCR])</f>
        <v>0</v>
      </c>
      <c r="M27" s="7">
        <f>SUMPRODUCT((MONTH(Tableau189109[Date])=MONTH(12&amp;"Décembre"))*Tableau189109[Paiement comptant])</f>
        <v>0</v>
      </c>
      <c r="N27" s="7">
        <f t="shared" si="0"/>
        <v>0</v>
      </c>
    </row>
    <row r="28" spans="2:14" s="1" customFormat="1" ht="27" customHeight="1" x14ac:dyDescent="0.3">
      <c r="B28" s="4"/>
      <c r="C28" s="2"/>
      <c r="E28" s="2"/>
      <c r="F28" s="5"/>
      <c r="G28" s="5"/>
      <c r="J28" s="6"/>
      <c r="K28" s="7"/>
      <c r="L28" s="7">
        <f>SUMPRODUCT((MONTH(Tableau189109[Date])=MONTH($J28))*(DAY(Tableau189109[Date])&lt;15)*Tableau189109[Montant du BL  Paiement LCR])</f>
        <v>0</v>
      </c>
      <c r="M28" s="7"/>
      <c r="N28" s="7"/>
    </row>
    <row r="29" spans="2:14" s="1" customFormat="1" ht="27" customHeight="1" x14ac:dyDescent="0.3">
      <c r="B29" s="4"/>
      <c r="C29" s="2"/>
      <c r="E29" s="2"/>
      <c r="F29" s="5"/>
      <c r="G29" s="5"/>
      <c r="J29" s="10" t="s">
        <v>12</v>
      </c>
      <c r="K29" s="11">
        <f>SUM(K5:K27)</f>
        <v>906.44</v>
      </c>
      <c r="L29" s="11">
        <f>SUM(L5:L27)</f>
        <v>235.82</v>
      </c>
      <c r="M29" s="11">
        <f>SUM(M5:M27)</f>
        <v>252.83</v>
      </c>
      <c r="N29" s="11">
        <f>SUM(N5:N27)</f>
        <v>488.65</v>
      </c>
    </row>
    <row r="30" spans="2:14" s="1" customFormat="1" ht="27" customHeight="1" x14ac:dyDescent="0.3">
      <c r="C30" s="2"/>
      <c r="E30" s="2"/>
      <c r="F30" s="5"/>
      <c r="G30" s="5"/>
    </row>
    <row r="31" spans="2:14" ht="18" customHeight="1" x14ac:dyDescent="0.3">
      <c r="B31" s="1" t="s">
        <v>13</v>
      </c>
      <c r="F31" s="13">
        <f>SUBTOTAL(109,Tableau189109[Montant du BL  Paiement LCR])</f>
        <v>906.44</v>
      </c>
      <c r="G31" s="13"/>
      <c r="J31" s="1"/>
      <c r="K31" s="1"/>
    </row>
    <row r="32" spans="2:14" x14ac:dyDescent="0.3">
      <c r="J32" s="1"/>
      <c r="K32" s="1"/>
    </row>
    <row r="33" spans="10:14" x14ac:dyDescent="0.3">
      <c r="J33" s="1"/>
      <c r="K33" s="1"/>
    </row>
    <row r="34" spans="10:14" x14ac:dyDescent="0.3">
      <c r="J34" s="1"/>
      <c r="K34" s="1"/>
      <c r="L34" s="1"/>
      <c r="M34" s="1"/>
      <c r="N34" s="1"/>
    </row>
    <row r="35" spans="10:14" x14ac:dyDescent="0.3">
      <c r="J35" s="1"/>
      <c r="K35" s="1"/>
      <c r="L35" s="1"/>
      <c r="M35" s="1"/>
      <c r="N35" s="1"/>
    </row>
    <row r="36" spans="10:14" x14ac:dyDescent="0.3">
      <c r="J36" s="1"/>
      <c r="K36" s="1"/>
      <c r="L36" s="1"/>
      <c r="M36" s="1"/>
      <c r="N36" s="1"/>
    </row>
    <row r="37" spans="10:14" x14ac:dyDescent="0.3">
      <c r="J37" s="1"/>
      <c r="K37" s="1"/>
      <c r="L37" s="1"/>
      <c r="M37" s="1"/>
      <c r="N37" s="1"/>
    </row>
    <row r="38" spans="10:14" x14ac:dyDescent="0.3">
      <c r="J38" s="1"/>
      <c r="K38" s="1"/>
      <c r="L38" s="1"/>
      <c r="M38" s="1"/>
      <c r="N38" s="1"/>
    </row>
    <row r="39" spans="10:14" x14ac:dyDescent="0.3">
      <c r="J39" s="1"/>
      <c r="K39" s="1"/>
      <c r="L39" s="1"/>
      <c r="M39" s="1"/>
      <c r="N39" s="1"/>
    </row>
    <row r="40" spans="10:14" x14ac:dyDescent="0.3">
      <c r="J40" s="1"/>
      <c r="K40" s="1"/>
      <c r="L40" s="1"/>
      <c r="M40" s="1"/>
      <c r="N40" s="1"/>
    </row>
    <row r="41" spans="10:14" x14ac:dyDescent="0.3">
      <c r="J41" s="1"/>
      <c r="K41" s="1"/>
      <c r="L41" s="1"/>
      <c r="M41" s="1"/>
      <c r="N41" s="1"/>
    </row>
    <row r="42" spans="10:14" x14ac:dyDescent="0.3">
      <c r="J42" s="1"/>
      <c r="K42" s="1"/>
      <c r="L42" s="1"/>
      <c r="M42" s="1"/>
      <c r="N42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Big Mat</vt:lpstr>
      <vt:lpstr>Montant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petitgerard</dc:creator>
  <cp:lastModifiedBy>guillaume petitgerard</cp:lastModifiedBy>
  <dcterms:created xsi:type="dcterms:W3CDTF">2016-12-04T10:50:49Z</dcterms:created>
  <dcterms:modified xsi:type="dcterms:W3CDTF">2016-12-04T10:51:54Z</dcterms:modified>
</cp:coreProperties>
</file>