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always" defaultThemeVersion="153222"/>
  <mc:AlternateContent xmlns:mc="http://schemas.openxmlformats.org/markup-compatibility/2006">
    <mc:Choice Requires="x15">
      <x15ac:absPath xmlns:x15ac="http://schemas.microsoft.com/office/spreadsheetml/2010/11/ac" url="C:\Users\Ecopro\Desktop\Compta\"/>
    </mc:Choice>
  </mc:AlternateContent>
  <bookViews>
    <workbookView xWindow="0" yWindow="0" windowWidth="23040" windowHeight="9096"/>
  </bookViews>
  <sheets>
    <sheet name="TOTAUX activité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I11" i="1" l="1"/>
  <c r="H11" i="1"/>
  <c r="G11" i="1"/>
  <c r="F11" i="1"/>
  <c r="E11" i="1"/>
  <c r="D11" i="1"/>
  <c r="C11" i="1"/>
  <c r="E9" i="1" l="1"/>
  <c r="E8" i="1"/>
  <c r="E7" i="1"/>
  <c r="M6" i="1" l="1"/>
  <c r="L6" i="1"/>
  <c r="K6" i="1"/>
  <c r="J6" i="1"/>
  <c r="I6" i="1"/>
  <c r="H6" i="1"/>
  <c r="G6" i="1"/>
  <c r="F6" i="1"/>
  <c r="E6" i="1"/>
  <c r="D6" i="1"/>
  <c r="C4" i="1" l="1"/>
  <c r="M5" i="1" l="1"/>
  <c r="L5" i="1"/>
  <c r="K5" i="1"/>
  <c r="J5" i="1"/>
  <c r="I5" i="1"/>
  <c r="H5" i="1"/>
  <c r="G5" i="1"/>
  <c r="F5" i="1"/>
  <c r="E5" i="1"/>
  <c r="D5" i="1"/>
  <c r="C5" i="1" l="1"/>
  <c r="E4" i="1" l="1"/>
  <c r="M9" i="1"/>
  <c r="L9" i="1"/>
  <c r="K9" i="1"/>
  <c r="J9" i="1"/>
  <c r="I9" i="1"/>
  <c r="H9" i="1"/>
  <c r="G9" i="1"/>
  <c r="F9" i="1"/>
  <c r="D9" i="1"/>
  <c r="C9" i="1"/>
  <c r="M8" i="1"/>
  <c r="L8" i="1"/>
  <c r="K8" i="1"/>
  <c r="J8" i="1"/>
  <c r="I8" i="1"/>
  <c r="H8" i="1"/>
  <c r="G8" i="1"/>
  <c r="F8" i="1"/>
  <c r="D8" i="1"/>
  <c r="C8" i="1"/>
  <c r="M7" i="1"/>
  <c r="L7" i="1"/>
  <c r="K7" i="1"/>
  <c r="J7" i="1"/>
  <c r="I7" i="1"/>
  <c r="H7" i="1"/>
  <c r="G7" i="1"/>
  <c r="F7" i="1"/>
  <c r="D7" i="1"/>
  <c r="C7" i="1"/>
  <c r="C16" i="1"/>
  <c r="F4" i="1"/>
  <c r="D4" i="1"/>
  <c r="M16" i="1"/>
  <c r="K16" i="1"/>
  <c r="E16" i="1" l="1"/>
  <c r="D16" i="1"/>
  <c r="F16" i="1"/>
  <c r="M18" i="1"/>
  <c r="J16" i="1"/>
  <c r="K18" i="1"/>
  <c r="J18" i="1"/>
  <c r="I4" i="1" l="1"/>
  <c r="I18" i="1" l="1"/>
  <c r="I16" i="1"/>
  <c r="H4" i="1"/>
  <c r="H16" i="1" s="1"/>
  <c r="G4" i="1"/>
  <c r="G16" i="1" s="1"/>
  <c r="L16" i="1" l="1"/>
  <c r="L18" i="1"/>
</calcChain>
</file>

<file path=xl/sharedStrings.xml><?xml version="1.0" encoding="utf-8"?>
<sst xmlns="http://schemas.openxmlformats.org/spreadsheetml/2006/main" count="14" uniqueCount="14">
  <si>
    <t>Mois</t>
  </si>
  <si>
    <t>Relius total + comptant</t>
  </si>
  <si>
    <t>Doras total + comptant</t>
  </si>
  <si>
    <t>Big Mat total + comptant</t>
  </si>
  <si>
    <t>Zolpan total + comptant</t>
  </si>
  <si>
    <t>Autres enseigne</t>
  </si>
  <si>
    <t>Matériel</t>
  </si>
  <si>
    <t>Bureautique</t>
  </si>
  <si>
    <t>Carburant</t>
  </si>
  <si>
    <t>Entretien clio3</t>
  </si>
  <si>
    <t>Entretien Transit</t>
  </si>
  <si>
    <t>Restauration</t>
  </si>
  <si>
    <t>Total</t>
  </si>
  <si>
    <t>Moyenne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</si>
</sst>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Alignment="1">
      <alignment horizontal="center" vertical="center" wrapText="1"/>
    </xf>
    <xf numFmtId="44" fontId="2" fillId="0" borderId="0" xfId="0" applyNumberFormat="1" applyFont="1" applyAlignment="1">
      <alignment vertical="center"/>
    </xf>
    <xf numFmtId="0" fontId="0" fillId="0" borderId="0" xfId="0" applyAlignment="1">
      <alignment horizontal="left" vertical="center"/>
    </xf>
    <xf numFmtId="44" fontId="2" fillId="0" borderId="0" xfId="0" applyNumberFormat="1" applyFont="1"/>
    <xf numFmtId="0" fontId="1" fillId="2" borderId="0" xfId="0" applyFont="1" applyFill="1" applyAlignment="1">
      <alignment horizontal="center" vertical="center" wrapText="1"/>
    </xf>
    <xf numFmtId="44" fontId="2" fillId="3" borderId="0" xfId="0" applyNumberFormat="1" applyFont="1" applyFill="1" applyAlignment="1">
      <alignment horizontal="right" vertical="center"/>
    </xf>
    <xf numFmtId="0" fontId="2" fillId="0" borderId="0" xfId="0" applyFont="1" applyAlignment="1">
      <alignment horizontal="right" vertical="center"/>
    </xf>
    <xf numFmtId="2" fontId="0" fillId="0" borderId="0" xfId="0" applyNumberFormat="1"/>
    <xf numFmtId="0" fontId="4" fillId="0" borderId="0" xfId="0" applyNumberFormat="1" applyFont="1" applyAlignment="1">
      <alignment horizontal="left" vertical="center"/>
    </xf>
    <xf numFmtId="44" fontId="5" fillId="0" borderId="0" xfId="0" applyNumberFormat="1" applyFont="1" applyAlignment="1">
      <alignment vertical="center"/>
    </xf>
  </cellXfs>
  <cellStyles count="1"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scheme val="minor"/>
      </font>
      <numFmt numFmtId="22" formatCode="mmm\-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2015/Livre%20de%20d&#233;pense%20Pro%2020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2016/Pro%202016/Livre%20de%20d&#233;pense%20Pro%202016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2017/Pro%202017/Livre%20de%20d&#233;pense%20Pro%202017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2018/Pro/Livre%20de%20d&#233;pense%20Pro%202018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2018/Pro%202018/Livre%20de%20d&#233;pense%20Pro%202018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2019/Pro/Livre%20de%20d&#233;pense%20Pro%202019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2019/Pro%202019/Livre%20de%20d&#233;pense%20Pro%202019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2020/Pro/Livre%20de%20d&#233;pense%20Pro%202020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2020/Pro%202020/Livre%20de%20d&#233;pense%20Pr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lius"/>
      <sheetName val="Big Mat"/>
      <sheetName val="Doras"/>
      <sheetName val="Zolpan"/>
      <sheetName val="Autre enseignes"/>
      <sheetName val="Matériel"/>
      <sheetName val="Bureautique"/>
      <sheetName val="Carburant"/>
      <sheetName val="Entretient clio3"/>
      <sheetName val="Entretient Transit"/>
      <sheetName val="Restauration"/>
      <sheetName val="TOTAUX"/>
      <sheetName val="Livre de dépense Pro 201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lius"/>
      <sheetName val="Big Mat"/>
      <sheetName val="Doras"/>
      <sheetName val="Zolpan"/>
      <sheetName val="Autre enseignes"/>
      <sheetName val="Matériel"/>
      <sheetName val="Habillement"/>
      <sheetName val="Bureautique"/>
      <sheetName val="Carburant"/>
      <sheetName val="Entretient clio3"/>
      <sheetName val="Entretient Transit"/>
      <sheetName val="Restauration"/>
      <sheetName val="TOTAUX"/>
      <sheetName val="Livre de dépense Pro 201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lius"/>
      <sheetName val="Big Mat"/>
      <sheetName val="Doras"/>
      <sheetName val="Zolpan"/>
      <sheetName val="Autre enseignes"/>
      <sheetName val="Matériel"/>
      <sheetName val="Habillement"/>
      <sheetName val="Bureautique"/>
      <sheetName val="Carburant"/>
      <sheetName val="Entretient clio3"/>
      <sheetName val="Entretient Transit"/>
      <sheetName val="Restauration"/>
      <sheetName val="TOTAUX"/>
      <sheetName val="Livre de dépense Pro 201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lius"/>
      <sheetName val="Big Mat"/>
      <sheetName val="Doras"/>
      <sheetName val="Zolpan"/>
      <sheetName val="Autre enseignes"/>
      <sheetName val="Matériel"/>
      <sheetName val="Bureautique"/>
      <sheetName val="Carburant"/>
      <sheetName val="Entretient clio3"/>
      <sheetName val="Entretient Transit"/>
      <sheetName val="Restauration"/>
      <sheetName val="TOTAUX"/>
      <sheetName val="Livre de dépense Pro 201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 de dépense Pro 2018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lius"/>
      <sheetName val="Big Mat"/>
      <sheetName val="Doras"/>
      <sheetName val="Zolpan"/>
      <sheetName val="Autre enseignes"/>
      <sheetName val="Matériel"/>
      <sheetName val="Bureautique"/>
      <sheetName val="Carburant"/>
      <sheetName val="Entretient clio3"/>
      <sheetName val="Entretient Transit"/>
      <sheetName val="Restauration"/>
      <sheetName val="TOTAUX"/>
      <sheetName val="Livre de dépense Pro 201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/>
      <sheetData sheetId="1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 de dépense Pro 2019"/>
    </sheet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lius"/>
      <sheetName val="Big Mat"/>
      <sheetName val="Doras"/>
      <sheetName val="Zolpan"/>
      <sheetName val="Autre enseignes"/>
      <sheetName val="Matériel"/>
      <sheetName val="Bureautique"/>
      <sheetName val="Carburant"/>
      <sheetName val="Entretient clio3"/>
      <sheetName val="Entretient Transit"/>
      <sheetName val="Restauration"/>
      <sheetName val="TOTAUX"/>
      <sheetName val="Livre de dépense Pro 2020"/>
    </sheetNames>
    <sheetDataSet>
      <sheetData sheetId="0">
        <row r="11">
          <cell r="M11">
            <v>0</v>
          </cell>
        </row>
      </sheetData>
      <sheetData sheetId="1">
        <row r="11">
          <cell r="M11">
            <v>0</v>
          </cell>
        </row>
      </sheetData>
      <sheetData sheetId="2">
        <row r="11">
          <cell r="M11">
            <v>0</v>
          </cell>
        </row>
      </sheetData>
      <sheetData sheetId="3">
        <row r="11">
          <cell r="M11">
            <v>0</v>
          </cell>
        </row>
      </sheetData>
      <sheetData sheetId="4">
        <row r="11">
          <cell r="J11">
            <v>0</v>
          </cell>
        </row>
      </sheetData>
      <sheetData sheetId="5">
        <row r="11">
          <cell r="J11">
            <v>0</v>
          </cell>
        </row>
      </sheetData>
      <sheetData sheetId="6">
        <row r="11">
          <cell r="J11">
            <v>0</v>
          </cell>
        </row>
      </sheetData>
      <sheetData sheetId="7">
        <row r="5">
          <cell r="H5">
            <v>0</v>
          </cell>
        </row>
      </sheetData>
      <sheetData sheetId="8">
        <row r="5">
          <cell r="J5">
            <v>0</v>
          </cell>
        </row>
      </sheetData>
      <sheetData sheetId="9">
        <row r="5">
          <cell r="J5">
            <v>0</v>
          </cell>
        </row>
      </sheetData>
      <sheetData sheetId="10">
        <row r="5">
          <cell r="J5">
            <v>0</v>
          </cell>
        </row>
      </sheetData>
      <sheetData sheetId="11"/>
      <sheetData sheetId="12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 de dépense Pro 2020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3" displayName="Tableau13" ref="B3:M16" totalsRowCount="1" headerRowDxfId="24">
  <autoFilter ref="B3:M15">
    <filterColumn colId="0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Mois" totalsRowLabel="Total" dataDxfId="23" totalsRowDxfId="22"/>
    <tableColumn id="17" name="Relius total + comptant" totalsRowFunction="sum" dataDxfId="21" totalsRowDxfId="20">
      <calculatedColumnFormula>[8]Relius!M5</calculatedColumnFormula>
    </tableColumn>
    <tableColumn id="18" name="Doras total + comptant" totalsRowFunction="sum" dataDxfId="19" totalsRowDxfId="18">
      <calculatedColumnFormula>[8]Doras!M5</calculatedColumnFormula>
    </tableColumn>
    <tableColumn id="19" name="Big Mat total + comptant" totalsRowFunction="sum" dataDxfId="17" totalsRowDxfId="16">
      <calculatedColumnFormula>'[8]Big Mat'!M5</calculatedColumnFormula>
    </tableColumn>
    <tableColumn id="20" name="Zolpan total + comptant" totalsRowFunction="sum" dataDxfId="15" totalsRowDxfId="14">
      <calculatedColumnFormula>[8]Zolpan!M5</calculatedColumnFormula>
    </tableColumn>
    <tableColumn id="8" name="Autres enseigne" totalsRowFunction="sum" dataDxfId="13" totalsRowDxfId="12">
      <calculatedColumnFormula>'[8]Autre enseignes'!J5</calculatedColumnFormula>
    </tableColumn>
    <tableColumn id="9" name="Matériel" totalsRowFunction="sum" dataDxfId="11" totalsRowDxfId="10">
      <calculatedColumnFormula>[8]Matériel!J5</calculatedColumnFormula>
    </tableColumn>
    <tableColumn id="10" name="Bureautique" totalsRowFunction="sum" dataDxfId="9" totalsRowDxfId="8">
      <calculatedColumnFormula>[8]Bureautique!J5</calculatedColumnFormula>
    </tableColumn>
    <tableColumn id="11" name="Carburant" totalsRowFunction="sum" dataDxfId="7" totalsRowDxfId="6">
      <calculatedColumnFormula>[8]Carburant!H5</calculatedColumnFormula>
    </tableColumn>
    <tableColumn id="14" name="Entretien clio3" totalsRowFunction="sum" dataDxfId="5" totalsRowDxfId="4">
      <calculatedColumnFormula>'[8]Entretient clio3'!J5</calculatedColumnFormula>
    </tableColumn>
    <tableColumn id="12" name="Entretien Transit" totalsRowFunction="sum" dataDxfId="3" totalsRowDxfId="2">
      <calculatedColumnFormula>'[8]Entretient Transit'!J5</calculatedColumnFormula>
    </tableColumn>
    <tableColumn id="13" name="Restauration" totalsRowFunction="sum" dataDxfId="1" totalsRowDxfId="0">
      <calculatedColumnFormula>[8]Restauration!J5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19"/>
  <sheetViews>
    <sheetView tabSelected="1" workbookViewId="0">
      <pane xSplit="2" topLeftCell="C1" activePane="topRight" state="frozen"/>
      <selection pane="topRight" activeCell="E6" sqref="E6"/>
    </sheetView>
  </sheetViews>
  <sheetFormatPr baseColWidth="10" defaultRowHeight="14.4" x14ac:dyDescent="0.3"/>
  <cols>
    <col min="1" max="1" width="5.6640625" customWidth="1"/>
    <col min="2" max="2" width="12.88671875" customWidth="1"/>
    <col min="3" max="6" width="14.21875" customWidth="1"/>
    <col min="7" max="7" width="15.6640625" customWidth="1"/>
    <col min="8" max="8" width="14.21875" customWidth="1"/>
    <col min="9" max="9" width="12.6640625" customWidth="1"/>
    <col min="10" max="10" width="11.109375" customWidth="1"/>
    <col min="11" max="11" width="14.21875" customWidth="1"/>
    <col min="12" max="12" width="13.5546875" customWidth="1"/>
    <col min="13" max="13" width="14.21875" customWidth="1"/>
  </cols>
  <sheetData>
    <row r="3" spans="2:13" s="1" customFormat="1" ht="31.2" x14ac:dyDescent="0.3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  <c r="L3" s="1" t="s">
        <v>10</v>
      </c>
      <c r="M3" s="1" t="s">
        <v>11</v>
      </c>
    </row>
    <row r="4" spans="2:13" ht="21" customHeight="1" x14ac:dyDescent="0.3">
      <c r="B4" s="9">
        <v>2015</v>
      </c>
      <c r="C4" s="2" t="e">
        <f>[1]!Tableau13[[#Totals],[Relius Total + Comptant]]</f>
        <v>#REF!</v>
      </c>
      <c r="D4" s="2" t="e">
        <f>[1]!Tableau13[[#Totals],[Doras Total + Comptant]]</f>
        <v>#REF!</v>
      </c>
      <c r="E4" s="2" t="e">
        <f>[1]!Tableau13[[#Totals],[Big mat Total + Comptant]]</f>
        <v>#REF!</v>
      </c>
      <c r="F4" s="2" t="e">
        <f>[1]!Tableau13[[#Totals],[Zolpan Total + Comptant]]</f>
        <v>#REF!</v>
      </c>
      <c r="G4" s="2" t="e">
        <f>[1]!Tableau13[[#Totals],[Autres enseigne]]</f>
        <v>#REF!</v>
      </c>
      <c r="H4" s="2" t="e">
        <f>[1]!Tableau13[[#Totals],[Matériel]]</f>
        <v>#REF!</v>
      </c>
      <c r="I4" s="2" t="e">
        <f>[1]!Tableau13[[#Totals],[Bureautique]]</f>
        <v>#REF!</v>
      </c>
      <c r="J4" s="2"/>
      <c r="K4" s="2"/>
      <c r="L4" s="2"/>
      <c r="M4" s="2"/>
    </row>
    <row r="5" spans="2:13" ht="21" customHeight="1" x14ac:dyDescent="0.3">
      <c r="B5" s="9">
        <v>2016</v>
      </c>
      <c r="C5" s="2">
        <f>[2]!Tableau13[[#Totals],[Relius total + comptant]]</f>
        <v>6580.3339999999998</v>
      </c>
      <c r="D5" s="2">
        <f>[2]!Tableau13[[#Totals],[Doras total + comptant]]</f>
        <v>3955.83</v>
      </c>
      <c r="E5" s="2">
        <f>[2]!Tableau13[[#Totals],[Big Mat total + comptant]]</f>
        <v>1159.27</v>
      </c>
      <c r="F5" s="2">
        <f>[2]!Tableau13[[#Totals],[Zolpan total + comptant]]</f>
        <v>116.41</v>
      </c>
      <c r="G5" s="2">
        <f>[2]!Tableau13[[#Totals],[Autres enseigne]]</f>
        <v>1102.6899999999998</v>
      </c>
      <c r="H5" s="2">
        <f>[2]!Tableau13[[#Totals],[Matériel]]</f>
        <v>4955.2300000000005</v>
      </c>
      <c r="I5" s="2">
        <f>[2]!Tableau13[[#Totals],[Bureautique]]</f>
        <v>90.67</v>
      </c>
      <c r="J5" s="2">
        <f>[2]!Tableau13[[#Totals],[Carburant]]</f>
        <v>972.43999999999983</v>
      </c>
      <c r="K5" s="2">
        <f>[2]!Tableau13[[#Totals],[Entretien clio3]]</f>
        <v>14.496666666666668</v>
      </c>
      <c r="L5" s="2">
        <f>[2]!Tableau13[[#Totals],[Entretien Transit]]</f>
        <v>1012.15</v>
      </c>
      <c r="M5" s="2">
        <f>[2]!Tableau13[[#Totals],[Restauration]]</f>
        <v>148.68</v>
      </c>
    </row>
    <row r="6" spans="2:13" ht="21" customHeight="1" x14ac:dyDescent="0.3">
      <c r="B6" s="9">
        <v>2017</v>
      </c>
      <c r="C6" s="2" t="e">
        <f>[3]!Tableau13[[#Totals],[Relius total + comptant]]</f>
        <v>#REF!</v>
      </c>
      <c r="D6" s="2" t="e">
        <f>[3]!Tableau13[[#Totals],[Doras total + comptant]]</f>
        <v>#REF!</v>
      </c>
      <c r="E6" s="2" t="e">
        <f>[3]!Tableau13[[#Totals],[Big Mat total + comptant]]</f>
        <v>#REF!</v>
      </c>
      <c r="F6" s="2" t="e">
        <f>[3]!Tableau13[[#Totals],[Zolpan total + comptant]]</f>
        <v>#REF!</v>
      </c>
      <c r="G6" s="2" t="e">
        <f>[3]!Tableau13[[#Totals],[Autres enseigne]]</f>
        <v>#REF!</v>
      </c>
      <c r="H6" s="2" t="e">
        <f>[3]!Tableau13[[#Totals],[Matériel]]</f>
        <v>#REF!</v>
      </c>
      <c r="I6" s="2" t="e">
        <f>[3]!Tableau13[[#Totals],[Bureautique]]</f>
        <v>#REF!</v>
      </c>
      <c r="J6" s="2" t="e">
        <f>[3]!Tableau13[[#Totals],[Carburant]]</f>
        <v>#REF!</v>
      </c>
      <c r="K6" s="2" t="e">
        <f>[3]!Tableau13[[#Totals],[Entretien clio3]]</f>
        <v>#REF!</v>
      </c>
      <c r="L6" s="2" t="e">
        <f>[3]!Tableau13[[#Totals],[Entretien Transit]]</f>
        <v>#REF!</v>
      </c>
      <c r="M6" s="2" t="e">
        <f>[3]!Tableau13[[#Totals],[Restauration]]</f>
        <v>#REF!</v>
      </c>
    </row>
    <row r="7" spans="2:13" ht="21" customHeight="1" x14ac:dyDescent="0.3">
      <c r="B7" s="9">
        <v>2018</v>
      </c>
      <c r="C7" s="2" t="e">
        <f>[4]!Tableau13[[#Totals],[Relius total + comptant]]</f>
        <v>#REF!</v>
      </c>
      <c r="D7" s="2" t="e">
        <f>[4]!Tableau13[[#Totals],[Doras total + comptant]]</f>
        <v>#REF!</v>
      </c>
      <c r="E7" s="2" t="e">
        <f>[5]!Tableau13[[#Totals],[Big Mat total + comptant]]</f>
        <v>#REF!</v>
      </c>
      <c r="F7" s="2" t="e">
        <f>[4]!Tableau13[[#Totals],[Zolpan total + comptant]]</f>
        <v>#REF!</v>
      </c>
      <c r="G7" s="2" t="e">
        <f>[4]!Tableau13[[#Totals],[Autres enseigne]]</f>
        <v>#REF!</v>
      </c>
      <c r="H7" s="2" t="e">
        <f>[4]!Tableau13[[#Totals],[Matériel]]</f>
        <v>#REF!</v>
      </c>
      <c r="I7" s="2" t="e">
        <f>[4]!Tableau13[[#Totals],[Bureautique]]</f>
        <v>#REF!</v>
      </c>
      <c r="J7" s="2" t="e">
        <f>[4]!Tableau13[[#Totals],[Carburant]]</f>
        <v>#REF!</v>
      </c>
      <c r="K7" s="2" t="e">
        <f>[4]!Tableau13[[#Totals],[Entretien clio3]]</f>
        <v>#REF!</v>
      </c>
      <c r="L7" s="2" t="e">
        <f>[4]!Tableau13[[#Totals],[Entretien Transit]]</f>
        <v>#REF!</v>
      </c>
      <c r="M7" s="2" t="e">
        <f>[4]!Tableau13[[#Totals],[Restauration]]</f>
        <v>#REF!</v>
      </c>
    </row>
    <row r="8" spans="2:13" ht="21" customHeight="1" x14ac:dyDescent="0.3">
      <c r="B8" s="9">
        <v>2019</v>
      </c>
      <c r="C8" s="2" t="e">
        <f>[6]!Tableau13[[#Totals],[Relius total + comptant]]</f>
        <v>#REF!</v>
      </c>
      <c r="D8" s="2" t="e">
        <f>[6]!Tableau13[[#Totals],[Doras total + comptant]]</f>
        <v>#REF!</v>
      </c>
      <c r="E8" s="2" t="e">
        <f>[7]!Tableau13[[#Totals],[Big Mat total + comptant]]</f>
        <v>#REF!</v>
      </c>
      <c r="F8" s="2" t="e">
        <f>[6]!Tableau13[[#Totals],[Zolpan total + comptant]]</f>
        <v>#REF!</v>
      </c>
      <c r="G8" s="2" t="e">
        <f>[6]!Tableau13[[#Totals],[Autres enseigne]]</f>
        <v>#REF!</v>
      </c>
      <c r="H8" s="2" t="e">
        <f>[6]!Tableau13[[#Totals],[Matériel]]</f>
        <v>#REF!</v>
      </c>
      <c r="I8" s="2" t="e">
        <f>[6]!Tableau13[[#Totals],[Bureautique]]</f>
        <v>#REF!</v>
      </c>
      <c r="J8" s="2" t="e">
        <f>[6]!Tableau13[[#Totals],[Carburant]]</f>
        <v>#REF!</v>
      </c>
      <c r="K8" s="2" t="e">
        <f>[6]!Tableau13[[#Totals],[Entretien clio3]]</f>
        <v>#REF!</v>
      </c>
      <c r="L8" s="2" t="e">
        <f>[6]!Tableau13[[#Totals],[Entretien Transit]]</f>
        <v>#REF!</v>
      </c>
      <c r="M8" s="2" t="e">
        <f>[6]!Tableau13[[#Totals],[Restauration]]</f>
        <v>#REF!</v>
      </c>
    </row>
    <row r="9" spans="2:13" ht="21" customHeight="1" x14ac:dyDescent="0.3">
      <c r="B9" s="9">
        <v>2020</v>
      </c>
      <c r="C9" s="2" t="e">
        <f>[8]!Tableau13[[#Totals],[Relius total + comptant]]</f>
        <v>#REF!</v>
      </c>
      <c r="D9" s="2" t="e">
        <f>[8]!Tableau13[[#Totals],[Doras total + comptant]]</f>
        <v>#REF!</v>
      </c>
      <c r="E9" s="2" t="e">
        <f>[9]!Tableau13[[#Totals],[Big Mat total + comptant]]</f>
        <v>#REF!</v>
      </c>
      <c r="F9" s="2" t="e">
        <f>[8]!Tableau13[[#Totals],[Zolpan total + comptant]]</f>
        <v>#REF!</v>
      </c>
      <c r="G9" s="2" t="e">
        <f>[8]!Tableau13[[#Totals],[Autres enseigne]]</f>
        <v>#REF!</v>
      </c>
      <c r="H9" s="2" t="e">
        <f>[8]!Tableau13[[#Totals],[Matériel]]</f>
        <v>#REF!</v>
      </c>
      <c r="I9" s="2" t="e">
        <f>[8]!Tableau13[[#Totals],[Bureautique]]</f>
        <v>#REF!</v>
      </c>
      <c r="J9" s="2" t="e">
        <f>[8]!Tableau13[[#Totals],[Carburant]]</f>
        <v>#REF!</v>
      </c>
      <c r="K9" s="2" t="e">
        <f>[8]!Tableau13[[#Totals],[Entretien clio3]]</f>
        <v>#REF!</v>
      </c>
      <c r="L9" s="2" t="e">
        <f>[8]!Tableau13[[#Totals],[Entretien Transit]]</f>
        <v>#REF!</v>
      </c>
      <c r="M9" s="2" t="e">
        <f>[8]!Tableau13[[#Totals],[Restauration]]</f>
        <v>#REF!</v>
      </c>
    </row>
    <row r="10" spans="2:13" ht="21" customHeight="1" x14ac:dyDescent="0.3">
      <c r="B10" s="9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</row>
    <row r="11" spans="2:13" ht="21" customHeight="1" x14ac:dyDescent="0.3">
      <c r="B11" s="9"/>
      <c r="C11" s="2" t="e">
        <f>[1]!Tableau13[[#Totals],[Relius Total + Comptant]]</f>
        <v>#REF!</v>
      </c>
      <c r="D11" s="2" t="e">
        <f>[1]!Tableau13[[#Totals],[Doras Total + Comptant]]</f>
        <v>#REF!</v>
      </c>
      <c r="E11" s="2" t="e">
        <f>[1]!Tableau13[[#Totals],[Big mat Total + Comptant]]</f>
        <v>#REF!</v>
      </c>
      <c r="F11" s="2" t="e">
        <f>[1]!Tableau13[[#Totals],[Zolpan Total + Comptant]]</f>
        <v>#REF!</v>
      </c>
      <c r="G11" s="2" t="e">
        <f>[1]!Tableau13[[#Totals],[Autres enseigne]]</f>
        <v>#REF!</v>
      </c>
      <c r="H11" s="2" t="e">
        <f>[1]!Tableau13[[#Totals],[Matériel]]</f>
        <v>#REF!</v>
      </c>
      <c r="I11" s="2" t="e">
        <f>[1]!Tableau13[[#Totals],[Bureautique]]</f>
        <v>#REF!</v>
      </c>
      <c r="J11" s="2"/>
      <c r="K11" s="2"/>
      <c r="L11" s="2"/>
      <c r="M11" s="2"/>
    </row>
    <row r="12" spans="2:13" ht="21" customHeight="1" x14ac:dyDescent="0.3">
      <c r="B12" s="9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2:13" ht="21" customHeight="1" x14ac:dyDescent="0.3">
      <c r="B13" s="9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2:13" ht="21" customHeight="1" x14ac:dyDescent="0.3">
      <c r="B14" s="9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2:13" ht="21" customHeight="1" x14ac:dyDescent="0.3">
      <c r="B15" s="9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2:13" x14ac:dyDescent="0.3">
      <c r="B16" s="3" t="s">
        <v>12</v>
      </c>
      <c r="C16" s="10" t="e">
        <f>SUBTOTAL(109,Tableau13[Relius total + comptant])</f>
        <v>#REF!</v>
      </c>
      <c r="D16" s="10" t="e">
        <f>SUBTOTAL(109,Tableau13[Doras total + comptant])</f>
        <v>#REF!</v>
      </c>
      <c r="E16" s="10" t="e">
        <f>SUBTOTAL(109,Tableau13[Big Mat total + comptant])</f>
        <v>#REF!</v>
      </c>
      <c r="F16" s="10" t="e">
        <f>SUBTOTAL(109,Tableau13[Zolpan total + comptant])</f>
        <v>#REF!</v>
      </c>
      <c r="G16" s="10" t="e">
        <f>SUBTOTAL(109,Tableau13[Autres enseigne])</f>
        <v>#REF!</v>
      </c>
      <c r="H16" s="10" t="e">
        <f>SUBTOTAL(109,Tableau13[Matériel])</f>
        <v>#REF!</v>
      </c>
      <c r="I16" s="10" t="e">
        <f>SUBTOTAL(109,Tableau13[Bureautique])</f>
        <v>#REF!</v>
      </c>
      <c r="J16" s="10" t="e">
        <f>SUBTOTAL(109,Tableau13[Carburant])</f>
        <v>#REF!</v>
      </c>
      <c r="K16" s="10" t="e">
        <f>SUBTOTAL(109,Tableau13[Entretien clio3])</f>
        <v>#REF!</v>
      </c>
      <c r="L16" s="10" t="e">
        <f>SUBTOTAL(109,Tableau13[Entretien Transit])</f>
        <v>#REF!</v>
      </c>
      <c r="M16" s="10" t="e">
        <f>SUBTOTAL(109,Tableau13[Restauration])</f>
        <v>#REF!</v>
      </c>
    </row>
    <row r="17" spans="2:13" x14ac:dyDescent="0.3"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2:13" s="7" customFormat="1" ht="28.8" x14ac:dyDescent="0.3">
      <c r="B18" s="5" t="s">
        <v>13</v>
      </c>
      <c r="C18" s="6"/>
      <c r="D18" s="6"/>
      <c r="E18" s="6"/>
      <c r="F18" s="6"/>
      <c r="G18" s="6"/>
      <c r="H18" s="6"/>
      <c r="I18" s="6" t="e">
        <f>AVERAGE(Tableau13[Bureautique])</f>
        <v>#REF!</v>
      </c>
      <c r="J18" s="6" t="e">
        <f>AVERAGE(Tableau13[Carburant])</f>
        <v>#REF!</v>
      </c>
      <c r="K18" s="6" t="e">
        <f>AVERAGE(Tableau13[Entretien clio3])</f>
        <v>#REF!</v>
      </c>
      <c r="L18" s="6" t="e">
        <f>AVERAGE(Tableau13[Entretien Transit])</f>
        <v>#REF!</v>
      </c>
      <c r="M18" s="6" t="e">
        <f>AVERAGE(Tableau13[Restauration])</f>
        <v>#REF!</v>
      </c>
    </row>
    <row r="19" spans="2:13" x14ac:dyDescent="0.3">
      <c r="K19" s="8"/>
      <c r="L19" s="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TOTAUX activité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petitgerard</dc:creator>
  <cp:lastModifiedBy>guillaume petitgerard</cp:lastModifiedBy>
  <dcterms:created xsi:type="dcterms:W3CDTF">2016-10-19T14:19:00Z</dcterms:created>
  <dcterms:modified xsi:type="dcterms:W3CDTF">2016-11-22T11:13:38Z</dcterms:modified>
</cp:coreProperties>
</file>