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8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326" codeName="{00CF4601-37BD-836D-55AB-7E336CB4BC7A}"/>
  <workbookPr codeName="ThisWorkbook"/>
  <mc:AlternateContent xmlns:mc="http://schemas.openxmlformats.org/markup-compatibility/2006">
    <mc:Choice Requires="x15">
      <x15ac:absPath xmlns:x15ac="http://schemas.microsoft.com/office/spreadsheetml/2010/11/ac" url="\\Nas_sbi\gestion stock dorma\"/>
    </mc:Choice>
  </mc:AlternateContent>
  <bookViews>
    <workbookView xWindow="0" yWindow="0" windowWidth="28800" windowHeight="11610" tabRatio="712" activeTab="2" xr2:uid="{00000000-000D-0000-FFFF-FFFF00000000}"/>
  </bookViews>
  <sheets>
    <sheet name="Tableau de bord" sheetId="15" r:id="rId1"/>
    <sheet name="Cbo_sousfamille_source" sheetId="24" state="hidden" r:id="rId2"/>
    <sheet name="Orders" sheetId="27" r:id="rId3"/>
    <sheet name="Produits" sheetId="11" r:id="rId4"/>
    <sheet name="Famille" sheetId="10" r:id="rId5"/>
    <sheet name="Cbo_produits_source" sheetId="25" state="hidden" r:id="rId6"/>
    <sheet name="Finition" sheetId="7" r:id="rId7"/>
    <sheet name="Archives Entrées" sheetId="22" r:id="rId8"/>
    <sheet name="Archives Sorties" sheetId="21" r:id="rId9"/>
  </sheets>
  <definedNames>
    <definedName name="_xlnm._FilterDatabase" localSheetId="7" hidden="1">'Archives Entrées'!$A$2:$C$500</definedName>
    <definedName name="_xlnm._FilterDatabase" localSheetId="8" hidden="1">'Archives Sorties'!$A$2:$C$498</definedName>
    <definedName name="_xlnm._FilterDatabase" localSheetId="3" hidden="1">Produits!$A$2:$I$901</definedName>
    <definedName name="_xlnm._FilterDatabase" localSheetId="0" hidden="1">'Tableau de bord'!$A$2:$C$1000</definedName>
    <definedName name="ActiveRow">460</definedName>
    <definedName name="Contenu_cbo_sousfamille">Produits!$A$2:$B$2,Produits!#REF!</definedName>
    <definedName name="_xlnm.Print_Area" localSheetId="0">'Tableau de bord'!$A$1:$P$423</definedName>
  </definedNames>
  <calcPr calcId="171027"/>
  <fileRecoveryPr autoRecover="0"/>
  <extLst>
    <ext xmlns:x14="http://schemas.microsoft.com/office/spreadsheetml/2009/9/main" uri="{79F54976-1DA5-4618-B147-4CDE4B953A38}">
      <x14:workbookPr defaultImageDpi="32767"/>
    </ext>
  </extLst>
</workbook>
</file>

<file path=xl/calcChain.xml><?xml version="1.0" encoding="utf-8"?>
<calcChain xmlns="http://schemas.openxmlformats.org/spreadsheetml/2006/main">
  <c r="L5" i="15" l="1"/>
  <c r="L6" i="15"/>
  <c r="L7" i="15"/>
  <c r="L8" i="15"/>
  <c r="L9" i="15"/>
  <c r="L10" i="15"/>
  <c r="L11" i="15"/>
  <c r="L12" i="15"/>
  <c r="L13" i="15"/>
  <c r="L14" i="15"/>
  <c r="L15" i="15"/>
  <c r="L16" i="15"/>
  <c r="L17" i="15"/>
  <c r="L18" i="15"/>
  <c r="L19" i="15"/>
  <c r="L20" i="15"/>
  <c r="L21" i="15"/>
  <c r="L22" i="15"/>
  <c r="L23" i="15"/>
  <c r="L24" i="15"/>
  <c r="L25" i="15"/>
  <c r="L26" i="15"/>
  <c r="L27" i="15"/>
  <c r="L28" i="15"/>
  <c r="L29" i="15"/>
  <c r="L30" i="15"/>
  <c r="L31" i="15"/>
  <c r="L32" i="15"/>
  <c r="L33" i="15"/>
  <c r="L34" i="15"/>
  <c r="L35" i="15"/>
  <c r="L36" i="15"/>
  <c r="L37" i="15"/>
  <c r="L38" i="15"/>
  <c r="L39" i="15"/>
  <c r="L40" i="15"/>
  <c r="L41" i="15"/>
  <c r="L42" i="15"/>
  <c r="L43" i="15"/>
  <c r="L44" i="15"/>
  <c r="L45" i="15"/>
  <c r="L46" i="15"/>
  <c r="L47" i="15"/>
  <c r="L48" i="15"/>
  <c r="L49" i="15"/>
  <c r="L50" i="15"/>
  <c r="L51" i="15"/>
  <c r="L52" i="15"/>
  <c r="L53" i="15"/>
  <c r="L54" i="15"/>
  <c r="L55" i="15"/>
  <c r="L56" i="15"/>
  <c r="L57" i="15"/>
  <c r="L58" i="15"/>
  <c r="L59" i="15"/>
  <c r="L60" i="15"/>
  <c r="L61" i="15"/>
  <c r="L62" i="15"/>
  <c r="L63" i="15"/>
  <c r="L64" i="15"/>
  <c r="L65" i="15"/>
  <c r="L66" i="15"/>
  <c r="L67" i="15"/>
  <c r="L68" i="15"/>
  <c r="L69" i="15"/>
  <c r="L70" i="15"/>
  <c r="L71" i="15"/>
  <c r="L72" i="15"/>
  <c r="L73" i="15"/>
  <c r="L74" i="15"/>
  <c r="L75" i="15"/>
  <c r="L76" i="15"/>
  <c r="L77" i="15"/>
  <c r="L78" i="15"/>
  <c r="L79" i="15"/>
  <c r="L80" i="15"/>
  <c r="L81" i="15"/>
  <c r="L82" i="15"/>
  <c r="L83" i="15"/>
  <c r="L84" i="15"/>
  <c r="L85" i="15"/>
  <c r="L86" i="15"/>
  <c r="L87" i="15"/>
  <c r="L88" i="15"/>
  <c r="L89" i="15"/>
  <c r="L90" i="15"/>
  <c r="L91" i="15"/>
  <c r="L92" i="15"/>
  <c r="L93" i="15"/>
  <c r="L94" i="15"/>
  <c r="L95" i="15"/>
  <c r="L96" i="15"/>
  <c r="L97" i="15"/>
  <c r="L98" i="15"/>
  <c r="L99" i="15"/>
  <c r="L100" i="15"/>
  <c r="L101" i="15"/>
  <c r="L102" i="15"/>
  <c r="L103" i="15"/>
  <c r="L104" i="15"/>
  <c r="L105" i="15"/>
  <c r="L106" i="15"/>
  <c r="L107" i="15"/>
  <c r="L108" i="15"/>
  <c r="L109" i="15"/>
  <c r="L110" i="15"/>
  <c r="L111" i="15"/>
  <c r="L112" i="15"/>
  <c r="L113" i="15"/>
  <c r="L114" i="15"/>
  <c r="L115" i="15"/>
  <c r="L116" i="15"/>
  <c r="L117" i="15"/>
  <c r="L118" i="15"/>
  <c r="L119" i="15"/>
  <c r="L120" i="15"/>
  <c r="L121" i="15"/>
  <c r="L122" i="15"/>
  <c r="L123" i="15"/>
  <c r="L124" i="15"/>
  <c r="L125" i="15"/>
  <c r="L126" i="15"/>
  <c r="L127" i="15"/>
  <c r="L128" i="15"/>
  <c r="L129" i="15"/>
  <c r="L130" i="15"/>
  <c r="L131" i="15"/>
  <c r="L132" i="15"/>
  <c r="L133" i="15"/>
  <c r="L134" i="15"/>
  <c r="L135" i="15"/>
  <c r="L136" i="15"/>
  <c r="L137" i="15"/>
  <c r="L138" i="15"/>
  <c r="L139" i="15"/>
  <c r="L140" i="15"/>
  <c r="L141" i="15"/>
  <c r="L142" i="15"/>
  <c r="L143" i="15"/>
  <c r="L144" i="15"/>
  <c r="L145" i="15"/>
  <c r="L146" i="15"/>
  <c r="L147" i="15"/>
  <c r="L148" i="15"/>
  <c r="L149" i="15"/>
  <c r="L150" i="15"/>
  <c r="L151" i="15"/>
  <c r="L152" i="15"/>
  <c r="L153" i="15"/>
  <c r="L154" i="15"/>
  <c r="L155" i="15"/>
  <c r="L156" i="15"/>
  <c r="L157" i="15"/>
  <c r="L158" i="15"/>
  <c r="L159" i="15"/>
  <c r="L160" i="15"/>
  <c r="L161" i="15"/>
  <c r="L162" i="15"/>
  <c r="L163" i="15"/>
  <c r="L164" i="15"/>
  <c r="L165" i="15"/>
  <c r="L166" i="15"/>
  <c r="L167" i="15"/>
  <c r="L168" i="15"/>
  <c r="L169" i="15"/>
  <c r="L170" i="15"/>
  <c r="L171" i="15"/>
  <c r="L172" i="15"/>
  <c r="L173" i="15"/>
  <c r="L174" i="15"/>
  <c r="L175" i="15"/>
  <c r="L176" i="15"/>
  <c r="L177" i="15"/>
  <c r="L178" i="15"/>
  <c r="L179" i="15"/>
  <c r="L180" i="15"/>
  <c r="L181" i="15"/>
  <c r="L182" i="15"/>
  <c r="L183" i="15"/>
  <c r="L184" i="15"/>
  <c r="L185" i="15"/>
  <c r="L186" i="15"/>
  <c r="L187" i="15"/>
  <c r="L188" i="15"/>
  <c r="L189" i="15"/>
  <c r="L190" i="15"/>
  <c r="L191" i="15"/>
  <c r="L192" i="15"/>
  <c r="L193" i="15"/>
  <c r="L194" i="15"/>
  <c r="L195" i="15"/>
  <c r="L196" i="15"/>
  <c r="L197" i="15"/>
  <c r="L198" i="15"/>
  <c r="L199" i="15"/>
  <c r="L200" i="15"/>
  <c r="L201" i="15"/>
  <c r="L202" i="15"/>
  <c r="L203" i="15"/>
  <c r="L204" i="15"/>
  <c r="L205" i="15"/>
  <c r="L206" i="15"/>
  <c r="L207" i="15"/>
  <c r="L208" i="15"/>
  <c r="L209" i="15"/>
  <c r="L210" i="15"/>
  <c r="L211" i="15"/>
  <c r="L212" i="15"/>
  <c r="L213" i="15"/>
  <c r="L214" i="15"/>
  <c r="L215" i="15"/>
  <c r="L216" i="15"/>
  <c r="L217" i="15"/>
  <c r="L218" i="15"/>
  <c r="L219" i="15"/>
  <c r="L220" i="15"/>
  <c r="L221" i="15"/>
  <c r="L222" i="15"/>
  <c r="L223" i="15"/>
  <c r="L224" i="15"/>
  <c r="L225" i="15"/>
  <c r="L226" i="15"/>
  <c r="L227" i="15"/>
  <c r="L228" i="15"/>
  <c r="L229" i="15"/>
  <c r="L230" i="15"/>
  <c r="L231" i="15"/>
  <c r="L232" i="15"/>
  <c r="L233" i="15"/>
  <c r="L234" i="15"/>
  <c r="L235" i="15"/>
  <c r="L236" i="15"/>
  <c r="L237" i="15"/>
  <c r="L238" i="15"/>
  <c r="L239" i="15"/>
  <c r="L240" i="15"/>
  <c r="L241" i="15"/>
  <c r="L242" i="15"/>
  <c r="L243" i="15"/>
  <c r="L244" i="15"/>
  <c r="L245" i="15"/>
  <c r="L246" i="15"/>
  <c r="L247" i="15"/>
  <c r="L248" i="15"/>
  <c r="L249" i="15"/>
  <c r="L250" i="15"/>
  <c r="L251" i="15"/>
  <c r="L252" i="15"/>
  <c r="L253" i="15"/>
  <c r="L254" i="15"/>
  <c r="L255" i="15"/>
  <c r="L256" i="15"/>
  <c r="L257" i="15"/>
  <c r="L258" i="15"/>
  <c r="L259" i="15"/>
  <c r="L260" i="15"/>
  <c r="L261" i="15"/>
  <c r="L262" i="15"/>
  <c r="L263" i="15"/>
  <c r="L264" i="15"/>
  <c r="L265" i="15"/>
  <c r="L266" i="15"/>
  <c r="L267" i="15"/>
  <c r="L268" i="15"/>
  <c r="L269" i="15"/>
  <c r="L270" i="15"/>
  <c r="L271" i="15"/>
  <c r="L272" i="15"/>
  <c r="L273" i="15"/>
  <c r="L274" i="15"/>
  <c r="L275" i="15"/>
  <c r="L276" i="15"/>
  <c r="L277" i="15"/>
  <c r="L278" i="15"/>
  <c r="L279" i="15"/>
  <c r="L280" i="15"/>
  <c r="L281" i="15"/>
  <c r="L282" i="15"/>
  <c r="L283" i="15"/>
  <c r="L284" i="15"/>
  <c r="L285" i="15"/>
  <c r="L286" i="15"/>
  <c r="L287" i="15"/>
  <c r="L288" i="15"/>
  <c r="L289" i="15"/>
  <c r="L290" i="15"/>
  <c r="L291" i="15"/>
  <c r="L292" i="15"/>
  <c r="L293" i="15"/>
  <c r="L294" i="15"/>
  <c r="L295" i="15"/>
  <c r="L296" i="15"/>
  <c r="L297" i="15"/>
  <c r="L298" i="15"/>
  <c r="L299" i="15"/>
  <c r="L300" i="15"/>
  <c r="L301" i="15"/>
  <c r="L302" i="15"/>
  <c r="L303" i="15"/>
  <c r="L304" i="15"/>
  <c r="L305" i="15"/>
  <c r="L306" i="15"/>
  <c r="L307" i="15"/>
  <c r="L308" i="15"/>
  <c r="L309" i="15"/>
  <c r="L310" i="15"/>
  <c r="L311" i="15"/>
  <c r="L312" i="15"/>
  <c r="L313" i="15"/>
  <c r="L314" i="15"/>
  <c r="L315" i="15"/>
  <c r="L316" i="15"/>
  <c r="L317" i="15"/>
  <c r="L318" i="15"/>
  <c r="L319" i="15"/>
  <c r="L320" i="15"/>
  <c r="L321" i="15"/>
  <c r="L322" i="15"/>
  <c r="L323" i="15"/>
  <c r="L324" i="15"/>
  <c r="L325" i="15"/>
  <c r="L326" i="15"/>
  <c r="L327" i="15"/>
  <c r="L328" i="15"/>
  <c r="L329" i="15"/>
  <c r="L330" i="15"/>
  <c r="L331" i="15"/>
  <c r="L332" i="15"/>
  <c r="L333" i="15"/>
  <c r="L334" i="15"/>
  <c r="L335" i="15"/>
  <c r="L336" i="15"/>
  <c r="L337" i="15"/>
  <c r="L338" i="15"/>
  <c r="L339" i="15"/>
  <c r="L340" i="15"/>
  <c r="L341" i="15"/>
  <c r="L342" i="15"/>
  <c r="L343" i="15"/>
  <c r="L344" i="15"/>
  <c r="L345" i="15"/>
  <c r="L346" i="15"/>
  <c r="L347" i="15"/>
  <c r="L348" i="15"/>
  <c r="L349" i="15"/>
  <c r="L350" i="15"/>
  <c r="L351" i="15"/>
  <c r="L352" i="15"/>
  <c r="L353" i="15"/>
  <c r="L354" i="15"/>
  <c r="L355" i="15"/>
  <c r="L356" i="15"/>
  <c r="L357" i="15"/>
  <c r="L358" i="15"/>
  <c r="L359" i="15"/>
  <c r="L360" i="15"/>
  <c r="L361" i="15"/>
  <c r="L362" i="15"/>
  <c r="L363" i="15"/>
  <c r="L364" i="15"/>
  <c r="L365" i="15"/>
  <c r="L366" i="15"/>
  <c r="L367" i="15"/>
  <c r="L368" i="15"/>
  <c r="L369" i="15"/>
  <c r="L370" i="15"/>
  <c r="L371" i="15"/>
  <c r="L372" i="15"/>
  <c r="L373" i="15"/>
  <c r="L374" i="15"/>
  <c r="L375" i="15"/>
  <c r="L376" i="15"/>
  <c r="L377" i="15"/>
  <c r="L378" i="15"/>
  <c r="L379" i="15"/>
  <c r="L380" i="15"/>
  <c r="L381" i="15"/>
  <c r="L382" i="15"/>
  <c r="L383" i="15"/>
  <c r="L384" i="15"/>
  <c r="L385" i="15"/>
  <c r="L386" i="15"/>
  <c r="L387" i="15"/>
  <c r="L388" i="15"/>
  <c r="L389" i="15"/>
  <c r="L390" i="15"/>
  <c r="L391" i="15"/>
  <c r="L392" i="15"/>
  <c r="L393" i="15"/>
  <c r="L394" i="15"/>
  <c r="L395" i="15"/>
  <c r="L396" i="15"/>
  <c r="L397" i="15"/>
  <c r="L398" i="15"/>
  <c r="L399" i="15"/>
  <c r="L400" i="15"/>
  <c r="L401" i="15"/>
  <c r="L402" i="15"/>
  <c r="L403" i="15"/>
  <c r="L404" i="15"/>
  <c r="L405" i="15"/>
  <c r="L406" i="15"/>
  <c r="L407" i="15"/>
  <c r="L408" i="15"/>
  <c r="L409" i="15"/>
  <c r="L410" i="15"/>
  <c r="L411" i="15"/>
  <c r="L412" i="15"/>
  <c r="L413" i="15"/>
  <c r="L414" i="15"/>
  <c r="L415" i="15"/>
  <c r="L416" i="15"/>
  <c r="L417" i="15"/>
  <c r="L418" i="15"/>
  <c r="L419" i="15"/>
  <c r="L420" i="15"/>
  <c r="L421" i="15"/>
  <c r="L422" i="15"/>
  <c r="L423" i="15"/>
  <c r="L424" i="15"/>
  <c r="L425" i="15"/>
  <c r="L426" i="15"/>
  <c r="L427" i="15"/>
  <c r="L428" i="15"/>
  <c r="L429" i="15"/>
  <c r="L430" i="15"/>
  <c r="L431" i="15"/>
  <c r="L432" i="15"/>
  <c r="L433" i="15"/>
  <c r="L434" i="15"/>
  <c r="L435" i="15"/>
  <c r="L436" i="15"/>
  <c r="L437" i="15"/>
  <c r="L438" i="15"/>
  <c r="L439" i="15"/>
  <c r="L440" i="15"/>
  <c r="L441" i="15"/>
  <c r="L442" i="15"/>
  <c r="L443" i="15"/>
  <c r="L444" i="15"/>
  <c r="L445" i="15"/>
  <c r="L446" i="15"/>
  <c r="L447" i="15"/>
  <c r="L448" i="15"/>
  <c r="L449" i="15"/>
  <c r="L450" i="15"/>
  <c r="L451" i="15"/>
  <c r="L452" i="15"/>
  <c r="L453" i="15"/>
  <c r="L454" i="15"/>
  <c r="L455" i="15"/>
  <c r="L456" i="15"/>
  <c r="L457" i="15"/>
  <c r="L458" i="15"/>
  <c r="L459" i="15"/>
  <c r="L460" i="15"/>
  <c r="L461" i="15"/>
  <c r="L462" i="15"/>
  <c r="L463" i="15"/>
  <c r="L464" i="15"/>
  <c r="L465" i="15"/>
  <c r="L466" i="15"/>
  <c r="L467" i="15"/>
  <c r="L468" i="15"/>
  <c r="L469" i="15"/>
  <c r="L470" i="15"/>
  <c r="L471" i="15"/>
  <c r="L472" i="15"/>
  <c r="L473" i="15"/>
  <c r="L474" i="15"/>
  <c r="L475" i="15"/>
  <c r="L476" i="15"/>
  <c r="L477" i="15"/>
  <c r="L478" i="15"/>
  <c r="L479" i="15"/>
  <c r="L480" i="15"/>
  <c r="L481" i="15"/>
  <c r="L482" i="15"/>
  <c r="L483" i="15"/>
  <c r="L484" i="15"/>
  <c r="L485" i="15"/>
  <c r="L486" i="15"/>
  <c r="L487" i="15"/>
  <c r="L488" i="15"/>
  <c r="L489" i="15"/>
  <c r="L490" i="15"/>
  <c r="L491" i="15"/>
  <c r="L492" i="15"/>
  <c r="L493" i="15"/>
  <c r="L494" i="15"/>
  <c r="L495" i="15"/>
  <c r="L496" i="15"/>
  <c r="L497" i="15"/>
  <c r="L498" i="15"/>
  <c r="L499" i="15"/>
  <c r="L500" i="15"/>
  <c r="L501" i="15"/>
  <c r="L502" i="15"/>
  <c r="L503" i="15"/>
  <c r="L504" i="15"/>
  <c r="L505" i="15"/>
  <c r="L506" i="15"/>
  <c r="L507" i="15"/>
  <c r="L508" i="15"/>
  <c r="L509" i="15"/>
  <c r="L510" i="15"/>
  <c r="L511" i="15"/>
  <c r="L512" i="15"/>
  <c r="L513" i="15"/>
  <c r="L514" i="15"/>
  <c r="L515" i="15"/>
  <c r="L516" i="15"/>
  <c r="L517" i="15"/>
  <c r="L518" i="15"/>
  <c r="L519" i="15"/>
  <c r="L520" i="15"/>
  <c r="L521" i="15"/>
  <c r="L522" i="15"/>
  <c r="L523" i="15"/>
  <c r="L524" i="15"/>
  <c r="L525" i="15"/>
  <c r="L526" i="15"/>
  <c r="L527" i="15"/>
  <c r="L528" i="15"/>
  <c r="L529" i="15"/>
  <c r="L530" i="15"/>
  <c r="L531" i="15"/>
  <c r="L532" i="15"/>
  <c r="L533" i="15"/>
  <c r="L534" i="15"/>
  <c r="L535" i="15"/>
  <c r="L536" i="15"/>
  <c r="L537" i="15"/>
  <c r="L538" i="15"/>
  <c r="L539" i="15"/>
  <c r="L540" i="15"/>
  <c r="L541" i="15"/>
  <c r="L542" i="15"/>
  <c r="L543" i="15"/>
  <c r="L544" i="15"/>
  <c r="L545" i="15"/>
  <c r="L546" i="15"/>
  <c r="L547" i="15"/>
  <c r="L548" i="15"/>
  <c r="L549" i="15"/>
  <c r="L550" i="15"/>
  <c r="L551" i="15"/>
  <c r="L552" i="15"/>
  <c r="L553" i="15"/>
  <c r="L554" i="15"/>
  <c r="L555" i="15"/>
  <c r="L556" i="15"/>
  <c r="L557" i="15"/>
  <c r="L558" i="15"/>
  <c r="L559" i="15"/>
  <c r="L560" i="15"/>
  <c r="L561" i="15"/>
  <c r="L562" i="15"/>
  <c r="L563" i="15"/>
  <c r="L564" i="15"/>
  <c r="L565" i="15"/>
  <c r="L566" i="15"/>
  <c r="L567" i="15"/>
  <c r="L568" i="15"/>
  <c r="L569" i="15"/>
  <c r="L570" i="15"/>
  <c r="L571" i="15"/>
  <c r="L572" i="15"/>
  <c r="L573" i="15"/>
  <c r="L574" i="15"/>
  <c r="L575" i="15"/>
  <c r="L576" i="15"/>
  <c r="L577" i="15"/>
  <c r="L578" i="15"/>
  <c r="L579" i="15"/>
  <c r="L580" i="15"/>
  <c r="L581" i="15"/>
  <c r="L582" i="15"/>
  <c r="L583" i="15"/>
  <c r="L584" i="15"/>
  <c r="L585" i="15"/>
  <c r="L586" i="15"/>
  <c r="L587" i="15"/>
  <c r="L588" i="15"/>
  <c r="L589" i="15"/>
  <c r="L590" i="15"/>
  <c r="L591" i="15"/>
  <c r="L592" i="15"/>
  <c r="L593" i="15"/>
  <c r="L594" i="15"/>
  <c r="L595" i="15"/>
  <c r="L596" i="15"/>
  <c r="L597" i="15"/>
  <c r="L598" i="15"/>
  <c r="L599" i="15"/>
  <c r="L600" i="15"/>
  <c r="L601" i="15"/>
  <c r="L602" i="15"/>
  <c r="L603" i="15"/>
  <c r="L604" i="15"/>
  <c r="L605" i="15"/>
  <c r="L606" i="15"/>
  <c r="L607" i="15"/>
  <c r="L608" i="15"/>
  <c r="L609" i="15"/>
  <c r="L610" i="15"/>
  <c r="L611" i="15"/>
  <c r="L612" i="15"/>
  <c r="L613" i="15"/>
  <c r="L614" i="15"/>
  <c r="L615" i="15"/>
  <c r="L616" i="15"/>
  <c r="L617" i="15"/>
  <c r="L618" i="15"/>
  <c r="L619" i="15"/>
  <c r="L620" i="15"/>
  <c r="L621" i="15"/>
  <c r="L622" i="15"/>
  <c r="L623" i="15"/>
  <c r="L624" i="15"/>
  <c r="L625" i="15"/>
  <c r="L626" i="15"/>
  <c r="L627" i="15"/>
  <c r="L628" i="15"/>
  <c r="L629" i="15"/>
  <c r="L630" i="15"/>
  <c r="L631" i="15"/>
  <c r="L632" i="15"/>
  <c r="L633" i="15"/>
  <c r="L634" i="15"/>
  <c r="L635" i="15"/>
  <c r="L636" i="15"/>
  <c r="L637" i="15"/>
  <c r="L638" i="15"/>
  <c r="L639" i="15"/>
  <c r="L640" i="15"/>
  <c r="L641" i="15"/>
  <c r="L642" i="15"/>
  <c r="L643" i="15"/>
  <c r="L644" i="15"/>
  <c r="L645" i="15"/>
  <c r="L646" i="15"/>
  <c r="L647" i="15"/>
  <c r="L648" i="15"/>
  <c r="L649" i="15"/>
  <c r="L650" i="15"/>
  <c r="L651" i="15"/>
  <c r="L652" i="15"/>
  <c r="L653" i="15"/>
  <c r="L654" i="15"/>
  <c r="L655" i="15"/>
  <c r="L656" i="15"/>
  <c r="L657" i="15"/>
  <c r="L658" i="15"/>
  <c r="L659" i="15"/>
  <c r="L660" i="15"/>
  <c r="L661" i="15"/>
  <c r="L662" i="15"/>
  <c r="L663" i="15"/>
  <c r="L664" i="15"/>
  <c r="L665" i="15"/>
  <c r="L666" i="15"/>
  <c r="L667" i="15"/>
  <c r="L668" i="15"/>
  <c r="L669" i="15"/>
  <c r="L670" i="15"/>
  <c r="L671" i="15"/>
  <c r="L672" i="15"/>
  <c r="L673" i="15"/>
  <c r="L674" i="15"/>
  <c r="L675" i="15"/>
  <c r="L676" i="15"/>
  <c r="L677" i="15"/>
  <c r="L678" i="15"/>
  <c r="L679" i="15"/>
  <c r="L680" i="15"/>
  <c r="L681" i="15"/>
  <c r="L682" i="15"/>
  <c r="L683" i="15"/>
  <c r="L684" i="15"/>
  <c r="L685" i="15"/>
  <c r="L686" i="15"/>
  <c r="L687" i="15"/>
  <c r="L688" i="15"/>
  <c r="L689" i="15"/>
  <c r="L690" i="15"/>
  <c r="L691" i="15"/>
  <c r="L692" i="15"/>
  <c r="L693" i="15"/>
  <c r="L694" i="15"/>
  <c r="L695" i="15"/>
  <c r="L696" i="15"/>
  <c r="L697" i="15"/>
  <c r="L698" i="15"/>
  <c r="L699" i="15"/>
  <c r="L700" i="15"/>
  <c r="L701" i="15"/>
  <c r="L702" i="15"/>
  <c r="L703" i="15"/>
  <c r="L704" i="15"/>
  <c r="L705" i="15"/>
  <c r="L706" i="15"/>
  <c r="L707" i="15"/>
  <c r="L708" i="15"/>
  <c r="L709" i="15"/>
  <c r="L710" i="15"/>
  <c r="L711" i="15"/>
  <c r="L712" i="15"/>
  <c r="L713" i="15"/>
  <c r="L714" i="15"/>
  <c r="L715" i="15"/>
  <c r="L716" i="15"/>
  <c r="L717" i="15"/>
  <c r="L718" i="15"/>
  <c r="L719" i="15"/>
  <c r="L720" i="15"/>
  <c r="L721" i="15"/>
  <c r="L722" i="15"/>
  <c r="L723" i="15"/>
  <c r="L724" i="15"/>
  <c r="L725" i="15"/>
  <c r="L726" i="15"/>
  <c r="L727" i="15"/>
  <c r="L728" i="15"/>
  <c r="L729" i="15"/>
  <c r="L730" i="15"/>
  <c r="L731" i="15"/>
  <c r="L732" i="15"/>
  <c r="L733" i="15"/>
  <c r="L734" i="15"/>
  <c r="L735" i="15"/>
  <c r="L736" i="15"/>
  <c r="L737" i="15"/>
  <c r="L738" i="15"/>
  <c r="L739" i="15"/>
  <c r="L740" i="15"/>
  <c r="L741" i="15"/>
  <c r="L742" i="15"/>
  <c r="L743" i="15"/>
  <c r="L744" i="15"/>
  <c r="L745" i="15"/>
  <c r="L746" i="15"/>
  <c r="L747" i="15"/>
  <c r="L748" i="15"/>
  <c r="L749" i="15"/>
  <c r="L750" i="15"/>
  <c r="L751" i="15"/>
  <c r="L752" i="15"/>
  <c r="L753" i="15"/>
  <c r="L754" i="15"/>
  <c r="L755" i="15"/>
  <c r="L756" i="15"/>
  <c r="L757" i="15"/>
  <c r="L758" i="15"/>
  <c r="L759" i="15"/>
  <c r="L760" i="15"/>
  <c r="L761" i="15"/>
  <c r="L762" i="15"/>
  <c r="L763" i="15"/>
  <c r="L764" i="15"/>
  <c r="L765" i="15"/>
  <c r="L766" i="15"/>
  <c r="L767" i="15"/>
  <c r="L768" i="15"/>
  <c r="L769" i="15"/>
  <c r="L770" i="15"/>
  <c r="L771" i="15"/>
  <c r="L772" i="15"/>
  <c r="L773" i="15"/>
  <c r="L774" i="15"/>
  <c r="L775" i="15"/>
  <c r="L776" i="15"/>
  <c r="L777" i="15"/>
  <c r="L778" i="15"/>
  <c r="L779" i="15"/>
  <c r="L780" i="15"/>
  <c r="L781" i="15"/>
  <c r="L782" i="15"/>
  <c r="L783" i="15"/>
  <c r="L784" i="15"/>
  <c r="L785" i="15"/>
  <c r="L786" i="15"/>
  <c r="L787" i="15"/>
  <c r="L788" i="15"/>
  <c r="L789" i="15"/>
  <c r="L790" i="15"/>
  <c r="L791" i="15"/>
  <c r="L792" i="15"/>
  <c r="L793" i="15"/>
  <c r="L794" i="15"/>
  <c r="L795" i="15"/>
  <c r="L796" i="15"/>
  <c r="L797" i="15"/>
  <c r="L798" i="15"/>
  <c r="L799" i="15"/>
  <c r="L800" i="15"/>
  <c r="L801" i="15"/>
  <c r="L802" i="15"/>
  <c r="L803" i="15"/>
  <c r="L804" i="15"/>
  <c r="L805" i="15"/>
  <c r="L806" i="15"/>
  <c r="L807" i="15"/>
  <c r="L808" i="15"/>
  <c r="L809" i="15"/>
  <c r="L810" i="15"/>
  <c r="L811" i="15"/>
  <c r="L812" i="15"/>
  <c r="L813" i="15"/>
  <c r="L814" i="15"/>
  <c r="L815" i="15"/>
  <c r="L816" i="15"/>
  <c r="L817" i="15"/>
  <c r="L818" i="15"/>
  <c r="L819" i="15"/>
  <c r="L820" i="15"/>
  <c r="L821" i="15"/>
  <c r="L822" i="15"/>
  <c r="L823" i="15"/>
  <c r="L824" i="15"/>
  <c r="L825" i="15"/>
  <c r="L826" i="15"/>
  <c r="L827" i="15"/>
  <c r="L828" i="15"/>
  <c r="L829" i="15"/>
  <c r="L830" i="15"/>
  <c r="L831" i="15"/>
  <c r="L832" i="15"/>
  <c r="L833" i="15"/>
  <c r="L834" i="15"/>
  <c r="L835" i="15"/>
  <c r="L836" i="15"/>
  <c r="L837" i="15"/>
  <c r="L838" i="15"/>
  <c r="L839" i="15"/>
  <c r="L840" i="15"/>
  <c r="L841" i="15"/>
  <c r="L842" i="15"/>
  <c r="L843" i="15"/>
  <c r="L844" i="15"/>
  <c r="L845" i="15"/>
  <c r="L846" i="15"/>
  <c r="L847" i="15"/>
  <c r="L848" i="15"/>
  <c r="L849" i="15"/>
  <c r="L850" i="15"/>
  <c r="L851" i="15"/>
  <c r="L852" i="15"/>
  <c r="L853" i="15"/>
  <c r="L854" i="15"/>
  <c r="L855" i="15"/>
  <c r="L856" i="15"/>
  <c r="L857" i="15"/>
  <c r="L858" i="15"/>
  <c r="L859" i="15"/>
  <c r="L860" i="15"/>
  <c r="L861" i="15"/>
  <c r="L862" i="15"/>
  <c r="L863" i="15"/>
  <c r="L864" i="15"/>
  <c r="L865" i="15"/>
  <c r="L866" i="15"/>
  <c r="L867" i="15"/>
  <c r="L868" i="15"/>
  <c r="L869" i="15"/>
  <c r="L870" i="15"/>
  <c r="L871" i="15"/>
  <c r="L872" i="15"/>
  <c r="L873" i="15"/>
  <c r="L874" i="15"/>
  <c r="L875" i="15"/>
  <c r="L876" i="15"/>
  <c r="L877" i="15"/>
  <c r="L878" i="15"/>
  <c r="L879" i="15"/>
  <c r="L880" i="15"/>
  <c r="L881" i="15"/>
  <c r="L882" i="15"/>
  <c r="L883" i="15"/>
  <c r="L884" i="15"/>
  <c r="L885" i="15"/>
  <c r="L886" i="15"/>
  <c r="L887" i="15"/>
  <c r="L888" i="15"/>
  <c r="L889" i="15"/>
  <c r="L890" i="15"/>
  <c r="L891" i="15"/>
  <c r="L892" i="15"/>
  <c r="L893" i="15"/>
  <c r="L894" i="15"/>
  <c r="L895" i="15"/>
  <c r="L896" i="15"/>
  <c r="L897" i="15"/>
  <c r="L898" i="15"/>
  <c r="L899" i="15"/>
  <c r="L900" i="15"/>
  <c r="L901" i="15"/>
  <c r="L902" i="15"/>
  <c r="L903" i="15"/>
  <c r="L904" i="15"/>
  <c r="L905" i="15"/>
  <c r="L906" i="15"/>
  <c r="L907" i="15"/>
  <c r="L908" i="15"/>
  <c r="L909" i="15"/>
  <c r="L910" i="15"/>
  <c r="L911" i="15"/>
  <c r="L912" i="15"/>
  <c r="L913" i="15"/>
  <c r="L914" i="15"/>
  <c r="L915" i="15"/>
  <c r="L916" i="15"/>
  <c r="L917" i="15"/>
  <c r="L918" i="15"/>
  <c r="L919" i="15"/>
  <c r="L920" i="15"/>
  <c r="L921" i="15"/>
  <c r="L922" i="15"/>
  <c r="L923" i="15"/>
  <c r="L924" i="15"/>
  <c r="L925" i="15"/>
  <c r="L926" i="15"/>
  <c r="L927" i="15"/>
  <c r="L928" i="15"/>
  <c r="L929" i="15"/>
  <c r="L930" i="15"/>
  <c r="L931" i="15"/>
  <c r="L932" i="15"/>
  <c r="L933" i="15"/>
  <c r="L934" i="15"/>
  <c r="L935" i="15"/>
  <c r="L936" i="15"/>
  <c r="L937" i="15"/>
  <c r="L938" i="15"/>
  <c r="L939" i="15"/>
  <c r="L940" i="15"/>
  <c r="L941" i="15"/>
  <c r="L942" i="15"/>
  <c r="L943" i="15"/>
  <c r="L944" i="15"/>
  <c r="L945" i="15"/>
  <c r="L946" i="15"/>
  <c r="L947" i="15"/>
  <c r="L948" i="15"/>
  <c r="L949" i="15"/>
  <c r="L950" i="15"/>
  <c r="L951" i="15"/>
  <c r="L952" i="15"/>
  <c r="L953" i="15"/>
  <c r="L954" i="15"/>
  <c r="L955" i="15"/>
  <c r="L956" i="15"/>
  <c r="L957" i="15"/>
  <c r="L958" i="15"/>
  <c r="L959" i="15"/>
  <c r="L960" i="15"/>
  <c r="L961" i="15"/>
  <c r="L962" i="15"/>
  <c r="L963" i="15"/>
  <c r="L964" i="15"/>
  <c r="L965" i="15"/>
  <c r="L966" i="15"/>
  <c r="L967" i="15"/>
  <c r="L968" i="15"/>
  <c r="L969" i="15"/>
  <c r="L970" i="15"/>
  <c r="L971" i="15"/>
  <c r="L972" i="15"/>
  <c r="L973" i="15"/>
  <c r="L974" i="15"/>
  <c r="L975" i="15"/>
  <c r="L976" i="15"/>
  <c r="L977" i="15"/>
  <c r="L978" i="15"/>
  <c r="L979" i="15"/>
  <c r="L980" i="15"/>
  <c r="L981" i="15"/>
  <c r="L982" i="15"/>
  <c r="L983" i="15"/>
  <c r="L984" i="15"/>
  <c r="L985" i="15"/>
  <c r="L986" i="15"/>
  <c r="L987" i="15"/>
  <c r="L988" i="15"/>
  <c r="L989" i="15"/>
  <c r="L990" i="15"/>
  <c r="L991" i="15"/>
  <c r="L992" i="15"/>
  <c r="L993" i="15"/>
  <c r="L994" i="15"/>
  <c r="L995" i="15"/>
  <c r="L996" i="15"/>
  <c r="L997" i="15"/>
  <c r="L998" i="15"/>
  <c r="L999" i="15"/>
  <c r="L1000" i="15"/>
  <c r="L4" i="15"/>
  <c r="J5" i="15" l="1"/>
  <c r="J6" i="15"/>
  <c r="J7" i="15"/>
  <c r="J8" i="15"/>
  <c r="J9" i="15"/>
  <c r="J10" i="15"/>
  <c r="J11" i="15"/>
  <c r="J12" i="15"/>
  <c r="J13" i="15"/>
  <c r="J14" i="15"/>
  <c r="J15" i="15"/>
  <c r="J16" i="15"/>
  <c r="J17" i="15"/>
  <c r="J18" i="15"/>
  <c r="J19" i="15"/>
  <c r="J20" i="15"/>
  <c r="J21" i="15"/>
  <c r="J22" i="15"/>
  <c r="J23" i="15"/>
  <c r="J24" i="15"/>
  <c r="J25" i="15"/>
  <c r="J26" i="15"/>
  <c r="J27" i="15"/>
  <c r="J28" i="15"/>
  <c r="J29" i="15"/>
  <c r="J30" i="15"/>
  <c r="J31" i="15"/>
  <c r="J32" i="15"/>
  <c r="J33" i="15"/>
  <c r="J34" i="15"/>
  <c r="J35" i="15"/>
  <c r="J36" i="15"/>
  <c r="J37" i="15"/>
  <c r="J38" i="15"/>
  <c r="J39" i="15"/>
  <c r="J40" i="15"/>
  <c r="J41" i="15"/>
  <c r="J42" i="15"/>
  <c r="J43" i="15"/>
  <c r="J44" i="15"/>
  <c r="J45" i="15"/>
  <c r="J46" i="15"/>
  <c r="J47" i="15"/>
  <c r="J48" i="15"/>
  <c r="J49" i="15"/>
  <c r="J50" i="15"/>
  <c r="J51" i="15"/>
  <c r="J52" i="15"/>
  <c r="J53" i="15"/>
  <c r="J54" i="15"/>
  <c r="J55" i="15"/>
  <c r="J56" i="15"/>
  <c r="J57" i="15"/>
  <c r="J58" i="15"/>
  <c r="J59" i="15"/>
  <c r="J60" i="15"/>
  <c r="J61" i="15"/>
  <c r="J62" i="15"/>
  <c r="J63" i="15"/>
  <c r="J64" i="15"/>
  <c r="J65" i="15"/>
  <c r="J66" i="15"/>
  <c r="J67" i="15"/>
  <c r="J68" i="15"/>
  <c r="J69" i="15"/>
  <c r="J70" i="15"/>
  <c r="J71" i="15"/>
  <c r="J72" i="15"/>
  <c r="J73" i="15"/>
  <c r="J74" i="15"/>
  <c r="J75" i="15"/>
  <c r="J76" i="15"/>
  <c r="J77" i="15"/>
  <c r="J78" i="15"/>
  <c r="J79" i="15"/>
  <c r="J80" i="15"/>
  <c r="J81" i="15"/>
  <c r="J82" i="15"/>
  <c r="J83" i="15"/>
  <c r="J84" i="15"/>
  <c r="J85" i="15"/>
  <c r="J86" i="15"/>
  <c r="J87" i="15"/>
  <c r="J88" i="15"/>
  <c r="J89" i="15"/>
  <c r="J90" i="15"/>
  <c r="J91" i="15"/>
  <c r="J92" i="15"/>
  <c r="J93" i="15"/>
  <c r="J94" i="15"/>
  <c r="J95" i="15"/>
  <c r="J96" i="15"/>
  <c r="J97" i="15"/>
  <c r="J98" i="15"/>
  <c r="J99" i="15"/>
  <c r="J100" i="15"/>
  <c r="J101" i="15"/>
  <c r="J102" i="15"/>
  <c r="J103" i="15"/>
  <c r="J104" i="15"/>
  <c r="J105" i="15"/>
  <c r="J106" i="15"/>
  <c r="J107" i="15"/>
  <c r="J108" i="15"/>
  <c r="J109" i="15"/>
  <c r="J110" i="15"/>
  <c r="J111" i="15"/>
  <c r="J112" i="15"/>
  <c r="J113" i="15"/>
  <c r="J114" i="15"/>
  <c r="J115" i="15"/>
  <c r="J116" i="15"/>
  <c r="J117" i="15"/>
  <c r="J118" i="15"/>
  <c r="J119" i="15"/>
  <c r="J120" i="15"/>
  <c r="J121" i="15"/>
  <c r="J122" i="15"/>
  <c r="J123" i="15"/>
  <c r="J124" i="15"/>
  <c r="J125" i="15"/>
  <c r="J126" i="15"/>
  <c r="J127" i="15"/>
  <c r="J128" i="15"/>
  <c r="J129" i="15"/>
  <c r="J130" i="15"/>
  <c r="J131" i="15"/>
  <c r="J132" i="15"/>
  <c r="J133" i="15"/>
  <c r="J134" i="15"/>
  <c r="J135" i="15"/>
  <c r="J136" i="15"/>
  <c r="J137" i="15"/>
  <c r="J138" i="15"/>
  <c r="J139" i="15"/>
  <c r="J140" i="15"/>
  <c r="J141" i="15"/>
  <c r="J142" i="15"/>
  <c r="J143" i="15"/>
  <c r="J144" i="15"/>
  <c r="J145" i="15"/>
  <c r="J146" i="15"/>
  <c r="J147" i="15"/>
  <c r="J148" i="15"/>
  <c r="J149" i="15"/>
  <c r="J150" i="15"/>
  <c r="J151" i="15"/>
  <c r="J152" i="15"/>
  <c r="J153" i="15"/>
  <c r="J154" i="15"/>
  <c r="J155" i="15"/>
  <c r="J156" i="15"/>
  <c r="J157" i="15"/>
  <c r="J158" i="15"/>
  <c r="J159" i="15"/>
  <c r="J160" i="15"/>
  <c r="J161" i="15"/>
  <c r="J162" i="15"/>
  <c r="J163" i="15"/>
  <c r="J164" i="15"/>
  <c r="J165" i="15"/>
  <c r="J166" i="15"/>
  <c r="J167" i="15"/>
  <c r="J168" i="15"/>
  <c r="J169" i="15"/>
  <c r="J170" i="15"/>
  <c r="J171" i="15"/>
  <c r="J172" i="15"/>
  <c r="J173" i="15"/>
  <c r="J174" i="15"/>
  <c r="J175" i="15"/>
  <c r="J176" i="15"/>
  <c r="J177" i="15"/>
  <c r="J178" i="15"/>
  <c r="J179" i="15"/>
  <c r="J180" i="15"/>
  <c r="J181" i="15"/>
  <c r="J182" i="15"/>
  <c r="J183" i="15"/>
  <c r="J184" i="15"/>
  <c r="J185" i="15"/>
  <c r="J186" i="15"/>
  <c r="J187" i="15"/>
  <c r="J188" i="15"/>
  <c r="J189" i="15"/>
  <c r="J190" i="15"/>
  <c r="J191" i="15"/>
  <c r="J192" i="15"/>
  <c r="J193" i="15"/>
  <c r="J194" i="15"/>
  <c r="J195" i="15"/>
  <c r="J196" i="15"/>
  <c r="J197" i="15"/>
  <c r="J198" i="15"/>
  <c r="J199" i="15"/>
  <c r="J200" i="15"/>
  <c r="J201" i="15"/>
  <c r="J202" i="15"/>
  <c r="J203" i="15"/>
  <c r="J204" i="15"/>
  <c r="J205" i="15"/>
  <c r="J206" i="15"/>
  <c r="J207" i="15"/>
  <c r="J208" i="15"/>
  <c r="J209" i="15"/>
  <c r="J210" i="15"/>
  <c r="J211" i="15"/>
  <c r="J212" i="15"/>
  <c r="J213" i="15"/>
  <c r="J214" i="15"/>
  <c r="J215" i="15"/>
  <c r="J216" i="15"/>
  <c r="J217" i="15"/>
  <c r="J218" i="15"/>
  <c r="J219" i="15"/>
  <c r="J220" i="15"/>
  <c r="J221" i="15"/>
  <c r="J222" i="15"/>
  <c r="J223" i="15"/>
  <c r="J224" i="15"/>
  <c r="J225" i="15"/>
  <c r="J226" i="15"/>
  <c r="J227" i="15"/>
  <c r="J228" i="15"/>
  <c r="J229" i="15"/>
  <c r="J230" i="15"/>
  <c r="J231" i="15"/>
  <c r="J232" i="15"/>
  <c r="J233" i="15"/>
  <c r="J234" i="15"/>
  <c r="J235" i="15"/>
  <c r="J236" i="15"/>
  <c r="J237" i="15"/>
  <c r="J238" i="15"/>
  <c r="J239" i="15"/>
  <c r="J240" i="15"/>
  <c r="J241" i="15"/>
  <c r="J242" i="15"/>
  <c r="J243" i="15"/>
  <c r="J244" i="15"/>
  <c r="J245" i="15"/>
  <c r="J246" i="15"/>
  <c r="J247" i="15"/>
  <c r="J248" i="15"/>
  <c r="J249" i="15"/>
  <c r="J250" i="15"/>
  <c r="J251" i="15"/>
  <c r="J252" i="15"/>
  <c r="J253" i="15"/>
  <c r="J254" i="15"/>
  <c r="J255" i="15"/>
  <c r="J256" i="15"/>
  <c r="J257" i="15"/>
  <c r="J258" i="15"/>
  <c r="J259" i="15"/>
  <c r="J260" i="15"/>
  <c r="J261" i="15"/>
  <c r="J262" i="15"/>
  <c r="J263" i="15"/>
  <c r="J264" i="15"/>
  <c r="J265" i="15"/>
  <c r="J266" i="15"/>
  <c r="J267" i="15"/>
  <c r="J268" i="15"/>
  <c r="J269" i="15"/>
  <c r="J270" i="15"/>
  <c r="J271" i="15"/>
  <c r="J272" i="15"/>
  <c r="J273" i="15"/>
  <c r="J274" i="15"/>
  <c r="J275" i="15"/>
  <c r="J276" i="15"/>
  <c r="J277" i="15"/>
  <c r="J278" i="15"/>
  <c r="J279" i="15"/>
  <c r="J280" i="15"/>
  <c r="J281" i="15"/>
  <c r="J282" i="15"/>
  <c r="J283" i="15"/>
  <c r="J284" i="15"/>
  <c r="J285" i="15"/>
  <c r="J286" i="15"/>
  <c r="J287" i="15"/>
  <c r="J288" i="15"/>
  <c r="J289" i="15"/>
  <c r="J290" i="15"/>
  <c r="J291" i="15"/>
  <c r="J292" i="15"/>
  <c r="J293" i="15"/>
  <c r="J294" i="15"/>
  <c r="J295" i="15"/>
  <c r="J296" i="15"/>
  <c r="J297" i="15"/>
  <c r="J298" i="15"/>
  <c r="J299" i="15"/>
  <c r="J300" i="15"/>
  <c r="J301" i="15"/>
  <c r="J302" i="15"/>
  <c r="J303" i="15"/>
  <c r="J304" i="15"/>
  <c r="J305" i="15"/>
  <c r="J306" i="15"/>
  <c r="J307" i="15"/>
  <c r="J308" i="15"/>
  <c r="J309" i="15"/>
  <c r="J310" i="15"/>
  <c r="J311" i="15"/>
  <c r="J312" i="15"/>
  <c r="J313" i="15"/>
  <c r="J314" i="15"/>
  <c r="J315" i="15"/>
  <c r="J316" i="15"/>
  <c r="J317" i="15"/>
  <c r="J318" i="15"/>
  <c r="J319" i="15"/>
  <c r="J320" i="15"/>
  <c r="J321" i="15"/>
  <c r="J322" i="15"/>
  <c r="J323" i="15"/>
  <c r="J324" i="15"/>
  <c r="J325" i="15"/>
  <c r="J326" i="15"/>
  <c r="J327" i="15"/>
  <c r="J328" i="15"/>
  <c r="J329" i="15"/>
  <c r="J330" i="15"/>
  <c r="J331" i="15"/>
  <c r="J332" i="15"/>
  <c r="J333" i="15"/>
  <c r="J334" i="15"/>
  <c r="J335" i="15"/>
  <c r="J336" i="15"/>
  <c r="J337" i="15"/>
  <c r="J338" i="15"/>
  <c r="J339" i="15"/>
  <c r="J340" i="15"/>
  <c r="J341" i="15"/>
  <c r="J342" i="15"/>
  <c r="J343" i="15"/>
  <c r="J344" i="15"/>
  <c r="J345" i="15"/>
  <c r="J346" i="15"/>
  <c r="J347" i="15"/>
  <c r="J348" i="15"/>
  <c r="J349" i="15"/>
  <c r="J350" i="15"/>
  <c r="J351" i="15"/>
  <c r="J352" i="15"/>
  <c r="J353" i="15"/>
  <c r="J354" i="15"/>
  <c r="J355" i="15"/>
  <c r="J356" i="15"/>
  <c r="J357" i="15"/>
  <c r="J358" i="15"/>
  <c r="J359" i="15"/>
  <c r="J360" i="15"/>
  <c r="J361" i="15"/>
  <c r="J362" i="15"/>
  <c r="J363" i="15"/>
  <c r="J364" i="15"/>
  <c r="J365" i="15"/>
  <c r="J366" i="15"/>
  <c r="J367" i="15"/>
  <c r="J368" i="15"/>
  <c r="J369" i="15"/>
  <c r="J370" i="15"/>
  <c r="J371" i="15"/>
  <c r="J372" i="15"/>
  <c r="J373" i="15"/>
  <c r="J374" i="15"/>
  <c r="J375" i="15"/>
  <c r="J376" i="15"/>
  <c r="J377" i="15"/>
  <c r="J378" i="15"/>
  <c r="J379" i="15"/>
  <c r="J380" i="15"/>
  <c r="J381" i="15"/>
  <c r="J382" i="15"/>
  <c r="J383" i="15"/>
  <c r="J384" i="15"/>
  <c r="J385" i="15"/>
  <c r="J386" i="15"/>
  <c r="J387" i="15"/>
  <c r="J388" i="15"/>
  <c r="J389" i="15"/>
  <c r="J390" i="15"/>
  <c r="J391" i="15"/>
  <c r="J392" i="15"/>
  <c r="J393" i="15"/>
  <c r="J394" i="15"/>
  <c r="J395" i="15"/>
  <c r="J396" i="15"/>
  <c r="J397" i="15"/>
  <c r="J398" i="15"/>
  <c r="J399" i="15"/>
  <c r="J400" i="15"/>
  <c r="J401" i="15"/>
  <c r="J402" i="15"/>
  <c r="J403" i="15"/>
  <c r="J404" i="15"/>
  <c r="J405" i="15"/>
  <c r="J406" i="15"/>
  <c r="J407" i="15"/>
  <c r="J408" i="15"/>
  <c r="J409" i="15"/>
  <c r="J410" i="15"/>
  <c r="J411" i="15"/>
  <c r="J412" i="15"/>
  <c r="J413" i="15"/>
  <c r="J414" i="15"/>
  <c r="J415" i="15"/>
  <c r="J416" i="15"/>
  <c r="J417" i="15"/>
  <c r="J418" i="15"/>
  <c r="J419" i="15"/>
  <c r="J420" i="15"/>
  <c r="J421" i="15"/>
  <c r="J422" i="15"/>
  <c r="J423" i="15"/>
  <c r="J424" i="15"/>
  <c r="J425" i="15"/>
  <c r="J426" i="15"/>
  <c r="J427" i="15"/>
  <c r="J428" i="15"/>
  <c r="J429" i="15"/>
  <c r="J430" i="15"/>
  <c r="J431" i="15"/>
  <c r="J432" i="15"/>
  <c r="J433" i="15"/>
  <c r="J434" i="15"/>
  <c r="J435" i="15"/>
  <c r="J436" i="15"/>
  <c r="J437" i="15"/>
  <c r="J438" i="15"/>
  <c r="J439" i="15"/>
  <c r="J440" i="15"/>
  <c r="J441" i="15"/>
  <c r="J442" i="15"/>
  <c r="J443" i="15"/>
  <c r="J444" i="15"/>
  <c r="J445" i="15"/>
  <c r="J446" i="15"/>
  <c r="J447" i="15"/>
  <c r="J448" i="15"/>
  <c r="J449" i="15"/>
  <c r="J450" i="15"/>
  <c r="J451" i="15"/>
  <c r="J452" i="15"/>
  <c r="J453" i="15"/>
  <c r="J454" i="15"/>
  <c r="J455" i="15"/>
  <c r="J456" i="15"/>
  <c r="J457" i="15"/>
  <c r="J458" i="15"/>
  <c r="J459" i="15"/>
  <c r="J460" i="15"/>
  <c r="J461" i="15"/>
  <c r="J462" i="15"/>
  <c r="J463" i="15"/>
  <c r="J464" i="15"/>
  <c r="J465" i="15"/>
  <c r="J466" i="15"/>
  <c r="J467" i="15"/>
  <c r="J468" i="15"/>
  <c r="J469" i="15"/>
  <c r="J470" i="15"/>
  <c r="J471" i="15"/>
  <c r="J472" i="15"/>
  <c r="J473" i="15"/>
  <c r="J474" i="15"/>
  <c r="J475" i="15"/>
  <c r="J476" i="15"/>
  <c r="J477" i="15"/>
  <c r="J478" i="15"/>
  <c r="J479" i="15"/>
  <c r="J480" i="15"/>
  <c r="J481" i="15"/>
  <c r="J482" i="15"/>
  <c r="J483" i="15"/>
  <c r="J484" i="15"/>
  <c r="J485" i="15"/>
  <c r="J486" i="15"/>
  <c r="J487" i="15"/>
  <c r="J488" i="15"/>
  <c r="J489" i="15"/>
  <c r="J490" i="15"/>
  <c r="J491" i="15"/>
  <c r="J492" i="15"/>
  <c r="J493" i="15"/>
  <c r="J494" i="15"/>
  <c r="J495" i="15"/>
  <c r="J496" i="15"/>
  <c r="J497" i="15"/>
  <c r="J498" i="15"/>
  <c r="J499" i="15"/>
  <c r="J500" i="15"/>
  <c r="J501" i="15"/>
  <c r="J502" i="15"/>
  <c r="J503" i="15"/>
  <c r="J504" i="15"/>
  <c r="J505" i="15"/>
  <c r="J506" i="15"/>
  <c r="J507" i="15"/>
  <c r="J508" i="15"/>
  <c r="J509" i="15"/>
  <c r="J510" i="15"/>
  <c r="J511" i="15"/>
  <c r="J512" i="15"/>
  <c r="J513" i="15"/>
  <c r="J514" i="15"/>
  <c r="J515" i="15"/>
  <c r="J516" i="15"/>
  <c r="J517" i="15"/>
  <c r="J518" i="15"/>
  <c r="J519" i="15"/>
  <c r="J520" i="15"/>
  <c r="J521" i="15"/>
  <c r="J522" i="15"/>
  <c r="J523" i="15"/>
  <c r="J524" i="15"/>
  <c r="J525" i="15"/>
  <c r="J526" i="15"/>
  <c r="J527" i="15"/>
  <c r="J528" i="15"/>
  <c r="J529" i="15"/>
  <c r="J530" i="15"/>
  <c r="J531" i="15"/>
  <c r="J532" i="15"/>
  <c r="J533" i="15"/>
  <c r="J534" i="15"/>
  <c r="J535" i="15"/>
  <c r="J536" i="15"/>
  <c r="J537" i="15"/>
  <c r="J538" i="15"/>
  <c r="J539" i="15"/>
  <c r="J540" i="15"/>
  <c r="J541" i="15"/>
  <c r="J542" i="15"/>
  <c r="J543" i="15"/>
  <c r="J544" i="15"/>
  <c r="J545" i="15"/>
  <c r="J546" i="15"/>
  <c r="J547" i="15"/>
  <c r="J548" i="15"/>
  <c r="J549" i="15"/>
  <c r="J550" i="15"/>
  <c r="J551" i="15"/>
  <c r="J552" i="15"/>
  <c r="J553" i="15"/>
  <c r="J554" i="15"/>
  <c r="J555" i="15"/>
  <c r="J556" i="15"/>
  <c r="J557" i="15"/>
  <c r="J558" i="15"/>
  <c r="J559" i="15"/>
  <c r="J560" i="15"/>
  <c r="J561" i="15"/>
  <c r="J562" i="15"/>
  <c r="J563" i="15"/>
  <c r="J564" i="15"/>
  <c r="J565" i="15"/>
  <c r="J566" i="15"/>
  <c r="J567" i="15"/>
  <c r="J568" i="15"/>
  <c r="J569" i="15"/>
  <c r="J570" i="15"/>
  <c r="J571" i="15"/>
  <c r="J572" i="15"/>
  <c r="J573" i="15"/>
  <c r="J574" i="15"/>
  <c r="J575" i="15"/>
  <c r="J576" i="15"/>
  <c r="J577" i="15"/>
  <c r="J578" i="15"/>
  <c r="J579" i="15"/>
  <c r="J580" i="15"/>
  <c r="J581" i="15"/>
  <c r="J582" i="15"/>
  <c r="J583" i="15"/>
  <c r="J584" i="15"/>
  <c r="J585" i="15"/>
  <c r="J586" i="15"/>
  <c r="J587" i="15"/>
  <c r="J588" i="15"/>
  <c r="J589" i="15"/>
  <c r="J590" i="15"/>
  <c r="J591" i="15"/>
  <c r="J592" i="15"/>
  <c r="J593" i="15"/>
  <c r="J594" i="15"/>
  <c r="J595" i="15"/>
  <c r="J596" i="15"/>
  <c r="J597" i="15"/>
  <c r="J598" i="15"/>
  <c r="J599" i="15"/>
  <c r="J600" i="15"/>
  <c r="J601" i="15"/>
  <c r="J602" i="15"/>
  <c r="J603" i="15"/>
  <c r="J604" i="15"/>
  <c r="J605" i="15"/>
  <c r="J606" i="15"/>
  <c r="J607" i="15"/>
  <c r="J608" i="15"/>
  <c r="J609" i="15"/>
  <c r="J610" i="15"/>
  <c r="J611" i="15"/>
  <c r="J612" i="15"/>
  <c r="J613" i="15"/>
  <c r="J614" i="15"/>
  <c r="J615" i="15"/>
  <c r="J616" i="15"/>
  <c r="J617" i="15"/>
  <c r="J618" i="15"/>
  <c r="J619" i="15"/>
  <c r="J620" i="15"/>
  <c r="J621" i="15"/>
  <c r="J622" i="15"/>
  <c r="J623" i="15"/>
  <c r="J624" i="15"/>
  <c r="J625" i="15"/>
  <c r="J626" i="15"/>
  <c r="J627" i="15"/>
  <c r="J628" i="15"/>
  <c r="J629" i="15"/>
  <c r="J630" i="15"/>
  <c r="J631" i="15"/>
  <c r="J632" i="15"/>
  <c r="J633" i="15"/>
  <c r="J634" i="15"/>
  <c r="J635" i="15"/>
  <c r="J636" i="15"/>
  <c r="J637" i="15"/>
  <c r="J638" i="15"/>
  <c r="J639" i="15"/>
  <c r="J640" i="15"/>
  <c r="J641" i="15"/>
  <c r="J642" i="15"/>
  <c r="J643" i="15"/>
  <c r="J644" i="15"/>
  <c r="J645" i="15"/>
  <c r="J646" i="15"/>
  <c r="J647" i="15"/>
  <c r="J648" i="15"/>
  <c r="J649" i="15"/>
  <c r="J650" i="15"/>
  <c r="J651" i="15"/>
  <c r="J652" i="15"/>
  <c r="J653" i="15"/>
  <c r="J654" i="15"/>
  <c r="J655" i="15"/>
  <c r="J656" i="15"/>
  <c r="J657" i="15"/>
  <c r="J658" i="15"/>
  <c r="J659" i="15"/>
  <c r="J660" i="15"/>
  <c r="J661" i="15"/>
  <c r="J662" i="15"/>
  <c r="J663" i="15"/>
  <c r="J664" i="15"/>
  <c r="J665" i="15"/>
  <c r="J666" i="15"/>
  <c r="J667" i="15"/>
  <c r="J668" i="15"/>
  <c r="J669" i="15"/>
  <c r="J670" i="15"/>
  <c r="J671" i="15"/>
  <c r="J672" i="15"/>
  <c r="J673" i="15"/>
  <c r="J674" i="15"/>
  <c r="J675" i="15"/>
  <c r="J676" i="15"/>
  <c r="J677" i="15"/>
  <c r="J678" i="15"/>
  <c r="J679" i="15"/>
  <c r="J680" i="15"/>
  <c r="J681" i="15"/>
  <c r="J682" i="15"/>
  <c r="J683" i="15"/>
  <c r="J684" i="15"/>
  <c r="J685" i="15"/>
  <c r="J686" i="15"/>
  <c r="J687" i="15"/>
  <c r="J688" i="15"/>
  <c r="J689" i="15"/>
  <c r="J690" i="15"/>
  <c r="J691" i="15"/>
  <c r="J692" i="15"/>
  <c r="J693" i="15"/>
  <c r="J694" i="15"/>
  <c r="J695" i="15"/>
  <c r="J696" i="15"/>
  <c r="J697" i="15"/>
  <c r="J698" i="15"/>
  <c r="J699" i="15"/>
  <c r="J700" i="15"/>
  <c r="J701" i="15"/>
  <c r="J702" i="15"/>
  <c r="J703" i="15"/>
  <c r="J704" i="15"/>
  <c r="J705" i="15"/>
  <c r="J706" i="15"/>
  <c r="J707" i="15"/>
  <c r="J708" i="15"/>
  <c r="J709" i="15"/>
  <c r="J710" i="15"/>
  <c r="J711" i="15"/>
  <c r="J712" i="15"/>
  <c r="J713" i="15"/>
  <c r="J714" i="15"/>
  <c r="J715" i="15"/>
  <c r="J716" i="15"/>
  <c r="J717" i="15"/>
  <c r="J718" i="15"/>
  <c r="J719" i="15"/>
  <c r="J720" i="15"/>
  <c r="J721" i="15"/>
  <c r="J722" i="15"/>
  <c r="J723" i="15"/>
  <c r="J724" i="15"/>
  <c r="J725" i="15"/>
  <c r="J726" i="15"/>
  <c r="J727" i="15"/>
  <c r="J728" i="15"/>
  <c r="J729" i="15"/>
  <c r="J730" i="15"/>
  <c r="J731" i="15"/>
  <c r="J732" i="15"/>
  <c r="J733" i="15"/>
  <c r="J734" i="15"/>
  <c r="J735" i="15"/>
  <c r="J736" i="15"/>
  <c r="J737" i="15"/>
  <c r="J738" i="15"/>
  <c r="J739" i="15"/>
  <c r="J740" i="15"/>
  <c r="J741" i="15"/>
  <c r="J742" i="15"/>
  <c r="J743" i="15"/>
  <c r="J744" i="15"/>
  <c r="J745" i="15"/>
  <c r="J746" i="15"/>
  <c r="J747" i="15"/>
  <c r="J748" i="15"/>
  <c r="J749" i="15"/>
  <c r="J750" i="15"/>
  <c r="J751" i="15"/>
  <c r="J752" i="15"/>
  <c r="J753" i="15"/>
  <c r="J754" i="15"/>
  <c r="J755" i="15"/>
  <c r="J756" i="15"/>
  <c r="J757" i="15"/>
  <c r="J758" i="15"/>
  <c r="J759" i="15"/>
  <c r="J760" i="15"/>
  <c r="J761" i="15"/>
  <c r="J762" i="15"/>
  <c r="J763" i="15"/>
  <c r="J764" i="15"/>
  <c r="J765" i="15"/>
  <c r="J766" i="15"/>
  <c r="J767" i="15"/>
  <c r="J768" i="15"/>
  <c r="J769" i="15"/>
  <c r="J770" i="15"/>
  <c r="J771" i="15"/>
  <c r="J772" i="15"/>
  <c r="J773" i="15"/>
  <c r="J774" i="15"/>
  <c r="J775" i="15"/>
  <c r="J776" i="15"/>
  <c r="J777" i="15"/>
  <c r="J778" i="15"/>
  <c r="J779" i="15"/>
  <c r="J780" i="15"/>
  <c r="J781" i="15"/>
  <c r="J782" i="15"/>
  <c r="J783" i="15"/>
  <c r="J784" i="15"/>
  <c r="J785" i="15"/>
  <c r="J786" i="15"/>
  <c r="J787" i="15"/>
  <c r="J788" i="15"/>
  <c r="J789" i="15"/>
  <c r="J790" i="15"/>
  <c r="J791" i="15"/>
  <c r="J792" i="15"/>
  <c r="J793" i="15"/>
  <c r="J794" i="15"/>
  <c r="J795" i="15"/>
  <c r="J796" i="15"/>
  <c r="J797" i="15"/>
  <c r="J798" i="15"/>
  <c r="J799" i="15"/>
  <c r="J800" i="15"/>
  <c r="J801" i="15"/>
  <c r="J802" i="15"/>
  <c r="J803" i="15"/>
  <c r="J804" i="15"/>
  <c r="J805" i="15"/>
  <c r="J806" i="15"/>
  <c r="J807" i="15"/>
  <c r="J808" i="15"/>
  <c r="J809" i="15"/>
  <c r="J810" i="15"/>
  <c r="J811" i="15"/>
  <c r="J812" i="15"/>
  <c r="J813" i="15"/>
  <c r="J814" i="15"/>
  <c r="J815" i="15"/>
  <c r="J816" i="15"/>
  <c r="J817" i="15"/>
  <c r="J818" i="15"/>
  <c r="J819" i="15"/>
  <c r="J820" i="15"/>
  <c r="J821" i="15"/>
  <c r="J822" i="15"/>
  <c r="J823" i="15"/>
  <c r="J824" i="15"/>
  <c r="J825" i="15"/>
  <c r="J826" i="15"/>
  <c r="J827" i="15"/>
  <c r="J828" i="15"/>
  <c r="J829" i="15"/>
  <c r="J830" i="15"/>
  <c r="J831" i="15"/>
  <c r="J832" i="15"/>
  <c r="J833" i="15"/>
  <c r="J834" i="15"/>
  <c r="J835" i="15"/>
  <c r="J836" i="15"/>
  <c r="J837" i="15"/>
  <c r="J838" i="15"/>
  <c r="J839" i="15"/>
  <c r="J840" i="15"/>
  <c r="J841" i="15"/>
  <c r="J842" i="15"/>
  <c r="J843" i="15"/>
  <c r="J844" i="15"/>
  <c r="J845" i="15"/>
  <c r="J846" i="15"/>
  <c r="J847" i="15"/>
  <c r="J848" i="15"/>
  <c r="J849" i="15"/>
  <c r="J850" i="15"/>
  <c r="J851" i="15"/>
  <c r="J852" i="15"/>
  <c r="J853" i="15"/>
  <c r="J854" i="15"/>
  <c r="J855" i="15"/>
  <c r="J856" i="15"/>
  <c r="J857" i="15"/>
  <c r="J858" i="15"/>
  <c r="J859" i="15"/>
  <c r="J860" i="15"/>
  <c r="J861" i="15"/>
  <c r="J862" i="15"/>
  <c r="J863" i="15"/>
  <c r="J864" i="15"/>
  <c r="J865" i="15"/>
  <c r="J866" i="15"/>
  <c r="J867" i="15"/>
  <c r="J868" i="15"/>
  <c r="J869" i="15"/>
  <c r="J870" i="15"/>
  <c r="J871" i="15"/>
  <c r="J872" i="15"/>
  <c r="J873" i="15"/>
  <c r="J874" i="15"/>
  <c r="J875" i="15"/>
  <c r="J876" i="15"/>
  <c r="J877" i="15"/>
  <c r="J878" i="15"/>
  <c r="J879" i="15"/>
  <c r="J880" i="15"/>
  <c r="J881" i="15"/>
  <c r="J882" i="15"/>
  <c r="J883" i="15"/>
  <c r="J884" i="15"/>
  <c r="J885" i="15"/>
  <c r="J886" i="15"/>
  <c r="J887" i="15"/>
  <c r="J888" i="15"/>
  <c r="J889" i="15"/>
  <c r="J890" i="15"/>
  <c r="J891" i="15"/>
  <c r="J892" i="15"/>
  <c r="J893" i="15"/>
  <c r="J894" i="15"/>
  <c r="J895" i="15"/>
  <c r="J896" i="15"/>
  <c r="J897" i="15"/>
  <c r="J898" i="15"/>
  <c r="J899" i="15"/>
  <c r="J900" i="15"/>
  <c r="J901" i="15"/>
  <c r="J902" i="15"/>
  <c r="J903" i="15"/>
  <c r="J904" i="15"/>
  <c r="J905" i="15"/>
  <c r="J906" i="15"/>
  <c r="J907" i="15"/>
  <c r="J908" i="15"/>
  <c r="J909" i="15"/>
  <c r="J910" i="15"/>
  <c r="J911" i="15"/>
  <c r="J912" i="15"/>
  <c r="J913" i="15"/>
  <c r="J914" i="15"/>
  <c r="J915" i="15"/>
  <c r="J916" i="15"/>
  <c r="J917" i="15"/>
  <c r="J918" i="15"/>
  <c r="J919" i="15"/>
  <c r="J920" i="15"/>
  <c r="J921" i="15"/>
  <c r="J922" i="15"/>
  <c r="J923" i="15"/>
  <c r="J924" i="15"/>
  <c r="J925" i="15"/>
  <c r="J926" i="15"/>
  <c r="J927" i="15"/>
  <c r="J928" i="15"/>
  <c r="J929" i="15"/>
  <c r="J930" i="15"/>
  <c r="J931" i="15"/>
  <c r="J932" i="15"/>
  <c r="J933" i="15"/>
  <c r="J934" i="15"/>
  <c r="J935" i="15"/>
  <c r="J936" i="15"/>
  <c r="J937" i="15"/>
  <c r="J938" i="15"/>
  <c r="J939" i="15"/>
  <c r="J940" i="15"/>
  <c r="J941" i="15"/>
  <c r="J942" i="15"/>
  <c r="J943" i="15"/>
  <c r="J944" i="15"/>
  <c r="J945" i="15"/>
  <c r="J946" i="15"/>
  <c r="J947" i="15"/>
  <c r="J948" i="15"/>
  <c r="J949" i="15"/>
  <c r="J950" i="15"/>
  <c r="J951" i="15"/>
  <c r="J952" i="15"/>
  <c r="J953" i="15"/>
  <c r="J954" i="15"/>
  <c r="J955" i="15"/>
  <c r="J956" i="15"/>
  <c r="J957" i="15"/>
  <c r="J958" i="15"/>
  <c r="J959" i="15"/>
  <c r="J960" i="15"/>
  <c r="J961" i="15"/>
  <c r="J962" i="15"/>
  <c r="J963" i="15"/>
  <c r="J964" i="15"/>
  <c r="J965" i="15"/>
  <c r="J966" i="15"/>
  <c r="J967" i="15"/>
  <c r="J968" i="15"/>
  <c r="J969" i="15"/>
  <c r="J970" i="15"/>
  <c r="J971" i="15"/>
  <c r="J972" i="15"/>
  <c r="J973" i="15"/>
  <c r="J974" i="15"/>
  <c r="J975" i="15"/>
  <c r="J976" i="15"/>
  <c r="J977" i="15"/>
  <c r="J978" i="15"/>
  <c r="J979" i="15"/>
  <c r="J980" i="15"/>
  <c r="J981" i="15"/>
  <c r="J982" i="15"/>
  <c r="J983" i="15"/>
  <c r="J984" i="15"/>
  <c r="J985" i="15"/>
  <c r="J986" i="15"/>
  <c r="J987" i="15"/>
  <c r="J988" i="15"/>
  <c r="J989" i="15"/>
  <c r="J990" i="15"/>
  <c r="J991" i="15"/>
  <c r="J992" i="15"/>
  <c r="J993" i="15"/>
  <c r="J994" i="15"/>
  <c r="J995" i="15"/>
  <c r="J996" i="15"/>
  <c r="J997" i="15"/>
  <c r="J998" i="15"/>
  <c r="J999" i="15"/>
  <c r="J1000" i="15"/>
  <c r="J4" i="15"/>
  <c r="J1" i="22" l="1"/>
  <c r="J997" i="22" l="1"/>
  <c r="J989" i="22"/>
  <c r="J981" i="22"/>
  <c r="J973" i="22"/>
  <c r="J965" i="22"/>
  <c r="J957" i="22"/>
  <c r="J949" i="22"/>
  <c r="J941" i="22"/>
  <c r="J933" i="22"/>
  <c r="J925" i="22"/>
  <c r="J917" i="22"/>
  <c r="J909" i="22"/>
  <c r="J901" i="22"/>
  <c r="J893" i="22"/>
  <c r="J885" i="22"/>
  <c r="J877" i="22"/>
  <c r="J869" i="22"/>
  <c r="J861" i="22"/>
  <c r="J853" i="22"/>
  <c r="J845" i="22"/>
  <c r="J837" i="22"/>
  <c r="J829" i="22"/>
  <c r="J821" i="22"/>
  <c r="J813" i="22"/>
  <c r="J805" i="22"/>
  <c r="J797" i="22"/>
  <c r="J789" i="22"/>
  <c r="J781" i="22"/>
  <c r="J773" i="22"/>
  <c r="J765" i="22"/>
  <c r="J757" i="22"/>
  <c r="J749" i="22"/>
  <c r="J741" i="22"/>
  <c r="J733" i="22"/>
  <c r="J725" i="22"/>
  <c r="J717" i="22"/>
  <c r="J709" i="22"/>
  <c r="J701" i="22"/>
  <c r="J693" i="22"/>
  <c r="J685" i="22"/>
  <c r="J677" i="22"/>
  <c r="J669" i="22"/>
  <c r="J661" i="22"/>
  <c r="J653" i="22"/>
  <c r="J645" i="22"/>
  <c r="J637" i="22"/>
  <c r="J629" i="22"/>
  <c r="J621" i="22"/>
  <c r="J613" i="22"/>
  <c r="J605" i="22"/>
  <c r="J597" i="22"/>
  <c r="J589" i="22"/>
  <c r="J581" i="22"/>
  <c r="J573" i="22"/>
  <c r="J565" i="22"/>
  <c r="J557" i="22"/>
  <c r="J549" i="22"/>
  <c r="J541" i="22"/>
  <c r="J533" i="22"/>
  <c r="J525" i="22"/>
  <c r="J517" i="22"/>
  <c r="J509" i="22"/>
  <c r="J501" i="22"/>
  <c r="J493" i="22"/>
  <c r="J485" i="22"/>
  <c r="J477" i="22"/>
  <c r="J469" i="22"/>
  <c r="J461" i="22"/>
  <c r="J453" i="22"/>
  <c r="J445" i="22"/>
  <c r="J437" i="22"/>
  <c r="J429" i="22"/>
  <c r="J421" i="22"/>
  <c r="J413" i="22"/>
  <c r="J405" i="22"/>
  <c r="J397" i="22"/>
  <c r="J389" i="22"/>
  <c r="J381" i="22"/>
  <c r="J373" i="22"/>
  <c r="J365" i="22"/>
  <c r="J357" i="22"/>
  <c r="J349" i="22"/>
  <c r="J341" i="22"/>
  <c r="J333" i="22"/>
  <c r="J325" i="22"/>
  <c r="J996" i="22"/>
  <c r="J988" i="22"/>
  <c r="J980" i="22"/>
  <c r="J972" i="22"/>
  <c r="J964" i="22"/>
  <c r="J956" i="22"/>
  <c r="J948" i="22"/>
  <c r="J940" i="22"/>
  <c r="J932" i="22"/>
  <c r="J924" i="22"/>
  <c r="J916" i="22"/>
  <c r="J908" i="22"/>
  <c r="J900" i="22"/>
  <c r="J892" i="22"/>
  <c r="J884" i="22"/>
  <c r="J876" i="22"/>
  <c r="J868" i="22"/>
  <c r="J860" i="22"/>
  <c r="J852" i="22"/>
  <c r="J844" i="22"/>
  <c r="J836" i="22"/>
  <c r="J828" i="22"/>
  <c r="J820" i="22"/>
  <c r="J812" i="22"/>
  <c r="J804" i="22"/>
  <c r="J796" i="22"/>
  <c r="J788" i="22"/>
  <c r="J780" i="22"/>
  <c r="J772" i="22"/>
  <c r="J764" i="22"/>
  <c r="J756" i="22"/>
  <c r="J748" i="22"/>
  <c r="J740" i="22"/>
  <c r="J732" i="22"/>
  <c r="J724" i="22"/>
  <c r="J716" i="22"/>
  <c r="J708" i="22"/>
  <c r="J700" i="22"/>
  <c r="J692" i="22"/>
  <c r="J684" i="22"/>
  <c r="J676" i="22"/>
  <c r="J668" i="22"/>
  <c r="J660" i="22"/>
  <c r="J652" i="22"/>
  <c r="J644" i="22"/>
  <c r="J636" i="22"/>
  <c r="J628" i="22"/>
  <c r="J620" i="22"/>
  <c r="J612" i="22"/>
  <c r="J604" i="22"/>
  <c r="J596" i="22"/>
  <c r="J588" i="22"/>
  <c r="J580" i="22"/>
  <c r="J572" i="22"/>
  <c r="J564" i="22"/>
  <c r="J556" i="22"/>
  <c r="J548" i="22"/>
  <c r="J540" i="22"/>
  <c r="J532" i="22"/>
  <c r="J524" i="22"/>
  <c r="J516" i="22"/>
  <c r="J508" i="22"/>
  <c r="J500" i="22"/>
  <c r="J492" i="22"/>
  <c r="J484" i="22"/>
  <c r="J476" i="22"/>
  <c r="J468" i="22"/>
  <c r="J460" i="22"/>
  <c r="J452" i="22"/>
  <c r="J444" i="22"/>
  <c r="J436" i="22"/>
  <c r="J428" i="22"/>
  <c r="J420" i="22"/>
  <c r="J412" i="22"/>
  <c r="J404" i="22"/>
  <c r="J396" i="22"/>
  <c r="J388" i="22"/>
  <c r="J380" i="22"/>
  <c r="J372" i="22"/>
  <c r="J364" i="22"/>
  <c r="J356" i="22"/>
  <c r="J348" i="22"/>
  <c r="J340" i="22"/>
  <c r="J332" i="22"/>
  <c r="J324" i="22"/>
  <c r="J995" i="22"/>
  <c r="J987" i="22"/>
  <c r="J979" i="22"/>
  <c r="J971" i="22"/>
  <c r="J963" i="22"/>
  <c r="J955" i="22"/>
  <c r="J947" i="22"/>
  <c r="J939" i="22"/>
  <c r="J931" i="22"/>
  <c r="J923" i="22"/>
  <c r="J915" i="22"/>
  <c r="J907" i="22"/>
  <c r="J899" i="22"/>
  <c r="J891" i="22"/>
  <c r="J883" i="22"/>
  <c r="J875" i="22"/>
  <c r="J867" i="22"/>
  <c r="J859" i="22"/>
  <c r="J851" i="22"/>
  <c r="J843" i="22"/>
  <c r="J835" i="22"/>
  <c r="J827" i="22"/>
  <c r="J819" i="22"/>
  <c r="J811" i="22"/>
  <c r="J803" i="22"/>
  <c r="J795" i="22"/>
  <c r="J787" i="22"/>
  <c r="J779" i="22"/>
  <c r="J771" i="22"/>
  <c r="J763" i="22"/>
  <c r="J755" i="22"/>
  <c r="J747" i="22"/>
  <c r="J739" i="22"/>
  <c r="J731" i="22"/>
  <c r="J723" i="22"/>
  <c r="J715" i="22"/>
  <c r="J707" i="22"/>
  <c r="J699" i="22"/>
  <c r="J691" i="22"/>
  <c r="J683" i="22"/>
  <c r="J675" i="22"/>
  <c r="J667" i="22"/>
  <c r="J659" i="22"/>
  <c r="J651" i="22"/>
  <c r="J643" i="22"/>
  <c r="J635" i="22"/>
  <c r="J627" i="22"/>
  <c r="J619" i="22"/>
  <c r="J611" i="22"/>
  <c r="J603" i="22"/>
  <c r="J595" i="22"/>
  <c r="J587" i="22"/>
  <c r="J579" i="22"/>
  <c r="J571" i="22"/>
  <c r="J563" i="22"/>
  <c r="J555" i="22"/>
  <c r="J547" i="22"/>
  <c r="J539" i="22"/>
  <c r="J531" i="22"/>
  <c r="J523" i="22"/>
  <c r="J515" i="22"/>
  <c r="J507" i="22"/>
  <c r="J499" i="22"/>
  <c r="J491" i="22"/>
  <c r="J483" i="22"/>
  <c r="J475" i="22"/>
  <c r="J467" i="22"/>
  <c r="J459" i="22"/>
  <c r="J451" i="22"/>
  <c r="J443" i="22"/>
  <c r="J435" i="22"/>
  <c r="J427" i="22"/>
  <c r="J419" i="22"/>
  <c r="J411" i="22"/>
  <c r="J403" i="22"/>
  <c r="J395" i="22"/>
  <c r="J387" i="22"/>
  <c r="J379" i="22"/>
  <c r="J371" i="22"/>
  <c r="J363" i="22"/>
  <c r="J355" i="22"/>
  <c r="J347" i="22"/>
  <c r="J339" i="22"/>
  <c r="J331" i="22"/>
  <c r="J323" i="22"/>
  <c r="J994" i="22"/>
  <c r="J986" i="22"/>
  <c r="J978" i="22"/>
  <c r="J970" i="22"/>
  <c r="J962" i="22"/>
  <c r="J954" i="22"/>
  <c r="J946" i="22"/>
  <c r="J938" i="22"/>
  <c r="J930" i="22"/>
  <c r="J922" i="22"/>
  <c r="J914" i="22"/>
  <c r="J906" i="22"/>
  <c r="J898" i="22"/>
  <c r="J890" i="22"/>
  <c r="J882" i="22"/>
  <c r="J874" i="22"/>
  <c r="J866" i="22"/>
  <c r="J858" i="22"/>
  <c r="J850" i="22"/>
  <c r="J842" i="22"/>
  <c r="J834" i="22"/>
  <c r="J826" i="22"/>
  <c r="J818" i="22"/>
  <c r="J810" i="22"/>
  <c r="J802" i="22"/>
  <c r="J794" i="22"/>
  <c r="J786" i="22"/>
  <c r="J778" i="22"/>
  <c r="J770" i="22"/>
  <c r="J762" i="22"/>
  <c r="J754" i="22"/>
  <c r="J746" i="22"/>
  <c r="J738" i="22"/>
  <c r="J730" i="22"/>
  <c r="J722" i="22"/>
  <c r="J714" i="22"/>
  <c r="J706" i="22"/>
  <c r="J698" i="22"/>
  <c r="J690" i="22"/>
  <c r="J682" i="22"/>
  <c r="J674" i="22"/>
  <c r="J666" i="22"/>
  <c r="J658" i="22"/>
  <c r="J650" i="22"/>
  <c r="J642" i="22"/>
  <c r="J634" i="22"/>
  <c r="J626" i="22"/>
  <c r="J618" i="22"/>
  <c r="J610" i="22"/>
  <c r="J602" i="22"/>
  <c r="J594" i="22"/>
  <c r="J586" i="22"/>
  <c r="J578" i="22"/>
  <c r="J570" i="22"/>
  <c r="J562" i="22"/>
  <c r="J554" i="22"/>
  <c r="J546" i="22"/>
  <c r="J538" i="22"/>
  <c r="J530" i="22"/>
  <c r="J522" i="22"/>
  <c r="J514" i="22"/>
  <c r="J506" i="22"/>
  <c r="J498" i="22"/>
  <c r="J490" i="22"/>
  <c r="J482" i="22"/>
  <c r="J474" i="22"/>
  <c r="J466" i="22"/>
  <c r="J458" i="22"/>
  <c r="J450" i="22"/>
  <c r="J442" i="22"/>
  <c r="J434" i="22"/>
  <c r="J426" i="22"/>
  <c r="J418" i="22"/>
  <c r="J410" i="22"/>
  <c r="J402" i="22"/>
  <c r="J394" i="22"/>
  <c r="J386" i="22"/>
  <c r="J378" i="22"/>
  <c r="J370" i="22"/>
  <c r="J362" i="22"/>
  <c r="J354" i="22"/>
  <c r="J346" i="22"/>
  <c r="J338" i="22"/>
  <c r="J330" i="22"/>
  <c r="J322" i="22"/>
  <c r="J993" i="22"/>
  <c r="J985" i="22"/>
  <c r="J977" i="22"/>
  <c r="J969" i="22"/>
  <c r="J961" i="22"/>
  <c r="J953" i="22"/>
  <c r="J945" i="22"/>
  <c r="J937" i="22"/>
  <c r="J929" i="22"/>
  <c r="J921" i="22"/>
  <c r="J913" i="22"/>
  <c r="J905" i="22"/>
  <c r="J897" i="22"/>
  <c r="J889" i="22"/>
  <c r="J881" i="22"/>
  <c r="J873" i="22"/>
  <c r="J865" i="22"/>
  <c r="J857" i="22"/>
  <c r="J849" i="22"/>
  <c r="J841" i="22"/>
  <c r="J833" i="22"/>
  <c r="J825" i="22"/>
  <c r="J817" i="22"/>
  <c r="J809" i="22"/>
  <c r="J801" i="22"/>
  <c r="J793" i="22"/>
  <c r="J785" i="22"/>
  <c r="J777" i="22"/>
  <c r="J769" i="22"/>
  <c r="J761" i="22"/>
  <c r="J753" i="22"/>
  <c r="J745" i="22"/>
  <c r="J737" i="22"/>
  <c r="J729" i="22"/>
  <c r="J721" i="22"/>
  <c r="J713" i="22"/>
  <c r="J705" i="22"/>
  <c r="J697" i="22"/>
  <c r="J689" i="22"/>
  <c r="J681" i="22"/>
  <c r="J673" i="22"/>
  <c r="J665" i="22"/>
  <c r="J657" i="22"/>
  <c r="J649" i="22"/>
  <c r="J641" i="22"/>
  <c r="J633" i="22"/>
  <c r="J625" i="22"/>
  <c r="J617" i="22"/>
  <c r="J609" i="22"/>
  <c r="J601" i="22"/>
  <c r="J593" i="22"/>
  <c r="J585" i="22"/>
  <c r="J577" i="22"/>
  <c r="J569" i="22"/>
  <c r="J561" i="22"/>
  <c r="J553" i="22"/>
  <c r="J545" i="22"/>
  <c r="J537" i="22"/>
  <c r="J529" i="22"/>
  <c r="J521" i="22"/>
  <c r="J513" i="22"/>
  <c r="J505" i="22"/>
  <c r="J497" i="22"/>
  <c r="J489" i="22"/>
  <c r="J481" i="22"/>
  <c r="J473" i="22"/>
  <c r="J465" i="22"/>
  <c r="J457" i="22"/>
  <c r="J449" i="22"/>
  <c r="J441" i="22"/>
  <c r="J433" i="22"/>
  <c r="J425" i="22"/>
  <c r="J417" i="22"/>
  <c r="J409" i="22"/>
  <c r="J401" i="22"/>
  <c r="J393" i="22"/>
  <c r="J385" i="22"/>
  <c r="J377" i="22"/>
  <c r="J369" i="22"/>
  <c r="J361" i="22"/>
  <c r="J353" i="22"/>
  <c r="J345" i="22"/>
  <c r="J337" i="22"/>
  <c r="J329" i="22"/>
  <c r="J321" i="22"/>
  <c r="J992" i="22"/>
  <c r="J974" i="22"/>
  <c r="J951" i="22"/>
  <c r="J928" i="22"/>
  <c r="J910" i="22"/>
  <c r="J887" i="22"/>
  <c r="J864" i="22"/>
  <c r="J846" i="22"/>
  <c r="J823" i="22"/>
  <c r="J800" i="22"/>
  <c r="J782" i="22"/>
  <c r="J759" i="22"/>
  <c r="J736" i="22"/>
  <c r="J718" i="22"/>
  <c r="J695" i="22"/>
  <c r="J672" i="22"/>
  <c r="J654" i="22"/>
  <c r="J631" i="22"/>
  <c r="J608" i="22"/>
  <c r="J590" i="22"/>
  <c r="J567" i="22"/>
  <c r="J544" i="22"/>
  <c r="J526" i="22"/>
  <c r="J503" i="22"/>
  <c r="J480" i="22"/>
  <c r="J462" i="22"/>
  <c r="J439" i="22"/>
  <c r="J416" i="22"/>
  <c r="J398" i="22"/>
  <c r="J375" i="22"/>
  <c r="J352" i="22"/>
  <c r="J334" i="22"/>
  <c r="J316" i="22"/>
  <c r="J308" i="22"/>
  <c r="J300" i="22"/>
  <c r="J292" i="22"/>
  <c r="J284" i="22"/>
  <c r="J276" i="22"/>
  <c r="J268" i="22"/>
  <c r="J260" i="22"/>
  <c r="J252" i="22"/>
  <c r="J991" i="22"/>
  <c r="J968" i="22"/>
  <c r="J950" i="22"/>
  <c r="J927" i="22"/>
  <c r="J904" i="22"/>
  <c r="J886" i="22"/>
  <c r="J863" i="22"/>
  <c r="J840" i="22"/>
  <c r="J822" i="22"/>
  <c r="J799" i="22"/>
  <c r="J776" i="22"/>
  <c r="J758" i="22"/>
  <c r="J735" i="22"/>
  <c r="J712" i="22"/>
  <c r="J694" i="22"/>
  <c r="J671" i="22"/>
  <c r="J648" i="22"/>
  <c r="J630" i="22"/>
  <c r="J607" i="22"/>
  <c r="J584" i="22"/>
  <c r="J566" i="22"/>
  <c r="J543" i="22"/>
  <c r="J520" i="22"/>
  <c r="J502" i="22"/>
  <c r="J479" i="22"/>
  <c r="J456" i="22"/>
  <c r="J438" i="22"/>
  <c r="J415" i="22"/>
  <c r="J392" i="22"/>
  <c r="J374" i="22"/>
  <c r="J351" i="22"/>
  <c r="J328" i="22"/>
  <c r="J315" i="22"/>
  <c r="J307" i="22"/>
  <c r="J299" i="22"/>
  <c r="J291" i="22"/>
  <c r="J283" i="22"/>
  <c r="J275" i="22"/>
  <c r="J267" i="22"/>
  <c r="J259" i="22"/>
  <c r="J251" i="22"/>
  <c r="J243" i="22"/>
  <c r="J235" i="22"/>
  <c r="J227" i="22"/>
  <c r="J219" i="22"/>
  <c r="J211" i="22"/>
  <c r="J203" i="22"/>
  <c r="J195" i="22"/>
  <c r="J187" i="22"/>
  <c r="J179" i="22"/>
  <c r="J171" i="22"/>
  <c r="J163" i="22"/>
  <c r="J155" i="22"/>
  <c r="J147" i="22"/>
  <c r="J139" i="22"/>
  <c r="J131" i="22"/>
  <c r="J123" i="22"/>
  <c r="J115" i="22"/>
  <c r="J107" i="22"/>
  <c r="J99" i="22"/>
  <c r="J91" i="22"/>
  <c r="J83" i="22"/>
  <c r="J75" i="22"/>
  <c r="J67" i="22"/>
  <c r="J59" i="22"/>
  <c r="J51" i="22"/>
  <c r="J43" i="22"/>
  <c r="J35" i="22"/>
  <c r="J27" i="22"/>
  <c r="J19" i="22"/>
  <c r="J11" i="22"/>
  <c r="J3" i="22"/>
  <c r="J919" i="22"/>
  <c r="J622" i="22"/>
  <c r="J494" i="22"/>
  <c r="J430" i="22"/>
  <c r="J366" i="22"/>
  <c r="J320" i="22"/>
  <c r="J296" i="22"/>
  <c r="J288" i="22"/>
  <c r="J272" i="22"/>
  <c r="J240" i="22"/>
  <c r="J216" i="22"/>
  <c r="J192" i="22"/>
  <c r="J176" i="22"/>
  <c r="J990" i="22"/>
  <c r="J967" i="22"/>
  <c r="J944" i="22"/>
  <c r="J926" i="22"/>
  <c r="J903" i="22"/>
  <c r="J880" i="22"/>
  <c r="J862" i="22"/>
  <c r="J839" i="22"/>
  <c r="J816" i="22"/>
  <c r="J798" i="22"/>
  <c r="J775" i="22"/>
  <c r="J752" i="22"/>
  <c r="J734" i="22"/>
  <c r="J711" i="22"/>
  <c r="J688" i="22"/>
  <c r="J670" i="22"/>
  <c r="J647" i="22"/>
  <c r="J624" i="22"/>
  <c r="J606" i="22"/>
  <c r="J583" i="22"/>
  <c r="J560" i="22"/>
  <c r="J542" i="22"/>
  <c r="J519" i="22"/>
  <c r="J496" i="22"/>
  <c r="J478" i="22"/>
  <c r="J455" i="22"/>
  <c r="J432" i="22"/>
  <c r="J414" i="22"/>
  <c r="J391" i="22"/>
  <c r="J368" i="22"/>
  <c r="J350" i="22"/>
  <c r="J327" i="22"/>
  <c r="J314" i="22"/>
  <c r="J306" i="22"/>
  <c r="J298" i="22"/>
  <c r="J290" i="22"/>
  <c r="J282" i="22"/>
  <c r="J274" i="22"/>
  <c r="J266" i="22"/>
  <c r="J258" i="22"/>
  <c r="J250" i="22"/>
  <c r="J242" i="22"/>
  <c r="J234" i="22"/>
  <c r="J226" i="22"/>
  <c r="J218" i="22"/>
  <c r="J210" i="22"/>
  <c r="J202" i="22"/>
  <c r="J194" i="22"/>
  <c r="J186" i="22"/>
  <c r="J178" i="22"/>
  <c r="J170" i="22"/>
  <c r="J162" i="22"/>
  <c r="J154" i="22"/>
  <c r="J146" i="22"/>
  <c r="J138" i="22"/>
  <c r="J130" i="22"/>
  <c r="J122" i="22"/>
  <c r="J114" i="22"/>
  <c r="J106" i="22"/>
  <c r="J98" i="22"/>
  <c r="J90" i="22"/>
  <c r="J82" i="22"/>
  <c r="J74" i="22"/>
  <c r="J66" i="22"/>
  <c r="J58" i="22"/>
  <c r="J50" i="22"/>
  <c r="J42" i="22"/>
  <c r="J34" i="22"/>
  <c r="J26" i="22"/>
  <c r="J18" i="22"/>
  <c r="J10" i="22"/>
  <c r="J2" i="22"/>
  <c r="J704" i="22"/>
  <c r="J984" i="22"/>
  <c r="J966" i="22"/>
  <c r="J943" i="22"/>
  <c r="J920" i="22"/>
  <c r="J902" i="22"/>
  <c r="J879" i="22"/>
  <c r="J856" i="22"/>
  <c r="J838" i="22"/>
  <c r="J815" i="22"/>
  <c r="J792" i="22"/>
  <c r="J774" i="22"/>
  <c r="J751" i="22"/>
  <c r="J728" i="22"/>
  <c r="J710" i="22"/>
  <c r="J687" i="22"/>
  <c r="J664" i="22"/>
  <c r="J646" i="22"/>
  <c r="J623" i="22"/>
  <c r="J600" i="22"/>
  <c r="J582" i="22"/>
  <c r="J559" i="22"/>
  <c r="J536" i="22"/>
  <c r="J518" i="22"/>
  <c r="J495" i="22"/>
  <c r="J472" i="22"/>
  <c r="J454" i="22"/>
  <c r="J431" i="22"/>
  <c r="J408" i="22"/>
  <c r="J390" i="22"/>
  <c r="J367" i="22"/>
  <c r="J344" i="22"/>
  <c r="J326" i="22"/>
  <c r="J313" i="22"/>
  <c r="J305" i="22"/>
  <c r="J297" i="22"/>
  <c r="J289" i="22"/>
  <c r="J281" i="22"/>
  <c r="J273" i="22"/>
  <c r="J265" i="22"/>
  <c r="J257" i="22"/>
  <c r="J249" i="22"/>
  <c r="J241" i="22"/>
  <c r="J233" i="22"/>
  <c r="J225" i="22"/>
  <c r="J217" i="22"/>
  <c r="J209" i="22"/>
  <c r="J201" i="22"/>
  <c r="J193" i="22"/>
  <c r="J185" i="22"/>
  <c r="J177" i="22"/>
  <c r="J169" i="22"/>
  <c r="J161" i="22"/>
  <c r="J153" i="22"/>
  <c r="J145" i="22"/>
  <c r="J137" i="22"/>
  <c r="J129" i="22"/>
  <c r="J121" i="22"/>
  <c r="J113" i="22"/>
  <c r="J105" i="22"/>
  <c r="J97" i="22"/>
  <c r="J89" i="22"/>
  <c r="J81" i="22"/>
  <c r="J73" i="22"/>
  <c r="J65" i="22"/>
  <c r="J57" i="22"/>
  <c r="J49" i="22"/>
  <c r="J41" i="22"/>
  <c r="J33" i="22"/>
  <c r="J25" i="22"/>
  <c r="J17" i="22"/>
  <c r="J9" i="22"/>
  <c r="J878" i="22"/>
  <c r="J599" i="22"/>
  <c r="J512" i="22"/>
  <c r="J448" i="22"/>
  <c r="J384" i="22"/>
  <c r="J343" i="22"/>
  <c r="J312" i="22"/>
  <c r="J280" i="22"/>
  <c r="J264" i="22"/>
  <c r="J248" i="22"/>
  <c r="J232" i="22"/>
  <c r="J208" i="22"/>
  <c r="J184" i="22"/>
  <c r="J168" i="22"/>
  <c r="J983" i="22"/>
  <c r="J960" i="22"/>
  <c r="J942" i="22"/>
  <c r="J896" i="22"/>
  <c r="J855" i="22"/>
  <c r="J832" i="22"/>
  <c r="J814" i="22"/>
  <c r="J791" i="22"/>
  <c r="J768" i="22"/>
  <c r="J750" i="22"/>
  <c r="J727" i="22"/>
  <c r="J686" i="22"/>
  <c r="J663" i="22"/>
  <c r="J640" i="22"/>
  <c r="J576" i="22"/>
  <c r="J558" i="22"/>
  <c r="J535" i="22"/>
  <c r="J471" i="22"/>
  <c r="J407" i="22"/>
  <c r="J304" i="22"/>
  <c r="J256" i="22"/>
  <c r="J200" i="22"/>
  <c r="J1000" i="22"/>
  <c r="J982" i="22"/>
  <c r="J959" i="22"/>
  <c r="J936" i="22"/>
  <c r="J918" i="22"/>
  <c r="J895" i="22"/>
  <c r="J872" i="22"/>
  <c r="J854" i="22"/>
  <c r="J831" i="22"/>
  <c r="J808" i="22"/>
  <c r="J790" i="22"/>
  <c r="J767" i="22"/>
  <c r="J744" i="22"/>
  <c r="J726" i="22"/>
  <c r="J703" i="22"/>
  <c r="J680" i="22"/>
  <c r="J662" i="22"/>
  <c r="J639" i="22"/>
  <c r="J616" i="22"/>
  <c r="J598" i="22"/>
  <c r="J575" i="22"/>
  <c r="J552" i="22"/>
  <c r="J534" i="22"/>
  <c r="J511" i="22"/>
  <c r="J488" i="22"/>
  <c r="J470" i="22"/>
  <c r="J447" i="22"/>
  <c r="J424" i="22"/>
  <c r="J406" i="22"/>
  <c r="J383" i="22"/>
  <c r="J360" i="22"/>
  <c r="J342" i="22"/>
  <c r="J319" i="22"/>
  <c r="J311" i="22"/>
  <c r="J303" i="22"/>
  <c r="J295" i="22"/>
  <c r="J287" i="22"/>
  <c r="J279" i="22"/>
  <c r="J271" i="22"/>
  <c r="J263" i="22"/>
  <c r="J255" i="22"/>
  <c r="J247" i="22"/>
  <c r="J239" i="22"/>
  <c r="J231" i="22"/>
  <c r="J223" i="22"/>
  <c r="J215" i="22"/>
  <c r="J207" i="22"/>
  <c r="J199" i="22"/>
  <c r="J191" i="22"/>
  <c r="J183" i="22"/>
  <c r="J175" i="22"/>
  <c r="J167" i="22"/>
  <c r="J159" i="22"/>
  <c r="J151" i="22"/>
  <c r="J143" i="22"/>
  <c r="J135" i="22"/>
  <c r="J127" i="22"/>
  <c r="J119" i="22"/>
  <c r="J111" i="22"/>
  <c r="J103" i="22"/>
  <c r="J95" i="22"/>
  <c r="J87" i="22"/>
  <c r="J79" i="22"/>
  <c r="J71" i="22"/>
  <c r="J63" i="22"/>
  <c r="J55" i="22"/>
  <c r="J47" i="22"/>
  <c r="J39" i="22"/>
  <c r="J31" i="22"/>
  <c r="J23" i="22"/>
  <c r="J15" i="22"/>
  <c r="J7" i="22"/>
  <c r="J999" i="22"/>
  <c r="J976" i="22"/>
  <c r="J958" i="22"/>
  <c r="J935" i="22"/>
  <c r="J912" i="22"/>
  <c r="J894" i="22"/>
  <c r="J871" i="22"/>
  <c r="J848" i="22"/>
  <c r="J830" i="22"/>
  <c r="J807" i="22"/>
  <c r="J784" i="22"/>
  <c r="J766" i="22"/>
  <c r="J743" i="22"/>
  <c r="J720" i="22"/>
  <c r="J702" i="22"/>
  <c r="J679" i="22"/>
  <c r="J656" i="22"/>
  <c r="J638" i="22"/>
  <c r="J615" i="22"/>
  <c r="J592" i="22"/>
  <c r="J574" i="22"/>
  <c r="J551" i="22"/>
  <c r="J528" i="22"/>
  <c r="J510" i="22"/>
  <c r="J487" i="22"/>
  <c r="J464" i="22"/>
  <c r="J446" i="22"/>
  <c r="J423" i="22"/>
  <c r="J400" i="22"/>
  <c r="J382" i="22"/>
  <c r="J359" i="22"/>
  <c r="J336" i="22"/>
  <c r="J318" i="22"/>
  <c r="J310" i="22"/>
  <c r="J302" i="22"/>
  <c r="J294" i="22"/>
  <c r="J286" i="22"/>
  <c r="J278" i="22"/>
  <c r="J270" i="22"/>
  <c r="J262" i="22"/>
  <c r="J254" i="22"/>
  <c r="J246" i="22"/>
  <c r="J238" i="22"/>
  <c r="J230" i="22"/>
  <c r="J222" i="22"/>
  <c r="J214" i="22"/>
  <c r="J206" i="22"/>
  <c r="J198" i="22"/>
  <c r="J190" i="22"/>
  <c r="J182" i="22"/>
  <c r="J174" i="22"/>
  <c r="J166" i="22"/>
  <c r="J158" i="22"/>
  <c r="J150" i="22"/>
  <c r="J142" i="22"/>
  <c r="J134" i="22"/>
  <c r="J126" i="22"/>
  <c r="J118" i="22"/>
  <c r="J110" i="22"/>
  <c r="J102" i="22"/>
  <c r="J94" i="22"/>
  <c r="J86" i="22"/>
  <c r="J78" i="22"/>
  <c r="J70" i="22"/>
  <c r="J62" i="22"/>
  <c r="J54" i="22"/>
  <c r="J46" i="22"/>
  <c r="J38" i="22"/>
  <c r="J30" i="22"/>
  <c r="J22" i="22"/>
  <c r="J14" i="22"/>
  <c r="J6" i="22"/>
  <c r="J422" i="22"/>
  <c r="J4" i="22"/>
  <c r="J108" i="22"/>
  <c r="J21" i="22"/>
  <c r="J888" i="22"/>
  <c r="J719" i="22"/>
  <c r="J550" i="22"/>
  <c r="J376" i="22"/>
  <c r="J277" i="22"/>
  <c r="J229" i="22"/>
  <c r="J204" i="22"/>
  <c r="J172" i="22"/>
  <c r="J148" i="22"/>
  <c r="J125" i="22"/>
  <c r="J104" i="22"/>
  <c r="J84" i="22"/>
  <c r="J61" i="22"/>
  <c r="J40" i="22"/>
  <c r="J20" i="22"/>
  <c r="J870" i="22"/>
  <c r="J696" i="22"/>
  <c r="J527" i="22"/>
  <c r="J358" i="22"/>
  <c r="J269" i="22"/>
  <c r="J228" i="22"/>
  <c r="J197" i="22"/>
  <c r="J165" i="22"/>
  <c r="J144" i="22"/>
  <c r="J124" i="22"/>
  <c r="J101" i="22"/>
  <c r="J80" i="22"/>
  <c r="J60" i="22"/>
  <c r="J37" i="22"/>
  <c r="J16" i="22"/>
  <c r="J847" i="22"/>
  <c r="J678" i="22"/>
  <c r="J504" i="22"/>
  <c r="J335" i="22"/>
  <c r="J261" i="22"/>
  <c r="J224" i="22"/>
  <c r="J196" i="22"/>
  <c r="J164" i="22"/>
  <c r="J141" i="22"/>
  <c r="J120" i="22"/>
  <c r="J100" i="22"/>
  <c r="J77" i="22"/>
  <c r="J56" i="22"/>
  <c r="J36" i="22"/>
  <c r="J13" i="22"/>
  <c r="J998" i="22"/>
  <c r="J824" i="22"/>
  <c r="J655" i="22"/>
  <c r="J486" i="22"/>
  <c r="J317" i="22"/>
  <c r="J253" i="22"/>
  <c r="J221" i="22"/>
  <c r="J189" i="22"/>
  <c r="J160" i="22"/>
  <c r="J140" i="22"/>
  <c r="J117" i="22"/>
  <c r="J96" i="22"/>
  <c r="J76" i="22"/>
  <c r="J53" i="22"/>
  <c r="J32" i="22"/>
  <c r="J12" i="22"/>
  <c r="J911" i="22"/>
  <c r="J568" i="22"/>
  <c r="J285" i="22"/>
  <c r="J205" i="22"/>
  <c r="J128" i="22"/>
  <c r="J64" i="22"/>
  <c r="J149" i="22"/>
  <c r="J975" i="22"/>
  <c r="J806" i="22"/>
  <c r="J632" i="22"/>
  <c r="J463" i="22"/>
  <c r="J309" i="22"/>
  <c r="J245" i="22"/>
  <c r="J220" i="22"/>
  <c r="J188" i="22"/>
  <c r="J157" i="22"/>
  <c r="J136" i="22"/>
  <c r="J116" i="22"/>
  <c r="J93" i="22"/>
  <c r="J72" i="22"/>
  <c r="J52" i="22"/>
  <c r="J29" i="22"/>
  <c r="J8" i="22"/>
  <c r="J952" i="22"/>
  <c r="J783" i="22"/>
  <c r="J614" i="22"/>
  <c r="J440" i="22"/>
  <c r="J301" i="22"/>
  <c r="J244" i="22"/>
  <c r="J213" i="22"/>
  <c r="J181" i="22"/>
  <c r="J156" i="22"/>
  <c r="J133" i="22"/>
  <c r="J112" i="22"/>
  <c r="J92" i="22"/>
  <c r="J69" i="22"/>
  <c r="J48" i="22"/>
  <c r="J28" i="22"/>
  <c r="J5" i="22"/>
  <c r="J934" i="22"/>
  <c r="J760" i="22"/>
  <c r="J591" i="22"/>
  <c r="J293" i="22"/>
  <c r="J237" i="22"/>
  <c r="J212" i="22"/>
  <c r="J180" i="22"/>
  <c r="J152" i="22"/>
  <c r="J132" i="22"/>
  <c r="J109" i="22"/>
  <c r="J88" i="22"/>
  <c r="J68" i="22"/>
  <c r="J45" i="22"/>
  <c r="J24" i="22"/>
  <c r="J742" i="22"/>
  <c r="J399" i="22"/>
  <c r="J236" i="22"/>
  <c r="J173" i="22"/>
  <c r="J85" i="22"/>
  <c r="J44" i="22"/>
  <c r="M5" i="15"/>
  <c r="M6" i="15"/>
  <c r="K7" i="15"/>
  <c r="M7" i="15"/>
  <c r="K8" i="15"/>
  <c r="M8" i="15"/>
  <c r="K9" i="15"/>
  <c r="M9" i="15"/>
  <c r="K10" i="15"/>
  <c r="M10" i="15"/>
  <c r="K11" i="15"/>
  <c r="M11" i="15"/>
  <c r="K12" i="15"/>
  <c r="M12" i="15"/>
  <c r="K13" i="15"/>
  <c r="M13" i="15"/>
  <c r="K14" i="15"/>
  <c r="M14" i="15"/>
  <c r="K15" i="15"/>
  <c r="M15" i="15"/>
  <c r="K16" i="15"/>
  <c r="M16" i="15"/>
  <c r="K17" i="15"/>
  <c r="M17" i="15"/>
  <c r="K18" i="15"/>
  <c r="M18" i="15"/>
  <c r="M19" i="15"/>
  <c r="K20" i="15"/>
  <c r="M20" i="15"/>
  <c r="K21" i="15"/>
  <c r="M21" i="15"/>
  <c r="K22" i="15"/>
  <c r="M22" i="15"/>
  <c r="K23" i="15"/>
  <c r="M23" i="15"/>
  <c r="K24" i="15"/>
  <c r="M24" i="15"/>
  <c r="K25" i="15"/>
  <c r="M25" i="15"/>
  <c r="K26" i="15"/>
  <c r="M26" i="15"/>
  <c r="K27" i="15"/>
  <c r="M27" i="15"/>
  <c r="K28" i="15"/>
  <c r="M28" i="15"/>
  <c r="K29" i="15"/>
  <c r="M29" i="15"/>
  <c r="K30" i="15"/>
  <c r="M30" i="15"/>
  <c r="K31" i="15"/>
  <c r="M31" i="15"/>
  <c r="K32" i="15"/>
  <c r="M32" i="15"/>
  <c r="K33" i="15"/>
  <c r="M33" i="15"/>
  <c r="K34" i="15"/>
  <c r="M34" i="15"/>
  <c r="K35" i="15"/>
  <c r="M35" i="15"/>
  <c r="K36" i="15"/>
  <c r="M36" i="15"/>
  <c r="K37" i="15"/>
  <c r="M37" i="15"/>
  <c r="K38" i="15"/>
  <c r="M38" i="15"/>
  <c r="K39" i="15"/>
  <c r="M39" i="15"/>
  <c r="M40" i="15"/>
  <c r="K41" i="15"/>
  <c r="M41" i="15"/>
  <c r="K42" i="15"/>
  <c r="M42" i="15"/>
  <c r="K43" i="15"/>
  <c r="M43" i="15"/>
  <c r="K44" i="15"/>
  <c r="M44" i="15"/>
  <c r="K45" i="15"/>
  <c r="M45" i="15"/>
  <c r="M46" i="15"/>
  <c r="K47" i="15"/>
  <c r="M47" i="15"/>
  <c r="K48" i="15"/>
  <c r="M48" i="15"/>
  <c r="K49" i="15"/>
  <c r="M49" i="15"/>
  <c r="M50" i="15"/>
  <c r="K51" i="15"/>
  <c r="M51" i="15"/>
  <c r="K52" i="15"/>
  <c r="M52" i="15"/>
  <c r="K53" i="15"/>
  <c r="M53" i="15"/>
  <c r="M54" i="15"/>
  <c r="M55" i="15"/>
  <c r="K56" i="15"/>
  <c r="M56" i="15"/>
  <c r="K57" i="15"/>
  <c r="M57" i="15"/>
  <c r="K58" i="15"/>
  <c r="M58" i="15"/>
  <c r="K59" i="15"/>
  <c r="M59" i="15"/>
  <c r="K60" i="15"/>
  <c r="M60" i="15"/>
  <c r="K61" i="15"/>
  <c r="M61" i="15"/>
  <c r="K62" i="15"/>
  <c r="M62" i="15"/>
  <c r="K63" i="15"/>
  <c r="M63" i="15"/>
  <c r="K64" i="15"/>
  <c r="M64" i="15"/>
  <c r="K65" i="15"/>
  <c r="M65" i="15"/>
  <c r="K66" i="15"/>
  <c r="M66" i="15"/>
  <c r="K67" i="15"/>
  <c r="M67" i="15"/>
  <c r="K68" i="15"/>
  <c r="M68" i="15"/>
  <c r="K69" i="15"/>
  <c r="M69" i="15"/>
  <c r="K70" i="15"/>
  <c r="M70" i="15"/>
  <c r="K71" i="15"/>
  <c r="M71" i="15"/>
  <c r="K72" i="15"/>
  <c r="M72" i="15"/>
  <c r="K73" i="15"/>
  <c r="M73" i="15"/>
  <c r="K74" i="15"/>
  <c r="M74" i="15"/>
  <c r="K75" i="15"/>
  <c r="M75" i="15"/>
  <c r="K76" i="15"/>
  <c r="M76" i="15"/>
  <c r="K77" i="15"/>
  <c r="M77" i="15"/>
  <c r="K78" i="15"/>
  <c r="M78" i="15"/>
  <c r="K79" i="15"/>
  <c r="M79" i="15"/>
  <c r="K80" i="15"/>
  <c r="M80" i="15"/>
  <c r="K81" i="15"/>
  <c r="M81" i="15"/>
  <c r="K82" i="15"/>
  <c r="M82" i="15"/>
  <c r="K83" i="15"/>
  <c r="M83" i="15"/>
  <c r="K84" i="15"/>
  <c r="M84" i="15"/>
  <c r="K85" i="15"/>
  <c r="M85" i="15"/>
  <c r="K86" i="15"/>
  <c r="M86" i="15"/>
  <c r="K87" i="15"/>
  <c r="M87" i="15"/>
  <c r="K88" i="15"/>
  <c r="M88" i="15"/>
  <c r="K89" i="15"/>
  <c r="M89" i="15"/>
  <c r="K90" i="15"/>
  <c r="M90" i="15"/>
  <c r="K91" i="15"/>
  <c r="M91" i="15"/>
  <c r="K92" i="15"/>
  <c r="M92" i="15"/>
  <c r="K93" i="15"/>
  <c r="M93" i="15"/>
  <c r="K94" i="15"/>
  <c r="M94" i="15"/>
  <c r="K95" i="15"/>
  <c r="M95" i="15"/>
  <c r="K96" i="15"/>
  <c r="M96" i="15"/>
  <c r="K97" i="15"/>
  <c r="M97" i="15"/>
  <c r="K98" i="15"/>
  <c r="M98" i="15"/>
  <c r="K99" i="15"/>
  <c r="M99" i="15"/>
  <c r="K100" i="15"/>
  <c r="M100" i="15"/>
  <c r="K101" i="15"/>
  <c r="M101" i="15"/>
  <c r="K102" i="15"/>
  <c r="M102" i="15"/>
  <c r="K103" i="15"/>
  <c r="M103" i="15"/>
  <c r="K104" i="15"/>
  <c r="M104" i="15"/>
  <c r="K105" i="15"/>
  <c r="M105" i="15"/>
  <c r="K106" i="15"/>
  <c r="M106" i="15"/>
  <c r="K107" i="15"/>
  <c r="M107" i="15"/>
  <c r="K108" i="15"/>
  <c r="M108" i="15"/>
  <c r="K109" i="15"/>
  <c r="M109" i="15"/>
  <c r="K110" i="15"/>
  <c r="M110" i="15"/>
  <c r="K111" i="15"/>
  <c r="M111" i="15"/>
  <c r="K112" i="15"/>
  <c r="M112" i="15"/>
  <c r="K113" i="15"/>
  <c r="M113" i="15"/>
  <c r="K114" i="15"/>
  <c r="M114" i="15"/>
  <c r="K115" i="15"/>
  <c r="M115" i="15"/>
  <c r="K116" i="15"/>
  <c r="M116" i="15"/>
  <c r="K117" i="15"/>
  <c r="M117" i="15"/>
  <c r="M118" i="15"/>
  <c r="K119" i="15"/>
  <c r="M119" i="15"/>
  <c r="K120" i="15"/>
  <c r="M120" i="15"/>
  <c r="K121" i="15"/>
  <c r="M121" i="15"/>
  <c r="K122" i="15"/>
  <c r="M122" i="15"/>
  <c r="K123" i="15"/>
  <c r="M123" i="15"/>
  <c r="K124" i="15"/>
  <c r="M124" i="15"/>
  <c r="K125" i="15"/>
  <c r="M125" i="15"/>
  <c r="K126" i="15"/>
  <c r="M126" i="15"/>
  <c r="K127" i="15"/>
  <c r="M127" i="15"/>
  <c r="K128" i="15"/>
  <c r="M128" i="15"/>
  <c r="K129" i="15"/>
  <c r="M129" i="15"/>
  <c r="K130" i="15"/>
  <c r="M130" i="15"/>
  <c r="K131" i="15"/>
  <c r="M131" i="15"/>
  <c r="K132" i="15"/>
  <c r="M132" i="15"/>
  <c r="K133" i="15"/>
  <c r="M133" i="15"/>
  <c r="K134" i="15"/>
  <c r="M134" i="15"/>
  <c r="K135" i="15"/>
  <c r="M135" i="15"/>
  <c r="K136" i="15"/>
  <c r="M136" i="15"/>
  <c r="K137" i="15"/>
  <c r="M137" i="15"/>
  <c r="K138" i="15"/>
  <c r="M138" i="15"/>
  <c r="K139" i="15"/>
  <c r="M139" i="15"/>
  <c r="K140" i="15"/>
  <c r="M140" i="15"/>
  <c r="K141" i="15"/>
  <c r="M141" i="15"/>
  <c r="K142" i="15"/>
  <c r="M142" i="15"/>
  <c r="K143" i="15"/>
  <c r="M143" i="15"/>
  <c r="K144" i="15"/>
  <c r="M144" i="15"/>
  <c r="K145" i="15"/>
  <c r="M145" i="15"/>
  <c r="M146" i="15"/>
  <c r="K147" i="15"/>
  <c r="M147" i="15"/>
  <c r="K148" i="15"/>
  <c r="M148" i="15"/>
  <c r="K149" i="15"/>
  <c r="M149" i="15"/>
  <c r="K150" i="15"/>
  <c r="M150" i="15"/>
  <c r="K151" i="15"/>
  <c r="M151" i="15"/>
  <c r="K152" i="15"/>
  <c r="M152" i="15"/>
  <c r="K153" i="15"/>
  <c r="M153" i="15"/>
  <c r="K154" i="15"/>
  <c r="M154" i="15"/>
  <c r="K155" i="15"/>
  <c r="M155" i="15"/>
  <c r="K156" i="15"/>
  <c r="M156" i="15"/>
  <c r="K157" i="15"/>
  <c r="M157" i="15"/>
  <c r="K158" i="15"/>
  <c r="M158" i="15"/>
  <c r="K159" i="15"/>
  <c r="M159" i="15"/>
  <c r="K160" i="15"/>
  <c r="M160" i="15"/>
  <c r="K161" i="15"/>
  <c r="M161" i="15"/>
  <c r="K162" i="15"/>
  <c r="M162" i="15"/>
  <c r="K163" i="15"/>
  <c r="M163" i="15"/>
  <c r="K164" i="15"/>
  <c r="M164" i="15"/>
  <c r="K165" i="15"/>
  <c r="M165" i="15"/>
  <c r="K166" i="15"/>
  <c r="M166" i="15"/>
  <c r="K167" i="15"/>
  <c r="M167" i="15"/>
  <c r="K168" i="15"/>
  <c r="M168" i="15"/>
  <c r="K169" i="15"/>
  <c r="M169" i="15"/>
  <c r="K170" i="15"/>
  <c r="M170" i="15"/>
  <c r="K171" i="15"/>
  <c r="M171" i="15"/>
  <c r="K172" i="15"/>
  <c r="M172" i="15"/>
  <c r="K173" i="15"/>
  <c r="M173" i="15"/>
  <c r="K174" i="15"/>
  <c r="M174" i="15"/>
  <c r="K175" i="15"/>
  <c r="M175" i="15"/>
  <c r="K176" i="15"/>
  <c r="M176" i="15"/>
  <c r="K177" i="15"/>
  <c r="M177" i="15"/>
  <c r="K178" i="15"/>
  <c r="M178" i="15"/>
  <c r="K179" i="15"/>
  <c r="M179" i="15"/>
  <c r="K180" i="15"/>
  <c r="M180" i="15"/>
  <c r="K181" i="15"/>
  <c r="M181" i="15"/>
  <c r="K182" i="15"/>
  <c r="M182" i="15"/>
  <c r="K183" i="15"/>
  <c r="M183" i="15"/>
  <c r="K184" i="15"/>
  <c r="M184" i="15"/>
  <c r="K185" i="15"/>
  <c r="M185" i="15"/>
  <c r="K186" i="15"/>
  <c r="M186" i="15"/>
  <c r="K187" i="15"/>
  <c r="M187" i="15"/>
  <c r="K188" i="15"/>
  <c r="M188" i="15"/>
  <c r="K189" i="15"/>
  <c r="M189" i="15"/>
  <c r="K190" i="15"/>
  <c r="M190" i="15"/>
  <c r="K191" i="15"/>
  <c r="M191" i="15"/>
  <c r="K192" i="15"/>
  <c r="M192" i="15"/>
  <c r="K193" i="15"/>
  <c r="M193" i="15"/>
  <c r="K194" i="15"/>
  <c r="M194" i="15"/>
  <c r="M195" i="15"/>
  <c r="K196" i="15"/>
  <c r="M196" i="15"/>
  <c r="M197" i="15"/>
  <c r="K198" i="15"/>
  <c r="M198" i="15"/>
  <c r="M199" i="15"/>
  <c r="K200" i="15"/>
  <c r="M200" i="15"/>
  <c r="K201" i="15"/>
  <c r="M201" i="15"/>
  <c r="K202" i="15"/>
  <c r="M202" i="15"/>
  <c r="K203" i="15"/>
  <c r="M203" i="15"/>
  <c r="K204" i="15"/>
  <c r="M204" i="15"/>
  <c r="K205" i="15"/>
  <c r="M205" i="15"/>
  <c r="K206" i="15"/>
  <c r="M206" i="15"/>
  <c r="K207" i="15"/>
  <c r="M207" i="15"/>
  <c r="M208" i="15"/>
  <c r="K209" i="15"/>
  <c r="M209" i="15"/>
  <c r="M210" i="15"/>
  <c r="M211" i="15"/>
  <c r="K212" i="15"/>
  <c r="M212" i="15"/>
  <c r="K213" i="15"/>
  <c r="M213" i="15"/>
  <c r="K214" i="15"/>
  <c r="M214" i="15"/>
  <c r="K215" i="15"/>
  <c r="M215" i="15"/>
  <c r="K216" i="15"/>
  <c r="M216" i="15"/>
  <c r="M217" i="15"/>
  <c r="K218" i="15"/>
  <c r="M218" i="15"/>
  <c r="K219" i="15"/>
  <c r="M219" i="15"/>
  <c r="K220" i="15"/>
  <c r="M220" i="15"/>
  <c r="K221" i="15"/>
  <c r="M221" i="15"/>
  <c r="K222" i="15"/>
  <c r="M222" i="15"/>
  <c r="K223" i="15"/>
  <c r="M223" i="15"/>
  <c r="K224" i="15"/>
  <c r="M224" i="15"/>
  <c r="K225" i="15"/>
  <c r="M225" i="15"/>
  <c r="K226" i="15"/>
  <c r="M226" i="15"/>
  <c r="K227" i="15"/>
  <c r="M227" i="15"/>
  <c r="K228" i="15"/>
  <c r="M228" i="15"/>
  <c r="K229" i="15"/>
  <c r="M229" i="15"/>
  <c r="M230" i="15"/>
  <c r="K231" i="15"/>
  <c r="M231" i="15"/>
  <c r="K232" i="15"/>
  <c r="M232" i="15"/>
  <c r="K233" i="15"/>
  <c r="M233" i="15"/>
  <c r="K234" i="15"/>
  <c r="M234" i="15"/>
  <c r="K235" i="15"/>
  <c r="M235" i="15"/>
  <c r="K236" i="15"/>
  <c r="M236" i="15"/>
  <c r="K237" i="15"/>
  <c r="M237" i="15"/>
  <c r="K238" i="15"/>
  <c r="M238" i="15"/>
  <c r="K239" i="15"/>
  <c r="M239" i="15"/>
  <c r="K240" i="15"/>
  <c r="M240" i="15"/>
  <c r="K241" i="15"/>
  <c r="M241" i="15"/>
  <c r="K242" i="15"/>
  <c r="M242" i="15"/>
  <c r="K243" i="15"/>
  <c r="M243" i="15"/>
  <c r="K244" i="15"/>
  <c r="M244" i="15"/>
  <c r="K245" i="15"/>
  <c r="M245" i="15"/>
  <c r="K246" i="15"/>
  <c r="M246" i="15"/>
  <c r="K247" i="15"/>
  <c r="M247" i="15"/>
  <c r="K248" i="15"/>
  <c r="M248" i="15"/>
  <c r="K249" i="15"/>
  <c r="M249" i="15"/>
  <c r="K250" i="15"/>
  <c r="M250" i="15"/>
  <c r="K251" i="15"/>
  <c r="M251" i="15"/>
  <c r="K252" i="15"/>
  <c r="M252" i="15"/>
  <c r="K253" i="15"/>
  <c r="M253" i="15"/>
  <c r="K254" i="15"/>
  <c r="M254" i="15"/>
  <c r="K255" i="15"/>
  <c r="M255" i="15"/>
  <c r="K256" i="15"/>
  <c r="M256" i="15"/>
  <c r="K257" i="15"/>
  <c r="M257" i="15"/>
  <c r="K258" i="15"/>
  <c r="M258" i="15"/>
  <c r="M259" i="15"/>
  <c r="K260" i="15"/>
  <c r="M260" i="15"/>
  <c r="K261" i="15"/>
  <c r="M261" i="15"/>
  <c r="K262" i="15"/>
  <c r="M262" i="15"/>
  <c r="K263" i="15"/>
  <c r="M263" i="15"/>
  <c r="K264" i="15"/>
  <c r="M264" i="15"/>
  <c r="K265" i="15"/>
  <c r="M265" i="15"/>
  <c r="K266" i="15"/>
  <c r="M266" i="15"/>
  <c r="K267" i="15"/>
  <c r="M267" i="15"/>
  <c r="K268" i="15"/>
  <c r="M268" i="15"/>
  <c r="K269" i="15"/>
  <c r="M269" i="15"/>
  <c r="K270" i="15"/>
  <c r="M270" i="15"/>
  <c r="K271" i="15"/>
  <c r="M271" i="15"/>
  <c r="K272" i="15"/>
  <c r="M272" i="15"/>
  <c r="M273" i="15"/>
  <c r="K274" i="15"/>
  <c r="M274" i="15"/>
  <c r="K275" i="15"/>
  <c r="M275" i="15"/>
  <c r="K276" i="15"/>
  <c r="M276" i="15"/>
  <c r="K277" i="15"/>
  <c r="M277" i="15"/>
  <c r="K278" i="15"/>
  <c r="M278" i="15"/>
  <c r="K279" i="15"/>
  <c r="M279" i="15"/>
  <c r="K280" i="15"/>
  <c r="M280" i="15"/>
  <c r="K281" i="15"/>
  <c r="M281" i="15"/>
  <c r="K282" i="15"/>
  <c r="M282" i="15"/>
  <c r="K283" i="15"/>
  <c r="M283" i="15"/>
  <c r="K284" i="15"/>
  <c r="M284" i="15"/>
  <c r="K285" i="15"/>
  <c r="M285" i="15"/>
  <c r="K286" i="15"/>
  <c r="M286" i="15"/>
  <c r="K287" i="15"/>
  <c r="M287" i="15"/>
  <c r="K288" i="15"/>
  <c r="M288" i="15"/>
  <c r="K289" i="15"/>
  <c r="M289" i="15"/>
  <c r="K290" i="15"/>
  <c r="M290" i="15"/>
  <c r="K291" i="15"/>
  <c r="M291" i="15"/>
  <c r="K292" i="15"/>
  <c r="M292" i="15"/>
  <c r="K293" i="15"/>
  <c r="M293" i="15"/>
  <c r="K294" i="15"/>
  <c r="M294" i="15"/>
  <c r="K295" i="15"/>
  <c r="M295" i="15"/>
  <c r="K296" i="15"/>
  <c r="M296" i="15"/>
  <c r="K297" i="15"/>
  <c r="M297" i="15"/>
  <c r="K298" i="15"/>
  <c r="M298" i="15"/>
  <c r="K299" i="15"/>
  <c r="M299" i="15"/>
  <c r="K300" i="15"/>
  <c r="M300" i="15"/>
  <c r="K301" i="15"/>
  <c r="M301" i="15"/>
  <c r="K302" i="15"/>
  <c r="M302" i="15"/>
  <c r="K303" i="15"/>
  <c r="M303" i="15"/>
  <c r="K304" i="15"/>
  <c r="M304" i="15"/>
  <c r="K305" i="15"/>
  <c r="M305" i="15"/>
  <c r="K306" i="15"/>
  <c r="M306" i="15"/>
  <c r="K307" i="15"/>
  <c r="M307" i="15"/>
  <c r="K308" i="15"/>
  <c r="M308" i="15"/>
  <c r="K309" i="15"/>
  <c r="M309" i="15"/>
  <c r="K310" i="15"/>
  <c r="M310" i="15"/>
  <c r="K311" i="15"/>
  <c r="M311" i="15"/>
  <c r="K312" i="15"/>
  <c r="M312" i="15"/>
  <c r="K313" i="15"/>
  <c r="M313" i="15"/>
  <c r="K314" i="15"/>
  <c r="M314" i="15"/>
  <c r="K315" i="15"/>
  <c r="M315" i="15"/>
  <c r="K316" i="15"/>
  <c r="M316" i="15"/>
  <c r="K317" i="15"/>
  <c r="M317" i="15"/>
  <c r="K318" i="15"/>
  <c r="M318" i="15"/>
  <c r="K319" i="15"/>
  <c r="M319" i="15"/>
  <c r="K320" i="15"/>
  <c r="M320" i="15"/>
  <c r="K321" i="15"/>
  <c r="M321" i="15"/>
  <c r="K322" i="15"/>
  <c r="M322" i="15"/>
  <c r="K323" i="15"/>
  <c r="M323" i="15"/>
  <c r="K324" i="15"/>
  <c r="M324" i="15"/>
  <c r="K325" i="15"/>
  <c r="M325" i="15"/>
  <c r="M326" i="15"/>
  <c r="M327" i="15"/>
  <c r="M328" i="15"/>
  <c r="M329" i="15"/>
  <c r="M330" i="15"/>
  <c r="K331" i="15"/>
  <c r="M331" i="15"/>
  <c r="K332" i="15"/>
  <c r="M332" i="15"/>
  <c r="K333" i="15"/>
  <c r="M333" i="15"/>
  <c r="K334" i="15"/>
  <c r="M334" i="15"/>
  <c r="K335" i="15"/>
  <c r="M335" i="15"/>
  <c r="K336" i="15"/>
  <c r="M336" i="15"/>
  <c r="K337" i="15"/>
  <c r="M337" i="15"/>
  <c r="K338" i="15"/>
  <c r="M338" i="15"/>
  <c r="K339" i="15"/>
  <c r="M339" i="15"/>
  <c r="K340" i="15"/>
  <c r="M340" i="15"/>
  <c r="K341" i="15"/>
  <c r="M341" i="15"/>
  <c r="K342" i="15"/>
  <c r="M342" i="15"/>
  <c r="K343" i="15"/>
  <c r="M343" i="15"/>
  <c r="K344" i="15"/>
  <c r="M344" i="15"/>
  <c r="K345" i="15"/>
  <c r="M345" i="15"/>
  <c r="K346" i="15"/>
  <c r="M346" i="15"/>
  <c r="K347" i="15"/>
  <c r="M347" i="15"/>
  <c r="K348" i="15"/>
  <c r="M348" i="15"/>
  <c r="K349" i="15"/>
  <c r="M349" i="15"/>
  <c r="K350" i="15"/>
  <c r="M350" i="15"/>
  <c r="K351" i="15"/>
  <c r="M351" i="15"/>
  <c r="K352" i="15"/>
  <c r="M352" i="15"/>
  <c r="K353" i="15"/>
  <c r="M353" i="15"/>
  <c r="K354" i="15"/>
  <c r="M354" i="15"/>
  <c r="K355" i="15"/>
  <c r="M355" i="15"/>
  <c r="K356" i="15"/>
  <c r="M356" i="15"/>
  <c r="K357" i="15"/>
  <c r="M357" i="15"/>
  <c r="K358" i="15"/>
  <c r="M358" i="15"/>
  <c r="K359" i="15"/>
  <c r="M359" i="15"/>
  <c r="K360" i="15"/>
  <c r="M360" i="15"/>
  <c r="K361" i="15"/>
  <c r="M361" i="15"/>
  <c r="K362" i="15"/>
  <c r="M362" i="15"/>
  <c r="K363" i="15"/>
  <c r="M363" i="15"/>
  <c r="K364" i="15"/>
  <c r="M364" i="15"/>
  <c r="K365" i="15"/>
  <c r="M365" i="15"/>
  <c r="K366" i="15"/>
  <c r="M366" i="15"/>
  <c r="K367" i="15"/>
  <c r="M367" i="15"/>
  <c r="K368" i="15"/>
  <c r="M368" i="15"/>
  <c r="K369" i="15"/>
  <c r="M369" i="15"/>
  <c r="K370" i="15"/>
  <c r="M370" i="15"/>
  <c r="K371" i="15"/>
  <c r="M371" i="15"/>
  <c r="K372" i="15"/>
  <c r="M372" i="15"/>
  <c r="K373" i="15"/>
  <c r="M373" i="15"/>
  <c r="K374" i="15"/>
  <c r="M374" i="15"/>
  <c r="K375" i="15"/>
  <c r="M375" i="15"/>
  <c r="K376" i="15"/>
  <c r="M376" i="15"/>
  <c r="K377" i="15"/>
  <c r="M377" i="15"/>
  <c r="K378" i="15"/>
  <c r="M378" i="15"/>
  <c r="K379" i="15"/>
  <c r="M379" i="15"/>
  <c r="K380" i="15"/>
  <c r="M380" i="15"/>
  <c r="K381" i="15"/>
  <c r="M381" i="15"/>
  <c r="K382" i="15"/>
  <c r="M382" i="15"/>
  <c r="K383" i="15"/>
  <c r="M383" i="15"/>
  <c r="K384" i="15"/>
  <c r="M384" i="15"/>
  <c r="K385" i="15"/>
  <c r="M385" i="15"/>
  <c r="K386" i="15"/>
  <c r="M386" i="15"/>
  <c r="K387" i="15"/>
  <c r="M387" i="15"/>
  <c r="K388" i="15"/>
  <c r="M388" i="15"/>
  <c r="K389" i="15"/>
  <c r="M389" i="15"/>
  <c r="K390" i="15"/>
  <c r="M390" i="15"/>
  <c r="K391" i="15"/>
  <c r="M391" i="15"/>
  <c r="K392" i="15"/>
  <c r="M392" i="15"/>
  <c r="K393" i="15"/>
  <c r="M393" i="15"/>
  <c r="K394" i="15"/>
  <c r="M394" i="15"/>
  <c r="K395" i="15"/>
  <c r="M395" i="15"/>
  <c r="K396" i="15"/>
  <c r="M396" i="15"/>
  <c r="K397" i="15"/>
  <c r="M397" i="15"/>
  <c r="K398" i="15"/>
  <c r="M398" i="15"/>
  <c r="K399" i="15"/>
  <c r="M399" i="15"/>
  <c r="K400" i="15"/>
  <c r="M400" i="15"/>
  <c r="K401" i="15"/>
  <c r="M401" i="15"/>
  <c r="K402" i="15"/>
  <c r="M402" i="15"/>
  <c r="K403" i="15"/>
  <c r="M403" i="15"/>
  <c r="K404" i="15"/>
  <c r="M404" i="15"/>
  <c r="K405" i="15"/>
  <c r="M405" i="15"/>
  <c r="K406" i="15"/>
  <c r="M406" i="15"/>
  <c r="K407" i="15"/>
  <c r="M407" i="15"/>
  <c r="K408" i="15"/>
  <c r="M408" i="15"/>
  <c r="K409" i="15"/>
  <c r="M409" i="15"/>
  <c r="K410" i="15"/>
  <c r="M410" i="15"/>
  <c r="K411" i="15"/>
  <c r="M411" i="15"/>
  <c r="K412" i="15"/>
  <c r="M412" i="15"/>
  <c r="K413" i="15"/>
  <c r="M413" i="15"/>
  <c r="K414" i="15"/>
  <c r="M414" i="15"/>
  <c r="K415" i="15"/>
  <c r="M415" i="15"/>
  <c r="K416" i="15"/>
  <c r="M416" i="15"/>
  <c r="K417" i="15"/>
  <c r="M417" i="15"/>
  <c r="K418" i="15"/>
  <c r="M418" i="15"/>
  <c r="K419" i="15"/>
  <c r="M419" i="15"/>
  <c r="K420" i="15"/>
  <c r="M420" i="15"/>
  <c r="K421" i="15"/>
  <c r="M421" i="15"/>
  <c r="K422" i="15"/>
  <c r="M422" i="15"/>
  <c r="K423" i="15"/>
  <c r="M423" i="15"/>
  <c r="K424" i="15"/>
  <c r="M424" i="15"/>
  <c r="K425" i="15"/>
  <c r="M425" i="15"/>
  <c r="K426" i="15"/>
  <c r="M426" i="15"/>
  <c r="K427" i="15"/>
  <c r="M427" i="15"/>
  <c r="K428" i="15"/>
  <c r="M428" i="15"/>
  <c r="K429" i="15"/>
  <c r="M429" i="15"/>
  <c r="K430" i="15"/>
  <c r="M430" i="15"/>
  <c r="K431" i="15"/>
  <c r="M431" i="15"/>
  <c r="K432" i="15"/>
  <c r="M432" i="15"/>
  <c r="K433" i="15"/>
  <c r="M433" i="15"/>
  <c r="K434" i="15"/>
  <c r="M434" i="15"/>
  <c r="K435" i="15"/>
  <c r="M435" i="15"/>
  <c r="K436" i="15"/>
  <c r="M436" i="15"/>
  <c r="K437" i="15"/>
  <c r="M437" i="15"/>
  <c r="K438" i="15"/>
  <c r="M438" i="15"/>
  <c r="K439" i="15"/>
  <c r="M439" i="15"/>
  <c r="K440" i="15"/>
  <c r="M440" i="15"/>
  <c r="K441" i="15"/>
  <c r="M441" i="15"/>
  <c r="K442" i="15"/>
  <c r="M442" i="15"/>
  <c r="K443" i="15"/>
  <c r="M443" i="15"/>
  <c r="K444" i="15"/>
  <c r="M444" i="15"/>
  <c r="K445" i="15"/>
  <c r="M445" i="15"/>
  <c r="K446" i="15"/>
  <c r="M446" i="15"/>
  <c r="K447" i="15"/>
  <c r="M447" i="15"/>
  <c r="K448" i="15"/>
  <c r="M448" i="15"/>
  <c r="K449" i="15"/>
  <c r="M449" i="15"/>
  <c r="K450" i="15"/>
  <c r="M450" i="15"/>
  <c r="K451" i="15"/>
  <c r="M451" i="15"/>
  <c r="K452" i="15"/>
  <c r="M452" i="15"/>
  <c r="K453" i="15"/>
  <c r="M453" i="15"/>
  <c r="K454" i="15"/>
  <c r="M454" i="15"/>
  <c r="K455" i="15"/>
  <c r="M455" i="15"/>
  <c r="K456" i="15"/>
  <c r="M456" i="15"/>
  <c r="K457" i="15"/>
  <c r="M457" i="15"/>
  <c r="K458" i="15"/>
  <c r="M458" i="15"/>
  <c r="K459" i="15"/>
  <c r="M459" i="15"/>
  <c r="K460" i="15"/>
  <c r="M460" i="15"/>
  <c r="K461" i="15"/>
  <c r="M461" i="15"/>
  <c r="K462" i="15"/>
  <c r="M462" i="15"/>
  <c r="K463" i="15"/>
  <c r="M463" i="15"/>
  <c r="K464" i="15"/>
  <c r="M464" i="15"/>
  <c r="K465" i="15"/>
  <c r="M465" i="15"/>
  <c r="K466" i="15"/>
  <c r="M466" i="15"/>
  <c r="K467" i="15"/>
  <c r="M467" i="15"/>
  <c r="K468" i="15"/>
  <c r="M468" i="15"/>
  <c r="K469" i="15"/>
  <c r="M469" i="15"/>
  <c r="K470" i="15"/>
  <c r="M470" i="15"/>
  <c r="K471" i="15"/>
  <c r="M471" i="15"/>
  <c r="K472" i="15"/>
  <c r="M472" i="15"/>
  <c r="K473" i="15"/>
  <c r="M473" i="15"/>
  <c r="K474" i="15"/>
  <c r="M474" i="15"/>
  <c r="K475" i="15"/>
  <c r="M475" i="15"/>
  <c r="K476" i="15"/>
  <c r="M476" i="15"/>
  <c r="K477" i="15"/>
  <c r="M477" i="15"/>
  <c r="K478" i="15"/>
  <c r="M478" i="15"/>
  <c r="K479" i="15"/>
  <c r="M479" i="15"/>
  <c r="K480" i="15"/>
  <c r="M480" i="15"/>
  <c r="K481" i="15"/>
  <c r="M481" i="15"/>
  <c r="K482" i="15"/>
  <c r="M482" i="15"/>
  <c r="K483" i="15"/>
  <c r="M483" i="15"/>
  <c r="K484" i="15"/>
  <c r="M484" i="15"/>
  <c r="K485" i="15"/>
  <c r="M485" i="15"/>
  <c r="K486" i="15"/>
  <c r="M486" i="15"/>
  <c r="K487" i="15"/>
  <c r="M487" i="15"/>
  <c r="K488" i="15"/>
  <c r="M488" i="15"/>
  <c r="K489" i="15"/>
  <c r="M489" i="15"/>
  <c r="K490" i="15"/>
  <c r="M490" i="15"/>
  <c r="K491" i="15"/>
  <c r="M491" i="15"/>
  <c r="K492" i="15"/>
  <c r="M492" i="15"/>
  <c r="K493" i="15"/>
  <c r="M493" i="15"/>
  <c r="K494" i="15"/>
  <c r="M494" i="15"/>
  <c r="K495" i="15"/>
  <c r="M495" i="15"/>
  <c r="K496" i="15"/>
  <c r="M496" i="15"/>
  <c r="K497" i="15"/>
  <c r="M497" i="15"/>
  <c r="K498" i="15"/>
  <c r="M498" i="15"/>
  <c r="K499" i="15"/>
  <c r="M499" i="15"/>
  <c r="K500" i="15"/>
  <c r="M500" i="15"/>
  <c r="K501" i="15"/>
  <c r="M501" i="15"/>
  <c r="K502" i="15"/>
  <c r="M502" i="15"/>
  <c r="K503" i="15"/>
  <c r="M503" i="15"/>
  <c r="K504" i="15"/>
  <c r="M504" i="15"/>
  <c r="K505" i="15"/>
  <c r="M505" i="15"/>
  <c r="K506" i="15"/>
  <c r="M506" i="15"/>
  <c r="K507" i="15"/>
  <c r="M507" i="15"/>
  <c r="K508" i="15"/>
  <c r="M508" i="15"/>
  <c r="K509" i="15"/>
  <c r="M509" i="15"/>
  <c r="K510" i="15"/>
  <c r="M510" i="15"/>
  <c r="K511" i="15"/>
  <c r="M511" i="15"/>
  <c r="K512" i="15"/>
  <c r="M512" i="15"/>
  <c r="K513" i="15"/>
  <c r="M513" i="15"/>
  <c r="K514" i="15"/>
  <c r="M514" i="15"/>
  <c r="K515" i="15"/>
  <c r="M515" i="15"/>
  <c r="K516" i="15"/>
  <c r="M516" i="15"/>
  <c r="K517" i="15"/>
  <c r="M517" i="15"/>
  <c r="K518" i="15"/>
  <c r="M518" i="15"/>
  <c r="K519" i="15"/>
  <c r="M519" i="15"/>
  <c r="K520" i="15"/>
  <c r="M520" i="15"/>
  <c r="K521" i="15"/>
  <c r="M521" i="15"/>
  <c r="K522" i="15"/>
  <c r="M522" i="15"/>
  <c r="K523" i="15"/>
  <c r="M523" i="15"/>
  <c r="K524" i="15"/>
  <c r="M524" i="15"/>
  <c r="K525" i="15"/>
  <c r="M525" i="15"/>
  <c r="K526" i="15"/>
  <c r="M526" i="15"/>
  <c r="K527" i="15"/>
  <c r="M527" i="15"/>
  <c r="K528" i="15"/>
  <c r="M528" i="15"/>
  <c r="K529" i="15"/>
  <c r="M529" i="15"/>
  <c r="K530" i="15"/>
  <c r="M530" i="15"/>
  <c r="K531" i="15"/>
  <c r="M531" i="15"/>
  <c r="K532" i="15"/>
  <c r="M532" i="15"/>
  <c r="K533" i="15"/>
  <c r="M533" i="15"/>
  <c r="K534" i="15"/>
  <c r="M534" i="15"/>
  <c r="K535" i="15"/>
  <c r="M535" i="15"/>
  <c r="K536" i="15"/>
  <c r="M536" i="15"/>
  <c r="K537" i="15"/>
  <c r="M537" i="15"/>
  <c r="K538" i="15"/>
  <c r="M538" i="15"/>
  <c r="K539" i="15"/>
  <c r="M539" i="15"/>
  <c r="K540" i="15"/>
  <c r="M540" i="15"/>
  <c r="K541" i="15"/>
  <c r="M541" i="15"/>
  <c r="K542" i="15"/>
  <c r="M542" i="15"/>
  <c r="K543" i="15"/>
  <c r="M543" i="15"/>
  <c r="K544" i="15"/>
  <c r="M544" i="15"/>
  <c r="K545" i="15"/>
  <c r="M545" i="15"/>
  <c r="K546" i="15"/>
  <c r="M546" i="15"/>
  <c r="K547" i="15"/>
  <c r="M547" i="15"/>
  <c r="K548" i="15"/>
  <c r="M548" i="15"/>
  <c r="K549" i="15"/>
  <c r="M549" i="15"/>
  <c r="K550" i="15"/>
  <c r="M550" i="15"/>
  <c r="K551" i="15"/>
  <c r="M551" i="15"/>
  <c r="K552" i="15"/>
  <c r="M552" i="15"/>
  <c r="K553" i="15"/>
  <c r="M553" i="15"/>
  <c r="K554" i="15"/>
  <c r="M554" i="15"/>
  <c r="K555" i="15"/>
  <c r="M555" i="15"/>
  <c r="K556" i="15"/>
  <c r="M556" i="15"/>
  <c r="K557" i="15"/>
  <c r="M557" i="15"/>
  <c r="K558" i="15"/>
  <c r="M558" i="15"/>
  <c r="K559" i="15"/>
  <c r="M559" i="15"/>
  <c r="K560" i="15"/>
  <c r="M560" i="15"/>
  <c r="K561" i="15"/>
  <c r="M561" i="15"/>
  <c r="K562" i="15"/>
  <c r="M562" i="15"/>
  <c r="K563" i="15"/>
  <c r="M563" i="15"/>
  <c r="K564" i="15"/>
  <c r="M564" i="15"/>
  <c r="K565" i="15"/>
  <c r="M565" i="15"/>
  <c r="K566" i="15"/>
  <c r="M566" i="15"/>
  <c r="K567" i="15"/>
  <c r="M567" i="15"/>
  <c r="K568" i="15"/>
  <c r="M568" i="15"/>
  <c r="K569" i="15"/>
  <c r="M569" i="15"/>
  <c r="K570" i="15"/>
  <c r="M570" i="15"/>
  <c r="K571" i="15"/>
  <c r="M571" i="15"/>
  <c r="K572" i="15"/>
  <c r="M572" i="15"/>
  <c r="K573" i="15"/>
  <c r="M573" i="15"/>
  <c r="K574" i="15"/>
  <c r="M574" i="15"/>
  <c r="K575" i="15"/>
  <c r="M575" i="15"/>
  <c r="K576" i="15"/>
  <c r="M576" i="15"/>
  <c r="K577" i="15"/>
  <c r="M577" i="15"/>
  <c r="K578" i="15"/>
  <c r="M578" i="15"/>
  <c r="K579" i="15"/>
  <c r="M579" i="15"/>
  <c r="K580" i="15"/>
  <c r="M580" i="15"/>
  <c r="K581" i="15"/>
  <c r="M581" i="15"/>
  <c r="K582" i="15"/>
  <c r="M582" i="15"/>
  <c r="K583" i="15"/>
  <c r="M583" i="15"/>
  <c r="K584" i="15"/>
  <c r="M584" i="15"/>
  <c r="K585" i="15"/>
  <c r="M585" i="15"/>
  <c r="K586" i="15"/>
  <c r="M586" i="15"/>
  <c r="K587" i="15"/>
  <c r="M587" i="15"/>
  <c r="K588" i="15"/>
  <c r="M588" i="15"/>
  <c r="K589" i="15"/>
  <c r="M589" i="15"/>
  <c r="K590" i="15"/>
  <c r="M590" i="15"/>
  <c r="K591" i="15"/>
  <c r="M591" i="15"/>
  <c r="K592" i="15"/>
  <c r="M592" i="15"/>
  <c r="K593" i="15"/>
  <c r="M593" i="15"/>
  <c r="K594" i="15"/>
  <c r="M594" i="15"/>
  <c r="K595" i="15"/>
  <c r="M595" i="15"/>
  <c r="K596" i="15"/>
  <c r="M596" i="15"/>
  <c r="K597" i="15"/>
  <c r="M597" i="15"/>
  <c r="K598" i="15"/>
  <c r="M598" i="15"/>
  <c r="K599" i="15"/>
  <c r="M599" i="15"/>
  <c r="K600" i="15"/>
  <c r="M600" i="15"/>
  <c r="K601" i="15"/>
  <c r="M601" i="15"/>
  <c r="K602" i="15"/>
  <c r="M602" i="15"/>
  <c r="K603" i="15"/>
  <c r="M603" i="15"/>
  <c r="K604" i="15"/>
  <c r="M604" i="15"/>
  <c r="K605" i="15"/>
  <c r="M605" i="15"/>
  <c r="K606" i="15"/>
  <c r="M606" i="15"/>
  <c r="K607" i="15"/>
  <c r="M607" i="15"/>
  <c r="K608" i="15"/>
  <c r="M608" i="15"/>
  <c r="K609" i="15"/>
  <c r="M609" i="15"/>
  <c r="K610" i="15"/>
  <c r="M610" i="15"/>
  <c r="K611" i="15"/>
  <c r="M611" i="15"/>
  <c r="K612" i="15"/>
  <c r="M612" i="15"/>
  <c r="K613" i="15"/>
  <c r="M613" i="15"/>
  <c r="K614" i="15"/>
  <c r="M614" i="15"/>
  <c r="K615" i="15"/>
  <c r="M615" i="15"/>
  <c r="K616" i="15"/>
  <c r="M616" i="15"/>
  <c r="K617" i="15"/>
  <c r="M617" i="15"/>
  <c r="K618" i="15"/>
  <c r="M618" i="15"/>
  <c r="K619" i="15"/>
  <c r="M619" i="15"/>
  <c r="K620" i="15"/>
  <c r="M620" i="15"/>
  <c r="K621" i="15"/>
  <c r="M621" i="15"/>
  <c r="K622" i="15"/>
  <c r="M622" i="15"/>
  <c r="K623" i="15"/>
  <c r="M623" i="15"/>
  <c r="K624" i="15"/>
  <c r="M624" i="15"/>
  <c r="K625" i="15"/>
  <c r="M625" i="15"/>
  <c r="K626" i="15"/>
  <c r="M626" i="15"/>
  <c r="K627" i="15"/>
  <c r="M627" i="15"/>
  <c r="K628" i="15"/>
  <c r="M628" i="15"/>
  <c r="K629" i="15"/>
  <c r="M629" i="15"/>
  <c r="K630" i="15"/>
  <c r="M630" i="15"/>
  <c r="K631" i="15"/>
  <c r="M631" i="15"/>
  <c r="K632" i="15"/>
  <c r="M632" i="15"/>
  <c r="K633" i="15"/>
  <c r="M633" i="15"/>
  <c r="K634" i="15"/>
  <c r="M634" i="15"/>
  <c r="K635" i="15"/>
  <c r="M635" i="15"/>
  <c r="K636" i="15"/>
  <c r="M636" i="15"/>
  <c r="K637" i="15"/>
  <c r="M637" i="15"/>
  <c r="K638" i="15"/>
  <c r="M638" i="15"/>
  <c r="K639" i="15"/>
  <c r="M639" i="15"/>
  <c r="K640" i="15"/>
  <c r="M640" i="15"/>
  <c r="K641" i="15"/>
  <c r="M641" i="15"/>
  <c r="K642" i="15"/>
  <c r="M642" i="15"/>
  <c r="K643" i="15"/>
  <c r="M643" i="15"/>
  <c r="K644" i="15"/>
  <c r="M644" i="15"/>
  <c r="K645" i="15"/>
  <c r="M645" i="15"/>
  <c r="K646" i="15"/>
  <c r="M646" i="15"/>
  <c r="K647" i="15"/>
  <c r="M647" i="15"/>
  <c r="K648" i="15"/>
  <c r="M648" i="15"/>
  <c r="K649" i="15"/>
  <c r="M649" i="15"/>
  <c r="K650" i="15"/>
  <c r="M650" i="15"/>
  <c r="K651" i="15"/>
  <c r="M651" i="15"/>
  <c r="K652" i="15"/>
  <c r="M652" i="15"/>
  <c r="K653" i="15"/>
  <c r="M653" i="15"/>
  <c r="K654" i="15"/>
  <c r="M654" i="15"/>
  <c r="K655" i="15"/>
  <c r="M655" i="15"/>
  <c r="K656" i="15"/>
  <c r="M656" i="15"/>
  <c r="K657" i="15"/>
  <c r="M657" i="15"/>
  <c r="K658" i="15"/>
  <c r="M658" i="15"/>
  <c r="K659" i="15"/>
  <c r="M659" i="15"/>
  <c r="K660" i="15"/>
  <c r="M660" i="15"/>
  <c r="K661" i="15"/>
  <c r="M661" i="15"/>
  <c r="K662" i="15"/>
  <c r="M662" i="15"/>
  <c r="K663" i="15"/>
  <c r="M663" i="15"/>
  <c r="K664" i="15"/>
  <c r="M664" i="15"/>
  <c r="K665" i="15"/>
  <c r="M665" i="15"/>
  <c r="K666" i="15"/>
  <c r="M666" i="15"/>
  <c r="K667" i="15"/>
  <c r="M667" i="15"/>
  <c r="K668" i="15"/>
  <c r="M668" i="15"/>
  <c r="K669" i="15"/>
  <c r="M669" i="15"/>
  <c r="K670" i="15"/>
  <c r="M670" i="15"/>
  <c r="K671" i="15"/>
  <c r="M671" i="15"/>
  <c r="K672" i="15"/>
  <c r="M672" i="15"/>
  <c r="K673" i="15"/>
  <c r="M673" i="15"/>
  <c r="K674" i="15"/>
  <c r="M674" i="15"/>
  <c r="K675" i="15"/>
  <c r="M675" i="15"/>
  <c r="K676" i="15"/>
  <c r="M676" i="15"/>
  <c r="K677" i="15"/>
  <c r="M677" i="15"/>
  <c r="K678" i="15"/>
  <c r="M678" i="15"/>
  <c r="K679" i="15"/>
  <c r="M679" i="15"/>
  <c r="K680" i="15"/>
  <c r="M680" i="15"/>
  <c r="K681" i="15"/>
  <c r="M681" i="15"/>
  <c r="K682" i="15"/>
  <c r="M682" i="15"/>
  <c r="K683" i="15"/>
  <c r="M683" i="15"/>
  <c r="K684" i="15"/>
  <c r="M684" i="15"/>
  <c r="K685" i="15"/>
  <c r="M685" i="15"/>
  <c r="K686" i="15"/>
  <c r="M686" i="15"/>
  <c r="K687" i="15"/>
  <c r="M687" i="15"/>
  <c r="K688" i="15"/>
  <c r="M688" i="15"/>
  <c r="K689" i="15"/>
  <c r="M689" i="15"/>
  <c r="K690" i="15"/>
  <c r="M690" i="15"/>
  <c r="K691" i="15"/>
  <c r="M691" i="15"/>
  <c r="K692" i="15"/>
  <c r="M692" i="15"/>
  <c r="K693" i="15"/>
  <c r="M693" i="15"/>
  <c r="K694" i="15"/>
  <c r="M694" i="15"/>
  <c r="K695" i="15"/>
  <c r="M695" i="15"/>
  <c r="K696" i="15"/>
  <c r="M696" i="15"/>
  <c r="K697" i="15"/>
  <c r="M697" i="15"/>
  <c r="K698" i="15"/>
  <c r="M698" i="15"/>
  <c r="K699" i="15"/>
  <c r="M699" i="15"/>
  <c r="K700" i="15"/>
  <c r="M700" i="15"/>
  <c r="K701" i="15"/>
  <c r="M701" i="15"/>
  <c r="K702" i="15"/>
  <c r="M702" i="15"/>
  <c r="K703" i="15"/>
  <c r="M703" i="15"/>
  <c r="K704" i="15"/>
  <c r="M704" i="15"/>
  <c r="K705" i="15"/>
  <c r="M705" i="15"/>
  <c r="K706" i="15"/>
  <c r="M706" i="15"/>
  <c r="K707" i="15"/>
  <c r="M707" i="15"/>
  <c r="K708" i="15"/>
  <c r="M708" i="15"/>
  <c r="K709" i="15"/>
  <c r="M709" i="15"/>
  <c r="K710" i="15"/>
  <c r="M710" i="15"/>
  <c r="K711" i="15"/>
  <c r="M711" i="15"/>
  <c r="K712" i="15"/>
  <c r="M712" i="15"/>
  <c r="K713" i="15"/>
  <c r="M713" i="15"/>
  <c r="K714" i="15"/>
  <c r="M714" i="15"/>
  <c r="K715" i="15"/>
  <c r="M715" i="15"/>
  <c r="K716" i="15"/>
  <c r="M716" i="15"/>
  <c r="K717" i="15"/>
  <c r="M717" i="15"/>
  <c r="K718" i="15"/>
  <c r="M718" i="15"/>
  <c r="K719" i="15"/>
  <c r="M719" i="15"/>
  <c r="K720" i="15"/>
  <c r="M720" i="15"/>
  <c r="K721" i="15"/>
  <c r="M721" i="15"/>
  <c r="K722" i="15"/>
  <c r="M722" i="15"/>
  <c r="K723" i="15"/>
  <c r="M723" i="15"/>
  <c r="K724" i="15"/>
  <c r="M724" i="15"/>
  <c r="K725" i="15"/>
  <c r="M725" i="15"/>
  <c r="K726" i="15"/>
  <c r="M726" i="15"/>
  <c r="K727" i="15"/>
  <c r="M727" i="15"/>
  <c r="K728" i="15"/>
  <c r="M728" i="15"/>
  <c r="K729" i="15"/>
  <c r="M729" i="15"/>
  <c r="K730" i="15"/>
  <c r="M730" i="15"/>
  <c r="K731" i="15"/>
  <c r="M731" i="15"/>
  <c r="K732" i="15"/>
  <c r="M732" i="15"/>
  <c r="K733" i="15"/>
  <c r="M733" i="15"/>
  <c r="K734" i="15"/>
  <c r="M734" i="15"/>
  <c r="K735" i="15"/>
  <c r="M735" i="15"/>
  <c r="K736" i="15"/>
  <c r="M736" i="15"/>
  <c r="K737" i="15"/>
  <c r="M737" i="15"/>
  <c r="K738" i="15"/>
  <c r="M738" i="15"/>
  <c r="K739" i="15"/>
  <c r="M739" i="15"/>
  <c r="K740" i="15"/>
  <c r="M740" i="15"/>
  <c r="K741" i="15"/>
  <c r="M741" i="15"/>
  <c r="K742" i="15"/>
  <c r="M742" i="15"/>
  <c r="K743" i="15"/>
  <c r="M743" i="15"/>
  <c r="K744" i="15"/>
  <c r="M744" i="15"/>
  <c r="K745" i="15"/>
  <c r="M745" i="15"/>
  <c r="K746" i="15"/>
  <c r="M746" i="15"/>
  <c r="K747" i="15"/>
  <c r="M747" i="15"/>
  <c r="K748" i="15"/>
  <c r="M748" i="15"/>
  <c r="K749" i="15"/>
  <c r="M749" i="15"/>
  <c r="K750" i="15"/>
  <c r="M750" i="15"/>
  <c r="K751" i="15"/>
  <c r="M751" i="15"/>
  <c r="K752" i="15"/>
  <c r="M752" i="15"/>
  <c r="K753" i="15"/>
  <c r="M753" i="15"/>
  <c r="K754" i="15"/>
  <c r="M754" i="15"/>
  <c r="K755" i="15"/>
  <c r="M755" i="15"/>
  <c r="K756" i="15"/>
  <c r="M756" i="15"/>
  <c r="K757" i="15"/>
  <c r="M757" i="15"/>
  <c r="K758" i="15"/>
  <c r="M758" i="15"/>
  <c r="K759" i="15"/>
  <c r="M759" i="15"/>
  <c r="K760" i="15"/>
  <c r="M760" i="15"/>
  <c r="K761" i="15"/>
  <c r="M761" i="15"/>
  <c r="K762" i="15"/>
  <c r="M762" i="15"/>
  <c r="K763" i="15"/>
  <c r="M763" i="15"/>
  <c r="K764" i="15"/>
  <c r="M764" i="15"/>
  <c r="K765" i="15"/>
  <c r="M765" i="15"/>
  <c r="K766" i="15"/>
  <c r="M766" i="15"/>
  <c r="K767" i="15"/>
  <c r="M767" i="15"/>
  <c r="K768" i="15"/>
  <c r="M768" i="15"/>
  <c r="K769" i="15"/>
  <c r="M769" i="15"/>
  <c r="K770" i="15"/>
  <c r="M770" i="15"/>
  <c r="K771" i="15"/>
  <c r="M771" i="15"/>
  <c r="K772" i="15"/>
  <c r="M772" i="15"/>
  <c r="K773" i="15"/>
  <c r="M773" i="15"/>
  <c r="K774" i="15"/>
  <c r="M774" i="15"/>
  <c r="K775" i="15"/>
  <c r="M775" i="15"/>
  <c r="K776" i="15"/>
  <c r="M776" i="15"/>
  <c r="K777" i="15"/>
  <c r="M777" i="15"/>
  <c r="K778" i="15"/>
  <c r="M778" i="15"/>
  <c r="K779" i="15"/>
  <c r="M779" i="15"/>
  <c r="K780" i="15"/>
  <c r="M780" i="15"/>
  <c r="K781" i="15"/>
  <c r="M781" i="15"/>
  <c r="K782" i="15"/>
  <c r="M782" i="15"/>
  <c r="K783" i="15"/>
  <c r="M783" i="15"/>
  <c r="K784" i="15"/>
  <c r="M784" i="15"/>
  <c r="K785" i="15"/>
  <c r="M785" i="15"/>
  <c r="K786" i="15"/>
  <c r="M786" i="15"/>
  <c r="K787" i="15"/>
  <c r="M787" i="15"/>
  <c r="K788" i="15"/>
  <c r="M788" i="15"/>
  <c r="K789" i="15"/>
  <c r="M789" i="15"/>
  <c r="K790" i="15"/>
  <c r="M790" i="15"/>
  <c r="K791" i="15"/>
  <c r="M791" i="15"/>
  <c r="K792" i="15"/>
  <c r="M792" i="15"/>
  <c r="K793" i="15"/>
  <c r="M793" i="15"/>
  <c r="K794" i="15"/>
  <c r="M794" i="15"/>
  <c r="K795" i="15"/>
  <c r="M795" i="15"/>
  <c r="K796" i="15"/>
  <c r="M796" i="15"/>
  <c r="K797" i="15"/>
  <c r="M797" i="15"/>
  <c r="K798" i="15"/>
  <c r="M798" i="15"/>
  <c r="K799" i="15"/>
  <c r="M799" i="15"/>
  <c r="K800" i="15"/>
  <c r="M800" i="15"/>
  <c r="K801" i="15"/>
  <c r="M801" i="15"/>
  <c r="K802" i="15"/>
  <c r="M802" i="15"/>
  <c r="K803" i="15"/>
  <c r="M803" i="15"/>
  <c r="K804" i="15"/>
  <c r="M804" i="15"/>
  <c r="K805" i="15"/>
  <c r="M805" i="15"/>
  <c r="K806" i="15"/>
  <c r="M806" i="15"/>
  <c r="K807" i="15"/>
  <c r="M807" i="15"/>
  <c r="K808" i="15"/>
  <c r="M808" i="15"/>
  <c r="K809" i="15"/>
  <c r="M809" i="15"/>
  <c r="K810" i="15"/>
  <c r="M810" i="15"/>
  <c r="K811" i="15"/>
  <c r="M811" i="15"/>
  <c r="K812" i="15"/>
  <c r="M812" i="15"/>
  <c r="K813" i="15"/>
  <c r="M813" i="15"/>
  <c r="K814" i="15"/>
  <c r="M814" i="15"/>
  <c r="K815" i="15"/>
  <c r="M815" i="15"/>
  <c r="K816" i="15"/>
  <c r="M816" i="15"/>
  <c r="K817" i="15"/>
  <c r="M817" i="15"/>
  <c r="K818" i="15"/>
  <c r="M818" i="15"/>
  <c r="K819" i="15"/>
  <c r="M819" i="15"/>
  <c r="K820" i="15"/>
  <c r="M820" i="15"/>
  <c r="K821" i="15"/>
  <c r="M821" i="15"/>
  <c r="K822" i="15"/>
  <c r="M822" i="15"/>
  <c r="K823" i="15"/>
  <c r="M823" i="15"/>
  <c r="K824" i="15"/>
  <c r="M824" i="15"/>
  <c r="K825" i="15"/>
  <c r="M825" i="15"/>
  <c r="K826" i="15"/>
  <c r="M826" i="15"/>
  <c r="K827" i="15"/>
  <c r="M827" i="15"/>
  <c r="K828" i="15"/>
  <c r="M828" i="15"/>
  <c r="K829" i="15"/>
  <c r="M829" i="15"/>
  <c r="K830" i="15"/>
  <c r="M830" i="15"/>
  <c r="K831" i="15"/>
  <c r="M831" i="15"/>
  <c r="K832" i="15"/>
  <c r="M832" i="15"/>
  <c r="K833" i="15"/>
  <c r="M833" i="15"/>
  <c r="K834" i="15"/>
  <c r="M834" i="15"/>
  <c r="K835" i="15"/>
  <c r="M835" i="15"/>
  <c r="K836" i="15"/>
  <c r="M836" i="15"/>
  <c r="K837" i="15"/>
  <c r="M837" i="15"/>
  <c r="K838" i="15"/>
  <c r="M838" i="15"/>
  <c r="K839" i="15"/>
  <c r="M839" i="15"/>
  <c r="K840" i="15"/>
  <c r="M840" i="15"/>
  <c r="K841" i="15"/>
  <c r="M841" i="15"/>
  <c r="K842" i="15"/>
  <c r="M842" i="15"/>
  <c r="K843" i="15"/>
  <c r="M843" i="15"/>
  <c r="K844" i="15"/>
  <c r="M844" i="15"/>
  <c r="K845" i="15"/>
  <c r="M845" i="15"/>
  <c r="K846" i="15"/>
  <c r="M846" i="15"/>
  <c r="K847" i="15"/>
  <c r="M847" i="15"/>
  <c r="K848" i="15"/>
  <c r="M848" i="15"/>
  <c r="K849" i="15"/>
  <c r="M849" i="15"/>
  <c r="K850" i="15"/>
  <c r="M850" i="15"/>
  <c r="K851" i="15"/>
  <c r="M851" i="15"/>
  <c r="K852" i="15"/>
  <c r="M852" i="15"/>
  <c r="K853" i="15"/>
  <c r="M853" i="15"/>
  <c r="K854" i="15"/>
  <c r="M854" i="15"/>
  <c r="K855" i="15"/>
  <c r="M855" i="15"/>
  <c r="K856" i="15"/>
  <c r="M856" i="15"/>
  <c r="K857" i="15"/>
  <c r="M857" i="15"/>
  <c r="K858" i="15"/>
  <c r="M858" i="15"/>
  <c r="K859" i="15"/>
  <c r="M859" i="15"/>
  <c r="K860" i="15"/>
  <c r="M860" i="15"/>
  <c r="K861" i="15"/>
  <c r="M861" i="15"/>
  <c r="K862" i="15"/>
  <c r="M862" i="15"/>
  <c r="K863" i="15"/>
  <c r="M863" i="15"/>
  <c r="K864" i="15"/>
  <c r="M864" i="15"/>
  <c r="K865" i="15"/>
  <c r="M865" i="15"/>
  <c r="K866" i="15"/>
  <c r="M866" i="15"/>
  <c r="K867" i="15"/>
  <c r="M867" i="15"/>
  <c r="K868" i="15"/>
  <c r="M868" i="15"/>
  <c r="K869" i="15"/>
  <c r="M869" i="15"/>
  <c r="K870" i="15"/>
  <c r="M870" i="15"/>
  <c r="K871" i="15"/>
  <c r="M871" i="15"/>
  <c r="K872" i="15"/>
  <c r="M872" i="15"/>
  <c r="K873" i="15"/>
  <c r="M873" i="15"/>
  <c r="K874" i="15"/>
  <c r="M874" i="15"/>
  <c r="K875" i="15"/>
  <c r="M875" i="15"/>
  <c r="K876" i="15"/>
  <c r="M876" i="15"/>
  <c r="K877" i="15"/>
  <c r="M877" i="15"/>
  <c r="K878" i="15"/>
  <c r="M878" i="15"/>
  <c r="K879" i="15"/>
  <c r="M879" i="15"/>
  <c r="K880" i="15"/>
  <c r="M880" i="15"/>
  <c r="K881" i="15"/>
  <c r="M881" i="15"/>
  <c r="K882" i="15"/>
  <c r="M882" i="15"/>
  <c r="K883" i="15"/>
  <c r="M883" i="15"/>
  <c r="K884" i="15"/>
  <c r="M884" i="15"/>
  <c r="K885" i="15"/>
  <c r="M885" i="15"/>
  <c r="K886" i="15"/>
  <c r="M886" i="15"/>
  <c r="K887" i="15"/>
  <c r="M887" i="15"/>
  <c r="K888" i="15"/>
  <c r="M888" i="15"/>
  <c r="K889" i="15"/>
  <c r="M889" i="15"/>
  <c r="K890" i="15"/>
  <c r="M890" i="15"/>
  <c r="K891" i="15"/>
  <c r="M891" i="15"/>
  <c r="K892" i="15"/>
  <c r="M892" i="15"/>
  <c r="K893" i="15"/>
  <c r="M893" i="15"/>
  <c r="K894" i="15"/>
  <c r="M894" i="15"/>
  <c r="K895" i="15"/>
  <c r="M895" i="15"/>
  <c r="K896" i="15"/>
  <c r="M896" i="15"/>
  <c r="K897" i="15"/>
  <c r="M897" i="15"/>
  <c r="K898" i="15"/>
  <c r="M898" i="15"/>
  <c r="K899" i="15"/>
  <c r="M899" i="15"/>
  <c r="K900" i="15"/>
  <c r="M900" i="15"/>
  <c r="K901" i="15"/>
  <c r="M901" i="15"/>
  <c r="K902" i="15"/>
  <c r="M902" i="15"/>
  <c r="K903" i="15"/>
  <c r="M903" i="15"/>
  <c r="K904" i="15"/>
  <c r="M904" i="15"/>
  <c r="K905" i="15"/>
  <c r="M905" i="15"/>
  <c r="K906" i="15"/>
  <c r="M906" i="15"/>
  <c r="K907" i="15"/>
  <c r="M907" i="15"/>
  <c r="K908" i="15"/>
  <c r="M908" i="15"/>
  <c r="K909" i="15"/>
  <c r="M909" i="15"/>
  <c r="K910" i="15"/>
  <c r="M910" i="15"/>
  <c r="K911" i="15"/>
  <c r="M911" i="15"/>
  <c r="K912" i="15"/>
  <c r="M912" i="15"/>
  <c r="K913" i="15"/>
  <c r="M913" i="15"/>
  <c r="K914" i="15"/>
  <c r="M914" i="15"/>
  <c r="K915" i="15"/>
  <c r="M915" i="15"/>
  <c r="K916" i="15"/>
  <c r="M916" i="15"/>
  <c r="K917" i="15"/>
  <c r="M917" i="15"/>
  <c r="K918" i="15"/>
  <c r="M918" i="15"/>
  <c r="K919" i="15"/>
  <c r="M919" i="15"/>
  <c r="K920" i="15"/>
  <c r="M920" i="15"/>
  <c r="K921" i="15"/>
  <c r="M921" i="15"/>
  <c r="K922" i="15"/>
  <c r="M922" i="15"/>
  <c r="K923" i="15"/>
  <c r="M923" i="15"/>
  <c r="K924" i="15"/>
  <c r="M924" i="15"/>
  <c r="K925" i="15"/>
  <c r="M925" i="15"/>
  <c r="K926" i="15"/>
  <c r="M926" i="15"/>
  <c r="K927" i="15"/>
  <c r="M927" i="15"/>
  <c r="K928" i="15"/>
  <c r="M928" i="15"/>
  <c r="K929" i="15"/>
  <c r="M929" i="15"/>
  <c r="K930" i="15"/>
  <c r="M930" i="15"/>
  <c r="K931" i="15"/>
  <c r="M931" i="15"/>
  <c r="K932" i="15"/>
  <c r="M932" i="15"/>
  <c r="K933" i="15"/>
  <c r="M933" i="15"/>
  <c r="K934" i="15"/>
  <c r="M934" i="15"/>
  <c r="K935" i="15"/>
  <c r="M935" i="15"/>
  <c r="K936" i="15"/>
  <c r="M936" i="15"/>
  <c r="K937" i="15"/>
  <c r="M937" i="15"/>
  <c r="K938" i="15"/>
  <c r="M938" i="15"/>
  <c r="K939" i="15"/>
  <c r="M939" i="15"/>
  <c r="K940" i="15"/>
  <c r="M940" i="15"/>
  <c r="K941" i="15"/>
  <c r="M941" i="15"/>
  <c r="K942" i="15"/>
  <c r="M942" i="15"/>
  <c r="K943" i="15"/>
  <c r="M943" i="15"/>
  <c r="K944" i="15"/>
  <c r="M944" i="15"/>
  <c r="K945" i="15"/>
  <c r="M945" i="15"/>
  <c r="K946" i="15"/>
  <c r="M946" i="15"/>
  <c r="K947" i="15"/>
  <c r="M947" i="15"/>
  <c r="K948" i="15"/>
  <c r="M948" i="15"/>
  <c r="K949" i="15"/>
  <c r="M949" i="15"/>
  <c r="K950" i="15"/>
  <c r="M950" i="15"/>
  <c r="K951" i="15"/>
  <c r="M951" i="15"/>
  <c r="K952" i="15"/>
  <c r="M952" i="15"/>
  <c r="K953" i="15"/>
  <c r="M953" i="15"/>
  <c r="K954" i="15"/>
  <c r="M954" i="15"/>
  <c r="K955" i="15"/>
  <c r="M955" i="15"/>
  <c r="K956" i="15"/>
  <c r="M956" i="15"/>
  <c r="K957" i="15"/>
  <c r="M957" i="15"/>
  <c r="K958" i="15"/>
  <c r="M958" i="15"/>
  <c r="K959" i="15"/>
  <c r="M959" i="15"/>
  <c r="K960" i="15"/>
  <c r="M960" i="15"/>
  <c r="K961" i="15"/>
  <c r="M961" i="15"/>
  <c r="K962" i="15"/>
  <c r="M962" i="15"/>
  <c r="K963" i="15"/>
  <c r="M963" i="15"/>
  <c r="K964" i="15"/>
  <c r="M964" i="15"/>
  <c r="K965" i="15"/>
  <c r="M965" i="15"/>
  <c r="K966" i="15"/>
  <c r="M966" i="15"/>
  <c r="K967" i="15"/>
  <c r="M967" i="15"/>
  <c r="K968" i="15"/>
  <c r="M968" i="15"/>
  <c r="K969" i="15"/>
  <c r="M969" i="15"/>
  <c r="K970" i="15"/>
  <c r="M970" i="15"/>
  <c r="K971" i="15"/>
  <c r="M971" i="15"/>
  <c r="K972" i="15"/>
  <c r="M972" i="15"/>
  <c r="K973" i="15"/>
  <c r="M973" i="15"/>
  <c r="K974" i="15"/>
  <c r="M974" i="15"/>
  <c r="K975" i="15"/>
  <c r="M975" i="15"/>
  <c r="K976" i="15"/>
  <c r="M976" i="15"/>
  <c r="K977" i="15"/>
  <c r="M977" i="15"/>
  <c r="K978" i="15"/>
  <c r="M978" i="15"/>
  <c r="K979" i="15"/>
  <c r="M979" i="15"/>
  <c r="K980" i="15"/>
  <c r="M980" i="15"/>
  <c r="K981" i="15"/>
  <c r="M981" i="15"/>
  <c r="K982" i="15"/>
  <c r="M982" i="15"/>
  <c r="K983" i="15"/>
  <c r="M983" i="15"/>
  <c r="K984" i="15"/>
  <c r="M984" i="15"/>
  <c r="K985" i="15"/>
  <c r="M985" i="15"/>
  <c r="K986" i="15"/>
  <c r="M986" i="15"/>
  <c r="K987" i="15"/>
  <c r="M987" i="15"/>
  <c r="K988" i="15"/>
  <c r="M988" i="15"/>
  <c r="K989" i="15"/>
  <c r="M989" i="15"/>
  <c r="K990" i="15"/>
  <c r="M990" i="15"/>
  <c r="K991" i="15"/>
  <c r="M991" i="15"/>
  <c r="K992" i="15"/>
  <c r="M992" i="15"/>
  <c r="K993" i="15"/>
  <c r="M993" i="15"/>
  <c r="K994" i="15"/>
  <c r="M994" i="15"/>
  <c r="K995" i="15"/>
  <c r="M995" i="15"/>
  <c r="K996" i="15"/>
  <c r="M996" i="15"/>
  <c r="K997" i="15"/>
  <c r="M997" i="15"/>
  <c r="K998" i="15"/>
  <c r="M998" i="15"/>
  <c r="K999" i="15"/>
  <c r="M999" i="15"/>
  <c r="K1000" i="15"/>
  <c r="M1000" i="15"/>
  <c r="D146" i="15" l="1"/>
  <c r="B23" i="15" l="1"/>
  <c r="B24" i="15"/>
  <c r="B25" i="15"/>
  <c r="B26" i="15"/>
  <c r="B27" i="15"/>
  <c r="B28" i="15"/>
  <c r="B29" i="15"/>
  <c r="B30" i="15"/>
  <c r="B22" i="15"/>
  <c r="B23" i="11"/>
  <c r="B24" i="11"/>
  <c r="B25" i="11"/>
  <c r="B26" i="11"/>
  <c r="B27" i="11"/>
  <c r="B28" i="11"/>
  <c r="B29" i="11"/>
  <c r="B30" i="11"/>
  <c r="B22" i="11"/>
  <c r="C5" i="15"/>
  <c r="D5" i="15"/>
  <c r="E5" i="15"/>
  <c r="F5" i="15"/>
  <c r="K5" i="15" s="1"/>
  <c r="C6" i="15"/>
  <c r="D6" i="15"/>
  <c r="E6" i="15"/>
  <c r="F6" i="15"/>
  <c r="K6" i="15" s="1"/>
  <c r="C7" i="15"/>
  <c r="D7" i="15"/>
  <c r="E7" i="15"/>
  <c r="F7" i="15"/>
  <c r="C8" i="15"/>
  <c r="D8" i="15"/>
  <c r="E8" i="15"/>
  <c r="F8" i="15"/>
  <c r="C9" i="15"/>
  <c r="D9" i="15"/>
  <c r="E9" i="15"/>
  <c r="F9" i="15"/>
  <c r="C10" i="15"/>
  <c r="D10" i="15"/>
  <c r="E10" i="15"/>
  <c r="F10" i="15"/>
  <c r="C11" i="15"/>
  <c r="D11" i="15"/>
  <c r="E11" i="15"/>
  <c r="F11" i="15"/>
  <c r="C12" i="15"/>
  <c r="D12" i="15"/>
  <c r="E12" i="15"/>
  <c r="F12" i="15"/>
  <c r="C13" i="15"/>
  <c r="D13" i="15"/>
  <c r="E13" i="15"/>
  <c r="F13" i="15"/>
  <c r="C14" i="15"/>
  <c r="D14" i="15"/>
  <c r="E14" i="15"/>
  <c r="F14" i="15"/>
  <c r="C15" i="15"/>
  <c r="D15" i="15"/>
  <c r="E15" i="15"/>
  <c r="F15" i="15"/>
  <c r="C16" i="15"/>
  <c r="D16" i="15"/>
  <c r="E16" i="15"/>
  <c r="F16" i="15"/>
  <c r="C17" i="15"/>
  <c r="D17" i="15"/>
  <c r="E17" i="15"/>
  <c r="F17" i="15"/>
  <c r="C18" i="15"/>
  <c r="D18" i="15"/>
  <c r="E18" i="15"/>
  <c r="F18" i="15"/>
  <c r="C19" i="15"/>
  <c r="D19" i="15"/>
  <c r="E19" i="15"/>
  <c r="F19" i="15"/>
  <c r="K19" i="15" s="1"/>
  <c r="C20" i="15"/>
  <c r="D20" i="15"/>
  <c r="E20" i="15"/>
  <c r="F20" i="15"/>
  <c r="C21" i="15"/>
  <c r="D21" i="15"/>
  <c r="E21" i="15"/>
  <c r="F21" i="15"/>
  <c r="C22" i="15"/>
  <c r="D22" i="15"/>
  <c r="E22" i="15"/>
  <c r="F22" i="15"/>
  <c r="C23" i="15"/>
  <c r="D23" i="15"/>
  <c r="E23" i="15"/>
  <c r="F23" i="15"/>
  <c r="C24" i="15"/>
  <c r="D24" i="15"/>
  <c r="E24" i="15"/>
  <c r="F24" i="15"/>
  <c r="C25" i="15"/>
  <c r="D25" i="15"/>
  <c r="E25" i="15"/>
  <c r="F25" i="15"/>
  <c r="C26" i="15"/>
  <c r="D26" i="15"/>
  <c r="E26" i="15"/>
  <c r="F26" i="15"/>
  <c r="C27" i="15"/>
  <c r="D27" i="15"/>
  <c r="E27" i="15"/>
  <c r="F27" i="15"/>
  <c r="C28" i="15"/>
  <c r="D28" i="15"/>
  <c r="E28" i="15"/>
  <c r="F28" i="15"/>
  <c r="C29" i="15"/>
  <c r="D29" i="15"/>
  <c r="E29" i="15"/>
  <c r="F29" i="15"/>
  <c r="C30" i="15"/>
  <c r="D30" i="15"/>
  <c r="E30" i="15"/>
  <c r="F30" i="15"/>
  <c r="C31" i="15"/>
  <c r="D31" i="15"/>
  <c r="E31" i="15"/>
  <c r="F31" i="15"/>
  <c r="C32" i="15"/>
  <c r="D32" i="15"/>
  <c r="E32" i="15"/>
  <c r="F32" i="15"/>
  <c r="C33" i="15"/>
  <c r="D33" i="15"/>
  <c r="E33" i="15"/>
  <c r="F33" i="15"/>
  <c r="C34" i="15"/>
  <c r="D34" i="15"/>
  <c r="E34" i="15"/>
  <c r="F34" i="15"/>
  <c r="C35" i="15"/>
  <c r="D35" i="15"/>
  <c r="E35" i="15"/>
  <c r="F35" i="15"/>
  <c r="C36" i="15"/>
  <c r="D36" i="15"/>
  <c r="E36" i="15"/>
  <c r="F36" i="15"/>
  <c r="C37" i="15"/>
  <c r="D37" i="15"/>
  <c r="E37" i="15"/>
  <c r="F37" i="15"/>
  <c r="C38" i="15"/>
  <c r="D38" i="15"/>
  <c r="E38" i="15"/>
  <c r="F38" i="15"/>
  <c r="C39" i="15"/>
  <c r="D39" i="15"/>
  <c r="E39" i="15"/>
  <c r="F39" i="15"/>
  <c r="C40" i="15"/>
  <c r="D40" i="15"/>
  <c r="E40" i="15"/>
  <c r="F40" i="15"/>
  <c r="K40" i="15" s="1"/>
  <c r="C41" i="15"/>
  <c r="D41" i="15"/>
  <c r="E41" i="15"/>
  <c r="F41" i="15"/>
  <c r="C42" i="15"/>
  <c r="D42" i="15"/>
  <c r="E42" i="15"/>
  <c r="F42" i="15"/>
  <c r="C43" i="15"/>
  <c r="D43" i="15"/>
  <c r="E43" i="15"/>
  <c r="F43" i="15"/>
  <c r="C44" i="15"/>
  <c r="D44" i="15"/>
  <c r="E44" i="15"/>
  <c r="F44" i="15"/>
  <c r="C45" i="15"/>
  <c r="D45" i="15"/>
  <c r="E45" i="15"/>
  <c r="F45" i="15"/>
  <c r="C46" i="15"/>
  <c r="D46" i="15"/>
  <c r="E46" i="15"/>
  <c r="F46" i="15"/>
  <c r="K46" i="15" s="1"/>
  <c r="C47" i="15"/>
  <c r="D47" i="15"/>
  <c r="E47" i="15"/>
  <c r="F47" i="15"/>
  <c r="C48" i="15"/>
  <c r="D48" i="15"/>
  <c r="E48" i="15"/>
  <c r="F48" i="15"/>
  <c r="C49" i="15"/>
  <c r="D49" i="15"/>
  <c r="E49" i="15"/>
  <c r="F49" i="15"/>
  <c r="C50" i="15"/>
  <c r="D50" i="15"/>
  <c r="E50" i="15"/>
  <c r="F50" i="15"/>
  <c r="K50" i="15" s="1"/>
  <c r="C51" i="15"/>
  <c r="D51" i="15"/>
  <c r="E51" i="15"/>
  <c r="F51" i="15"/>
  <c r="C52" i="15"/>
  <c r="D52" i="15"/>
  <c r="E52" i="15"/>
  <c r="F52" i="15"/>
  <c r="C53" i="15"/>
  <c r="D53" i="15"/>
  <c r="E53" i="15"/>
  <c r="F53" i="15"/>
  <c r="C54" i="15"/>
  <c r="D54" i="15"/>
  <c r="E54" i="15"/>
  <c r="F54" i="15"/>
  <c r="K54" i="15" s="1"/>
  <c r="C55" i="15"/>
  <c r="D55" i="15"/>
  <c r="E55" i="15"/>
  <c r="F55" i="15"/>
  <c r="K55" i="15" s="1"/>
  <c r="C56" i="15"/>
  <c r="D56" i="15"/>
  <c r="E56" i="15"/>
  <c r="F56" i="15"/>
  <c r="C57" i="15"/>
  <c r="D57" i="15"/>
  <c r="E57" i="15"/>
  <c r="F57" i="15"/>
  <c r="C58" i="15"/>
  <c r="D58" i="15"/>
  <c r="E58" i="15"/>
  <c r="F58" i="15"/>
  <c r="C59" i="15"/>
  <c r="D59" i="15"/>
  <c r="E59" i="15"/>
  <c r="F59" i="15"/>
  <c r="C60" i="15"/>
  <c r="D60" i="15"/>
  <c r="E60" i="15"/>
  <c r="F60" i="15"/>
  <c r="C61" i="15"/>
  <c r="D61" i="15"/>
  <c r="E61" i="15"/>
  <c r="F61" i="15"/>
  <c r="C62" i="15"/>
  <c r="D62" i="15"/>
  <c r="E62" i="15"/>
  <c r="F62" i="15"/>
  <c r="C63" i="15"/>
  <c r="D63" i="15"/>
  <c r="E63" i="15"/>
  <c r="F63" i="15"/>
  <c r="C64" i="15"/>
  <c r="D64" i="15"/>
  <c r="E64" i="15"/>
  <c r="F64" i="15"/>
  <c r="C65" i="15"/>
  <c r="D65" i="15"/>
  <c r="E65" i="15"/>
  <c r="F65" i="15"/>
  <c r="C66" i="15"/>
  <c r="D66" i="15"/>
  <c r="E66" i="15"/>
  <c r="F66" i="15"/>
  <c r="C67" i="15"/>
  <c r="D67" i="15"/>
  <c r="E67" i="15"/>
  <c r="F67" i="15"/>
  <c r="C68" i="15"/>
  <c r="D68" i="15"/>
  <c r="E68" i="15"/>
  <c r="F68" i="15"/>
  <c r="C69" i="15"/>
  <c r="D69" i="15"/>
  <c r="E69" i="15"/>
  <c r="F69" i="15"/>
  <c r="C70" i="15"/>
  <c r="D70" i="15"/>
  <c r="E70" i="15"/>
  <c r="F70" i="15"/>
  <c r="C71" i="15"/>
  <c r="D71" i="15"/>
  <c r="E71" i="15"/>
  <c r="F71" i="15"/>
  <c r="C72" i="15"/>
  <c r="D72" i="15"/>
  <c r="E72" i="15"/>
  <c r="F72" i="15"/>
  <c r="C73" i="15"/>
  <c r="D73" i="15"/>
  <c r="E73" i="15"/>
  <c r="F73" i="15"/>
  <c r="C74" i="15"/>
  <c r="D74" i="15"/>
  <c r="E74" i="15"/>
  <c r="F74" i="15"/>
  <c r="C75" i="15"/>
  <c r="D75" i="15"/>
  <c r="E75" i="15"/>
  <c r="F75" i="15"/>
  <c r="C76" i="15"/>
  <c r="D76" i="15"/>
  <c r="E76" i="15"/>
  <c r="F76" i="15"/>
  <c r="C77" i="15"/>
  <c r="D77" i="15"/>
  <c r="E77" i="15"/>
  <c r="F77" i="15"/>
  <c r="C78" i="15"/>
  <c r="D78" i="15"/>
  <c r="E78" i="15"/>
  <c r="F78" i="15"/>
  <c r="C79" i="15"/>
  <c r="D79" i="15"/>
  <c r="E79" i="15"/>
  <c r="F79" i="15"/>
  <c r="C80" i="15"/>
  <c r="D80" i="15"/>
  <c r="E80" i="15"/>
  <c r="F80" i="15"/>
  <c r="C81" i="15"/>
  <c r="D81" i="15"/>
  <c r="E81" i="15"/>
  <c r="F81" i="15"/>
  <c r="C82" i="15"/>
  <c r="D82" i="15"/>
  <c r="E82" i="15"/>
  <c r="F82" i="15"/>
  <c r="C83" i="15"/>
  <c r="D83" i="15"/>
  <c r="E83" i="15"/>
  <c r="F83" i="15"/>
  <c r="C84" i="15"/>
  <c r="D84" i="15"/>
  <c r="E84" i="15"/>
  <c r="F84" i="15"/>
  <c r="C85" i="15"/>
  <c r="D85" i="15"/>
  <c r="E85" i="15"/>
  <c r="F85" i="15"/>
  <c r="C86" i="15"/>
  <c r="D86" i="15"/>
  <c r="E86" i="15"/>
  <c r="F86" i="15"/>
  <c r="C87" i="15"/>
  <c r="D87" i="15"/>
  <c r="E87" i="15"/>
  <c r="F87" i="15"/>
  <c r="C88" i="15"/>
  <c r="D88" i="15"/>
  <c r="E88" i="15"/>
  <c r="F88" i="15"/>
  <c r="C89" i="15"/>
  <c r="D89" i="15"/>
  <c r="E89" i="15"/>
  <c r="F89" i="15"/>
  <c r="C90" i="15"/>
  <c r="D90" i="15"/>
  <c r="E90" i="15"/>
  <c r="F90" i="15"/>
  <c r="C91" i="15"/>
  <c r="D91" i="15"/>
  <c r="E91" i="15"/>
  <c r="F91" i="15"/>
  <c r="C92" i="15"/>
  <c r="D92" i="15"/>
  <c r="E92" i="15"/>
  <c r="F92" i="15"/>
  <c r="C93" i="15"/>
  <c r="D93" i="15"/>
  <c r="E93" i="15"/>
  <c r="F93" i="15"/>
  <c r="C94" i="15"/>
  <c r="D94" i="15"/>
  <c r="E94" i="15"/>
  <c r="F94" i="15"/>
  <c r="C95" i="15"/>
  <c r="D95" i="15"/>
  <c r="E95" i="15"/>
  <c r="F95" i="15"/>
  <c r="C96" i="15"/>
  <c r="D96" i="15"/>
  <c r="E96" i="15"/>
  <c r="F96" i="15"/>
  <c r="C97" i="15"/>
  <c r="D97" i="15"/>
  <c r="E97" i="15"/>
  <c r="F97" i="15"/>
  <c r="C98" i="15"/>
  <c r="D98" i="15"/>
  <c r="E98" i="15"/>
  <c r="F98" i="15"/>
  <c r="C99" i="15"/>
  <c r="D99" i="15"/>
  <c r="E99" i="15"/>
  <c r="F99" i="15"/>
  <c r="C100" i="15"/>
  <c r="D100" i="15"/>
  <c r="E100" i="15"/>
  <c r="F100" i="15"/>
  <c r="C101" i="15"/>
  <c r="D101" i="15"/>
  <c r="E101" i="15"/>
  <c r="F101" i="15"/>
  <c r="C102" i="15"/>
  <c r="D102" i="15"/>
  <c r="E102" i="15"/>
  <c r="F102" i="15"/>
  <c r="C103" i="15"/>
  <c r="D103" i="15"/>
  <c r="E103" i="15"/>
  <c r="F103" i="15"/>
  <c r="C104" i="15"/>
  <c r="D104" i="15"/>
  <c r="E104" i="15"/>
  <c r="F104" i="15"/>
  <c r="C105" i="15"/>
  <c r="D105" i="15"/>
  <c r="E105" i="15"/>
  <c r="F105" i="15"/>
  <c r="C106" i="15"/>
  <c r="D106" i="15"/>
  <c r="E106" i="15"/>
  <c r="F106" i="15"/>
  <c r="C107" i="15"/>
  <c r="D107" i="15"/>
  <c r="E107" i="15"/>
  <c r="F107" i="15"/>
  <c r="C108" i="15"/>
  <c r="D108" i="15"/>
  <c r="E108" i="15"/>
  <c r="F108" i="15"/>
  <c r="C109" i="15"/>
  <c r="D109" i="15"/>
  <c r="E109" i="15"/>
  <c r="F109" i="15"/>
  <c r="C110" i="15"/>
  <c r="D110" i="15"/>
  <c r="E110" i="15"/>
  <c r="F110" i="15"/>
  <c r="C111" i="15"/>
  <c r="D111" i="15"/>
  <c r="E111" i="15"/>
  <c r="F111" i="15"/>
  <c r="C112" i="15"/>
  <c r="D112" i="15"/>
  <c r="E112" i="15"/>
  <c r="F112" i="15"/>
  <c r="C113" i="15"/>
  <c r="D113" i="15"/>
  <c r="E113" i="15"/>
  <c r="F113" i="15"/>
  <c r="C114" i="15"/>
  <c r="D114" i="15"/>
  <c r="E114" i="15"/>
  <c r="F114" i="15"/>
  <c r="B115" i="15"/>
  <c r="C115" i="15"/>
  <c r="D115" i="15"/>
  <c r="E115" i="15"/>
  <c r="F115" i="15"/>
  <c r="B116" i="15"/>
  <c r="C116" i="15"/>
  <c r="D116" i="15"/>
  <c r="E116" i="15"/>
  <c r="F116" i="15"/>
  <c r="B117" i="15"/>
  <c r="C117" i="15"/>
  <c r="D117" i="15"/>
  <c r="E117" i="15"/>
  <c r="F117" i="15"/>
  <c r="B118" i="15"/>
  <c r="C118" i="15"/>
  <c r="D118" i="15"/>
  <c r="E118" i="15"/>
  <c r="F118" i="15"/>
  <c r="K118" i="15" s="1"/>
  <c r="B119" i="15"/>
  <c r="C119" i="15"/>
  <c r="D119" i="15"/>
  <c r="E119" i="15"/>
  <c r="F119" i="15"/>
  <c r="B120" i="15"/>
  <c r="C120" i="15"/>
  <c r="D120" i="15"/>
  <c r="E120" i="15"/>
  <c r="F120" i="15"/>
  <c r="B121" i="15"/>
  <c r="C121" i="15"/>
  <c r="D121" i="15"/>
  <c r="E121" i="15"/>
  <c r="F121" i="15"/>
  <c r="B122" i="15"/>
  <c r="C122" i="15"/>
  <c r="D122" i="15"/>
  <c r="E122" i="15"/>
  <c r="F122" i="15"/>
  <c r="B123" i="15"/>
  <c r="C123" i="15"/>
  <c r="D123" i="15"/>
  <c r="E123" i="15"/>
  <c r="F123" i="15"/>
  <c r="B124" i="15"/>
  <c r="C124" i="15"/>
  <c r="D124" i="15"/>
  <c r="E124" i="15"/>
  <c r="F124" i="15"/>
  <c r="B125" i="15"/>
  <c r="C125" i="15"/>
  <c r="D125" i="15"/>
  <c r="E125" i="15"/>
  <c r="F125" i="15"/>
  <c r="B126" i="15"/>
  <c r="C126" i="15"/>
  <c r="D126" i="15"/>
  <c r="E126" i="15"/>
  <c r="F126" i="15"/>
  <c r="B127" i="15"/>
  <c r="C127" i="15"/>
  <c r="D127" i="15"/>
  <c r="E127" i="15"/>
  <c r="F127" i="15"/>
  <c r="B128" i="15"/>
  <c r="C128" i="15"/>
  <c r="D128" i="15"/>
  <c r="E128" i="15"/>
  <c r="F128" i="15"/>
  <c r="B129" i="15"/>
  <c r="C129" i="15"/>
  <c r="D129" i="15"/>
  <c r="E129" i="15"/>
  <c r="F129" i="15"/>
  <c r="B130" i="15"/>
  <c r="C130" i="15"/>
  <c r="D130" i="15"/>
  <c r="E130" i="15"/>
  <c r="F130" i="15"/>
  <c r="B131" i="15"/>
  <c r="C131" i="15"/>
  <c r="D131" i="15"/>
  <c r="E131" i="15"/>
  <c r="F131" i="15"/>
  <c r="B132" i="15"/>
  <c r="C132" i="15"/>
  <c r="D132" i="15"/>
  <c r="E132" i="15"/>
  <c r="F132" i="15"/>
  <c r="B133" i="15"/>
  <c r="C133" i="15"/>
  <c r="D133" i="15"/>
  <c r="E133" i="15"/>
  <c r="F133" i="15"/>
  <c r="B134" i="15"/>
  <c r="C134" i="15"/>
  <c r="D134" i="15"/>
  <c r="E134" i="15"/>
  <c r="F134" i="15"/>
  <c r="B135" i="15"/>
  <c r="C135" i="15"/>
  <c r="D135" i="15"/>
  <c r="E135" i="15"/>
  <c r="F135" i="15"/>
  <c r="B136" i="15"/>
  <c r="C136" i="15"/>
  <c r="D136" i="15"/>
  <c r="E136" i="15"/>
  <c r="F136" i="15"/>
  <c r="B137" i="15"/>
  <c r="C137" i="15"/>
  <c r="D137" i="15"/>
  <c r="E137" i="15"/>
  <c r="F137" i="15"/>
  <c r="B138" i="15"/>
  <c r="C138" i="15"/>
  <c r="D138" i="15"/>
  <c r="E138" i="15"/>
  <c r="F138" i="15"/>
  <c r="B139" i="15"/>
  <c r="C139" i="15"/>
  <c r="D139" i="15"/>
  <c r="E139" i="15"/>
  <c r="F139" i="15"/>
  <c r="B140" i="15"/>
  <c r="C140" i="15"/>
  <c r="D140" i="15"/>
  <c r="E140" i="15"/>
  <c r="F140" i="15"/>
  <c r="B141" i="15"/>
  <c r="C141" i="15"/>
  <c r="D141" i="15"/>
  <c r="E141" i="15"/>
  <c r="F141" i="15"/>
  <c r="B142" i="15"/>
  <c r="C142" i="15"/>
  <c r="D142" i="15"/>
  <c r="E142" i="15"/>
  <c r="F142" i="15"/>
  <c r="B143" i="15"/>
  <c r="C143" i="15"/>
  <c r="D143" i="15"/>
  <c r="E143" i="15"/>
  <c r="F143" i="15"/>
  <c r="B144" i="15"/>
  <c r="C144" i="15"/>
  <c r="D144" i="15"/>
  <c r="E144" i="15"/>
  <c r="F144" i="15"/>
  <c r="B145" i="15"/>
  <c r="C145" i="15"/>
  <c r="D145" i="15"/>
  <c r="E145" i="15"/>
  <c r="F145" i="15"/>
  <c r="B146" i="15"/>
  <c r="C146" i="15"/>
  <c r="E146" i="15"/>
  <c r="F146" i="15"/>
  <c r="K146" i="15" s="1"/>
  <c r="B147" i="15"/>
  <c r="C147" i="15"/>
  <c r="D147" i="15"/>
  <c r="E147" i="15"/>
  <c r="F147" i="15"/>
  <c r="C148" i="15"/>
  <c r="D148" i="15"/>
  <c r="E148" i="15"/>
  <c r="F148" i="15"/>
  <c r="C149" i="15"/>
  <c r="D149" i="15"/>
  <c r="E149" i="15"/>
  <c r="F149" i="15"/>
  <c r="C150" i="15"/>
  <c r="D150" i="15"/>
  <c r="E150" i="15"/>
  <c r="F150" i="15"/>
  <c r="C151" i="15"/>
  <c r="D151" i="15"/>
  <c r="E151" i="15"/>
  <c r="F151" i="15"/>
  <c r="C152" i="15"/>
  <c r="D152" i="15"/>
  <c r="E152" i="15"/>
  <c r="F152" i="15"/>
  <c r="C153" i="15"/>
  <c r="D153" i="15"/>
  <c r="E153" i="15"/>
  <c r="F153" i="15"/>
  <c r="C154" i="15"/>
  <c r="D154" i="15"/>
  <c r="E154" i="15"/>
  <c r="F154" i="15"/>
  <c r="C155" i="15"/>
  <c r="D155" i="15"/>
  <c r="E155" i="15"/>
  <c r="F155" i="15"/>
  <c r="C156" i="15"/>
  <c r="D156" i="15"/>
  <c r="E156" i="15"/>
  <c r="F156" i="15"/>
  <c r="C157" i="15"/>
  <c r="D157" i="15"/>
  <c r="E157" i="15"/>
  <c r="F157" i="15"/>
  <c r="C158" i="15"/>
  <c r="D158" i="15"/>
  <c r="E158" i="15"/>
  <c r="F158" i="15"/>
  <c r="C159" i="15"/>
  <c r="D159" i="15"/>
  <c r="E159" i="15"/>
  <c r="F159" i="15"/>
  <c r="C160" i="15"/>
  <c r="D160" i="15"/>
  <c r="E160" i="15"/>
  <c r="F160" i="15"/>
  <c r="C161" i="15"/>
  <c r="D161" i="15"/>
  <c r="E161" i="15"/>
  <c r="F161" i="15"/>
  <c r="C162" i="15"/>
  <c r="D162" i="15"/>
  <c r="E162" i="15"/>
  <c r="F162" i="15"/>
  <c r="C163" i="15"/>
  <c r="D163" i="15"/>
  <c r="E163" i="15"/>
  <c r="F163" i="15"/>
  <c r="C164" i="15"/>
  <c r="D164" i="15"/>
  <c r="E164" i="15"/>
  <c r="F164" i="15"/>
  <c r="C165" i="15"/>
  <c r="D165" i="15"/>
  <c r="E165" i="15"/>
  <c r="F165" i="15"/>
  <c r="C166" i="15"/>
  <c r="D166" i="15"/>
  <c r="E166" i="15"/>
  <c r="F166" i="15"/>
  <c r="C167" i="15"/>
  <c r="D167" i="15"/>
  <c r="E167" i="15"/>
  <c r="F167" i="15"/>
  <c r="C168" i="15"/>
  <c r="D168" i="15"/>
  <c r="E168" i="15"/>
  <c r="F168" i="15"/>
  <c r="C169" i="15"/>
  <c r="D169" i="15"/>
  <c r="E169" i="15"/>
  <c r="F169" i="15"/>
  <c r="C170" i="15"/>
  <c r="D170" i="15"/>
  <c r="E170" i="15"/>
  <c r="F170" i="15"/>
  <c r="C171" i="15"/>
  <c r="D171" i="15"/>
  <c r="E171" i="15"/>
  <c r="F171" i="15"/>
  <c r="C172" i="15"/>
  <c r="D172" i="15"/>
  <c r="E172" i="15"/>
  <c r="F172" i="15"/>
  <c r="C173" i="15"/>
  <c r="D173" i="15"/>
  <c r="E173" i="15"/>
  <c r="F173" i="15"/>
  <c r="C174" i="15"/>
  <c r="D174" i="15"/>
  <c r="E174" i="15"/>
  <c r="F174" i="15"/>
  <c r="C175" i="15"/>
  <c r="D175" i="15"/>
  <c r="E175" i="15"/>
  <c r="F175" i="15"/>
  <c r="C176" i="15"/>
  <c r="D176" i="15"/>
  <c r="E176" i="15"/>
  <c r="F176" i="15"/>
  <c r="C177" i="15"/>
  <c r="D177" i="15"/>
  <c r="E177" i="15"/>
  <c r="F177" i="15"/>
  <c r="C178" i="15"/>
  <c r="D178" i="15"/>
  <c r="E178" i="15"/>
  <c r="F178" i="15"/>
  <c r="C179" i="15"/>
  <c r="D179" i="15"/>
  <c r="E179" i="15"/>
  <c r="F179" i="15"/>
  <c r="C180" i="15"/>
  <c r="D180" i="15"/>
  <c r="E180" i="15"/>
  <c r="F180" i="15"/>
  <c r="C181" i="15"/>
  <c r="D181" i="15"/>
  <c r="E181" i="15"/>
  <c r="F181" i="15"/>
  <c r="C182" i="15"/>
  <c r="D182" i="15"/>
  <c r="E182" i="15"/>
  <c r="F182" i="15"/>
  <c r="C183" i="15"/>
  <c r="D183" i="15"/>
  <c r="E183" i="15"/>
  <c r="F183" i="15"/>
  <c r="C184" i="15"/>
  <c r="D184" i="15"/>
  <c r="E184" i="15"/>
  <c r="F184" i="15"/>
  <c r="C185" i="15"/>
  <c r="D185" i="15"/>
  <c r="E185" i="15"/>
  <c r="F185" i="15"/>
  <c r="C186" i="15"/>
  <c r="D186" i="15"/>
  <c r="E186" i="15"/>
  <c r="F186" i="15"/>
  <c r="C187" i="15"/>
  <c r="D187" i="15"/>
  <c r="E187" i="15"/>
  <c r="F187" i="15"/>
  <c r="C188" i="15"/>
  <c r="D188" i="15"/>
  <c r="E188" i="15"/>
  <c r="F188" i="15"/>
  <c r="C189" i="15"/>
  <c r="D189" i="15"/>
  <c r="E189" i="15"/>
  <c r="F189" i="15"/>
  <c r="C190" i="15"/>
  <c r="D190" i="15"/>
  <c r="E190" i="15"/>
  <c r="F190" i="15"/>
  <c r="C191" i="15"/>
  <c r="D191" i="15"/>
  <c r="E191" i="15"/>
  <c r="F191" i="15"/>
  <c r="C192" i="15"/>
  <c r="D192" i="15"/>
  <c r="E192" i="15"/>
  <c r="F192" i="15"/>
  <c r="C193" i="15"/>
  <c r="D193" i="15"/>
  <c r="E193" i="15"/>
  <c r="F193" i="15"/>
  <c r="C194" i="15"/>
  <c r="D194" i="15"/>
  <c r="E194" i="15"/>
  <c r="F194" i="15"/>
  <c r="C195" i="15"/>
  <c r="D195" i="15"/>
  <c r="E195" i="15"/>
  <c r="F195" i="15"/>
  <c r="K195" i="15" s="1"/>
  <c r="C196" i="15"/>
  <c r="D196" i="15"/>
  <c r="E196" i="15"/>
  <c r="F196" i="15"/>
  <c r="C197" i="15"/>
  <c r="D197" i="15"/>
  <c r="E197" i="15"/>
  <c r="F197" i="15"/>
  <c r="K197" i="15" s="1"/>
  <c r="C198" i="15"/>
  <c r="D198" i="15"/>
  <c r="E198" i="15"/>
  <c r="F198" i="15"/>
  <c r="C199" i="15"/>
  <c r="D199" i="15"/>
  <c r="E199" i="15"/>
  <c r="F199" i="15"/>
  <c r="K199" i="15" s="1"/>
  <c r="C200" i="15"/>
  <c r="D200" i="15"/>
  <c r="E200" i="15"/>
  <c r="F200" i="15"/>
  <c r="C201" i="15"/>
  <c r="D201" i="15"/>
  <c r="E201" i="15"/>
  <c r="F201" i="15"/>
  <c r="C202" i="15"/>
  <c r="D202" i="15"/>
  <c r="E202" i="15"/>
  <c r="F202" i="15"/>
  <c r="C203" i="15"/>
  <c r="D203" i="15"/>
  <c r="E203" i="15"/>
  <c r="F203" i="15"/>
  <c r="C204" i="15"/>
  <c r="D204" i="15"/>
  <c r="E204" i="15"/>
  <c r="F204" i="15"/>
  <c r="C205" i="15"/>
  <c r="D205" i="15"/>
  <c r="E205" i="15"/>
  <c r="F205" i="15"/>
  <c r="C206" i="15"/>
  <c r="D206" i="15"/>
  <c r="E206" i="15"/>
  <c r="F206" i="15"/>
  <c r="C207" i="15"/>
  <c r="D207" i="15"/>
  <c r="E207" i="15"/>
  <c r="F207" i="15"/>
  <c r="C208" i="15"/>
  <c r="D208" i="15"/>
  <c r="E208" i="15"/>
  <c r="F208" i="15"/>
  <c r="K208" i="15" s="1"/>
  <c r="C209" i="15"/>
  <c r="D209" i="15"/>
  <c r="E209" i="15"/>
  <c r="F209" i="15"/>
  <c r="C210" i="15"/>
  <c r="D210" i="15"/>
  <c r="E210" i="15"/>
  <c r="F210" i="15"/>
  <c r="K210" i="15" s="1"/>
  <c r="C211" i="15"/>
  <c r="D211" i="15"/>
  <c r="E211" i="15"/>
  <c r="F211" i="15"/>
  <c r="K211" i="15" s="1"/>
  <c r="C212" i="15"/>
  <c r="D212" i="15"/>
  <c r="E212" i="15"/>
  <c r="F212" i="15"/>
  <c r="C213" i="15"/>
  <c r="D213" i="15"/>
  <c r="E213" i="15"/>
  <c r="F213" i="15"/>
  <c r="C214" i="15"/>
  <c r="D214" i="15"/>
  <c r="E214" i="15"/>
  <c r="F214" i="15"/>
  <c r="C215" i="15"/>
  <c r="D215" i="15"/>
  <c r="E215" i="15"/>
  <c r="F215" i="15"/>
  <c r="C216" i="15"/>
  <c r="D216" i="15"/>
  <c r="E216" i="15"/>
  <c r="F216" i="15"/>
  <c r="C217" i="15"/>
  <c r="D217" i="15"/>
  <c r="E217" i="15"/>
  <c r="F217" i="15"/>
  <c r="K217" i="15" s="1"/>
  <c r="C218" i="15"/>
  <c r="D218" i="15"/>
  <c r="E218" i="15"/>
  <c r="F218" i="15"/>
  <c r="C219" i="15"/>
  <c r="D219" i="15"/>
  <c r="E219" i="15"/>
  <c r="F219" i="15"/>
  <c r="C220" i="15"/>
  <c r="D220" i="15"/>
  <c r="E220" i="15"/>
  <c r="F220" i="15"/>
  <c r="C221" i="15"/>
  <c r="D221" i="15"/>
  <c r="E221" i="15"/>
  <c r="F221" i="15"/>
  <c r="C222" i="15"/>
  <c r="D222" i="15"/>
  <c r="E222" i="15"/>
  <c r="F222" i="15"/>
  <c r="C223" i="15"/>
  <c r="D223" i="15"/>
  <c r="E223" i="15"/>
  <c r="F223" i="15"/>
  <c r="C224" i="15"/>
  <c r="D224" i="15"/>
  <c r="E224" i="15"/>
  <c r="F224" i="15"/>
  <c r="C225" i="15"/>
  <c r="D225" i="15"/>
  <c r="E225" i="15"/>
  <c r="F225" i="15"/>
  <c r="C226" i="15"/>
  <c r="D226" i="15"/>
  <c r="E226" i="15"/>
  <c r="F226" i="15"/>
  <c r="C227" i="15"/>
  <c r="D227" i="15"/>
  <c r="E227" i="15"/>
  <c r="F227" i="15"/>
  <c r="C228" i="15"/>
  <c r="D228" i="15"/>
  <c r="E228" i="15"/>
  <c r="F228" i="15"/>
  <c r="C229" i="15"/>
  <c r="D229" i="15"/>
  <c r="E229" i="15"/>
  <c r="F229" i="15"/>
  <c r="C230" i="15"/>
  <c r="D230" i="15"/>
  <c r="E230" i="15"/>
  <c r="F230" i="15"/>
  <c r="K230" i="15" s="1"/>
  <c r="C231" i="15"/>
  <c r="D231" i="15"/>
  <c r="E231" i="15"/>
  <c r="F231" i="15"/>
  <c r="C232" i="15"/>
  <c r="D232" i="15"/>
  <c r="E232" i="15"/>
  <c r="F232" i="15"/>
  <c r="C233" i="15"/>
  <c r="D233" i="15"/>
  <c r="E233" i="15"/>
  <c r="F233" i="15"/>
  <c r="C234" i="15"/>
  <c r="D234" i="15"/>
  <c r="E234" i="15"/>
  <c r="F234" i="15"/>
  <c r="C235" i="15"/>
  <c r="D235" i="15"/>
  <c r="E235" i="15"/>
  <c r="F235" i="15"/>
  <c r="C236" i="15"/>
  <c r="D236" i="15"/>
  <c r="E236" i="15"/>
  <c r="F236" i="15"/>
  <c r="C237" i="15"/>
  <c r="D237" i="15"/>
  <c r="E237" i="15"/>
  <c r="F237" i="15"/>
  <c r="C238" i="15"/>
  <c r="D238" i="15"/>
  <c r="E238" i="15"/>
  <c r="F238" i="15"/>
  <c r="C239" i="15"/>
  <c r="D239" i="15"/>
  <c r="E239" i="15"/>
  <c r="F239" i="15"/>
  <c r="C240" i="15"/>
  <c r="D240" i="15"/>
  <c r="E240" i="15"/>
  <c r="F240" i="15"/>
  <c r="C241" i="15"/>
  <c r="D241" i="15"/>
  <c r="E241" i="15"/>
  <c r="F241" i="15"/>
  <c r="C242" i="15"/>
  <c r="D242" i="15"/>
  <c r="E242" i="15"/>
  <c r="F242" i="15"/>
  <c r="C243" i="15"/>
  <c r="D243" i="15"/>
  <c r="E243" i="15"/>
  <c r="F243" i="15"/>
  <c r="C244" i="15"/>
  <c r="D244" i="15"/>
  <c r="E244" i="15"/>
  <c r="F244" i="15"/>
  <c r="C245" i="15"/>
  <c r="D245" i="15"/>
  <c r="E245" i="15"/>
  <c r="F245" i="15"/>
  <c r="C246" i="15"/>
  <c r="D246" i="15"/>
  <c r="E246" i="15"/>
  <c r="F246" i="15"/>
  <c r="C247" i="15"/>
  <c r="D247" i="15"/>
  <c r="E247" i="15"/>
  <c r="F247" i="15"/>
  <c r="C248" i="15"/>
  <c r="D248" i="15"/>
  <c r="E248" i="15"/>
  <c r="F248" i="15"/>
  <c r="C249" i="15"/>
  <c r="D249" i="15"/>
  <c r="E249" i="15"/>
  <c r="F249" i="15"/>
  <c r="C250" i="15"/>
  <c r="D250" i="15"/>
  <c r="E250" i="15"/>
  <c r="F250" i="15"/>
  <c r="C251" i="15"/>
  <c r="D251" i="15"/>
  <c r="E251" i="15"/>
  <c r="F251" i="15"/>
  <c r="C252" i="15"/>
  <c r="D252" i="15"/>
  <c r="E252" i="15"/>
  <c r="F252" i="15"/>
  <c r="C253" i="15"/>
  <c r="D253" i="15"/>
  <c r="E253" i="15"/>
  <c r="F253" i="15"/>
  <c r="C254" i="15"/>
  <c r="D254" i="15"/>
  <c r="E254" i="15"/>
  <c r="F254" i="15"/>
  <c r="C255" i="15"/>
  <c r="D255" i="15"/>
  <c r="E255" i="15"/>
  <c r="F255" i="15"/>
  <c r="C256" i="15"/>
  <c r="D256" i="15"/>
  <c r="E256" i="15"/>
  <c r="F256" i="15"/>
  <c r="C257" i="15"/>
  <c r="D257" i="15"/>
  <c r="E257" i="15"/>
  <c r="F257" i="15"/>
  <c r="C258" i="15"/>
  <c r="D258" i="15"/>
  <c r="E258" i="15"/>
  <c r="F258" i="15"/>
  <c r="C259" i="15"/>
  <c r="D259" i="15"/>
  <c r="E259" i="15"/>
  <c r="F259" i="15"/>
  <c r="K259" i="15" s="1"/>
  <c r="C260" i="15"/>
  <c r="D260" i="15"/>
  <c r="E260" i="15"/>
  <c r="F260" i="15"/>
  <c r="C261" i="15"/>
  <c r="D261" i="15"/>
  <c r="E261" i="15"/>
  <c r="F261" i="15"/>
  <c r="C262" i="15"/>
  <c r="D262" i="15"/>
  <c r="E262" i="15"/>
  <c r="F262" i="15"/>
  <c r="C263" i="15"/>
  <c r="D263" i="15"/>
  <c r="E263" i="15"/>
  <c r="F263" i="15"/>
  <c r="C264" i="15"/>
  <c r="D264" i="15"/>
  <c r="E264" i="15"/>
  <c r="F264" i="15"/>
  <c r="C265" i="15"/>
  <c r="D265" i="15"/>
  <c r="E265" i="15"/>
  <c r="F265" i="15"/>
  <c r="C266" i="15"/>
  <c r="D266" i="15"/>
  <c r="E266" i="15"/>
  <c r="F266" i="15"/>
  <c r="C267" i="15"/>
  <c r="D267" i="15"/>
  <c r="E267" i="15"/>
  <c r="F267" i="15"/>
  <c r="C268" i="15"/>
  <c r="D268" i="15"/>
  <c r="E268" i="15"/>
  <c r="F268" i="15"/>
  <c r="C269" i="15"/>
  <c r="D269" i="15"/>
  <c r="E269" i="15"/>
  <c r="F269" i="15"/>
  <c r="C270" i="15"/>
  <c r="D270" i="15"/>
  <c r="E270" i="15"/>
  <c r="F270" i="15"/>
  <c r="C271" i="15"/>
  <c r="D271" i="15"/>
  <c r="E271" i="15"/>
  <c r="F271" i="15"/>
  <c r="C272" i="15"/>
  <c r="D272" i="15"/>
  <c r="E272" i="15"/>
  <c r="F272" i="15"/>
  <c r="C273" i="15"/>
  <c r="D273" i="15"/>
  <c r="E273" i="15"/>
  <c r="F273" i="15"/>
  <c r="K273" i="15" s="1"/>
  <c r="C274" i="15"/>
  <c r="D274" i="15"/>
  <c r="E274" i="15"/>
  <c r="F274" i="15"/>
  <c r="C275" i="15"/>
  <c r="D275" i="15"/>
  <c r="E275" i="15"/>
  <c r="F275" i="15"/>
  <c r="C276" i="15"/>
  <c r="D276" i="15"/>
  <c r="E276" i="15"/>
  <c r="F276" i="15"/>
  <c r="C277" i="15"/>
  <c r="D277" i="15"/>
  <c r="E277" i="15"/>
  <c r="F277" i="15"/>
  <c r="C278" i="15"/>
  <c r="D278" i="15"/>
  <c r="E278" i="15"/>
  <c r="F278" i="15"/>
  <c r="C279" i="15"/>
  <c r="D279" i="15"/>
  <c r="E279" i="15"/>
  <c r="F279" i="15"/>
  <c r="C280" i="15"/>
  <c r="D280" i="15"/>
  <c r="E280" i="15"/>
  <c r="F280" i="15"/>
  <c r="C281" i="15"/>
  <c r="D281" i="15"/>
  <c r="E281" i="15"/>
  <c r="F281" i="15"/>
  <c r="C282" i="15"/>
  <c r="D282" i="15"/>
  <c r="E282" i="15"/>
  <c r="F282" i="15"/>
  <c r="C283" i="15"/>
  <c r="D283" i="15"/>
  <c r="E283" i="15"/>
  <c r="F283" i="15"/>
  <c r="C284" i="15"/>
  <c r="D284" i="15"/>
  <c r="E284" i="15"/>
  <c r="F284" i="15"/>
  <c r="C285" i="15"/>
  <c r="D285" i="15"/>
  <c r="E285" i="15"/>
  <c r="F285" i="15"/>
  <c r="C286" i="15"/>
  <c r="D286" i="15"/>
  <c r="E286" i="15"/>
  <c r="F286" i="15"/>
  <c r="C287" i="15"/>
  <c r="D287" i="15"/>
  <c r="E287" i="15"/>
  <c r="F287" i="15"/>
  <c r="C288" i="15"/>
  <c r="D288" i="15"/>
  <c r="E288" i="15"/>
  <c r="F288" i="15"/>
  <c r="C289" i="15"/>
  <c r="D289" i="15"/>
  <c r="E289" i="15"/>
  <c r="F289" i="15"/>
  <c r="C290" i="15"/>
  <c r="D290" i="15"/>
  <c r="E290" i="15"/>
  <c r="F290" i="15"/>
  <c r="C291" i="15"/>
  <c r="D291" i="15"/>
  <c r="E291" i="15"/>
  <c r="F291" i="15"/>
  <c r="C292" i="15"/>
  <c r="D292" i="15"/>
  <c r="E292" i="15"/>
  <c r="F292" i="15"/>
  <c r="C293" i="15"/>
  <c r="D293" i="15"/>
  <c r="E293" i="15"/>
  <c r="F293" i="15"/>
  <c r="C294" i="15"/>
  <c r="D294" i="15"/>
  <c r="E294" i="15"/>
  <c r="F294" i="15"/>
  <c r="C295" i="15"/>
  <c r="D295" i="15"/>
  <c r="E295" i="15"/>
  <c r="F295" i="15"/>
  <c r="C296" i="15"/>
  <c r="D296" i="15"/>
  <c r="E296" i="15"/>
  <c r="F296" i="15"/>
  <c r="C297" i="15"/>
  <c r="D297" i="15"/>
  <c r="E297" i="15"/>
  <c r="F297" i="15"/>
  <c r="C298" i="15"/>
  <c r="D298" i="15"/>
  <c r="E298" i="15"/>
  <c r="F298" i="15"/>
  <c r="C299" i="15"/>
  <c r="D299" i="15"/>
  <c r="E299" i="15"/>
  <c r="F299" i="15"/>
  <c r="C300" i="15"/>
  <c r="D300" i="15"/>
  <c r="E300" i="15"/>
  <c r="F300" i="15"/>
  <c r="C301" i="15"/>
  <c r="D301" i="15"/>
  <c r="E301" i="15"/>
  <c r="F301" i="15"/>
  <c r="C302" i="15"/>
  <c r="D302" i="15"/>
  <c r="E302" i="15"/>
  <c r="F302" i="15"/>
  <c r="C303" i="15"/>
  <c r="D303" i="15"/>
  <c r="E303" i="15"/>
  <c r="F303" i="15"/>
  <c r="C304" i="15"/>
  <c r="D304" i="15"/>
  <c r="E304" i="15"/>
  <c r="F304" i="15"/>
  <c r="C305" i="15"/>
  <c r="D305" i="15"/>
  <c r="E305" i="15"/>
  <c r="F305" i="15"/>
  <c r="C306" i="15"/>
  <c r="D306" i="15"/>
  <c r="E306" i="15"/>
  <c r="F306" i="15"/>
  <c r="C307" i="15"/>
  <c r="D307" i="15"/>
  <c r="E307" i="15"/>
  <c r="F307" i="15"/>
  <c r="C308" i="15"/>
  <c r="D308" i="15"/>
  <c r="E308" i="15"/>
  <c r="F308" i="15"/>
  <c r="C309" i="15"/>
  <c r="D309" i="15"/>
  <c r="E309" i="15"/>
  <c r="F309" i="15"/>
  <c r="C310" i="15"/>
  <c r="D310" i="15"/>
  <c r="E310" i="15"/>
  <c r="F310" i="15"/>
  <c r="C311" i="15"/>
  <c r="D311" i="15"/>
  <c r="E311" i="15"/>
  <c r="F311" i="15"/>
  <c r="C312" i="15"/>
  <c r="D312" i="15"/>
  <c r="E312" i="15"/>
  <c r="F312" i="15"/>
  <c r="C313" i="15"/>
  <c r="D313" i="15"/>
  <c r="E313" i="15"/>
  <c r="F313" i="15"/>
  <c r="C314" i="15"/>
  <c r="D314" i="15"/>
  <c r="E314" i="15"/>
  <c r="F314" i="15"/>
  <c r="C315" i="15"/>
  <c r="D315" i="15"/>
  <c r="E315" i="15"/>
  <c r="F315" i="15"/>
  <c r="C316" i="15"/>
  <c r="D316" i="15"/>
  <c r="E316" i="15"/>
  <c r="F316" i="15"/>
  <c r="C317" i="15"/>
  <c r="D317" i="15"/>
  <c r="E317" i="15"/>
  <c r="F317" i="15"/>
  <c r="C318" i="15"/>
  <c r="D318" i="15"/>
  <c r="E318" i="15"/>
  <c r="F318" i="15"/>
  <c r="C319" i="15"/>
  <c r="D319" i="15"/>
  <c r="E319" i="15"/>
  <c r="F319" i="15"/>
  <c r="C320" i="15"/>
  <c r="D320" i="15"/>
  <c r="E320" i="15"/>
  <c r="F320" i="15"/>
  <c r="C321" i="15"/>
  <c r="D321" i="15"/>
  <c r="E321" i="15"/>
  <c r="F321" i="15"/>
  <c r="C322" i="15"/>
  <c r="D322" i="15"/>
  <c r="E322" i="15"/>
  <c r="F322" i="15"/>
  <c r="C323" i="15"/>
  <c r="D323" i="15"/>
  <c r="E323" i="15"/>
  <c r="F323" i="15"/>
  <c r="C324" i="15"/>
  <c r="D324" i="15"/>
  <c r="E324" i="15"/>
  <c r="F324" i="15"/>
  <c r="C325" i="15"/>
  <c r="D325" i="15"/>
  <c r="E325" i="15"/>
  <c r="F325" i="15"/>
  <c r="C326" i="15"/>
  <c r="D326" i="15"/>
  <c r="E326" i="15"/>
  <c r="F326" i="15"/>
  <c r="K326" i="15" s="1"/>
  <c r="C327" i="15"/>
  <c r="D327" i="15"/>
  <c r="E327" i="15"/>
  <c r="F327" i="15"/>
  <c r="K327" i="15" s="1"/>
  <c r="C328" i="15"/>
  <c r="D328" i="15"/>
  <c r="E328" i="15"/>
  <c r="F328" i="15"/>
  <c r="K328" i="15" s="1"/>
  <c r="C329" i="15"/>
  <c r="D329" i="15"/>
  <c r="E329" i="15"/>
  <c r="F329" i="15"/>
  <c r="K329" i="15" s="1"/>
  <c r="C330" i="15"/>
  <c r="D330" i="15"/>
  <c r="E330" i="15"/>
  <c r="F330" i="15"/>
  <c r="K330" i="15" s="1"/>
  <c r="C331" i="15"/>
  <c r="D331" i="15"/>
  <c r="E331" i="15"/>
  <c r="F331" i="15"/>
  <c r="C332" i="15"/>
  <c r="D332" i="15"/>
  <c r="E332" i="15"/>
  <c r="F332" i="15"/>
  <c r="C333" i="15"/>
  <c r="D333" i="15"/>
  <c r="E333" i="15"/>
  <c r="F333" i="15"/>
  <c r="C334" i="15"/>
  <c r="D334" i="15"/>
  <c r="E334" i="15"/>
  <c r="F334" i="15"/>
  <c r="C335" i="15"/>
  <c r="D335" i="15"/>
  <c r="E335" i="15"/>
  <c r="F335" i="15"/>
  <c r="C336" i="15"/>
  <c r="D336" i="15"/>
  <c r="E336" i="15"/>
  <c r="F336" i="15"/>
  <c r="C337" i="15"/>
  <c r="D337" i="15"/>
  <c r="E337" i="15"/>
  <c r="F337" i="15"/>
  <c r="C338" i="15"/>
  <c r="D338" i="15"/>
  <c r="E338" i="15"/>
  <c r="F338" i="15"/>
  <c r="C339" i="15"/>
  <c r="D339" i="15"/>
  <c r="E339" i="15"/>
  <c r="F339" i="15"/>
  <c r="C340" i="15"/>
  <c r="D340" i="15"/>
  <c r="E340" i="15"/>
  <c r="F340" i="15"/>
  <c r="C341" i="15"/>
  <c r="D341" i="15"/>
  <c r="E341" i="15"/>
  <c r="F341" i="15"/>
  <c r="C342" i="15"/>
  <c r="D342" i="15"/>
  <c r="E342" i="15"/>
  <c r="F342" i="15"/>
  <c r="C343" i="15"/>
  <c r="D343" i="15"/>
  <c r="E343" i="15"/>
  <c r="F343" i="15"/>
  <c r="C344" i="15"/>
  <c r="D344" i="15"/>
  <c r="E344" i="15"/>
  <c r="F344" i="15"/>
  <c r="C345" i="15"/>
  <c r="D345" i="15"/>
  <c r="E345" i="15"/>
  <c r="F345" i="15"/>
  <c r="C346" i="15"/>
  <c r="D346" i="15"/>
  <c r="E346" i="15"/>
  <c r="F346" i="15"/>
  <c r="C347" i="15"/>
  <c r="D347" i="15"/>
  <c r="E347" i="15"/>
  <c r="F347" i="15"/>
  <c r="C348" i="15"/>
  <c r="D348" i="15"/>
  <c r="E348" i="15"/>
  <c r="F348" i="15"/>
  <c r="C349" i="15"/>
  <c r="D349" i="15"/>
  <c r="E349" i="15"/>
  <c r="F349" i="15"/>
  <c r="C350" i="15"/>
  <c r="D350" i="15"/>
  <c r="E350" i="15"/>
  <c r="F350" i="15"/>
  <c r="C351" i="15"/>
  <c r="D351" i="15"/>
  <c r="E351" i="15"/>
  <c r="F351" i="15"/>
  <c r="C352" i="15"/>
  <c r="D352" i="15"/>
  <c r="E352" i="15"/>
  <c r="F352" i="15"/>
  <c r="C353" i="15"/>
  <c r="D353" i="15"/>
  <c r="E353" i="15"/>
  <c r="F353" i="15"/>
  <c r="C354" i="15"/>
  <c r="D354" i="15"/>
  <c r="E354" i="15"/>
  <c r="F354" i="15"/>
  <c r="C355" i="15"/>
  <c r="D355" i="15"/>
  <c r="E355" i="15"/>
  <c r="F355" i="15"/>
  <c r="C356" i="15"/>
  <c r="D356" i="15"/>
  <c r="E356" i="15"/>
  <c r="F356" i="15"/>
  <c r="C357" i="15"/>
  <c r="D357" i="15"/>
  <c r="E357" i="15"/>
  <c r="F357" i="15"/>
  <c r="C358" i="15"/>
  <c r="D358" i="15"/>
  <c r="E358" i="15"/>
  <c r="F358" i="15"/>
  <c r="C359" i="15"/>
  <c r="D359" i="15"/>
  <c r="E359" i="15"/>
  <c r="F359" i="15"/>
  <c r="C360" i="15"/>
  <c r="D360" i="15"/>
  <c r="E360" i="15"/>
  <c r="F360" i="15"/>
  <c r="C361" i="15"/>
  <c r="D361" i="15"/>
  <c r="E361" i="15"/>
  <c r="F361" i="15"/>
  <c r="C362" i="15"/>
  <c r="D362" i="15"/>
  <c r="E362" i="15"/>
  <c r="F362" i="15"/>
  <c r="C363" i="15"/>
  <c r="D363" i="15"/>
  <c r="E363" i="15"/>
  <c r="F363" i="15"/>
  <c r="C364" i="15"/>
  <c r="D364" i="15"/>
  <c r="E364" i="15"/>
  <c r="F364" i="15"/>
  <c r="C365" i="15"/>
  <c r="D365" i="15"/>
  <c r="E365" i="15"/>
  <c r="F365" i="15"/>
  <c r="C366" i="15"/>
  <c r="D366" i="15"/>
  <c r="E366" i="15"/>
  <c r="F366" i="15"/>
  <c r="C367" i="15"/>
  <c r="D367" i="15"/>
  <c r="E367" i="15"/>
  <c r="F367" i="15"/>
  <c r="C368" i="15"/>
  <c r="D368" i="15"/>
  <c r="E368" i="15"/>
  <c r="F368" i="15"/>
  <c r="C369" i="15"/>
  <c r="D369" i="15"/>
  <c r="E369" i="15"/>
  <c r="F369" i="15"/>
  <c r="C370" i="15"/>
  <c r="D370" i="15"/>
  <c r="E370" i="15"/>
  <c r="F370" i="15"/>
  <c r="C371" i="15"/>
  <c r="D371" i="15"/>
  <c r="E371" i="15"/>
  <c r="F371" i="15"/>
  <c r="C372" i="15"/>
  <c r="D372" i="15"/>
  <c r="E372" i="15"/>
  <c r="F372" i="15"/>
  <c r="C373" i="15"/>
  <c r="D373" i="15"/>
  <c r="E373" i="15"/>
  <c r="F373" i="15"/>
  <c r="C374" i="15"/>
  <c r="D374" i="15"/>
  <c r="E374" i="15"/>
  <c r="F374" i="15"/>
  <c r="C375" i="15"/>
  <c r="D375" i="15"/>
  <c r="E375" i="15"/>
  <c r="F375" i="15"/>
  <c r="C376" i="15"/>
  <c r="D376" i="15"/>
  <c r="E376" i="15"/>
  <c r="F376" i="15"/>
  <c r="C377" i="15"/>
  <c r="D377" i="15"/>
  <c r="E377" i="15"/>
  <c r="F377" i="15"/>
  <c r="C378" i="15"/>
  <c r="D378" i="15"/>
  <c r="E378" i="15"/>
  <c r="F378" i="15"/>
  <c r="C379" i="15"/>
  <c r="D379" i="15"/>
  <c r="E379" i="15"/>
  <c r="F379" i="15"/>
  <c r="C380" i="15"/>
  <c r="D380" i="15"/>
  <c r="E380" i="15"/>
  <c r="F380" i="15"/>
  <c r="C381" i="15"/>
  <c r="D381" i="15"/>
  <c r="E381" i="15"/>
  <c r="F381" i="15"/>
  <c r="C382" i="15"/>
  <c r="D382" i="15"/>
  <c r="E382" i="15"/>
  <c r="F382" i="15"/>
  <c r="C383" i="15"/>
  <c r="D383" i="15"/>
  <c r="E383" i="15"/>
  <c r="F383" i="15"/>
  <c r="C384" i="15"/>
  <c r="D384" i="15"/>
  <c r="E384" i="15"/>
  <c r="F384" i="15"/>
  <c r="C385" i="15"/>
  <c r="D385" i="15"/>
  <c r="E385" i="15"/>
  <c r="F385" i="15"/>
  <c r="C386" i="15"/>
  <c r="D386" i="15"/>
  <c r="E386" i="15"/>
  <c r="F386" i="15"/>
  <c r="C387" i="15"/>
  <c r="D387" i="15"/>
  <c r="E387" i="15"/>
  <c r="F387" i="15"/>
  <c r="C388" i="15"/>
  <c r="D388" i="15"/>
  <c r="E388" i="15"/>
  <c r="F388" i="15"/>
  <c r="C389" i="15"/>
  <c r="D389" i="15"/>
  <c r="E389" i="15"/>
  <c r="F389" i="15"/>
  <c r="C390" i="15"/>
  <c r="D390" i="15"/>
  <c r="E390" i="15"/>
  <c r="F390" i="15"/>
  <c r="C391" i="15"/>
  <c r="D391" i="15"/>
  <c r="E391" i="15"/>
  <c r="F391" i="15"/>
  <c r="C392" i="15"/>
  <c r="D392" i="15"/>
  <c r="E392" i="15"/>
  <c r="F392" i="15"/>
  <c r="C393" i="15"/>
  <c r="D393" i="15"/>
  <c r="E393" i="15"/>
  <c r="F393" i="15"/>
  <c r="C394" i="15"/>
  <c r="D394" i="15"/>
  <c r="E394" i="15"/>
  <c r="F394" i="15"/>
  <c r="C395" i="15"/>
  <c r="D395" i="15"/>
  <c r="E395" i="15"/>
  <c r="F395" i="15"/>
  <c r="C396" i="15"/>
  <c r="D396" i="15"/>
  <c r="E396" i="15"/>
  <c r="F396" i="15"/>
  <c r="C397" i="15"/>
  <c r="D397" i="15"/>
  <c r="E397" i="15"/>
  <c r="F397" i="15"/>
  <c r="C398" i="15"/>
  <c r="D398" i="15"/>
  <c r="E398" i="15"/>
  <c r="F398" i="15"/>
  <c r="C399" i="15"/>
  <c r="D399" i="15"/>
  <c r="E399" i="15"/>
  <c r="F399" i="15"/>
  <c r="C400" i="15"/>
  <c r="D400" i="15"/>
  <c r="E400" i="15"/>
  <c r="F400" i="15"/>
  <c r="C401" i="15"/>
  <c r="D401" i="15"/>
  <c r="E401" i="15"/>
  <c r="F401" i="15"/>
  <c r="C402" i="15"/>
  <c r="D402" i="15"/>
  <c r="E402" i="15"/>
  <c r="F402" i="15"/>
  <c r="C403" i="15"/>
  <c r="D403" i="15"/>
  <c r="E403" i="15"/>
  <c r="F403" i="15"/>
  <c r="C404" i="15"/>
  <c r="D404" i="15"/>
  <c r="E404" i="15"/>
  <c r="F404" i="15"/>
  <c r="C405" i="15"/>
  <c r="D405" i="15"/>
  <c r="E405" i="15"/>
  <c r="F405" i="15"/>
  <c r="C406" i="15"/>
  <c r="D406" i="15"/>
  <c r="E406" i="15"/>
  <c r="F406" i="15"/>
  <c r="C407" i="15"/>
  <c r="D407" i="15"/>
  <c r="E407" i="15"/>
  <c r="F407" i="15"/>
  <c r="C408" i="15"/>
  <c r="D408" i="15"/>
  <c r="E408" i="15"/>
  <c r="F408" i="15"/>
  <c r="C409" i="15"/>
  <c r="D409" i="15"/>
  <c r="E409" i="15"/>
  <c r="F409" i="15"/>
  <c r="C410" i="15"/>
  <c r="D410" i="15"/>
  <c r="E410" i="15"/>
  <c r="F410" i="15"/>
  <c r="C411" i="15"/>
  <c r="D411" i="15"/>
  <c r="E411" i="15"/>
  <c r="F411" i="15"/>
  <c r="C412" i="15"/>
  <c r="D412" i="15"/>
  <c r="E412" i="15"/>
  <c r="F412" i="15"/>
  <c r="C413" i="15"/>
  <c r="D413" i="15"/>
  <c r="E413" i="15"/>
  <c r="F413" i="15"/>
  <c r="C414" i="15"/>
  <c r="D414" i="15"/>
  <c r="E414" i="15"/>
  <c r="F414" i="15"/>
  <c r="C415" i="15"/>
  <c r="D415" i="15"/>
  <c r="E415" i="15"/>
  <c r="F415" i="15"/>
  <c r="C416" i="15"/>
  <c r="D416" i="15"/>
  <c r="E416" i="15"/>
  <c r="F416" i="15"/>
  <c r="C417" i="15"/>
  <c r="D417" i="15"/>
  <c r="E417" i="15"/>
  <c r="F417" i="15"/>
  <c r="C418" i="15"/>
  <c r="D418" i="15"/>
  <c r="E418" i="15"/>
  <c r="F418" i="15"/>
  <c r="C419" i="15"/>
  <c r="D419" i="15"/>
  <c r="E419" i="15"/>
  <c r="F419" i="15"/>
  <c r="C420" i="15"/>
  <c r="D420" i="15"/>
  <c r="E420" i="15"/>
  <c r="F420" i="15"/>
  <c r="C421" i="15"/>
  <c r="D421" i="15"/>
  <c r="E421" i="15"/>
  <c r="F421" i="15"/>
  <c r="C422" i="15"/>
  <c r="D422" i="15"/>
  <c r="E422" i="15"/>
  <c r="F422" i="15"/>
  <c r="C423" i="15"/>
  <c r="D423" i="15"/>
  <c r="E423" i="15"/>
  <c r="F423" i="15"/>
  <c r="C424" i="15"/>
  <c r="D424" i="15"/>
  <c r="E424" i="15"/>
  <c r="F424" i="15"/>
  <c r="C425" i="15"/>
  <c r="D425" i="15"/>
  <c r="E425" i="15"/>
  <c r="F425" i="15"/>
  <c r="C426" i="15"/>
  <c r="D426" i="15"/>
  <c r="E426" i="15"/>
  <c r="F426" i="15"/>
  <c r="C427" i="15"/>
  <c r="D427" i="15"/>
  <c r="E427" i="15"/>
  <c r="F427" i="15"/>
  <c r="C428" i="15"/>
  <c r="D428" i="15"/>
  <c r="E428" i="15"/>
  <c r="F428" i="15"/>
  <c r="C429" i="15"/>
  <c r="D429" i="15"/>
  <c r="E429" i="15"/>
  <c r="F429" i="15"/>
  <c r="C430" i="15"/>
  <c r="D430" i="15"/>
  <c r="E430" i="15"/>
  <c r="F430" i="15"/>
  <c r="C431" i="15"/>
  <c r="D431" i="15"/>
  <c r="E431" i="15"/>
  <c r="F431" i="15"/>
  <c r="C432" i="15"/>
  <c r="D432" i="15"/>
  <c r="E432" i="15"/>
  <c r="F432" i="15"/>
  <c r="C433" i="15"/>
  <c r="D433" i="15"/>
  <c r="E433" i="15"/>
  <c r="F433" i="15"/>
  <c r="C434" i="15"/>
  <c r="D434" i="15"/>
  <c r="E434" i="15"/>
  <c r="F434" i="15"/>
  <c r="C435" i="15"/>
  <c r="D435" i="15"/>
  <c r="E435" i="15"/>
  <c r="F435" i="15"/>
  <c r="C436" i="15"/>
  <c r="D436" i="15"/>
  <c r="E436" i="15"/>
  <c r="F436" i="15"/>
  <c r="C437" i="15"/>
  <c r="D437" i="15"/>
  <c r="E437" i="15"/>
  <c r="F437" i="15"/>
  <c r="C438" i="15"/>
  <c r="D438" i="15"/>
  <c r="E438" i="15"/>
  <c r="F438" i="15"/>
  <c r="C439" i="15"/>
  <c r="D439" i="15"/>
  <c r="E439" i="15"/>
  <c r="F439" i="15"/>
  <c r="B440" i="15"/>
  <c r="C440" i="15"/>
  <c r="D440" i="15"/>
  <c r="E440" i="15"/>
  <c r="F440" i="15"/>
  <c r="B441" i="15"/>
  <c r="C441" i="15"/>
  <c r="D441" i="15"/>
  <c r="E441" i="15"/>
  <c r="F441" i="15"/>
  <c r="B442" i="15"/>
  <c r="C442" i="15"/>
  <c r="D442" i="15"/>
  <c r="E442" i="15"/>
  <c r="F442" i="15"/>
  <c r="C443" i="15"/>
  <c r="D443" i="15"/>
  <c r="E443" i="15"/>
  <c r="F443" i="15"/>
  <c r="C444" i="15"/>
  <c r="D444" i="15"/>
  <c r="E444" i="15"/>
  <c r="F444" i="15"/>
  <c r="C445" i="15"/>
  <c r="D445" i="15"/>
  <c r="E445" i="15"/>
  <c r="F445" i="15"/>
  <c r="C446" i="15"/>
  <c r="D446" i="15"/>
  <c r="E446" i="15"/>
  <c r="F446" i="15"/>
  <c r="C447" i="15"/>
  <c r="D447" i="15"/>
  <c r="E447" i="15"/>
  <c r="F447" i="15"/>
  <c r="C448" i="15"/>
  <c r="D448" i="15"/>
  <c r="E448" i="15"/>
  <c r="F448" i="15"/>
  <c r="C449" i="15"/>
  <c r="D449" i="15"/>
  <c r="E449" i="15"/>
  <c r="F449" i="15"/>
  <c r="C450" i="15"/>
  <c r="D450" i="15"/>
  <c r="E450" i="15"/>
  <c r="F450" i="15"/>
  <c r="C451" i="15"/>
  <c r="D451" i="15"/>
  <c r="E451" i="15"/>
  <c r="F451" i="15"/>
  <c r="C452" i="15"/>
  <c r="D452" i="15"/>
  <c r="E452" i="15"/>
  <c r="F452" i="15"/>
  <c r="A572" i="15"/>
  <c r="R572" i="15" s="1"/>
  <c r="B572" i="15"/>
  <c r="C572" i="15"/>
  <c r="D572" i="15"/>
  <c r="E572" i="15"/>
  <c r="F572" i="15"/>
  <c r="A573" i="15"/>
  <c r="R573" i="15" s="1"/>
  <c r="B573" i="15"/>
  <c r="C573" i="15"/>
  <c r="D573" i="15"/>
  <c r="E573" i="15"/>
  <c r="F573" i="15"/>
  <c r="A574" i="15"/>
  <c r="R574" i="15" s="1"/>
  <c r="S574" i="15" s="1"/>
  <c r="B574" i="15"/>
  <c r="C574" i="15"/>
  <c r="D574" i="15"/>
  <c r="E574" i="15"/>
  <c r="F574" i="15"/>
  <c r="A575" i="15"/>
  <c r="R575" i="15" s="1"/>
  <c r="B575" i="15"/>
  <c r="C575" i="15"/>
  <c r="D575" i="15"/>
  <c r="E575" i="15"/>
  <c r="F575" i="15"/>
  <c r="A576" i="15"/>
  <c r="R576" i="15" s="1"/>
  <c r="B576" i="15"/>
  <c r="C576" i="15"/>
  <c r="D576" i="15"/>
  <c r="E576" i="15"/>
  <c r="F576" i="15"/>
  <c r="A577" i="15"/>
  <c r="R577" i="15" s="1"/>
  <c r="B577" i="15"/>
  <c r="C577" i="15"/>
  <c r="D577" i="15"/>
  <c r="E577" i="15"/>
  <c r="F577" i="15"/>
  <c r="A578" i="15"/>
  <c r="R578" i="15" s="1"/>
  <c r="S578" i="15" s="1"/>
  <c r="B578" i="15"/>
  <c r="C578" i="15"/>
  <c r="D578" i="15"/>
  <c r="E578" i="15"/>
  <c r="F578" i="15"/>
  <c r="A579" i="15"/>
  <c r="R579" i="15" s="1"/>
  <c r="T579" i="15" s="1"/>
  <c r="B579" i="15"/>
  <c r="C579" i="15"/>
  <c r="D579" i="15"/>
  <c r="E579" i="15"/>
  <c r="F579" i="15"/>
  <c r="A580" i="15"/>
  <c r="R580" i="15" s="1"/>
  <c r="T580" i="15" s="1"/>
  <c r="B580" i="15"/>
  <c r="C580" i="15"/>
  <c r="D580" i="15"/>
  <c r="E580" i="15"/>
  <c r="F580" i="15"/>
  <c r="A581" i="15"/>
  <c r="R581" i="15" s="1"/>
  <c r="B581" i="15"/>
  <c r="C581" i="15"/>
  <c r="D581" i="15"/>
  <c r="E581" i="15"/>
  <c r="F581" i="15"/>
  <c r="A582" i="15"/>
  <c r="R582" i="15" s="1"/>
  <c r="B582" i="15"/>
  <c r="C582" i="15"/>
  <c r="D582" i="15"/>
  <c r="E582" i="15"/>
  <c r="F582" i="15"/>
  <c r="A583" i="15"/>
  <c r="R583" i="15" s="1"/>
  <c r="B583" i="15"/>
  <c r="C583" i="15"/>
  <c r="D583" i="15"/>
  <c r="E583" i="15"/>
  <c r="F583" i="15"/>
  <c r="A584" i="15"/>
  <c r="R584" i="15" s="1"/>
  <c r="B584" i="15"/>
  <c r="C584" i="15"/>
  <c r="D584" i="15"/>
  <c r="E584" i="15"/>
  <c r="F584" i="15"/>
  <c r="A585" i="15"/>
  <c r="R585" i="15" s="1"/>
  <c r="B585" i="15"/>
  <c r="C585" i="15"/>
  <c r="D585" i="15"/>
  <c r="E585" i="15"/>
  <c r="F585" i="15"/>
  <c r="A586" i="15"/>
  <c r="R586" i="15" s="1"/>
  <c r="S586" i="15" s="1"/>
  <c r="B586" i="15"/>
  <c r="C586" i="15"/>
  <c r="D586" i="15"/>
  <c r="E586" i="15"/>
  <c r="F586" i="15"/>
  <c r="A587" i="15"/>
  <c r="R587" i="15" s="1"/>
  <c r="T587" i="15" s="1"/>
  <c r="B587" i="15"/>
  <c r="C587" i="15"/>
  <c r="D587" i="15"/>
  <c r="E587" i="15"/>
  <c r="F587" i="15"/>
  <c r="A588" i="15"/>
  <c r="R588" i="15" s="1"/>
  <c r="B588" i="15"/>
  <c r="C588" i="15"/>
  <c r="D588" i="15"/>
  <c r="E588" i="15"/>
  <c r="F588" i="15"/>
  <c r="A589" i="15"/>
  <c r="R589" i="15" s="1"/>
  <c r="B589" i="15"/>
  <c r="C589" i="15"/>
  <c r="D589" i="15"/>
  <c r="E589" i="15"/>
  <c r="F589" i="15"/>
  <c r="A590" i="15"/>
  <c r="R590" i="15" s="1"/>
  <c r="B590" i="15"/>
  <c r="C590" i="15"/>
  <c r="D590" i="15"/>
  <c r="E590" i="15"/>
  <c r="F590" i="15"/>
  <c r="A591" i="15"/>
  <c r="R591" i="15" s="1"/>
  <c r="T591" i="15" s="1"/>
  <c r="B591" i="15"/>
  <c r="C591" i="15"/>
  <c r="D591" i="15"/>
  <c r="E591" i="15"/>
  <c r="F591" i="15"/>
  <c r="A592" i="15"/>
  <c r="R592" i="15" s="1"/>
  <c r="B592" i="15"/>
  <c r="C592" i="15"/>
  <c r="D592" i="15"/>
  <c r="E592" i="15"/>
  <c r="F592" i="15"/>
  <c r="A593" i="15"/>
  <c r="R593" i="15" s="1"/>
  <c r="B593" i="15"/>
  <c r="C593" i="15"/>
  <c r="D593" i="15"/>
  <c r="E593" i="15"/>
  <c r="F593" i="15"/>
  <c r="A594" i="15"/>
  <c r="R594" i="15" s="1"/>
  <c r="S594" i="15" s="1"/>
  <c r="B594" i="15"/>
  <c r="C594" i="15"/>
  <c r="D594" i="15"/>
  <c r="E594" i="15"/>
  <c r="F594" i="15"/>
  <c r="A595" i="15"/>
  <c r="R595" i="15" s="1"/>
  <c r="B595" i="15"/>
  <c r="C595" i="15"/>
  <c r="D595" i="15"/>
  <c r="E595" i="15"/>
  <c r="F595" i="15"/>
  <c r="A596" i="15"/>
  <c r="R596" i="15" s="1"/>
  <c r="B596" i="15"/>
  <c r="C596" i="15"/>
  <c r="D596" i="15"/>
  <c r="E596" i="15"/>
  <c r="F596" i="15"/>
  <c r="A597" i="15"/>
  <c r="R597" i="15" s="1"/>
  <c r="B597" i="15"/>
  <c r="C597" i="15"/>
  <c r="D597" i="15"/>
  <c r="E597" i="15"/>
  <c r="F597" i="15"/>
  <c r="A598" i="15"/>
  <c r="R598" i="15" s="1"/>
  <c r="S598" i="15" s="1"/>
  <c r="B598" i="15"/>
  <c r="C598" i="15"/>
  <c r="D598" i="15"/>
  <c r="E598" i="15"/>
  <c r="F598" i="15"/>
  <c r="A599" i="15"/>
  <c r="R599" i="15" s="1"/>
  <c r="T599" i="15" s="1"/>
  <c r="B599" i="15"/>
  <c r="C599" i="15"/>
  <c r="D599" i="15"/>
  <c r="E599" i="15"/>
  <c r="F599" i="15"/>
  <c r="A600" i="15"/>
  <c r="R600" i="15" s="1"/>
  <c r="B600" i="15"/>
  <c r="C600" i="15"/>
  <c r="D600" i="15"/>
  <c r="E600" i="15"/>
  <c r="F600" i="15"/>
  <c r="A601" i="15"/>
  <c r="R601" i="15" s="1"/>
  <c r="B601" i="15"/>
  <c r="C601" i="15"/>
  <c r="D601" i="15"/>
  <c r="E601" i="15"/>
  <c r="F601" i="15"/>
  <c r="A602" i="15"/>
  <c r="R602" i="15" s="1"/>
  <c r="S602" i="15" s="1"/>
  <c r="B602" i="15"/>
  <c r="C602" i="15"/>
  <c r="D602" i="15"/>
  <c r="E602" i="15"/>
  <c r="F602" i="15"/>
  <c r="A603" i="15"/>
  <c r="R603" i="15" s="1"/>
  <c r="T603" i="15" s="1"/>
  <c r="B603" i="15"/>
  <c r="C603" i="15"/>
  <c r="D603" i="15"/>
  <c r="E603" i="15"/>
  <c r="F603" i="15"/>
  <c r="A604" i="15"/>
  <c r="R604" i="15" s="1"/>
  <c r="B604" i="15"/>
  <c r="C604" i="15"/>
  <c r="D604" i="15"/>
  <c r="E604" i="15"/>
  <c r="F604" i="15"/>
  <c r="A605" i="15"/>
  <c r="R605" i="15" s="1"/>
  <c r="B605" i="15"/>
  <c r="C605" i="15"/>
  <c r="D605" i="15"/>
  <c r="E605" i="15"/>
  <c r="F605" i="15"/>
  <c r="A606" i="15"/>
  <c r="R606" i="15" s="1"/>
  <c r="S606" i="15" s="1"/>
  <c r="B606" i="15"/>
  <c r="C606" i="15"/>
  <c r="D606" i="15"/>
  <c r="E606" i="15"/>
  <c r="F606" i="15"/>
  <c r="A607" i="15"/>
  <c r="R607" i="15" s="1"/>
  <c r="B607" i="15"/>
  <c r="C607" i="15"/>
  <c r="D607" i="15"/>
  <c r="E607" i="15"/>
  <c r="F607" i="15"/>
  <c r="A608" i="15"/>
  <c r="R608" i="15" s="1"/>
  <c r="B608" i="15"/>
  <c r="C608" i="15"/>
  <c r="D608" i="15"/>
  <c r="E608" i="15"/>
  <c r="F608" i="15"/>
  <c r="A609" i="15"/>
  <c r="R609" i="15" s="1"/>
  <c r="B609" i="15"/>
  <c r="C609" i="15"/>
  <c r="D609" i="15"/>
  <c r="E609" i="15"/>
  <c r="F609" i="15"/>
  <c r="A610" i="15"/>
  <c r="R610" i="15" s="1"/>
  <c r="S610" i="15" s="1"/>
  <c r="B610" i="15"/>
  <c r="C610" i="15"/>
  <c r="D610" i="15"/>
  <c r="E610" i="15"/>
  <c r="F610" i="15"/>
  <c r="A611" i="15"/>
  <c r="R611" i="15" s="1"/>
  <c r="T611" i="15" s="1"/>
  <c r="B611" i="15"/>
  <c r="C611" i="15"/>
  <c r="D611" i="15"/>
  <c r="E611" i="15"/>
  <c r="F611" i="15"/>
  <c r="A612" i="15"/>
  <c r="R612" i="15" s="1"/>
  <c r="T612" i="15" s="1"/>
  <c r="B612" i="15"/>
  <c r="C612" i="15"/>
  <c r="D612" i="15"/>
  <c r="E612" i="15"/>
  <c r="F612" i="15"/>
  <c r="A613" i="15"/>
  <c r="R613" i="15" s="1"/>
  <c r="B613" i="15"/>
  <c r="C613" i="15"/>
  <c r="D613" i="15"/>
  <c r="E613" i="15"/>
  <c r="F613" i="15"/>
  <c r="A614" i="15"/>
  <c r="R614" i="15" s="1"/>
  <c r="B614" i="15"/>
  <c r="C614" i="15"/>
  <c r="D614" i="15"/>
  <c r="E614" i="15"/>
  <c r="F614" i="15"/>
  <c r="A615" i="15"/>
  <c r="R615" i="15" s="1"/>
  <c r="B615" i="15"/>
  <c r="C615" i="15"/>
  <c r="D615" i="15"/>
  <c r="E615" i="15"/>
  <c r="F615" i="15"/>
  <c r="A616" i="15"/>
  <c r="R616" i="15" s="1"/>
  <c r="B616" i="15"/>
  <c r="C616" i="15"/>
  <c r="D616" i="15"/>
  <c r="E616" i="15"/>
  <c r="F616" i="15"/>
  <c r="A617" i="15"/>
  <c r="R617" i="15" s="1"/>
  <c r="B617" i="15"/>
  <c r="C617" i="15"/>
  <c r="D617" i="15"/>
  <c r="E617" i="15"/>
  <c r="F617" i="15"/>
  <c r="A618" i="15"/>
  <c r="R618" i="15" s="1"/>
  <c r="S618" i="15" s="1"/>
  <c r="B618" i="15"/>
  <c r="C618" i="15"/>
  <c r="D618" i="15"/>
  <c r="E618" i="15"/>
  <c r="F618" i="15"/>
  <c r="A619" i="15"/>
  <c r="R619" i="15" s="1"/>
  <c r="T619" i="15" s="1"/>
  <c r="B619" i="15"/>
  <c r="C619" i="15"/>
  <c r="D619" i="15"/>
  <c r="E619" i="15"/>
  <c r="F619" i="15"/>
  <c r="A620" i="15"/>
  <c r="R620" i="15" s="1"/>
  <c r="B620" i="15"/>
  <c r="C620" i="15"/>
  <c r="D620" i="15"/>
  <c r="E620" i="15"/>
  <c r="F620" i="15"/>
  <c r="A621" i="15"/>
  <c r="R621" i="15" s="1"/>
  <c r="B621" i="15"/>
  <c r="C621" i="15"/>
  <c r="D621" i="15"/>
  <c r="E621" i="15"/>
  <c r="F621" i="15"/>
  <c r="A622" i="15"/>
  <c r="R622" i="15" s="1"/>
  <c r="B622" i="15"/>
  <c r="C622" i="15"/>
  <c r="D622" i="15"/>
  <c r="E622" i="15"/>
  <c r="F622" i="15"/>
  <c r="A623" i="15"/>
  <c r="R623" i="15" s="1"/>
  <c r="T623" i="15" s="1"/>
  <c r="B623" i="15"/>
  <c r="C623" i="15"/>
  <c r="D623" i="15"/>
  <c r="E623" i="15"/>
  <c r="F623" i="15"/>
  <c r="A624" i="15"/>
  <c r="R624" i="15" s="1"/>
  <c r="B624" i="15"/>
  <c r="C624" i="15"/>
  <c r="D624" i="15"/>
  <c r="E624" i="15"/>
  <c r="F624" i="15"/>
  <c r="A625" i="15"/>
  <c r="R625" i="15" s="1"/>
  <c r="B625" i="15"/>
  <c r="C625" i="15"/>
  <c r="D625" i="15"/>
  <c r="E625" i="15"/>
  <c r="F625" i="15"/>
  <c r="A626" i="15"/>
  <c r="R626" i="15" s="1"/>
  <c r="S626" i="15" s="1"/>
  <c r="B626" i="15"/>
  <c r="C626" i="15"/>
  <c r="D626" i="15"/>
  <c r="E626" i="15"/>
  <c r="F626" i="15"/>
  <c r="A627" i="15"/>
  <c r="R627" i="15" s="1"/>
  <c r="B627" i="15"/>
  <c r="C627" i="15"/>
  <c r="D627" i="15"/>
  <c r="E627" i="15"/>
  <c r="F627" i="15"/>
  <c r="A628" i="15"/>
  <c r="R628" i="15" s="1"/>
  <c r="B628" i="15"/>
  <c r="C628" i="15"/>
  <c r="D628" i="15"/>
  <c r="E628" i="15"/>
  <c r="F628" i="15"/>
  <c r="A629" i="15"/>
  <c r="R629" i="15" s="1"/>
  <c r="B629" i="15"/>
  <c r="C629" i="15"/>
  <c r="D629" i="15"/>
  <c r="E629" i="15"/>
  <c r="F629" i="15"/>
  <c r="A630" i="15"/>
  <c r="R630" i="15" s="1"/>
  <c r="S630" i="15" s="1"/>
  <c r="B630" i="15"/>
  <c r="C630" i="15"/>
  <c r="D630" i="15"/>
  <c r="E630" i="15"/>
  <c r="F630" i="15"/>
  <c r="A631" i="15"/>
  <c r="R631" i="15" s="1"/>
  <c r="T631" i="15" s="1"/>
  <c r="B631" i="15"/>
  <c r="C631" i="15"/>
  <c r="D631" i="15"/>
  <c r="E631" i="15"/>
  <c r="F631" i="15"/>
  <c r="A632" i="15"/>
  <c r="R632" i="15" s="1"/>
  <c r="B632" i="15"/>
  <c r="C632" i="15"/>
  <c r="D632" i="15"/>
  <c r="E632" i="15"/>
  <c r="F632" i="15"/>
  <c r="A633" i="15"/>
  <c r="R633" i="15" s="1"/>
  <c r="B633" i="15"/>
  <c r="C633" i="15"/>
  <c r="D633" i="15"/>
  <c r="E633" i="15"/>
  <c r="F633" i="15"/>
  <c r="A634" i="15"/>
  <c r="R634" i="15" s="1"/>
  <c r="S634" i="15" s="1"/>
  <c r="B634" i="15"/>
  <c r="C634" i="15"/>
  <c r="D634" i="15"/>
  <c r="E634" i="15"/>
  <c r="F634" i="15"/>
  <c r="A635" i="15"/>
  <c r="R635" i="15" s="1"/>
  <c r="T635" i="15" s="1"/>
  <c r="B635" i="15"/>
  <c r="C635" i="15"/>
  <c r="D635" i="15"/>
  <c r="E635" i="15"/>
  <c r="F635" i="15"/>
  <c r="A636" i="15"/>
  <c r="R636" i="15" s="1"/>
  <c r="B636" i="15"/>
  <c r="C636" i="15"/>
  <c r="D636" i="15"/>
  <c r="E636" i="15"/>
  <c r="F636" i="15"/>
  <c r="A637" i="15"/>
  <c r="R637" i="15" s="1"/>
  <c r="B637" i="15"/>
  <c r="C637" i="15"/>
  <c r="D637" i="15"/>
  <c r="E637" i="15"/>
  <c r="F637" i="15"/>
  <c r="A638" i="15"/>
  <c r="R638" i="15" s="1"/>
  <c r="S638" i="15" s="1"/>
  <c r="B638" i="15"/>
  <c r="C638" i="15"/>
  <c r="D638" i="15"/>
  <c r="E638" i="15"/>
  <c r="F638" i="15"/>
  <c r="A639" i="15"/>
  <c r="R639" i="15" s="1"/>
  <c r="T639" i="15" s="1"/>
  <c r="B639" i="15"/>
  <c r="C639" i="15"/>
  <c r="D639" i="15"/>
  <c r="E639" i="15"/>
  <c r="F639" i="15"/>
  <c r="A640" i="15"/>
  <c r="R640" i="15" s="1"/>
  <c r="B640" i="15"/>
  <c r="C640" i="15"/>
  <c r="D640" i="15"/>
  <c r="E640" i="15"/>
  <c r="F640" i="15"/>
  <c r="A641" i="15"/>
  <c r="R641" i="15" s="1"/>
  <c r="B641" i="15"/>
  <c r="C641" i="15"/>
  <c r="D641" i="15"/>
  <c r="E641" i="15"/>
  <c r="F641" i="15"/>
  <c r="A642" i="15"/>
  <c r="R642" i="15" s="1"/>
  <c r="S642" i="15" s="1"/>
  <c r="B642" i="15"/>
  <c r="C642" i="15"/>
  <c r="D642" i="15"/>
  <c r="E642" i="15"/>
  <c r="F642" i="15"/>
  <c r="A643" i="15"/>
  <c r="R643" i="15" s="1"/>
  <c r="B643" i="15"/>
  <c r="C643" i="15"/>
  <c r="D643" i="15"/>
  <c r="E643" i="15"/>
  <c r="F643" i="15"/>
  <c r="A644" i="15"/>
  <c r="R644" i="15" s="1"/>
  <c r="S644" i="15" s="1"/>
  <c r="B644" i="15"/>
  <c r="C644" i="15"/>
  <c r="D644" i="15"/>
  <c r="E644" i="15"/>
  <c r="F644" i="15"/>
  <c r="A645" i="15"/>
  <c r="R645" i="15" s="1"/>
  <c r="B645" i="15"/>
  <c r="C645" i="15"/>
  <c r="D645" i="15"/>
  <c r="E645" i="15"/>
  <c r="F645" i="15"/>
  <c r="A646" i="15"/>
  <c r="R646" i="15" s="1"/>
  <c r="B646" i="15"/>
  <c r="C646" i="15"/>
  <c r="D646" i="15"/>
  <c r="E646" i="15"/>
  <c r="F646" i="15"/>
  <c r="A647" i="15"/>
  <c r="R647" i="15" s="1"/>
  <c r="T647" i="15" s="1"/>
  <c r="B647" i="15"/>
  <c r="C647" i="15"/>
  <c r="D647" i="15"/>
  <c r="E647" i="15"/>
  <c r="F647" i="15"/>
  <c r="A648" i="15"/>
  <c r="R648" i="15" s="1"/>
  <c r="B648" i="15"/>
  <c r="C648" i="15"/>
  <c r="D648" i="15"/>
  <c r="E648" i="15"/>
  <c r="F648" i="15"/>
  <c r="A649" i="15"/>
  <c r="R649" i="15" s="1"/>
  <c r="B649" i="15"/>
  <c r="C649" i="15"/>
  <c r="D649" i="15"/>
  <c r="E649" i="15"/>
  <c r="F649" i="15"/>
  <c r="A650" i="15"/>
  <c r="R650" i="15" s="1"/>
  <c r="S650" i="15" s="1"/>
  <c r="B650" i="15"/>
  <c r="C650" i="15"/>
  <c r="D650" i="15"/>
  <c r="E650" i="15"/>
  <c r="F650" i="15"/>
  <c r="A651" i="15"/>
  <c r="R651" i="15" s="1"/>
  <c r="S651" i="15" s="1"/>
  <c r="B651" i="15"/>
  <c r="C651" i="15"/>
  <c r="D651" i="15"/>
  <c r="E651" i="15"/>
  <c r="F651" i="15"/>
  <c r="A652" i="15"/>
  <c r="R652" i="15" s="1"/>
  <c r="B652" i="15"/>
  <c r="C652" i="15"/>
  <c r="D652" i="15"/>
  <c r="E652" i="15"/>
  <c r="F652" i="15"/>
  <c r="A653" i="15"/>
  <c r="R653" i="15" s="1"/>
  <c r="B653" i="15"/>
  <c r="C653" i="15"/>
  <c r="D653" i="15"/>
  <c r="E653" i="15"/>
  <c r="F653" i="15"/>
  <c r="A654" i="15"/>
  <c r="R654" i="15" s="1"/>
  <c r="B654" i="15"/>
  <c r="C654" i="15"/>
  <c r="D654" i="15"/>
  <c r="E654" i="15"/>
  <c r="F654" i="15"/>
  <c r="A655" i="15"/>
  <c r="R655" i="15" s="1"/>
  <c r="B655" i="15"/>
  <c r="C655" i="15"/>
  <c r="D655" i="15"/>
  <c r="E655" i="15"/>
  <c r="F655" i="15"/>
  <c r="A656" i="15"/>
  <c r="R656" i="15" s="1"/>
  <c r="S656" i="15" s="1"/>
  <c r="B656" i="15"/>
  <c r="C656" i="15"/>
  <c r="D656" i="15"/>
  <c r="E656" i="15"/>
  <c r="F656" i="15"/>
  <c r="A657" i="15"/>
  <c r="R657" i="15" s="1"/>
  <c r="B657" i="15"/>
  <c r="C657" i="15"/>
  <c r="D657" i="15"/>
  <c r="E657" i="15"/>
  <c r="F657" i="15"/>
  <c r="A658" i="15"/>
  <c r="R658" i="15" s="1"/>
  <c r="B658" i="15"/>
  <c r="C658" i="15"/>
  <c r="D658" i="15"/>
  <c r="E658" i="15"/>
  <c r="F658" i="15"/>
  <c r="A659" i="15"/>
  <c r="R659" i="15" s="1"/>
  <c r="B659" i="15"/>
  <c r="C659" i="15"/>
  <c r="D659" i="15"/>
  <c r="E659" i="15"/>
  <c r="F659" i="15"/>
  <c r="A660" i="15"/>
  <c r="R660" i="15" s="1"/>
  <c r="B660" i="15"/>
  <c r="C660" i="15"/>
  <c r="D660" i="15"/>
  <c r="E660" i="15"/>
  <c r="F660" i="15"/>
  <c r="A661" i="15"/>
  <c r="R661" i="15" s="1"/>
  <c r="T661" i="15" s="1"/>
  <c r="B661" i="15"/>
  <c r="C661" i="15"/>
  <c r="D661" i="15"/>
  <c r="E661" i="15"/>
  <c r="F661" i="15"/>
  <c r="A662" i="15"/>
  <c r="R662" i="15" s="1"/>
  <c r="S662" i="15" s="1"/>
  <c r="B662" i="15"/>
  <c r="C662" i="15"/>
  <c r="D662" i="15"/>
  <c r="E662" i="15"/>
  <c r="F662" i="15"/>
  <c r="A663" i="15"/>
  <c r="R663" i="15" s="1"/>
  <c r="B663" i="15"/>
  <c r="C663" i="15"/>
  <c r="D663" i="15"/>
  <c r="E663" i="15"/>
  <c r="F663" i="15"/>
  <c r="A664" i="15"/>
  <c r="R664" i="15" s="1"/>
  <c r="S664" i="15" s="1"/>
  <c r="B664" i="15"/>
  <c r="C664" i="15"/>
  <c r="D664" i="15"/>
  <c r="E664" i="15"/>
  <c r="F664" i="15"/>
  <c r="A665" i="15"/>
  <c r="R665" i="15" s="1"/>
  <c r="B665" i="15"/>
  <c r="C665" i="15"/>
  <c r="D665" i="15"/>
  <c r="E665" i="15"/>
  <c r="F665" i="15"/>
  <c r="A666" i="15"/>
  <c r="R666" i="15" s="1"/>
  <c r="B666" i="15"/>
  <c r="C666" i="15"/>
  <c r="D666" i="15"/>
  <c r="E666" i="15"/>
  <c r="F666" i="15"/>
  <c r="A667" i="15"/>
  <c r="R667" i="15" s="1"/>
  <c r="B667" i="15"/>
  <c r="C667" i="15"/>
  <c r="D667" i="15"/>
  <c r="E667" i="15"/>
  <c r="F667" i="15"/>
  <c r="A668" i="15"/>
  <c r="R668" i="15" s="1"/>
  <c r="B668" i="15"/>
  <c r="C668" i="15"/>
  <c r="D668" i="15"/>
  <c r="E668" i="15"/>
  <c r="F668" i="15"/>
  <c r="A669" i="15"/>
  <c r="R669" i="15" s="1"/>
  <c r="T669" i="15" s="1"/>
  <c r="B669" i="15"/>
  <c r="C669" i="15"/>
  <c r="D669" i="15"/>
  <c r="E669" i="15"/>
  <c r="F669" i="15"/>
  <c r="A670" i="15"/>
  <c r="R670" i="15" s="1"/>
  <c r="S670" i="15" s="1"/>
  <c r="B670" i="15"/>
  <c r="C670" i="15"/>
  <c r="D670" i="15"/>
  <c r="E670" i="15"/>
  <c r="F670" i="15"/>
  <c r="A671" i="15"/>
  <c r="R671" i="15" s="1"/>
  <c r="B671" i="15"/>
  <c r="C671" i="15"/>
  <c r="D671" i="15"/>
  <c r="E671" i="15"/>
  <c r="F671" i="15"/>
  <c r="A672" i="15"/>
  <c r="R672" i="15" s="1"/>
  <c r="S672" i="15" s="1"/>
  <c r="B672" i="15"/>
  <c r="C672" i="15"/>
  <c r="D672" i="15"/>
  <c r="E672" i="15"/>
  <c r="F672" i="15"/>
  <c r="A673" i="15"/>
  <c r="R673" i="15" s="1"/>
  <c r="B673" i="15"/>
  <c r="C673" i="15"/>
  <c r="D673" i="15"/>
  <c r="E673" i="15"/>
  <c r="F673" i="15"/>
  <c r="A674" i="15"/>
  <c r="R674" i="15" s="1"/>
  <c r="B674" i="15"/>
  <c r="C674" i="15"/>
  <c r="D674" i="15"/>
  <c r="E674" i="15"/>
  <c r="F674" i="15"/>
  <c r="A675" i="15"/>
  <c r="R675" i="15" s="1"/>
  <c r="B675" i="15"/>
  <c r="C675" i="15"/>
  <c r="D675" i="15"/>
  <c r="E675" i="15"/>
  <c r="F675" i="15"/>
  <c r="A676" i="15"/>
  <c r="R676" i="15" s="1"/>
  <c r="B676" i="15"/>
  <c r="C676" i="15"/>
  <c r="D676" i="15"/>
  <c r="E676" i="15"/>
  <c r="F676" i="15"/>
  <c r="A677" i="15"/>
  <c r="R677" i="15" s="1"/>
  <c r="B677" i="15"/>
  <c r="C677" i="15"/>
  <c r="D677" i="15"/>
  <c r="E677" i="15"/>
  <c r="F677" i="15"/>
  <c r="A678" i="15"/>
  <c r="R678" i="15" s="1"/>
  <c r="S678" i="15" s="1"/>
  <c r="B678" i="15"/>
  <c r="C678" i="15"/>
  <c r="D678" i="15"/>
  <c r="E678" i="15"/>
  <c r="F678" i="15"/>
  <c r="A679" i="15"/>
  <c r="R679" i="15" s="1"/>
  <c r="B679" i="15"/>
  <c r="C679" i="15"/>
  <c r="D679" i="15"/>
  <c r="E679" i="15"/>
  <c r="F679" i="15"/>
  <c r="A680" i="15"/>
  <c r="R680" i="15" s="1"/>
  <c r="S680" i="15" s="1"/>
  <c r="B680" i="15"/>
  <c r="C680" i="15"/>
  <c r="D680" i="15"/>
  <c r="E680" i="15"/>
  <c r="F680" i="15"/>
  <c r="A681" i="15"/>
  <c r="R681" i="15" s="1"/>
  <c r="B681" i="15"/>
  <c r="C681" i="15"/>
  <c r="D681" i="15"/>
  <c r="E681" i="15"/>
  <c r="F681" i="15"/>
  <c r="A682" i="15"/>
  <c r="R682" i="15" s="1"/>
  <c r="B682" i="15"/>
  <c r="C682" i="15"/>
  <c r="D682" i="15"/>
  <c r="E682" i="15"/>
  <c r="F682" i="15"/>
  <c r="A683" i="15"/>
  <c r="R683" i="15" s="1"/>
  <c r="B683" i="15"/>
  <c r="C683" i="15"/>
  <c r="D683" i="15"/>
  <c r="E683" i="15"/>
  <c r="F683" i="15"/>
  <c r="A684" i="15"/>
  <c r="R684" i="15" s="1"/>
  <c r="B684" i="15"/>
  <c r="C684" i="15"/>
  <c r="D684" i="15"/>
  <c r="E684" i="15"/>
  <c r="F684" i="15"/>
  <c r="A685" i="15"/>
  <c r="R685" i="15" s="1"/>
  <c r="B685" i="15"/>
  <c r="C685" i="15"/>
  <c r="D685" i="15"/>
  <c r="E685" i="15"/>
  <c r="F685" i="15"/>
  <c r="A686" i="15"/>
  <c r="R686" i="15" s="1"/>
  <c r="S686" i="15" s="1"/>
  <c r="B686" i="15"/>
  <c r="C686" i="15"/>
  <c r="D686" i="15"/>
  <c r="E686" i="15"/>
  <c r="F686" i="15"/>
  <c r="A687" i="15"/>
  <c r="R687" i="15" s="1"/>
  <c r="B687" i="15"/>
  <c r="C687" i="15"/>
  <c r="D687" i="15"/>
  <c r="E687" i="15"/>
  <c r="F687" i="15"/>
  <c r="A688" i="15"/>
  <c r="R688" i="15" s="1"/>
  <c r="S688" i="15" s="1"/>
  <c r="B688" i="15"/>
  <c r="C688" i="15"/>
  <c r="D688" i="15"/>
  <c r="E688" i="15"/>
  <c r="F688" i="15"/>
  <c r="A689" i="15"/>
  <c r="R689" i="15" s="1"/>
  <c r="B689" i="15"/>
  <c r="C689" i="15"/>
  <c r="D689" i="15"/>
  <c r="E689" i="15"/>
  <c r="F689" i="15"/>
  <c r="A690" i="15"/>
  <c r="R690" i="15" s="1"/>
  <c r="B690" i="15"/>
  <c r="C690" i="15"/>
  <c r="D690" i="15"/>
  <c r="E690" i="15"/>
  <c r="F690" i="15"/>
  <c r="A691" i="15"/>
  <c r="R691" i="15" s="1"/>
  <c r="B691" i="15"/>
  <c r="C691" i="15"/>
  <c r="D691" i="15"/>
  <c r="E691" i="15"/>
  <c r="F691" i="15"/>
  <c r="A692" i="15"/>
  <c r="R692" i="15" s="1"/>
  <c r="B692" i="15"/>
  <c r="C692" i="15"/>
  <c r="D692" i="15"/>
  <c r="E692" i="15"/>
  <c r="F692" i="15"/>
  <c r="A693" i="15"/>
  <c r="R693" i="15" s="1"/>
  <c r="B693" i="15"/>
  <c r="C693" i="15"/>
  <c r="D693" i="15"/>
  <c r="E693" i="15"/>
  <c r="F693" i="15"/>
  <c r="A694" i="15"/>
  <c r="R694" i="15" s="1"/>
  <c r="S694" i="15" s="1"/>
  <c r="B694" i="15"/>
  <c r="C694" i="15"/>
  <c r="D694" i="15"/>
  <c r="E694" i="15"/>
  <c r="F694" i="15"/>
  <c r="A695" i="15"/>
  <c r="R695" i="15" s="1"/>
  <c r="B695" i="15"/>
  <c r="C695" i="15"/>
  <c r="D695" i="15"/>
  <c r="E695" i="15"/>
  <c r="F695" i="15"/>
  <c r="A696" i="15"/>
  <c r="R696" i="15" s="1"/>
  <c r="S696" i="15" s="1"/>
  <c r="B696" i="15"/>
  <c r="C696" i="15"/>
  <c r="D696" i="15"/>
  <c r="E696" i="15"/>
  <c r="F696" i="15"/>
  <c r="A697" i="15"/>
  <c r="R697" i="15" s="1"/>
  <c r="B697" i="15"/>
  <c r="C697" i="15"/>
  <c r="D697" i="15"/>
  <c r="E697" i="15"/>
  <c r="F697" i="15"/>
  <c r="A698" i="15"/>
  <c r="R698" i="15" s="1"/>
  <c r="B698" i="15"/>
  <c r="C698" i="15"/>
  <c r="D698" i="15"/>
  <c r="E698" i="15"/>
  <c r="F698" i="15"/>
  <c r="A699" i="15"/>
  <c r="R699" i="15" s="1"/>
  <c r="B699" i="15"/>
  <c r="C699" i="15"/>
  <c r="D699" i="15"/>
  <c r="E699" i="15"/>
  <c r="F699" i="15"/>
  <c r="A700" i="15"/>
  <c r="R700" i="15" s="1"/>
  <c r="B700" i="15"/>
  <c r="C700" i="15"/>
  <c r="D700" i="15"/>
  <c r="E700" i="15"/>
  <c r="F700" i="15"/>
  <c r="A701" i="15"/>
  <c r="R701" i="15" s="1"/>
  <c r="T701" i="15" s="1"/>
  <c r="B701" i="15"/>
  <c r="C701" i="15"/>
  <c r="D701" i="15"/>
  <c r="E701" i="15"/>
  <c r="F701" i="15"/>
  <c r="A702" i="15"/>
  <c r="R702" i="15" s="1"/>
  <c r="S702" i="15" s="1"/>
  <c r="B702" i="15"/>
  <c r="C702" i="15"/>
  <c r="D702" i="15"/>
  <c r="E702" i="15"/>
  <c r="F702" i="15"/>
  <c r="A703" i="15"/>
  <c r="R703" i="15" s="1"/>
  <c r="B703" i="15"/>
  <c r="C703" i="15"/>
  <c r="D703" i="15"/>
  <c r="E703" i="15"/>
  <c r="F703" i="15"/>
  <c r="A704" i="15"/>
  <c r="R704" i="15" s="1"/>
  <c r="T704" i="15" s="1"/>
  <c r="B704" i="15"/>
  <c r="C704" i="15"/>
  <c r="D704" i="15"/>
  <c r="E704" i="15"/>
  <c r="F704" i="15"/>
  <c r="A705" i="15"/>
  <c r="R705" i="15" s="1"/>
  <c r="B705" i="15"/>
  <c r="C705" i="15"/>
  <c r="D705" i="15"/>
  <c r="E705" i="15"/>
  <c r="F705" i="15"/>
  <c r="A706" i="15"/>
  <c r="R706" i="15" s="1"/>
  <c r="B706" i="15"/>
  <c r="C706" i="15"/>
  <c r="D706" i="15"/>
  <c r="E706" i="15"/>
  <c r="F706" i="15"/>
  <c r="A707" i="15"/>
  <c r="R707" i="15" s="1"/>
  <c r="B707" i="15"/>
  <c r="C707" i="15"/>
  <c r="D707" i="15"/>
  <c r="E707" i="15"/>
  <c r="F707" i="15"/>
  <c r="A708" i="15"/>
  <c r="R708" i="15" s="1"/>
  <c r="B708" i="15"/>
  <c r="C708" i="15"/>
  <c r="D708" i="15"/>
  <c r="E708" i="15"/>
  <c r="F708" i="15"/>
  <c r="A709" i="15"/>
  <c r="R709" i="15" s="1"/>
  <c r="B709" i="15"/>
  <c r="C709" i="15"/>
  <c r="D709" i="15"/>
  <c r="E709" i="15"/>
  <c r="F709" i="15"/>
  <c r="A710" i="15"/>
  <c r="R710" i="15" s="1"/>
  <c r="S710" i="15" s="1"/>
  <c r="B710" i="15"/>
  <c r="C710" i="15"/>
  <c r="D710" i="15"/>
  <c r="E710" i="15"/>
  <c r="F710" i="15"/>
  <c r="A711" i="15"/>
  <c r="R711" i="15" s="1"/>
  <c r="B711" i="15"/>
  <c r="C711" i="15"/>
  <c r="D711" i="15"/>
  <c r="E711" i="15"/>
  <c r="F711" i="15"/>
  <c r="A712" i="15"/>
  <c r="R712" i="15" s="1"/>
  <c r="S712" i="15" s="1"/>
  <c r="B712" i="15"/>
  <c r="C712" i="15"/>
  <c r="D712" i="15"/>
  <c r="E712" i="15"/>
  <c r="F712" i="15"/>
  <c r="A713" i="15"/>
  <c r="R713" i="15" s="1"/>
  <c r="B713" i="15"/>
  <c r="C713" i="15"/>
  <c r="D713" i="15"/>
  <c r="E713" i="15"/>
  <c r="F713" i="15"/>
  <c r="A714" i="15"/>
  <c r="R714" i="15" s="1"/>
  <c r="B714" i="15"/>
  <c r="C714" i="15"/>
  <c r="D714" i="15"/>
  <c r="E714" i="15"/>
  <c r="F714" i="15"/>
  <c r="A715" i="15"/>
  <c r="R715" i="15" s="1"/>
  <c r="B715" i="15"/>
  <c r="C715" i="15"/>
  <c r="D715" i="15"/>
  <c r="E715" i="15"/>
  <c r="F715" i="15"/>
  <c r="A716" i="15"/>
  <c r="R716" i="15" s="1"/>
  <c r="B716" i="15"/>
  <c r="C716" i="15"/>
  <c r="D716" i="15"/>
  <c r="E716" i="15"/>
  <c r="F716" i="15"/>
  <c r="A717" i="15"/>
  <c r="R717" i="15" s="1"/>
  <c r="T717" i="15" s="1"/>
  <c r="B717" i="15"/>
  <c r="C717" i="15"/>
  <c r="D717" i="15"/>
  <c r="E717" i="15"/>
  <c r="F717" i="15"/>
  <c r="A718" i="15"/>
  <c r="R718" i="15" s="1"/>
  <c r="S718" i="15" s="1"/>
  <c r="B718" i="15"/>
  <c r="C718" i="15"/>
  <c r="D718" i="15"/>
  <c r="E718" i="15"/>
  <c r="F718" i="15"/>
  <c r="A719" i="15"/>
  <c r="R719" i="15" s="1"/>
  <c r="B719" i="15"/>
  <c r="C719" i="15"/>
  <c r="D719" i="15"/>
  <c r="E719" i="15"/>
  <c r="F719" i="15"/>
  <c r="A720" i="15"/>
  <c r="R720" i="15" s="1"/>
  <c r="S720" i="15" s="1"/>
  <c r="B720" i="15"/>
  <c r="C720" i="15"/>
  <c r="D720" i="15"/>
  <c r="E720" i="15"/>
  <c r="F720" i="15"/>
  <c r="A721" i="15"/>
  <c r="R721" i="15" s="1"/>
  <c r="B721" i="15"/>
  <c r="C721" i="15"/>
  <c r="D721" i="15"/>
  <c r="E721" i="15"/>
  <c r="F721" i="15"/>
  <c r="A722" i="15"/>
  <c r="R722" i="15" s="1"/>
  <c r="B722" i="15"/>
  <c r="C722" i="15"/>
  <c r="D722" i="15"/>
  <c r="E722" i="15"/>
  <c r="F722" i="15"/>
  <c r="A723" i="15"/>
  <c r="R723" i="15" s="1"/>
  <c r="B723" i="15"/>
  <c r="C723" i="15"/>
  <c r="D723" i="15"/>
  <c r="E723" i="15"/>
  <c r="F723" i="15"/>
  <c r="A724" i="15"/>
  <c r="R724" i="15" s="1"/>
  <c r="B724" i="15"/>
  <c r="C724" i="15"/>
  <c r="D724" i="15"/>
  <c r="E724" i="15"/>
  <c r="F724" i="15"/>
  <c r="A725" i="15"/>
  <c r="R725" i="15" s="1"/>
  <c r="T725" i="15" s="1"/>
  <c r="B725" i="15"/>
  <c r="C725" i="15"/>
  <c r="D725" i="15"/>
  <c r="E725" i="15"/>
  <c r="F725" i="15"/>
  <c r="A726" i="15"/>
  <c r="R726" i="15" s="1"/>
  <c r="S726" i="15" s="1"/>
  <c r="B726" i="15"/>
  <c r="C726" i="15"/>
  <c r="D726" i="15"/>
  <c r="E726" i="15"/>
  <c r="F726" i="15"/>
  <c r="A727" i="15"/>
  <c r="R727" i="15" s="1"/>
  <c r="B727" i="15"/>
  <c r="C727" i="15"/>
  <c r="D727" i="15"/>
  <c r="E727" i="15"/>
  <c r="F727" i="15"/>
  <c r="A728" i="15"/>
  <c r="R728" i="15" s="1"/>
  <c r="S728" i="15" s="1"/>
  <c r="B728" i="15"/>
  <c r="C728" i="15"/>
  <c r="D728" i="15"/>
  <c r="E728" i="15"/>
  <c r="F728" i="15"/>
  <c r="A729" i="15"/>
  <c r="R729" i="15" s="1"/>
  <c r="B729" i="15"/>
  <c r="C729" i="15"/>
  <c r="D729" i="15"/>
  <c r="E729" i="15"/>
  <c r="F729" i="15"/>
  <c r="A730" i="15"/>
  <c r="R730" i="15" s="1"/>
  <c r="B730" i="15"/>
  <c r="C730" i="15"/>
  <c r="D730" i="15"/>
  <c r="E730" i="15"/>
  <c r="F730" i="15"/>
  <c r="A731" i="15"/>
  <c r="R731" i="15" s="1"/>
  <c r="B731" i="15"/>
  <c r="C731" i="15"/>
  <c r="D731" i="15"/>
  <c r="E731" i="15"/>
  <c r="F731" i="15"/>
  <c r="A732" i="15"/>
  <c r="R732" i="15" s="1"/>
  <c r="B732" i="15"/>
  <c r="C732" i="15"/>
  <c r="D732" i="15"/>
  <c r="E732" i="15"/>
  <c r="F732" i="15"/>
  <c r="A733" i="15"/>
  <c r="R733" i="15" s="1"/>
  <c r="B733" i="15"/>
  <c r="C733" i="15"/>
  <c r="D733" i="15"/>
  <c r="E733" i="15"/>
  <c r="F733" i="15"/>
  <c r="A734" i="15"/>
  <c r="R734" i="15" s="1"/>
  <c r="S734" i="15" s="1"/>
  <c r="B734" i="15"/>
  <c r="C734" i="15"/>
  <c r="D734" i="15"/>
  <c r="E734" i="15"/>
  <c r="F734" i="15"/>
  <c r="A735" i="15"/>
  <c r="R735" i="15" s="1"/>
  <c r="B735" i="15"/>
  <c r="C735" i="15"/>
  <c r="D735" i="15"/>
  <c r="E735" i="15"/>
  <c r="F735" i="15"/>
  <c r="A736" i="15"/>
  <c r="R736" i="15" s="1"/>
  <c r="T736" i="15" s="1"/>
  <c r="B736" i="15"/>
  <c r="C736" i="15"/>
  <c r="D736" i="15"/>
  <c r="E736" i="15"/>
  <c r="F736" i="15"/>
  <c r="A737" i="15"/>
  <c r="R737" i="15" s="1"/>
  <c r="B737" i="15"/>
  <c r="C737" i="15"/>
  <c r="D737" i="15"/>
  <c r="E737" i="15"/>
  <c r="F737" i="15"/>
  <c r="A738" i="15"/>
  <c r="R738" i="15" s="1"/>
  <c r="B738" i="15"/>
  <c r="C738" i="15"/>
  <c r="D738" i="15"/>
  <c r="E738" i="15"/>
  <c r="F738" i="15"/>
  <c r="A739" i="15"/>
  <c r="R739" i="15" s="1"/>
  <c r="B739" i="15"/>
  <c r="C739" i="15"/>
  <c r="D739" i="15"/>
  <c r="E739" i="15"/>
  <c r="F739" i="15"/>
  <c r="A740" i="15"/>
  <c r="R740" i="15" s="1"/>
  <c r="B740" i="15"/>
  <c r="C740" i="15"/>
  <c r="D740" i="15"/>
  <c r="E740" i="15"/>
  <c r="F740" i="15"/>
  <c r="A741" i="15"/>
  <c r="R741" i="15" s="1"/>
  <c r="B741" i="15"/>
  <c r="C741" i="15"/>
  <c r="D741" i="15"/>
  <c r="E741" i="15"/>
  <c r="F741" i="15"/>
  <c r="A742" i="15"/>
  <c r="R742" i="15" s="1"/>
  <c r="S742" i="15" s="1"/>
  <c r="B742" i="15"/>
  <c r="C742" i="15"/>
  <c r="D742" i="15"/>
  <c r="E742" i="15"/>
  <c r="F742" i="15"/>
  <c r="A743" i="15"/>
  <c r="R743" i="15" s="1"/>
  <c r="B743" i="15"/>
  <c r="C743" i="15"/>
  <c r="D743" i="15"/>
  <c r="E743" i="15"/>
  <c r="F743" i="15"/>
  <c r="A744" i="15"/>
  <c r="R744" i="15" s="1"/>
  <c r="S744" i="15" s="1"/>
  <c r="B744" i="15"/>
  <c r="C744" i="15"/>
  <c r="D744" i="15"/>
  <c r="E744" i="15"/>
  <c r="F744" i="15"/>
  <c r="A745" i="15"/>
  <c r="R745" i="15" s="1"/>
  <c r="B745" i="15"/>
  <c r="C745" i="15"/>
  <c r="D745" i="15"/>
  <c r="E745" i="15"/>
  <c r="F745" i="15"/>
  <c r="A746" i="15"/>
  <c r="R746" i="15" s="1"/>
  <c r="B746" i="15"/>
  <c r="C746" i="15"/>
  <c r="D746" i="15"/>
  <c r="E746" i="15"/>
  <c r="F746" i="15"/>
  <c r="A747" i="15"/>
  <c r="R747" i="15" s="1"/>
  <c r="B747" i="15"/>
  <c r="C747" i="15"/>
  <c r="D747" i="15"/>
  <c r="E747" i="15"/>
  <c r="F747" i="15"/>
  <c r="A748" i="15"/>
  <c r="R748" i="15" s="1"/>
  <c r="B748" i="15"/>
  <c r="C748" i="15"/>
  <c r="D748" i="15"/>
  <c r="E748" i="15"/>
  <c r="F748" i="15"/>
  <c r="A749" i="15"/>
  <c r="R749" i="15" s="1"/>
  <c r="B749" i="15"/>
  <c r="C749" i="15"/>
  <c r="D749" i="15"/>
  <c r="E749" i="15"/>
  <c r="F749" i="15"/>
  <c r="A750" i="15"/>
  <c r="R750" i="15" s="1"/>
  <c r="S750" i="15" s="1"/>
  <c r="B750" i="15"/>
  <c r="C750" i="15"/>
  <c r="D750" i="15"/>
  <c r="E750" i="15"/>
  <c r="F750" i="15"/>
  <c r="A751" i="15"/>
  <c r="R751" i="15" s="1"/>
  <c r="B751" i="15"/>
  <c r="C751" i="15"/>
  <c r="D751" i="15"/>
  <c r="E751" i="15"/>
  <c r="F751" i="15"/>
  <c r="A752" i="15"/>
  <c r="R752" i="15" s="1"/>
  <c r="S752" i="15" s="1"/>
  <c r="B752" i="15"/>
  <c r="C752" i="15"/>
  <c r="D752" i="15"/>
  <c r="E752" i="15"/>
  <c r="F752" i="15"/>
  <c r="A753" i="15"/>
  <c r="R753" i="15" s="1"/>
  <c r="B753" i="15"/>
  <c r="C753" i="15"/>
  <c r="D753" i="15"/>
  <c r="E753" i="15"/>
  <c r="F753" i="15"/>
  <c r="A754" i="15"/>
  <c r="R754" i="15" s="1"/>
  <c r="B754" i="15"/>
  <c r="C754" i="15"/>
  <c r="D754" i="15"/>
  <c r="E754" i="15"/>
  <c r="F754" i="15"/>
  <c r="A755" i="15"/>
  <c r="R755" i="15" s="1"/>
  <c r="B755" i="15"/>
  <c r="C755" i="15"/>
  <c r="D755" i="15"/>
  <c r="E755" i="15"/>
  <c r="F755" i="15"/>
  <c r="A756" i="15"/>
  <c r="R756" i="15" s="1"/>
  <c r="B756" i="15"/>
  <c r="C756" i="15"/>
  <c r="D756" i="15"/>
  <c r="E756" i="15"/>
  <c r="F756" i="15"/>
  <c r="A757" i="15"/>
  <c r="R757" i="15" s="1"/>
  <c r="B757" i="15"/>
  <c r="C757" i="15"/>
  <c r="D757" i="15"/>
  <c r="E757" i="15"/>
  <c r="F757" i="15"/>
  <c r="A758" i="15"/>
  <c r="R758" i="15" s="1"/>
  <c r="S758" i="15" s="1"/>
  <c r="B758" i="15"/>
  <c r="C758" i="15"/>
  <c r="D758" i="15"/>
  <c r="E758" i="15"/>
  <c r="F758" i="15"/>
  <c r="A759" i="15"/>
  <c r="R759" i="15" s="1"/>
  <c r="B759" i="15"/>
  <c r="C759" i="15"/>
  <c r="D759" i="15"/>
  <c r="E759" i="15"/>
  <c r="F759" i="15"/>
  <c r="A760" i="15"/>
  <c r="R760" i="15" s="1"/>
  <c r="S760" i="15" s="1"/>
  <c r="B760" i="15"/>
  <c r="C760" i="15"/>
  <c r="D760" i="15"/>
  <c r="E760" i="15"/>
  <c r="F760" i="15"/>
  <c r="A761" i="15"/>
  <c r="R761" i="15" s="1"/>
  <c r="B761" i="15"/>
  <c r="C761" i="15"/>
  <c r="D761" i="15"/>
  <c r="E761" i="15"/>
  <c r="F761" i="15"/>
  <c r="A762" i="15"/>
  <c r="R762" i="15" s="1"/>
  <c r="B762" i="15"/>
  <c r="C762" i="15"/>
  <c r="D762" i="15"/>
  <c r="E762" i="15"/>
  <c r="F762" i="15"/>
  <c r="A763" i="15"/>
  <c r="R763" i="15" s="1"/>
  <c r="B763" i="15"/>
  <c r="C763" i="15"/>
  <c r="D763" i="15"/>
  <c r="E763" i="15"/>
  <c r="F763" i="15"/>
  <c r="A764" i="15"/>
  <c r="R764" i="15" s="1"/>
  <c r="B764" i="15"/>
  <c r="C764" i="15"/>
  <c r="D764" i="15"/>
  <c r="E764" i="15"/>
  <c r="F764" i="15"/>
  <c r="A765" i="15"/>
  <c r="R765" i="15" s="1"/>
  <c r="T765" i="15" s="1"/>
  <c r="B765" i="15"/>
  <c r="C765" i="15"/>
  <c r="D765" i="15"/>
  <c r="E765" i="15"/>
  <c r="F765" i="15"/>
  <c r="A766" i="15"/>
  <c r="R766" i="15" s="1"/>
  <c r="S766" i="15" s="1"/>
  <c r="B766" i="15"/>
  <c r="C766" i="15"/>
  <c r="D766" i="15"/>
  <c r="E766" i="15"/>
  <c r="F766" i="15"/>
  <c r="A767" i="15"/>
  <c r="R767" i="15" s="1"/>
  <c r="B767" i="15"/>
  <c r="C767" i="15"/>
  <c r="D767" i="15"/>
  <c r="E767" i="15"/>
  <c r="F767" i="15"/>
  <c r="A768" i="15"/>
  <c r="R768" i="15" s="1"/>
  <c r="S768" i="15" s="1"/>
  <c r="B768" i="15"/>
  <c r="C768" i="15"/>
  <c r="D768" i="15"/>
  <c r="E768" i="15"/>
  <c r="F768" i="15"/>
  <c r="A769" i="15"/>
  <c r="R769" i="15" s="1"/>
  <c r="B769" i="15"/>
  <c r="C769" i="15"/>
  <c r="D769" i="15"/>
  <c r="E769" i="15"/>
  <c r="F769" i="15"/>
  <c r="A770" i="15"/>
  <c r="R770" i="15" s="1"/>
  <c r="B770" i="15"/>
  <c r="C770" i="15"/>
  <c r="D770" i="15"/>
  <c r="E770" i="15"/>
  <c r="F770" i="15"/>
  <c r="A771" i="15"/>
  <c r="R771" i="15" s="1"/>
  <c r="B771" i="15"/>
  <c r="C771" i="15"/>
  <c r="D771" i="15"/>
  <c r="E771" i="15"/>
  <c r="F771" i="15"/>
  <c r="A772" i="15"/>
  <c r="R772" i="15" s="1"/>
  <c r="B772" i="15"/>
  <c r="C772" i="15"/>
  <c r="D772" i="15"/>
  <c r="E772" i="15"/>
  <c r="F772" i="15"/>
  <c r="A773" i="15"/>
  <c r="R773" i="15" s="1"/>
  <c r="B773" i="15"/>
  <c r="C773" i="15"/>
  <c r="D773" i="15"/>
  <c r="E773" i="15"/>
  <c r="F773" i="15"/>
  <c r="A774" i="15"/>
  <c r="R774" i="15" s="1"/>
  <c r="S774" i="15" s="1"/>
  <c r="B774" i="15"/>
  <c r="C774" i="15"/>
  <c r="D774" i="15"/>
  <c r="E774" i="15"/>
  <c r="F774" i="15"/>
  <c r="A775" i="15"/>
  <c r="R775" i="15" s="1"/>
  <c r="B775" i="15"/>
  <c r="C775" i="15"/>
  <c r="D775" i="15"/>
  <c r="E775" i="15"/>
  <c r="F775" i="15"/>
  <c r="A776" i="15"/>
  <c r="R776" i="15" s="1"/>
  <c r="S776" i="15" s="1"/>
  <c r="B776" i="15"/>
  <c r="C776" i="15"/>
  <c r="D776" i="15"/>
  <c r="E776" i="15"/>
  <c r="F776" i="15"/>
  <c r="A777" i="15"/>
  <c r="R777" i="15" s="1"/>
  <c r="B777" i="15"/>
  <c r="C777" i="15"/>
  <c r="D777" i="15"/>
  <c r="E777" i="15"/>
  <c r="F777" i="15"/>
  <c r="A778" i="15"/>
  <c r="R778" i="15" s="1"/>
  <c r="B778" i="15"/>
  <c r="C778" i="15"/>
  <c r="D778" i="15"/>
  <c r="E778" i="15"/>
  <c r="F778" i="15"/>
  <c r="A779" i="15"/>
  <c r="R779" i="15" s="1"/>
  <c r="B779" i="15"/>
  <c r="C779" i="15"/>
  <c r="D779" i="15"/>
  <c r="E779" i="15"/>
  <c r="F779" i="15"/>
  <c r="A780" i="15"/>
  <c r="R780" i="15" s="1"/>
  <c r="B780" i="15"/>
  <c r="C780" i="15"/>
  <c r="D780" i="15"/>
  <c r="E780" i="15"/>
  <c r="F780" i="15"/>
  <c r="A781" i="15"/>
  <c r="R781" i="15" s="1"/>
  <c r="T781" i="15" s="1"/>
  <c r="B781" i="15"/>
  <c r="C781" i="15"/>
  <c r="D781" i="15"/>
  <c r="E781" i="15"/>
  <c r="F781" i="15"/>
  <c r="A782" i="15"/>
  <c r="R782" i="15" s="1"/>
  <c r="S782" i="15" s="1"/>
  <c r="B782" i="15"/>
  <c r="C782" i="15"/>
  <c r="D782" i="15"/>
  <c r="E782" i="15"/>
  <c r="F782" i="15"/>
  <c r="A783" i="15"/>
  <c r="R783" i="15" s="1"/>
  <c r="B783" i="15"/>
  <c r="C783" i="15"/>
  <c r="D783" i="15"/>
  <c r="E783" i="15"/>
  <c r="F783" i="15"/>
  <c r="A784" i="15"/>
  <c r="R784" i="15" s="1"/>
  <c r="S784" i="15" s="1"/>
  <c r="B784" i="15"/>
  <c r="C784" i="15"/>
  <c r="D784" i="15"/>
  <c r="E784" i="15"/>
  <c r="F784" i="15"/>
  <c r="A785" i="15"/>
  <c r="R785" i="15" s="1"/>
  <c r="B785" i="15"/>
  <c r="C785" i="15"/>
  <c r="D785" i="15"/>
  <c r="E785" i="15"/>
  <c r="F785" i="15"/>
  <c r="A786" i="15"/>
  <c r="R786" i="15" s="1"/>
  <c r="B786" i="15"/>
  <c r="C786" i="15"/>
  <c r="D786" i="15"/>
  <c r="E786" i="15"/>
  <c r="F786" i="15"/>
  <c r="A787" i="15"/>
  <c r="R787" i="15" s="1"/>
  <c r="B787" i="15"/>
  <c r="C787" i="15"/>
  <c r="D787" i="15"/>
  <c r="E787" i="15"/>
  <c r="F787" i="15"/>
  <c r="A788" i="15"/>
  <c r="R788" i="15" s="1"/>
  <c r="B788" i="15"/>
  <c r="C788" i="15"/>
  <c r="D788" i="15"/>
  <c r="E788" i="15"/>
  <c r="F788" i="15"/>
  <c r="A789" i="15"/>
  <c r="R789" i="15" s="1"/>
  <c r="T789" i="15" s="1"/>
  <c r="B789" i="15"/>
  <c r="C789" i="15"/>
  <c r="D789" i="15"/>
  <c r="E789" i="15"/>
  <c r="F789" i="15"/>
  <c r="A790" i="15"/>
  <c r="R790" i="15" s="1"/>
  <c r="S790" i="15" s="1"/>
  <c r="B790" i="15"/>
  <c r="C790" i="15"/>
  <c r="D790" i="15"/>
  <c r="E790" i="15"/>
  <c r="F790" i="15"/>
  <c r="A791" i="15"/>
  <c r="R791" i="15" s="1"/>
  <c r="B791" i="15"/>
  <c r="C791" i="15"/>
  <c r="D791" i="15"/>
  <c r="E791" i="15"/>
  <c r="F791" i="15"/>
  <c r="A792" i="15"/>
  <c r="R792" i="15" s="1"/>
  <c r="S792" i="15" s="1"/>
  <c r="B792" i="15"/>
  <c r="C792" i="15"/>
  <c r="D792" i="15"/>
  <c r="E792" i="15"/>
  <c r="F792" i="15"/>
  <c r="A793" i="15"/>
  <c r="R793" i="15" s="1"/>
  <c r="B793" i="15"/>
  <c r="C793" i="15"/>
  <c r="D793" i="15"/>
  <c r="E793" i="15"/>
  <c r="F793" i="15"/>
  <c r="A794" i="15"/>
  <c r="R794" i="15" s="1"/>
  <c r="B794" i="15"/>
  <c r="C794" i="15"/>
  <c r="D794" i="15"/>
  <c r="E794" i="15"/>
  <c r="F794" i="15"/>
  <c r="A795" i="15"/>
  <c r="R795" i="15" s="1"/>
  <c r="B795" i="15"/>
  <c r="C795" i="15"/>
  <c r="D795" i="15"/>
  <c r="E795" i="15"/>
  <c r="F795" i="15"/>
  <c r="A796" i="15"/>
  <c r="R796" i="15" s="1"/>
  <c r="B796" i="15"/>
  <c r="C796" i="15"/>
  <c r="D796" i="15"/>
  <c r="E796" i="15"/>
  <c r="F796" i="15"/>
  <c r="A797" i="15"/>
  <c r="R797" i="15" s="1"/>
  <c r="B797" i="15"/>
  <c r="C797" i="15"/>
  <c r="D797" i="15"/>
  <c r="E797" i="15"/>
  <c r="F797" i="15"/>
  <c r="A798" i="15"/>
  <c r="R798" i="15" s="1"/>
  <c r="S798" i="15" s="1"/>
  <c r="B798" i="15"/>
  <c r="C798" i="15"/>
  <c r="D798" i="15"/>
  <c r="E798" i="15"/>
  <c r="F798" i="15"/>
  <c r="A799" i="15"/>
  <c r="R799" i="15" s="1"/>
  <c r="B799" i="15"/>
  <c r="C799" i="15"/>
  <c r="D799" i="15"/>
  <c r="E799" i="15"/>
  <c r="F799" i="15"/>
  <c r="A800" i="15"/>
  <c r="R800" i="15" s="1"/>
  <c r="S800" i="15" s="1"/>
  <c r="B800" i="15"/>
  <c r="C800" i="15"/>
  <c r="D800" i="15"/>
  <c r="E800" i="15"/>
  <c r="F800" i="15"/>
  <c r="A801" i="15"/>
  <c r="R801" i="15" s="1"/>
  <c r="B801" i="15"/>
  <c r="C801" i="15"/>
  <c r="D801" i="15"/>
  <c r="E801" i="15"/>
  <c r="F801" i="15"/>
  <c r="A802" i="15"/>
  <c r="R802" i="15" s="1"/>
  <c r="B802" i="15"/>
  <c r="C802" i="15"/>
  <c r="D802" i="15"/>
  <c r="E802" i="15"/>
  <c r="F802" i="15"/>
  <c r="A803" i="15"/>
  <c r="R803" i="15" s="1"/>
  <c r="B803" i="15"/>
  <c r="C803" i="15"/>
  <c r="D803" i="15"/>
  <c r="E803" i="15"/>
  <c r="F803" i="15"/>
  <c r="A804" i="15"/>
  <c r="R804" i="15" s="1"/>
  <c r="B804" i="15"/>
  <c r="C804" i="15"/>
  <c r="D804" i="15"/>
  <c r="E804" i="15"/>
  <c r="F804" i="15"/>
  <c r="A805" i="15"/>
  <c r="R805" i="15" s="1"/>
  <c r="B805" i="15"/>
  <c r="C805" i="15"/>
  <c r="D805" i="15"/>
  <c r="E805" i="15"/>
  <c r="F805" i="15"/>
  <c r="A806" i="15"/>
  <c r="R806" i="15" s="1"/>
  <c r="S806" i="15" s="1"/>
  <c r="B806" i="15"/>
  <c r="C806" i="15"/>
  <c r="D806" i="15"/>
  <c r="E806" i="15"/>
  <c r="F806" i="15"/>
  <c r="A807" i="15"/>
  <c r="R807" i="15" s="1"/>
  <c r="S807" i="15" s="1"/>
  <c r="B807" i="15"/>
  <c r="C807" i="15"/>
  <c r="D807" i="15"/>
  <c r="E807" i="15"/>
  <c r="F807" i="15"/>
  <c r="A808" i="15"/>
  <c r="R808" i="15" s="1"/>
  <c r="S808" i="15" s="1"/>
  <c r="B808" i="15"/>
  <c r="C808" i="15"/>
  <c r="D808" i="15"/>
  <c r="E808" i="15"/>
  <c r="F808" i="15"/>
  <c r="A809" i="15"/>
  <c r="R809" i="15" s="1"/>
  <c r="B809" i="15"/>
  <c r="C809" i="15"/>
  <c r="D809" i="15"/>
  <c r="E809" i="15"/>
  <c r="F809" i="15"/>
  <c r="A810" i="15"/>
  <c r="R810" i="15" s="1"/>
  <c r="B810" i="15"/>
  <c r="C810" i="15"/>
  <c r="D810" i="15"/>
  <c r="E810" i="15"/>
  <c r="F810" i="15"/>
  <c r="A811" i="15"/>
  <c r="R811" i="15" s="1"/>
  <c r="B811" i="15"/>
  <c r="C811" i="15"/>
  <c r="D811" i="15"/>
  <c r="E811" i="15"/>
  <c r="F811" i="15"/>
  <c r="A812" i="15"/>
  <c r="R812" i="15" s="1"/>
  <c r="B812" i="15"/>
  <c r="C812" i="15"/>
  <c r="D812" i="15"/>
  <c r="E812" i="15"/>
  <c r="F812" i="15"/>
  <c r="A813" i="15"/>
  <c r="R813" i="15" s="1"/>
  <c r="B813" i="15"/>
  <c r="C813" i="15"/>
  <c r="D813" i="15"/>
  <c r="E813" i="15"/>
  <c r="F813" i="15"/>
  <c r="A814" i="15"/>
  <c r="R814" i="15" s="1"/>
  <c r="S814" i="15" s="1"/>
  <c r="B814" i="15"/>
  <c r="C814" i="15"/>
  <c r="D814" i="15"/>
  <c r="E814" i="15"/>
  <c r="F814" i="15"/>
  <c r="A815" i="15"/>
  <c r="R815" i="15" s="1"/>
  <c r="B815" i="15"/>
  <c r="C815" i="15"/>
  <c r="D815" i="15"/>
  <c r="E815" i="15"/>
  <c r="F815" i="15"/>
  <c r="A816" i="15"/>
  <c r="R816" i="15" s="1"/>
  <c r="S816" i="15" s="1"/>
  <c r="B816" i="15"/>
  <c r="C816" i="15"/>
  <c r="D816" i="15"/>
  <c r="E816" i="15"/>
  <c r="F816" i="15"/>
  <c r="A817" i="15"/>
  <c r="R817" i="15" s="1"/>
  <c r="B817" i="15"/>
  <c r="C817" i="15"/>
  <c r="D817" i="15"/>
  <c r="E817" i="15"/>
  <c r="F817" i="15"/>
  <c r="A818" i="15"/>
  <c r="R818" i="15" s="1"/>
  <c r="B818" i="15"/>
  <c r="C818" i="15"/>
  <c r="D818" i="15"/>
  <c r="E818" i="15"/>
  <c r="F818" i="15"/>
  <c r="A819" i="15"/>
  <c r="R819" i="15" s="1"/>
  <c r="B819" i="15"/>
  <c r="C819" i="15"/>
  <c r="D819" i="15"/>
  <c r="E819" i="15"/>
  <c r="F819" i="15"/>
  <c r="A820" i="15"/>
  <c r="R820" i="15" s="1"/>
  <c r="B820" i="15"/>
  <c r="C820" i="15"/>
  <c r="D820" i="15"/>
  <c r="E820" i="15"/>
  <c r="F820" i="15"/>
  <c r="A821" i="15"/>
  <c r="R821" i="15" s="1"/>
  <c r="B821" i="15"/>
  <c r="C821" i="15"/>
  <c r="D821" i="15"/>
  <c r="E821" i="15"/>
  <c r="F821" i="15"/>
  <c r="A822" i="15"/>
  <c r="R822" i="15" s="1"/>
  <c r="S822" i="15" s="1"/>
  <c r="B822" i="15"/>
  <c r="C822" i="15"/>
  <c r="D822" i="15"/>
  <c r="E822" i="15"/>
  <c r="F822" i="15"/>
  <c r="A823" i="15"/>
  <c r="R823" i="15" s="1"/>
  <c r="S823" i="15" s="1"/>
  <c r="B823" i="15"/>
  <c r="C823" i="15"/>
  <c r="D823" i="15"/>
  <c r="E823" i="15"/>
  <c r="F823" i="15"/>
  <c r="A824" i="15"/>
  <c r="R824" i="15" s="1"/>
  <c r="S824" i="15" s="1"/>
  <c r="B824" i="15"/>
  <c r="C824" i="15"/>
  <c r="D824" i="15"/>
  <c r="E824" i="15"/>
  <c r="F824" i="15"/>
  <c r="A825" i="15"/>
  <c r="R825" i="15" s="1"/>
  <c r="B825" i="15"/>
  <c r="C825" i="15"/>
  <c r="D825" i="15"/>
  <c r="E825" i="15"/>
  <c r="F825" i="15"/>
  <c r="A826" i="15"/>
  <c r="R826" i="15" s="1"/>
  <c r="B826" i="15"/>
  <c r="C826" i="15"/>
  <c r="D826" i="15"/>
  <c r="E826" i="15"/>
  <c r="F826" i="15"/>
  <c r="A827" i="15"/>
  <c r="R827" i="15" s="1"/>
  <c r="B827" i="15"/>
  <c r="C827" i="15"/>
  <c r="D827" i="15"/>
  <c r="E827" i="15"/>
  <c r="F827" i="15"/>
  <c r="A828" i="15"/>
  <c r="R828" i="15" s="1"/>
  <c r="B828" i="15"/>
  <c r="C828" i="15"/>
  <c r="D828" i="15"/>
  <c r="E828" i="15"/>
  <c r="F828" i="15"/>
  <c r="A829" i="15"/>
  <c r="R829" i="15" s="1"/>
  <c r="T829" i="15" s="1"/>
  <c r="B829" i="15"/>
  <c r="C829" i="15"/>
  <c r="D829" i="15"/>
  <c r="E829" i="15"/>
  <c r="F829" i="15"/>
  <c r="A830" i="15"/>
  <c r="R830" i="15" s="1"/>
  <c r="S830" i="15" s="1"/>
  <c r="B830" i="15"/>
  <c r="C830" i="15"/>
  <c r="D830" i="15"/>
  <c r="E830" i="15"/>
  <c r="F830" i="15"/>
  <c r="A831" i="15"/>
  <c r="R831" i="15" s="1"/>
  <c r="S831" i="15" s="1"/>
  <c r="B831" i="15"/>
  <c r="C831" i="15"/>
  <c r="D831" i="15"/>
  <c r="E831" i="15"/>
  <c r="F831" i="15"/>
  <c r="A832" i="15"/>
  <c r="R832" i="15" s="1"/>
  <c r="S832" i="15" s="1"/>
  <c r="B832" i="15"/>
  <c r="C832" i="15"/>
  <c r="D832" i="15"/>
  <c r="E832" i="15"/>
  <c r="F832" i="15"/>
  <c r="A833" i="15"/>
  <c r="R833" i="15" s="1"/>
  <c r="B833" i="15"/>
  <c r="C833" i="15"/>
  <c r="D833" i="15"/>
  <c r="E833" i="15"/>
  <c r="F833" i="15"/>
  <c r="A834" i="15"/>
  <c r="R834" i="15" s="1"/>
  <c r="B834" i="15"/>
  <c r="C834" i="15"/>
  <c r="D834" i="15"/>
  <c r="E834" i="15"/>
  <c r="F834" i="15"/>
  <c r="A835" i="15"/>
  <c r="R835" i="15" s="1"/>
  <c r="B835" i="15"/>
  <c r="C835" i="15"/>
  <c r="D835" i="15"/>
  <c r="E835" i="15"/>
  <c r="F835" i="15"/>
  <c r="A836" i="15"/>
  <c r="R836" i="15" s="1"/>
  <c r="B836" i="15"/>
  <c r="C836" i="15"/>
  <c r="D836" i="15"/>
  <c r="E836" i="15"/>
  <c r="F836" i="15"/>
  <c r="A837" i="15"/>
  <c r="R837" i="15" s="1"/>
  <c r="B837" i="15"/>
  <c r="C837" i="15"/>
  <c r="D837" i="15"/>
  <c r="E837" i="15"/>
  <c r="F837" i="15"/>
  <c r="A838" i="15"/>
  <c r="R838" i="15" s="1"/>
  <c r="S838" i="15" s="1"/>
  <c r="B838" i="15"/>
  <c r="C838" i="15"/>
  <c r="D838" i="15"/>
  <c r="E838" i="15"/>
  <c r="F838" i="15"/>
  <c r="A839" i="15"/>
  <c r="R839" i="15" s="1"/>
  <c r="B839" i="15"/>
  <c r="C839" i="15"/>
  <c r="D839" i="15"/>
  <c r="E839" i="15"/>
  <c r="F839" i="15"/>
  <c r="A840" i="15"/>
  <c r="R840" i="15" s="1"/>
  <c r="S840" i="15" s="1"/>
  <c r="B840" i="15"/>
  <c r="C840" i="15"/>
  <c r="D840" i="15"/>
  <c r="E840" i="15"/>
  <c r="F840" i="15"/>
  <c r="A841" i="15"/>
  <c r="R841" i="15" s="1"/>
  <c r="B841" i="15"/>
  <c r="C841" i="15"/>
  <c r="D841" i="15"/>
  <c r="E841" i="15"/>
  <c r="F841" i="15"/>
  <c r="A842" i="15"/>
  <c r="R842" i="15" s="1"/>
  <c r="B842" i="15"/>
  <c r="C842" i="15"/>
  <c r="D842" i="15"/>
  <c r="E842" i="15"/>
  <c r="F842" i="15"/>
  <c r="A843" i="15"/>
  <c r="R843" i="15" s="1"/>
  <c r="B843" i="15"/>
  <c r="C843" i="15"/>
  <c r="D843" i="15"/>
  <c r="E843" i="15"/>
  <c r="F843" i="15"/>
  <c r="A844" i="15"/>
  <c r="R844" i="15" s="1"/>
  <c r="B844" i="15"/>
  <c r="C844" i="15"/>
  <c r="D844" i="15"/>
  <c r="E844" i="15"/>
  <c r="F844" i="15"/>
  <c r="A845" i="15"/>
  <c r="R845" i="15" s="1"/>
  <c r="T845" i="15" s="1"/>
  <c r="B845" i="15"/>
  <c r="C845" i="15"/>
  <c r="D845" i="15"/>
  <c r="E845" i="15"/>
  <c r="F845" i="15"/>
  <c r="A846" i="15"/>
  <c r="R846" i="15" s="1"/>
  <c r="S846" i="15" s="1"/>
  <c r="B846" i="15"/>
  <c r="C846" i="15"/>
  <c r="D846" i="15"/>
  <c r="E846" i="15"/>
  <c r="F846" i="15"/>
  <c r="A847" i="15"/>
  <c r="R847" i="15" s="1"/>
  <c r="B847" i="15"/>
  <c r="C847" i="15"/>
  <c r="D847" i="15"/>
  <c r="E847" i="15"/>
  <c r="F847" i="15"/>
  <c r="A848" i="15"/>
  <c r="R848" i="15" s="1"/>
  <c r="B848" i="15"/>
  <c r="C848" i="15"/>
  <c r="D848" i="15"/>
  <c r="E848" i="15"/>
  <c r="F848" i="15"/>
  <c r="A849" i="15"/>
  <c r="R849" i="15" s="1"/>
  <c r="B849" i="15"/>
  <c r="C849" i="15"/>
  <c r="D849" i="15"/>
  <c r="E849" i="15"/>
  <c r="F849" i="15"/>
  <c r="A850" i="15"/>
  <c r="R850" i="15" s="1"/>
  <c r="B850" i="15"/>
  <c r="C850" i="15"/>
  <c r="D850" i="15"/>
  <c r="E850" i="15"/>
  <c r="F850" i="15"/>
  <c r="A851" i="15"/>
  <c r="R851" i="15" s="1"/>
  <c r="B851" i="15"/>
  <c r="C851" i="15"/>
  <c r="D851" i="15"/>
  <c r="E851" i="15"/>
  <c r="F851" i="15"/>
  <c r="A852" i="15"/>
  <c r="R852" i="15" s="1"/>
  <c r="B852" i="15"/>
  <c r="C852" i="15"/>
  <c r="D852" i="15"/>
  <c r="E852" i="15"/>
  <c r="F852" i="15"/>
  <c r="A853" i="15"/>
  <c r="R853" i="15" s="1"/>
  <c r="B853" i="15"/>
  <c r="C853" i="15"/>
  <c r="D853" i="15"/>
  <c r="E853" i="15"/>
  <c r="F853" i="15"/>
  <c r="A854" i="15"/>
  <c r="R854" i="15" s="1"/>
  <c r="S854" i="15" s="1"/>
  <c r="B854" i="15"/>
  <c r="C854" i="15"/>
  <c r="D854" i="15"/>
  <c r="E854" i="15"/>
  <c r="F854" i="15"/>
  <c r="A855" i="15"/>
  <c r="R855" i="15" s="1"/>
  <c r="B855" i="15"/>
  <c r="C855" i="15"/>
  <c r="D855" i="15"/>
  <c r="E855" i="15"/>
  <c r="F855" i="15"/>
  <c r="A856" i="15"/>
  <c r="R856" i="15" s="1"/>
  <c r="S856" i="15" s="1"/>
  <c r="B856" i="15"/>
  <c r="C856" i="15"/>
  <c r="D856" i="15"/>
  <c r="E856" i="15"/>
  <c r="F856" i="15"/>
  <c r="A857" i="15"/>
  <c r="R857" i="15" s="1"/>
  <c r="B857" i="15"/>
  <c r="C857" i="15"/>
  <c r="D857" i="15"/>
  <c r="E857" i="15"/>
  <c r="F857" i="15"/>
  <c r="A858" i="15"/>
  <c r="R858" i="15" s="1"/>
  <c r="B858" i="15"/>
  <c r="C858" i="15"/>
  <c r="D858" i="15"/>
  <c r="E858" i="15"/>
  <c r="F858" i="15"/>
  <c r="A859" i="15"/>
  <c r="R859" i="15" s="1"/>
  <c r="B859" i="15"/>
  <c r="C859" i="15"/>
  <c r="D859" i="15"/>
  <c r="E859" i="15"/>
  <c r="F859" i="15"/>
  <c r="A860" i="15"/>
  <c r="R860" i="15" s="1"/>
  <c r="B860" i="15"/>
  <c r="C860" i="15"/>
  <c r="D860" i="15"/>
  <c r="E860" i="15"/>
  <c r="F860" i="15"/>
  <c r="A861" i="15"/>
  <c r="R861" i="15" s="1"/>
  <c r="B861" i="15"/>
  <c r="C861" i="15"/>
  <c r="D861" i="15"/>
  <c r="E861" i="15"/>
  <c r="F861" i="15"/>
  <c r="A862" i="15"/>
  <c r="R862" i="15" s="1"/>
  <c r="S862" i="15" s="1"/>
  <c r="B862" i="15"/>
  <c r="C862" i="15"/>
  <c r="D862" i="15"/>
  <c r="E862" i="15"/>
  <c r="F862" i="15"/>
  <c r="A863" i="15"/>
  <c r="R863" i="15" s="1"/>
  <c r="S863" i="15" s="1"/>
  <c r="B863" i="15"/>
  <c r="C863" i="15"/>
  <c r="D863" i="15"/>
  <c r="E863" i="15"/>
  <c r="F863" i="15"/>
  <c r="A864" i="15"/>
  <c r="R864" i="15" s="1"/>
  <c r="B864" i="15"/>
  <c r="C864" i="15"/>
  <c r="D864" i="15"/>
  <c r="E864" i="15"/>
  <c r="F864" i="15"/>
  <c r="A865" i="15"/>
  <c r="R865" i="15" s="1"/>
  <c r="B865" i="15"/>
  <c r="C865" i="15"/>
  <c r="D865" i="15"/>
  <c r="E865" i="15"/>
  <c r="F865" i="15"/>
  <c r="A866" i="15"/>
  <c r="R866" i="15" s="1"/>
  <c r="B866" i="15"/>
  <c r="C866" i="15"/>
  <c r="D866" i="15"/>
  <c r="E866" i="15"/>
  <c r="F866" i="15"/>
  <c r="A867" i="15"/>
  <c r="R867" i="15" s="1"/>
  <c r="B867" i="15"/>
  <c r="C867" i="15"/>
  <c r="D867" i="15"/>
  <c r="E867" i="15"/>
  <c r="F867" i="15"/>
  <c r="A868" i="15"/>
  <c r="R868" i="15" s="1"/>
  <c r="B868" i="15"/>
  <c r="C868" i="15"/>
  <c r="D868" i="15"/>
  <c r="E868" i="15"/>
  <c r="F868" i="15"/>
  <c r="A869" i="15"/>
  <c r="R869" i="15" s="1"/>
  <c r="T869" i="15" s="1"/>
  <c r="B869" i="15"/>
  <c r="C869" i="15"/>
  <c r="D869" i="15"/>
  <c r="E869" i="15"/>
  <c r="F869" i="15"/>
  <c r="A870" i="15"/>
  <c r="R870" i="15" s="1"/>
  <c r="S870" i="15" s="1"/>
  <c r="B870" i="15"/>
  <c r="C870" i="15"/>
  <c r="D870" i="15"/>
  <c r="E870" i="15"/>
  <c r="F870" i="15"/>
  <c r="A871" i="15"/>
  <c r="R871" i="15" s="1"/>
  <c r="B871" i="15"/>
  <c r="C871" i="15"/>
  <c r="D871" i="15"/>
  <c r="E871" i="15"/>
  <c r="F871" i="15"/>
  <c r="A872" i="15"/>
  <c r="R872" i="15" s="1"/>
  <c r="S872" i="15" s="1"/>
  <c r="B872" i="15"/>
  <c r="C872" i="15"/>
  <c r="D872" i="15"/>
  <c r="E872" i="15"/>
  <c r="F872" i="15"/>
  <c r="A873" i="15"/>
  <c r="R873" i="15" s="1"/>
  <c r="B873" i="15"/>
  <c r="C873" i="15"/>
  <c r="D873" i="15"/>
  <c r="E873" i="15"/>
  <c r="F873" i="15"/>
  <c r="A874" i="15"/>
  <c r="R874" i="15" s="1"/>
  <c r="B874" i="15"/>
  <c r="C874" i="15"/>
  <c r="D874" i="15"/>
  <c r="E874" i="15"/>
  <c r="F874" i="15"/>
  <c r="A875" i="15"/>
  <c r="R875" i="15" s="1"/>
  <c r="B875" i="15"/>
  <c r="C875" i="15"/>
  <c r="D875" i="15"/>
  <c r="E875" i="15"/>
  <c r="F875" i="15"/>
  <c r="A876" i="15"/>
  <c r="R876" i="15" s="1"/>
  <c r="B876" i="15"/>
  <c r="C876" i="15"/>
  <c r="D876" i="15"/>
  <c r="E876" i="15"/>
  <c r="F876" i="15"/>
  <c r="A877" i="15"/>
  <c r="R877" i="15" s="1"/>
  <c r="B877" i="15"/>
  <c r="C877" i="15"/>
  <c r="D877" i="15"/>
  <c r="E877" i="15"/>
  <c r="F877" i="15"/>
  <c r="A878" i="15"/>
  <c r="R878" i="15" s="1"/>
  <c r="S878" i="15" s="1"/>
  <c r="B878" i="15"/>
  <c r="C878" i="15"/>
  <c r="D878" i="15"/>
  <c r="E878" i="15"/>
  <c r="F878" i="15"/>
  <c r="A879" i="15"/>
  <c r="R879" i="15" s="1"/>
  <c r="S879" i="15" s="1"/>
  <c r="B879" i="15"/>
  <c r="C879" i="15"/>
  <c r="D879" i="15"/>
  <c r="E879" i="15"/>
  <c r="F879" i="15"/>
  <c r="A880" i="15"/>
  <c r="R880" i="15" s="1"/>
  <c r="S880" i="15" s="1"/>
  <c r="B880" i="15"/>
  <c r="C880" i="15"/>
  <c r="D880" i="15"/>
  <c r="E880" i="15"/>
  <c r="F880" i="15"/>
  <c r="A881" i="15"/>
  <c r="R881" i="15" s="1"/>
  <c r="B881" i="15"/>
  <c r="C881" i="15"/>
  <c r="D881" i="15"/>
  <c r="E881" i="15"/>
  <c r="F881" i="15"/>
  <c r="A882" i="15"/>
  <c r="R882" i="15" s="1"/>
  <c r="B882" i="15"/>
  <c r="C882" i="15"/>
  <c r="D882" i="15"/>
  <c r="E882" i="15"/>
  <c r="F882" i="15"/>
  <c r="A883" i="15"/>
  <c r="R883" i="15" s="1"/>
  <c r="B883" i="15"/>
  <c r="C883" i="15"/>
  <c r="D883" i="15"/>
  <c r="E883" i="15"/>
  <c r="F883" i="15"/>
  <c r="A884" i="15"/>
  <c r="R884" i="15" s="1"/>
  <c r="B884" i="15"/>
  <c r="C884" i="15"/>
  <c r="D884" i="15"/>
  <c r="E884" i="15"/>
  <c r="F884" i="15"/>
  <c r="A885" i="15"/>
  <c r="R885" i="15" s="1"/>
  <c r="T885" i="15" s="1"/>
  <c r="B885" i="15"/>
  <c r="C885" i="15"/>
  <c r="D885" i="15"/>
  <c r="E885" i="15"/>
  <c r="F885" i="15"/>
  <c r="A886" i="15"/>
  <c r="R886" i="15" s="1"/>
  <c r="T886" i="15" s="1"/>
  <c r="B886" i="15"/>
  <c r="C886" i="15"/>
  <c r="D886" i="15"/>
  <c r="E886" i="15"/>
  <c r="F886" i="15"/>
  <c r="A887" i="15"/>
  <c r="R887" i="15" s="1"/>
  <c r="B887" i="15"/>
  <c r="C887" i="15"/>
  <c r="D887" i="15"/>
  <c r="E887" i="15"/>
  <c r="F887" i="15"/>
  <c r="A888" i="15"/>
  <c r="R888" i="15" s="1"/>
  <c r="B888" i="15"/>
  <c r="C888" i="15"/>
  <c r="D888" i="15"/>
  <c r="E888" i="15"/>
  <c r="F888" i="15"/>
  <c r="A889" i="15"/>
  <c r="R889" i="15" s="1"/>
  <c r="B889" i="15"/>
  <c r="C889" i="15"/>
  <c r="D889" i="15"/>
  <c r="E889" i="15"/>
  <c r="F889" i="15"/>
  <c r="A890" i="15"/>
  <c r="R890" i="15" s="1"/>
  <c r="B890" i="15"/>
  <c r="C890" i="15"/>
  <c r="D890" i="15"/>
  <c r="E890" i="15"/>
  <c r="F890" i="15"/>
  <c r="A891" i="15"/>
  <c r="R891" i="15" s="1"/>
  <c r="B891" i="15"/>
  <c r="C891" i="15"/>
  <c r="D891" i="15"/>
  <c r="E891" i="15"/>
  <c r="F891" i="15"/>
  <c r="A892" i="15"/>
  <c r="R892" i="15" s="1"/>
  <c r="B892" i="15"/>
  <c r="C892" i="15"/>
  <c r="D892" i="15"/>
  <c r="E892" i="15"/>
  <c r="F892" i="15"/>
  <c r="A893" i="15"/>
  <c r="R893" i="15" s="1"/>
  <c r="B893" i="15"/>
  <c r="C893" i="15"/>
  <c r="D893" i="15"/>
  <c r="E893" i="15"/>
  <c r="F893" i="15"/>
  <c r="A894" i="15"/>
  <c r="R894" i="15" s="1"/>
  <c r="B894" i="15"/>
  <c r="C894" i="15"/>
  <c r="D894" i="15"/>
  <c r="E894" i="15"/>
  <c r="F894" i="15"/>
  <c r="A895" i="15"/>
  <c r="R895" i="15" s="1"/>
  <c r="S895" i="15" s="1"/>
  <c r="B895" i="15"/>
  <c r="C895" i="15"/>
  <c r="D895" i="15"/>
  <c r="E895" i="15"/>
  <c r="F895" i="15"/>
  <c r="A896" i="15"/>
  <c r="R896" i="15" s="1"/>
  <c r="S896" i="15" s="1"/>
  <c r="B896" i="15"/>
  <c r="C896" i="15"/>
  <c r="D896" i="15"/>
  <c r="E896" i="15"/>
  <c r="F896" i="15"/>
  <c r="A897" i="15"/>
  <c r="R897" i="15" s="1"/>
  <c r="B897" i="15"/>
  <c r="C897" i="15"/>
  <c r="D897" i="15"/>
  <c r="E897" i="15"/>
  <c r="F897" i="15"/>
  <c r="A898" i="15"/>
  <c r="R898" i="15" s="1"/>
  <c r="B898" i="15"/>
  <c r="C898" i="15"/>
  <c r="D898" i="15"/>
  <c r="E898" i="15"/>
  <c r="F898" i="15"/>
  <c r="A899" i="15"/>
  <c r="R899" i="15" s="1"/>
  <c r="B899" i="15"/>
  <c r="C899" i="15"/>
  <c r="D899" i="15"/>
  <c r="E899" i="15"/>
  <c r="F899" i="15"/>
  <c r="A900" i="15"/>
  <c r="R900" i="15" s="1"/>
  <c r="B900" i="15"/>
  <c r="C900" i="15"/>
  <c r="D900" i="15"/>
  <c r="E900" i="15"/>
  <c r="F900" i="15"/>
  <c r="A901" i="15"/>
  <c r="R901" i="15" s="1"/>
  <c r="T901" i="15" s="1"/>
  <c r="B901" i="15"/>
  <c r="C901" i="15"/>
  <c r="D901" i="15"/>
  <c r="E901" i="15"/>
  <c r="F901" i="15"/>
  <c r="A902" i="15"/>
  <c r="R902" i="15" s="1"/>
  <c r="T902" i="15" s="1"/>
  <c r="B902" i="15"/>
  <c r="C902" i="15"/>
  <c r="D902" i="15"/>
  <c r="E902" i="15"/>
  <c r="F902" i="15"/>
  <c r="A903" i="15"/>
  <c r="R903" i="15" s="1"/>
  <c r="B903" i="15"/>
  <c r="C903" i="15"/>
  <c r="D903" i="15"/>
  <c r="E903" i="15"/>
  <c r="F903" i="15"/>
  <c r="A904" i="15"/>
  <c r="R904" i="15" s="1"/>
  <c r="B904" i="15"/>
  <c r="C904" i="15"/>
  <c r="D904" i="15"/>
  <c r="E904" i="15"/>
  <c r="F904" i="15"/>
  <c r="A905" i="15"/>
  <c r="R905" i="15" s="1"/>
  <c r="B905" i="15"/>
  <c r="C905" i="15"/>
  <c r="D905" i="15"/>
  <c r="E905" i="15"/>
  <c r="F905" i="15"/>
  <c r="A906" i="15"/>
  <c r="R906" i="15" s="1"/>
  <c r="B906" i="15"/>
  <c r="C906" i="15"/>
  <c r="D906" i="15"/>
  <c r="E906" i="15"/>
  <c r="F906" i="15"/>
  <c r="A907" i="15"/>
  <c r="R907" i="15" s="1"/>
  <c r="B907" i="15"/>
  <c r="C907" i="15"/>
  <c r="D907" i="15"/>
  <c r="E907" i="15"/>
  <c r="F907" i="15"/>
  <c r="A908" i="15"/>
  <c r="R908" i="15" s="1"/>
  <c r="B908" i="15"/>
  <c r="C908" i="15"/>
  <c r="D908" i="15"/>
  <c r="E908" i="15"/>
  <c r="F908" i="15"/>
  <c r="A909" i="15"/>
  <c r="R909" i="15" s="1"/>
  <c r="B909" i="15"/>
  <c r="C909" i="15"/>
  <c r="D909" i="15"/>
  <c r="E909" i="15"/>
  <c r="F909" i="15"/>
  <c r="A910" i="15"/>
  <c r="R910" i="15" s="1"/>
  <c r="B910" i="15"/>
  <c r="C910" i="15"/>
  <c r="D910" i="15"/>
  <c r="E910" i="15"/>
  <c r="F910" i="15"/>
  <c r="A911" i="15"/>
  <c r="R911" i="15" s="1"/>
  <c r="S911" i="15" s="1"/>
  <c r="B911" i="15"/>
  <c r="C911" i="15"/>
  <c r="D911" i="15"/>
  <c r="E911" i="15"/>
  <c r="F911" i="15"/>
  <c r="A912" i="15"/>
  <c r="R912" i="15" s="1"/>
  <c r="S912" i="15" s="1"/>
  <c r="B912" i="15"/>
  <c r="C912" i="15"/>
  <c r="D912" i="15"/>
  <c r="E912" i="15"/>
  <c r="F912" i="15"/>
  <c r="A913" i="15"/>
  <c r="R913" i="15" s="1"/>
  <c r="B913" i="15"/>
  <c r="C913" i="15"/>
  <c r="D913" i="15"/>
  <c r="E913" i="15"/>
  <c r="F913" i="15"/>
  <c r="A914" i="15"/>
  <c r="R914" i="15" s="1"/>
  <c r="B914" i="15"/>
  <c r="C914" i="15"/>
  <c r="D914" i="15"/>
  <c r="E914" i="15"/>
  <c r="F914" i="15"/>
  <c r="A915" i="15"/>
  <c r="R915" i="15" s="1"/>
  <c r="B915" i="15"/>
  <c r="C915" i="15"/>
  <c r="D915" i="15"/>
  <c r="E915" i="15"/>
  <c r="F915" i="15"/>
  <c r="A916" i="15"/>
  <c r="R916" i="15" s="1"/>
  <c r="B916" i="15"/>
  <c r="C916" i="15"/>
  <c r="D916" i="15"/>
  <c r="E916" i="15"/>
  <c r="F916" i="15"/>
  <c r="A917" i="15"/>
  <c r="R917" i="15" s="1"/>
  <c r="T917" i="15" s="1"/>
  <c r="B917" i="15"/>
  <c r="C917" i="15"/>
  <c r="D917" i="15"/>
  <c r="E917" i="15"/>
  <c r="F917" i="15"/>
  <c r="A918" i="15"/>
  <c r="R918" i="15" s="1"/>
  <c r="T918" i="15" s="1"/>
  <c r="B918" i="15"/>
  <c r="C918" i="15"/>
  <c r="D918" i="15"/>
  <c r="E918" i="15"/>
  <c r="F918" i="15"/>
  <c r="A919" i="15"/>
  <c r="R919" i="15" s="1"/>
  <c r="B919" i="15"/>
  <c r="C919" i="15"/>
  <c r="D919" i="15"/>
  <c r="E919" i="15"/>
  <c r="F919" i="15"/>
  <c r="A920" i="15"/>
  <c r="R920" i="15" s="1"/>
  <c r="B920" i="15"/>
  <c r="C920" i="15"/>
  <c r="D920" i="15"/>
  <c r="E920" i="15"/>
  <c r="F920" i="15"/>
  <c r="A921" i="15"/>
  <c r="R921" i="15" s="1"/>
  <c r="S921" i="15" s="1"/>
  <c r="B921" i="15"/>
  <c r="C921" i="15"/>
  <c r="D921" i="15"/>
  <c r="E921" i="15"/>
  <c r="F921" i="15"/>
  <c r="A922" i="15"/>
  <c r="R922" i="15" s="1"/>
  <c r="B922" i="15"/>
  <c r="C922" i="15"/>
  <c r="D922" i="15"/>
  <c r="E922" i="15"/>
  <c r="F922" i="15"/>
  <c r="A923" i="15"/>
  <c r="R923" i="15" s="1"/>
  <c r="B923" i="15"/>
  <c r="C923" i="15"/>
  <c r="D923" i="15"/>
  <c r="E923" i="15"/>
  <c r="F923" i="15"/>
  <c r="A924" i="15"/>
  <c r="R924" i="15" s="1"/>
  <c r="B924" i="15"/>
  <c r="C924" i="15"/>
  <c r="D924" i="15"/>
  <c r="E924" i="15"/>
  <c r="F924" i="15"/>
  <c r="A925" i="15"/>
  <c r="R925" i="15" s="1"/>
  <c r="B925" i="15"/>
  <c r="C925" i="15"/>
  <c r="D925" i="15"/>
  <c r="E925" i="15"/>
  <c r="F925" i="15"/>
  <c r="A926" i="15"/>
  <c r="R926" i="15" s="1"/>
  <c r="T926" i="15" s="1"/>
  <c r="B926" i="15"/>
  <c r="C926" i="15"/>
  <c r="D926" i="15"/>
  <c r="E926" i="15"/>
  <c r="F926" i="15"/>
  <c r="A927" i="15"/>
  <c r="R927" i="15" s="1"/>
  <c r="S927" i="15" s="1"/>
  <c r="B927" i="15"/>
  <c r="C927" i="15"/>
  <c r="D927" i="15"/>
  <c r="E927" i="15"/>
  <c r="F927" i="15"/>
  <c r="A928" i="15"/>
  <c r="R928" i="15" s="1"/>
  <c r="B928" i="15"/>
  <c r="C928" i="15"/>
  <c r="D928" i="15"/>
  <c r="E928" i="15"/>
  <c r="F928" i="15"/>
  <c r="A929" i="15"/>
  <c r="R929" i="15" s="1"/>
  <c r="S929" i="15" s="1"/>
  <c r="B929" i="15"/>
  <c r="C929" i="15"/>
  <c r="D929" i="15"/>
  <c r="E929" i="15"/>
  <c r="F929" i="15"/>
  <c r="A930" i="15"/>
  <c r="R930" i="15" s="1"/>
  <c r="S930" i="15" s="1"/>
  <c r="B930" i="15"/>
  <c r="C930" i="15"/>
  <c r="D930" i="15"/>
  <c r="E930" i="15"/>
  <c r="F930" i="15"/>
  <c r="A931" i="15"/>
  <c r="R931" i="15" s="1"/>
  <c r="B931" i="15"/>
  <c r="C931" i="15"/>
  <c r="D931" i="15"/>
  <c r="E931" i="15"/>
  <c r="F931" i="15"/>
  <c r="A932" i="15"/>
  <c r="R932" i="15" s="1"/>
  <c r="B932" i="15"/>
  <c r="C932" i="15"/>
  <c r="D932" i="15"/>
  <c r="E932" i="15"/>
  <c r="F932" i="15"/>
  <c r="A933" i="15"/>
  <c r="R933" i="15" s="1"/>
  <c r="B933" i="15"/>
  <c r="C933" i="15"/>
  <c r="D933" i="15"/>
  <c r="E933" i="15"/>
  <c r="F933" i="15"/>
  <c r="A934" i="15"/>
  <c r="R934" i="15" s="1"/>
  <c r="B934" i="15"/>
  <c r="C934" i="15"/>
  <c r="D934" i="15"/>
  <c r="E934" i="15"/>
  <c r="F934" i="15"/>
  <c r="A935" i="15"/>
  <c r="R935" i="15" s="1"/>
  <c r="S935" i="15" s="1"/>
  <c r="B935" i="15"/>
  <c r="C935" i="15"/>
  <c r="D935" i="15"/>
  <c r="E935" i="15"/>
  <c r="F935" i="15"/>
  <c r="A936" i="15"/>
  <c r="R936" i="15" s="1"/>
  <c r="B936" i="15"/>
  <c r="C936" i="15"/>
  <c r="D936" i="15"/>
  <c r="E936" i="15"/>
  <c r="F936" i="15"/>
  <c r="A937" i="15"/>
  <c r="R937" i="15" s="1"/>
  <c r="B937" i="15"/>
  <c r="C937" i="15"/>
  <c r="D937" i="15"/>
  <c r="E937" i="15"/>
  <c r="F937" i="15"/>
  <c r="A938" i="15"/>
  <c r="R938" i="15" s="1"/>
  <c r="S938" i="15" s="1"/>
  <c r="B938" i="15"/>
  <c r="C938" i="15"/>
  <c r="D938" i="15"/>
  <c r="E938" i="15"/>
  <c r="F938" i="15"/>
  <c r="A939" i="15"/>
  <c r="R939" i="15" s="1"/>
  <c r="B939" i="15"/>
  <c r="C939" i="15"/>
  <c r="D939" i="15"/>
  <c r="E939" i="15"/>
  <c r="F939" i="15"/>
  <c r="A940" i="15"/>
  <c r="R940" i="15" s="1"/>
  <c r="B940" i="15"/>
  <c r="C940" i="15"/>
  <c r="D940" i="15"/>
  <c r="E940" i="15"/>
  <c r="F940" i="15"/>
  <c r="A941" i="15"/>
  <c r="R941" i="15" s="1"/>
  <c r="B941" i="15"/>
  <c r="C941" i="15"/>
  <c r="D941" i="15"/>
  <c r="E941" i="15"/>
  <c r="F941" i="15"/>
  <c r="A942" i="15"/>
  <c r="R942" i="15" s="1"/>
  <c r="B942" i="15"/>
  <c r="C942" i="15"/>
  <c r="D942" i="15"/>
  <c r="E942" i="15"/>
  <c r="F942" i="15"/>
  <c r="A943" i="15"/>
  <c r="R943" i="15" s="1"/>
  <c r="B943" i="15"/>
  <c r="C943" i="15"/>
  <c r="D943" i="15"/>
  <c r="E943" i="15"/>
  <c r="F943" i="15"/>
  <c r="A944" i="15"/>
  <c r="R944" i="15" s="1"/>
  <c r="S944" i="15" s="1"/>
  <c r="B944" i="15"/>
  <c r="C944" i="15"/>
  <c r="D944" i="15"/>
  <c r="E944" i="15"/>
  <c r="F944" i="15"/>
  <c r="A945" i="15"/>
  <c r="R945" i="15" s="1"/>
  <c r="B945" i="15"/>
  <c r="C945" i="15"/>
  <c r="D945" i="15"/>
  <c r="E945" i="15"/>
  <c r="F945" i="15"/>
  <c r="A946" i="15"/>
  <c r="R946" i="15" s="1"/>
  <c r="S946" i="15" s="1"/>
  <c r="B946" i="15"/>
  <c r="C946" i="15"/>
  <c r="D946" i="15"/>
  <c r="E946" i="15"/>
  <c r="F946" i="15"/>
  <c r="A947" i="15"/>
  <c r="R947" i="15" s="1"/>
  <c r="B947" i="15"/>
  <c r="C947" i="15"/>
  <c r="D947" i="15"/>
  <c r="E947" i="15"/>
  <c r="F947" i="15"/>
  <c r="A948" i="15"/>
  <c r="R948" i="15" s="1"/>
  <c r="B948" i="15"/>
  <c r="C948" i="15"/>
  <c r="D948" i="15"/>
  <c r="E948" i="15"/>
  <c r="F948" i="15"/>
  <c r="A949" i="15"/>
  <c r="R949" i="15" s="1"/>
  <c r="B949" i="15"/>
  <c r="C949" i="15"/>
  <c r="D949" i="15"/>
  <c r="E949" i="15"/>
  <c r="F949" i="15"/>
  <c r="A950" i="15"/>
  <c r="R950" i="15" s="1"/>
  <c r="B950" i="15"/>
  <c r="C950" i="15"/>
  <c r="D950" i="15"/>
  <c r="E950" i="15"/>
  <c r="F950" i="15"/>
  <c r="A951" i="15"/>
  <c r="R951" i="15" s="1"/>
  <c r="B951" i="15"/>
  <c r="C951" i="15"/>
  <c r="D951" i="15"/>
  <c r="E951" i="15"/>
  <c r="F951" i="15"/>
  <c r="A952" i="15"/>
  <c r="R952" i="15" s="1"/>
  <c r="S952" i="15" s="1"/>
  <c r="B952" i="15"/>
  <c r="C952" i="15"/>
  <c r="D952" i="15"/>
  <c r="E952" i="15"/>
  <c r="F952" i="15"/>
  <c r="A953" i="15"/>
  <c r="R953" i="15" s="1"/>
  <c r="B953" i="15"/>
  <c r="C953" i="15"/>
  <c r="D953" i="15"/>
  <c r="E953" i="15"/>
  <c r="F953" i="15"/>
  <c r="A954" i="15"/>
  <c r="R954" i="15" s="1"/>
  <c r="S954" i="15" s="1"/>
  <c r="B954" i="15"/>
  <c r="C954" i="15"/>
  <c r="D954" i="15"/>
  <c r="E954" i="15"/>
  <c r="F954" i="15"/>
  <c r="A955" i="15"/>
  <c r="R955" i="15" s="1"/>
  <c r="B955" i="15"/>
  <c r="C955" i="15"/>
  <c r="D955" i="15"/>
  <c r="E955" i="15"/>
  <c r="F955" i="15"/>
  <c r="A956" i="15"/>
  <c r="R956" i="15" s="1"/>
  <c r="B956" i="15"/>
  <c r="C956" i="15"/>
  <c r="D956" i="15"/>
  <c r="E956" i="15"/>
  <c r="F956" i="15"/>
  <c r="A957" i="15"/>
  <c r="R957" i="15" s="1"/>
  <c r="B957" i="15"/>
  <c r="C957" i="15"/>
  <c r="D957" i="15"/>
  <c r="E957" i="15"/>
  <c r="F957" i="15"/>
  <c r="A958" i="15"/>
  <c r="R958" i="15" s="1"/>
  <c r="B958" i="15"/>
  <c r="C958" i="15"/>
  <c r="D958" i="15"/>
  <c r="E958" i="15"/>
  <c r="F958" i="15"/>
  <c r="A959" i="15"/>
  <c r="R959" i="15" s="1"/>
  <c r="B959" i="15"/>
  <c r="C959" i="15"/>
  <c r="D959" i="15"/>
  <c r="E959" i="15"/>
  <c r="F959" i="15"/>
  <c r="A960" i="15"/>
  <c r="R960" i="15" s="1"/>
  <c r="S960" i="15" s="1"/>
  <c r="B960" i="15"/>
  <c r="C960" i="15"/>
  <c r="D960" i="15"/>
  <c r="E960" i="15"/>
  <c r="F960" i="15"/>
  <c r="A961" i="15"/>
  <c r="R961" i="15" s="1"/>
  <c r="B961" i="15"/>
  <c r="C961" i="15"/>
  <c r="D961" i="15"/>
  <c r="E961" i="15"/>
  <c r="F961" i="15"/>
  <c r="A962" i="15"/>
  <c r="R962" i="15" s="1"/>
  <c r="S962" i="15" s="1"/>
  <c r="B962" i="15"/>
  <c r="C962" i="15"/>
  <c r="D962" i="15"/>
  <c r="E962" i="15"/>
  <c r="F962" i="15"/>
  <c r="A963" i="15"/>
  <c r="R963" i="15" s="1"/>
  <c r="B963" i="15"/>
  <c r="C963" i="15"/>
  <c r="D963" i="15"/>
  <c r="E963" i="15"/>
  <c r="F963" i="15"/>
  <c r="A964" i="15"/>
  <c r="R964" i="15" s="1"/>
  <c r="B964" i="15"/>
  <c r="C964" i="15"/>
  <c r="D964" i="15"/>
  <c r="E964" i="15"/>
  <c r="F964" i="15"/>
  <c r="A965" i="15"/>
  <c r="R965" i="15" s="1"/>
  <c r="B965" i="15"/>
  <c r="C965" i="15"/>
  <c r="D965" i="15"/>
  <c r="E965" i="15"/>
  <c r="F965" i="15"/>
  <c r="A966" i="15"/>
  <c r="R966" i="15" s="1"/>
  <c r="B966" i="15"/>
  <c r="C966" i="15"/>
  <c r="D966" i="15"/>
  <c r="E966" i="15"/>
  <c r="F966" i="15"/>
  <c r="A967" i="15"/>
  <c r="R967" i="15" s="1"/>
  <c r="B967" i="15"/>
  <c r="C967" i="15"/>
  <c r="D967" i="15"/>
  <c r="E967" i="15"/>
  <c r="F967" i="15"/>
  <c r="A968" i="15"/>
  <c r="R968" i="15" s="1"/>
  <c r="S968" i="15" s="1"/>
  <c r="B968" i="15"/>
  <c r="C968" i="15"/>
  <c r="D968" i="15"/>
  <c r="E968" i="15"/>
  <c r="F968" i="15"/>
  <c r="A969" i="15"/>
  <c r="R969" i="15" s="1"/>
  <c r="B969" i="15"/>
  <c r="C969" i="15"/>
  <c r="D969" i="15"/>
  <c r="E969" i="15"/>
  <c r="F969" i="15"/>
  <c r="A970" i="15"/>
  <c r="R970" i="15" s="1"/>
  <c r="S970" i="15" s="1"/>
  <c r="B970" i="15"/>
  <c r="C970" i="15"/>
  <c r="D970" i="15"/>
  <c r="E970" i="15"/>
  <c r="F970" i="15"/>
  <c r="A971" i="15"/>
  <c r="R971" i="15" s="1"/>
  <c r="B971" i="15"/>
  <c r="C971" i="15"/>
  <c r="D971" i="15"/>
  <c r="E971" i="15"/>
  <c r="F971" i="15"/>
  <c r="A972" i="15"/>
  <c r="R972" i="15" s="1"/>
  <c r="B972" i="15"/>
  <c r="C972" i="15"/>
  <c r="D972" i="15"/>
  <c r="E972" i="15"/>
  <c r="F972" i="15"/>
  <c r="A973" i="15"/>
  <c r="R973" i="15" s="1"/>
  <c r="B973" i="15"/>
  <c r="C973" i="15"/>
  <c r="D973" i="15"/>
  <c r="E973" i="15"/>
  <c r="F973" i="15"/>
  <c r="A974" i="15"/>
  <c r="R974" i="15" s="1"/>
  <c r="B974" i="15"/>
  <c r="C974" i="15"/>
  <c r="D974" i="15"/>
  <c r="E974" i="15"/>
  <c r="F974" i="15"/>
  <c r="A975" i="15"/>
  <c r="R975" i="15" s="1"/>
  <c r="B975" i="15"/>
  <c r="C975" i="15"/>
  <c r="D975" i="15"/>
  <c r="E975" i="15"/>
  <c r="F975" i="15"/>
  <c r="A976" i="15"/>
  <c r="R976" i="15" s="1"/>
  <c r="S976" i="15" s="1"/>
  <c r="B976" i="15"/>
  <c r="C976" i="15"/>
  <c r="D976" i="15"/>
  <c r="E976" i="15"/>
  <c r="F976" i="15"/>
  <c r="A977" i="15"/>
  <c r="R977" i="15" s="1"/>
  <c r="B977" i="15"/>
  <c r="C977" i="15"/>
  <c r="D977" i="15"/>
  <c r="E977" i="15"/>
  <c r="F977" i="15"/>
  <c r="A978" i="15"/>
  <c r="R978" i="15" s="1"/>
  <c r="S978" i="15" s="1"/>
  <c r="B978" i="15"/>
  <c r="C978" i="15"/>
  <c r="D978" i="15"/>
  <c r="E978" i="15"/>
  <c r="F978" i="15"/>
  <c r="A979" i="15"/>
  <c r="R979" i="15" s="1"/>
  <c r="B979" i="15"/>
  <c r="C979" i="15"/>
  <c r="D979" i="15"/>
  <c r="E979" i="15"/>
  <c r="F979" i="15"/>
  <c r="A980" i="15"/>
  <c r="R980" i="15" s="1"/>
  <c r="B980" i="15"/>
  <c r="C980" i="15"/>
  <c r="D980" i="15"/>
  <c r="E980" i="15"/>
  <c r="F980" i="15"/>
  <c r="A981" i="15"/>
  <c r="R981" i="15" s="1"/>
  <c r="B981" i="15"/>
  <c r="C981" i="15"/>
  <c r="D981" i="15"/>
  <c r="E981" i="15"/>
  <c r="F981" i="15"/>
  <c r="A982" i="15"/>
  <c r="R982" i="15" s="1"/>
  <c r="B982" i="15"/>
  <c r="C982" i="15"/>
  <c r="D982" i="15"/>
  <c r="E982" i="15"/>
  <c r="F982" i="15"/>
  <c r="A983" i="15"/>
  <c r="R983" i="15" s="1"/>
  <c r="B983" i="15"/>
  <c r="C983" i="15"/>
  <c r="D983" i="15"/>
  <c r="E983" i="15"/>
  <c r="F983" i="15"/>
  <c r="A984" i="15"/>
  <c r="R984" i="15" s="1"/>
  <c r="S984" i="15" s="1"/>
  <c r="B984" i="15"/>
  <c r="C984" i="15"/>
  <c r="D984" i="15"/>
  <c r="E984" i="15"/>
  <c r="F984" i="15"/>
  <c r="A985" i="15"/>
  <c r="R985" i="15" s="1"/>
  <c r="B985" i="15"/>
  <c r="C985" i="15"/>
  <c r="D985" i="15"/>
  <c r="E985" i="15"/>
  <c r="F985" i="15"/>
  <c r="A986" i="15"/>
  <c r="R986" i="15" s="1"/>
  <c r="S986" i="15" s="1"/>
  <c r="B986" i="15"/>
  <c r="C986" i="15"/>
  <c r="D986" i="15"/>
  <c r="E986" i="15"/>
  <c r="F986" i="15"/>
  <c r="A987" i="15"/>
  <c r="R987" i="15" s="1"/>
  <c r="B987" i="15"/>
  <c r="C987" i="15"/>
  <c r="D987" i="15"/>
  <c r="E987" i="15"/>
  <c r="F987" i="15"/>
  <c r="A988" i="15"/>
  <c r="R988" i="15" s="1"/>
  <c r="B988" i="15"/>
  <c r="C988" i="15"/>
  <c r="D988" i="15"/>
  <c r="E988" i="15"/>
  <c r="F988" i="15"/>
  <c r="A989" i="15"/>
  <c r="R989" i="15" s="1"/>
  <c r="B989" i="15"/>
  <c r="C989" i="15"/>
  <c r="D989" i="15"/>
  <c r="E989" i="15"/>
  <c r="F989" i="15"/>
  <c r="A990" i="15"/>
  <c r="R990" i="15" s="1"/>
  <c r="B990" i="15"/>
  <c r="C990" i="15"/>
  <c r="D990" i="15"/>
  <c r="E990" i="15"/>
  <c r="F990" i="15"/>
  <c r="A991" i="15"/>
  <c r="R991" i="15" s="1"/>
  <c r="B991" i="15"/>
  <c r="C991" i="15"/>
  <c r="D991" i="15"/>
  <c r="E991" i="15"/>
  <c r="F991" i="15"/>
  <c r="A992" i="15"/>
  <c r="R992" i="15" s="1"/>
  <c r="S992" i="15" s="1"/>
  <c r="B992" i="15"/>
  <c r="C992" i="15"/>
  <c r="D992" i="15"/>
  <c r="E992" i="15"/>
  <c r="F992" i="15"/>
  <c r="A993" i="15"/>
  <c r="R993" i="15" s="1"/>
  <c r="B993" i="15"/>
  <c r="C993" i="15"/>
  <c r="D993" i="15"/>
  <c r="E993" i="15"/>
  <c r="F993" i="15"/>
  <c r="A994" i="15"/>
  <c r="R994" i="15" s="1"/>
  <c r="S994" i="15" s="1"/>
  <c r="B994" i="15"/>
  <c r="C994" i="15"/>
  <c r="D994" i="15"/>
  <c r="E994" i="15"/>
  <c r="F994" i="15"/>
  <c r="A995" i="15"/>
  <c r="R995" i="15" s="1"/>
  <c r="S995" i="15" s="1"/>
  <c r="B995" i="15"/>
  <c r="C995" i="15"/>
  <c r="D995" i="15"/>
  <c r="E995" i="15"/>
  <c r="F995" i="15"/>
  <c r="A996" i="15"/>
  <c r="R996" i="15" s="1"/>
  <c r="B996" i="15"/>
  <c r="C996" i="15"/>
  <c r="D996" i="15"/>
  <c r="E996" i="15"/>
  <c r="F996" i="15"/>
  <c r="A997" i="15"/>
  <c r="R997" i="15" s="1"/>
  <c r="B997" i="15"/>
  <c r="C997" i="15"/>
  <c r="D997" i="15"/>
  <c r="E997" i="15"/>
  <c r="F997" i="15"/>
  <c r="A998" i="15"/>
  <c r="R998" i="15" s="1"/>
  <c r="B998" i="15"/>
  <c r="C998" i="15"/>
  <c r="D998" i="15"/>
  <c r="E998" i="15"/>
  <c r="F998" i="15"/>
  <c r="A999" i="15"/>
  <c r="R999" i="15" s="1"/>
  <c r="B999" i="15"/>
  <c r="C999" i="15"/>
  <c r="D999" i="15"/>
  <c r="E999" i="15"/>
  <c r="F999" i="15"/>
  <c r="A1000" i="15"/>
  <c r="R1000" i="15" s="1"/>
  <c r="S1000" i="15" s="1"/>
  <c r="B1000" i="15"/>
  <c r="C1000" i="15"/>
  <c r="D1000" i="15"/>
  <c r="E1000" i="15"/>
  <c r="F1000" i="15"/>
  <c r="C5" i="21"/>
  <c r="D5" i="21"/>
  <c r="E5" i="21"/>
  <c r="F5" i="21"/>
  <c r="C6" i="21"/>
  <c r="D6" i="21"/>
  <c r="E6" i="21"/>
  <c r="F6" i="21"/>
  <c r="C7" i="21"/>
  <c r="D7" i="21"/>
  <c r="E7" i="21"/>
  <c r="F7" i="21"/>
  <c r="C8" i="21"/>
  <c r="D8" i="21"/>
  <c r="E8" i="21"/>
  <c r="F8" i="21"/>
  <c r="C9" i="21"/>
  <c r="D9" i="21"/>
  <c r="E9" i="21"/>
  <c r="F9" i="21"/>
  <c r="C10" i="21"/>
  <c r="D10" i="21"/>
  <c r="E10" i="21"/>
  <c r="F10" i="21"/>
  <c r="C11" i="21"/>
  <c r="D11" i="21"/>
  <c r="E11" i="21"/>
  <c r="F11" i="21"/>
  <c r="C12" i="21"/>
  <c r="D12" i="21"/>
  <c r="E12" i="21"/>
  <c r="F12" i="21"/>
  <c r="C13" i="21"/>
  <c r="D13" i="21"/>
  <c r="E13" i="21"/>
  <c r="F13" i="21"/>
  <c r="C14" i="21"/>
  <c r="D14" i="21"/>
  <c r="E14" i="21"/>
  <c r="F14" i="21"/>
  <c r="C15" i="21"/>
  <c r="D15" i="21"/>
  <c r="E15" i="21"/>
  <c r="F15" i="21"/>
  <c r="C16" i="21"/>
  <c r="D16" i="21"/>
  <c r="E16" i="21"/>
  <c r="F16" i="21"/>
  <c r="C17" i="21"/>
  <c r="D17" i="21"/>
  <c r="E17" i="21"/>
  <c r="F17" i="21"/>
  <c r="C18" i="21"/>
  <c r="D18" i="21"/>
  <c r="E18" i="21"/>
  <c r="F18" i="21"/>
  <c r="C19" i="21"/>
  <c r="D19" i="21"/>
  <c r="E19" i="21"/>
  <c r="F19" i="21"/>
  <c r="C20" i="21"/>
  <c r="D20" i="21"/>
  <c r="E20" i="21"/>
  <c r="F20" i="21"/>
  <c r="C21" i="21"/>
  <c r="D21" i="21"/>
  <c r="E21" i="21"/>
  <c r="F21" i="21"/>
  <c r="C22" i="21"/>
  <c r="D22" i="21"/>
  <c r="E22" i="21"/>
  <c r="F22" i="21"/>
  <c r="C23" i="21"/>
  <c r="D23" i="21"/>
  <c r="E23" i="21"/>
  <c r="F23" i="21"/>
  <c r="C24" i="21"/>
  <c r="D24" i="21"/>
  <c r="E24" i="21"/>
  <c r="F24" i="21"/>
  <c r="C25" i="21"/>
  <c r="D25" i="21"/>
  <c r="E25" i="21"/>
  <c r="F25" i="21"/>
  <c r="C26" i="21"/>
  <c r="D26" i="21"/>
  <c r="E26" i="21"/>
  <c r="F26" i="21"/>
  <c r="C27" i="21"/>
  <c r="D27" i="21"/>
  <c r="E27" i="21"/>
  <c r="F27" i="21"/>
  <c r="C28" i="21"/>
  <c r="D28" i="21"/>
  <c r="E28" i="21"/>
  <c r="F28" i="21"/>
  <c r="C29" i="21"/>
  <c r="D29" i="21"/>
  <c r="E29" i="21"/>
  <c r="F29" i="21"/>
  <c r="C30" i="21"/>
  <c r="D30" i="21"/>
  <c r="E30" i="21"/>
  <c r="F30" i="21"/>
  <c r="C31" i="21"/>
  <c r="D31" i="21"/>
  <c r="E31" i="21"/>
  <c r="F31" i="21"/>
  <c r="C32" i="21"/>
  <c r="D32" i="21"/>
  <c r="E32" i="21"/>
  <c r="F32" i="21"/>
  <c r="C33" i="21"/>
  <c r="D33" i="21"/>
  <c r="E33" i="21"/>
  <c r="F33" i="21"/>
  <c r="C34" i="21"/>
  <c r="D34" i="21"/>
  <c r="E34" i="21"/>
  <c r="F34" i="21"/>
  <c r="C35" i="21"/>
  <c r="D35" i="21"/>
  <c r="E35" i="21"/>
  <c r="F35" i="21"/>
  <c r="C36" i="21"/>
  <c r="D36" i="21"/>
  <c r="E36" i="21"/>
  <c r="F36" i="21"/>
  <c r="C37" i="21"/>
  <c r="D37" i="21"/>
  <c r="E37" i="21"/>
  <c r="F37" i="21"/>
  <c r="C38" i="21"/>
  <c r="D38" i="21"/>
  <c r="E38" i="21"/>
  <c r="F38" i="21"/>
  <c r="C39" i="21"/>
  <c r="D39" i="21"/>
  <c r="E39" i="21"/>
  <c r="F39" i="21"/>
  <c r="C40" i="21"/>
  <c r="D40" i="21"/>
  <c r="E40" i="21"/>
  <c r="F40" i="21"/>
  <c r="C41" i="21"/>
  <c r="D41" i="21"/>
  <c r="E41" i="21"/>
  <c r="F41" i="21"/>
  <c r="C42" i="21"/>
  <c r="D42" i="21"/>
  <c r="E42" i="21"/>
  <c r="F42" i="21"/>
  <c r="C43" i="21"/>
  <c r="D43" i="21"/>
  <c r="E43" i="21"/>
  <c r="F43" i="21"/>
  <c r="C44" i="21"/>
  <c r="D44" i="21"/>
  <c r="E44" i="21"/>
  <c r="F44" i="21"/>
  <c r="C45" i="21"/>
  <c r="D45" i="21"/>
  <c r="E45" i="21"/>
  <c r="F45" i="21"/>
  <c r="C46" i="21"/>
  <c r="D46" i="21"/>
  <c r="E46" i="21"/>
  <c r="F46" i="21"/>
  <c r="C47" i="21"/>
  <c r="D47" i="21"/>
  <c r="E47" i="21"/>
  <c r="F47" i="21"/>
  <c r="C48" i="21"/>
  <c r="D48" i="21"/>
  <c r="E48" i="21"/>
  <c r="F48" i="21"/>
  <c r="C49" i="21"/>
  <c r="D49" i="21"/>
  <c r="E49" i="21"/>
  <c r="F49" i="21"/>
  <c r="C50" i="21"/>
  <c r="D50" i="21"/>
  <c r="E50" i="21"/>
  <c r="F50" i="21"/>
  <c r="C51" i="21"/>
  <c r="D51" i="21"/>
  <c r="E51" i="21"/>
  <c r="F51" i="21"/>
  <c r="C52" i="21"/>
  <c r="D52" i="21"/>
  <c r="E52" i="21"/>
  <c r="F52" i="21"/>
  <c r="C53" i="21"/>
  <c r="D53" i="21"/>
  <c r="E53" i="21"/>
  <c r="F53" i="21"/>
  <c r="C54" i="21"/>
  <c r="D54" i="21"/>
  <c r="E54" i="21"/>
  <c r="F54" i="21"/>
  <c r="C55" i="21"/>
  <c r="D55" i="21"/>
  <c r="E55" i="21"/>
  <c r="F55" i="21"/>
  <c r="C56" i="21"/>
  <c r="D56" i="21"/>
  <c r="E56" i="21"/>
  <c r="F56" i="21"/>
  <c r="C57" i="21"/>
  <c r="D57" i="21"/>
  <c r="E57" i="21"/>
  <c r="F57" i="21"/>
  <c r="C58" i="21"/>
  <c r="D58" i="21"/>
  <c r="E58" i="21"/>
  <c r="F58" i="21"/>
  <c r="C59" i="21"/>
  <c r="D59" i="21"/>
  <c r="E59" i="21"/>
  <c r="F59" i="21"/>
  <c r="C60" i="21"/>
  <c r="D60" i="21"/>
  <c r="E60" i="21"/>
  <c r="F60" i="21"/>
  <c r="C61" i="21"/>
  <c r="D61" i="21"/>
  <c r="E61" i="21"/>
  <c r="F61" i="21"/>
  <c r="C62" i="21"/>
  <c r="D62" i="21"/>
  <c r="E62" i="21"/>
  <c r="F62" i="21"/>
  <c r="C63" i="21"/>
  <c r="D63" i="21"/>
  <c r="E63" i="21"/>
  <c r="F63" i="21"/>
  <c r="C64" i="21"/>
  <c r="D64" i="21"/>
  <c r="E64" i="21"/>
  <c r="F64" i="21"/>
  <c r="C65" i="21"/>
  <c r="D65" i="21"/>
  <c r="E65" i="21"/>
  <c r="F65" i="21"/>
  <c r="C66" i="21"/>
  <c r="D66" i="21"/>
  <c r="E66" i="21"/>
  <c r="F66" i="21"/>
  <c r="C67" i="21"/>
  <c r="D67" i="21"/>
  <c r="E67" i="21"/>
  <c r="F67" i="21"/>
  <c r="C68" i="21"/>
  <c r="D68" i="21"/>
  <c r="E68" i="21"/>
  <c r="F68" i="21"/>
  <c r="C69" i="21"/>
  <c r="D69" i="21"/>
  <c r="E69" i="21"/>
  <c r="F69" i="21"/>
  <c r="C70" i="21"/>
  <c r="D70" i="21"/>
  <c r="E70" i="21"/>
  <c r="F70" i="21"/>
  <c r="C71" i="21"/>
  <c r="D71" i="21"/>
  <c r="E71" i="21"/>
  <c r="F71" i="21"/>
  <c r="C72" i="21"/>
  <c r="D72" i="21"/>
  <c r="E72" i="21"/>
  <c r="F72" i="21"/>
  <c r="C73" i="21"/>
  <c r="D73" i="21"/>
  <c r="E73" i="21"/>
  <c r="F73" i="21"/>
  <c r="C74" i="21"/>
  <c r="D74" i="21"/>
  <c r="E74" i="21"/>
  <c r="F74" i="21"/>
  <c r="C75" i="21"/>
  <c r="D75" i="21"/>
  <c r="E75" i="21"/>
  <c r="F75" i="21"/>
  <c r="C76" i="21"/>
  <c r="D76" i="21"/>
  <c r="E76" i="21"/>
  <c r="F76" i="21"/>
  <c r="C77" i="21"/>
  <c r="D77" i="21"/>
  <c r="E77" i="21"/>
  <c r="F77" i="21"/>
  <c r="C78" i="21"/>
  <c r="D78" i="21"/>
  <c r="E78" i="21"/>
  <c r="F78" i="21"/>
  <c r="C79" i="21"/>
  <c r="D79" i="21"/>
  <c r="E79" i="21"/>
  <c r="F79" i="21"/>
  <c r="C80" i="21"/>
  <c r="D80" i="21"/>
  <c r="E80" i="21"/>
  <c r="F80" i="21"/>
  <c r="C81" i="21"/>
  <c r="D81" i="21"/>
  <c r="E81" i="21"/>
  <c r="F81" i="21"/>
  <c r="C82" i="21"/>
  <c r="D82" i="21"/>
  <c r="E82" i="21"/>
  <c r="F82" i="21"/>
  <c r="C83" i="21"/>
  <c r="D83" i="21"/>
  <c r="E83" i="21"/>
  <c r="F83" i="21"/>
  <c r="C84" i="21"/>
  <c r="D84" i="21"/>
  <c r="E84" i="21"/>
  <c r="F84" i="21"/>
  <c r="C85" i="21"/>
  <c r="D85" i="21"/>
  <c r="E85" i="21"/>
  <c r="F85" i="21"/>
  <c r="C86" i="21"/>
  <c r="D86" i="21"/>
  <c r="E86" i="21"/>
  <c r="F86" i="21"/>
  <c r="C87" i="21"/>
  <c r="D87" i="21"/>
  <c r="E87" i="21"/>
  <c r="F87" i="21"/>
  <c r="C88" i="21"/>
  <c r="D88" i="21"/>
  <c r="E88" i="21"/>
  <c r="F88" i="21"/>
  <c r="C89" i="21"/>
  <c r="D89" i="21"/>
  <c r="E89" i="21"/>
  <c r="F89" i="21"/>
  <c r="C90" i="21"/>
  <c r="D90" i="21"/>
  <c r="E90" i="21"/>
  <c r="F90" i="21"/>
  <c r="C91" i="21"/>
  <c r="D91" i="21"/>
  <c r="E91" i="21"/>
  <c r="F91" i="21"/>
  <c r="C92" i="21"/>
  <c r="D92" i="21"/>
  <c r="E92" i="21"/>
  <c r="F92" i="21"/>
  <c r="C93" i="21"/>
  <c r="D93" i="21"/>
  <c r="E93" i="21"/>
  <c r="F93" i="21"/>
  <c r="C94" i="21"/>
  <c r="D94" i="21"/>
  <c r="E94" i="21"/>
  <c r="F94" i="21"/>
  <c r="C95" i="21"/>
  <c r="D95" i="21"/>
  <c r="E95" i="21"/>
  <c r="F95" i="21"/>
  <c r="C96" i="21"/>
  <c r="D96" i="21"/>
  <c r="E96" i="21"/>
  <c r="F96" i="21"/>
  <c r="C97" i="21"/>
  <c r="D97" i="21"/>
  <c r="E97" i="21"/>
  <c r="F97" i="21"/>
  <c r="C98" i="21"/>
  <c r="D98" i="21"/>
  <c r="E98" i="21"/>
  <c r="F98" i="21"/>
  <c r="C99" i="21"/>
  <c r="D99" i="21"/>
  <c r="E99" i="21"/>
  <c r="F99" i="21"/>
  <c r="C100" i="21"/>
  <c r="D100" i="21"/>
  <c r="E100" i="21"/>
  <c r="F100" i="21"/>
  <c r="C101" i="21"/>
  <c r="D101" i="21"/>
  <c r="E101" i="21"/>
  <c r="F101" i="21"/>
  <c r="C102" i="21"/>
  <c r="D102" i="21"/>
  <c r="E102" i="21"/>
  <c r="F102" i="21"/>
  <c r="C103" i="21"/>
  <c r="D103" i="21"/>
  <c r="E103" i="21"/>
  <c r="F103" i="21"/>
  <c r="C104" i="21"/>
  <c r="D104" i="21"/>
  <c r="E104" i="21"/>
  <c r="F104" i="21"/>
  <c r="C105" i="21"/>
  <c r="D105" i="21"/>
  <c r="E105" i="21"/>
  <c r="F105" i="21"/>
  <c r="C106" i="21"/>
  <c r="D106" i="21"/>
  <c r="E106" i="21"/>
  <c r="F106" i="21"/>
  <c r="C107" i="21"/>
  <c r="D107" i="21"/>
  <c r="E107" i="21"/>
  <c r="F107" i="21"/>
  <c r="C108" i="21"/>
  <c r="D108" i="21"/>
  <c r="E108" i="21"/>
  <c r="F108" i="21"/>
  <c r="C109" i="21"/>
  <c r="D109" i="21"/>
  <c r="E109" i="21"/>
  <c r="F109" i="21"/>
  <c r="C110" i="21"/>
  <c r="D110" i="21"/>
  <c r="E110" i="21"/>
  <c r="F110" i="21"/>
  <c r="C111" i="21"/>
  <c r="D111" i="21"/>
  <c r="E111" i="21"/>
  <c r="F111" i="21"/>
  <c r="C112" i="21"/>
  <c r="D112" i="21"/>
  <c r="E112" i="21"/>
  <c r="F112" i="21"/>
  <c r="C113" i="21"/>
  <c r="D113" i="21"/>
  <c r="E113" i="21"/>
  <c r="F113" i="21"/>
  <c r="C114" i="21"/>
  <c r="D114" i="21"/>
  <c r="E114" i="21"/>
  <c r="F114" i="21"/>
  <c r="B115" i="21"/>
  <c r="C115" i="21"/>
  <c r="D115" i="21"/>
  <c r="E115" i="21"/>
  <c r="F115" i="21"/>
  <c r="B116" i="21"/>
  <c r="C116" i="21"/>
  <c r="D116" i="21"/>
  <c r="E116" i="21"/>
  <c r="F116" i="21"/>
  <c r="B117" i="21"/>
  <c r="C117" i="21"/>
  <c r="D117" i="21"/>
  <c r="E117" i="21"/>
  <c r="F117" i="21"/>
  <c r="B118" i="21"/>
  <c r="C118" i="21"/>
  <c r="D118" i="21"/>
  <c r="E118" i="21"/>
  <c r="F118" i="21"/>
  <c r="B119" i="21"/>
  <c r="C119" i="21"/>
  <c r="D119" i="21"/>
  <c r="E119" i="21"/>
  <c r="F119" i="21"/>
  <c r="B120" i="21"/>
  <c r="C120" i="21"/>
  <c r="D120" i="21"/>
  <c r="E120" i="21"/>
  <c r="F120" i="21"/>
  <c r="B121" i="21"/>
  <c r="C121" i="21"/>
  <c r="D121" i="21"/>
  <c r="E121" i="21"/>
  <c r="F121" i="21"/>
  <c r="B122" i="21"/>
  <c r="C122" i="21"/>
  <c r="D122" i="21"/>
  <c r="E122" i="21"/>
  <c r="F122" i="21"/>
  <c r="B123" i="21"/>
  <c r="C123" i="21"/>
  <c r="D123" i="21"/>
  <c r="E123" i="21"/>
  <c r="F123" i="21"/>
  <c r="B124" i="21"/>
  <c r="C124" i="21"/>
  <c r="D124" i="21"/>
  <c r="E124" i="21"/>
  <c r="F124" i="21"/>
  <c r="B125" i="21"/>
  <c r="C125" i="21"/>
  <c r="D125" i="21"/>
  <c r="E125" i="21"/>
  <c r="F125" i="21"/>
  <c r="B126" i="21"/>
  <c r="C126" i="21"/>
  <c r="D126" i="21"/>
  <c r="E126" i="21"/>
  <c r="F126" i="21"/>
  <c r="B127" i="21"/>
  <c r="C127" i="21"/>
  <c r="D127" i="21"/>
  <c r="E127" i="21"/>
  <c r="F127" i="21"/>
  <c r="B128" i="21"/>
  <c r="C128" i="21"/>
  <c r="D128" i="21"/>
  <c r="E128" i="21"/>
  <c r="F128" i="21"/>
  <c r="B129" i="21"/>
  <c r="C129" i="21"/>
  <c r="D129" i="21"/>
  <c r="E129" i="21"/>
  <c r="F129" i="21"/>
  <c r="B130" i="21"/>
  <c r="C130" i="21"/>
  <c r="D130" i="21"/>
  <c r="E130" i="21"/>
  <c r="F130" i="21"/>
  <c r="B131" i="21"/>
  <c r="C131" i="21"/>
  <c r="D131" i="21"/>
  <c r="E131" i="21"/>
  <c r="F131" i="21"/>
  <c r="B132" i="21"/>
  <c r="C132" i="21"/>
  <c r="D132" i="21"/>
  <c r="E132" i="21"/>
  <c r="F132" i="21"/>
  <c r="B133" i="21"/>
  <c r="C133" i="21"/>
  <c r="D133" i="21"/>
  <c r="E133" i="21"/>
  <c r="F133" i="21"/>
  <c r="B134" i="21"/>
  <c r="C134" i="21"/>
  <c r="D134" i="21"/>
  <c r="E134" i="21"/>
  <c r="F134" i="21"/>
  <c r="B135" i="21"/>
  <c r="C135" i="21"/>
  <c r="D135" i="21"/>
  <c r="E135" i="21"/>
  <c r="F135" i="21"/>
  <c r="B136" i="21"/>
  <c r="C136" i="21"/>
  <c r="D136" i="21"/>
  <c r="E136" i="21"/>
  <c r="F136" i="21"/>
  <c r="B137" i="21"/>
  <c r="C137" i="21"/>
  <c r="D137" i="21"/>
  <c r="E137" i="21"/>
  <c r="F137" i="21"/>
  <c r="B138" i="21"/>
  <c r="C138" i="21"/>
  <c r="D138" i="21"/>
  <c r="E138" i="21"/>
  <c r="F138" i="21"/>
  <c r="B139" i="21"/>
  <c r="C139" i="21"/>
  <c r="D139" i="21"/>
  <c r="E139" i="21"/>
  <c r="F139" i="21"/>
  <c r="B140" i="21"/>
  <c r="C140" i="21"/>
  <c r="D140" i="21"/>
  <c r="E140" i="21"/>
  <c r="F140" i="21"/>
  <c r="B141" i="21"/>
  <c r="C141" i="21"/>
  <c r="D141" i="21"/>
  <c r="E141" i="21"/>
  <c r="F141" i="21"/>
  <c r="B142" i="21"/>
  <c r="C142" i="21"/>
  <c r="D142" i="21"/>
  <c r="E142" i="21"/>
  <c r="F142" i="21"/>
  <c r="B143" i="21"/>
  <c r="C143" i="21"/>
  <c r="D143" i="21"/>
  <c r="E143" i="21"/>
  <c r="F143" i="21"/>
  <c r="B144" i="21"/>
  <c r="C144" i="21"/>
  <c r="D144" i="21"/>
  <c r="E144" i="21"/>
  <c r="F144" i="21"/>
  <c r="B145" i="21"/>
  <c r="C145" i="21"/>
  <c r="D145" i="21"/>
  <c r="E145" i="21"/>
  <c r="F145" i="21"/>
  <c r="B146" i="21"/>
  <c r="C146" i="21"/>
  <c r="D146" i="21"/>
  <c r="E146" i="21"/>
  <c r="F146" i="21"/>
  <c r="B147" i="21"/>
  <c r="C147" i="21"/>
  <c r="D147" i="21"/>
  <c r="E147" i="21"/>
  <c r="F147" i="21"/>
  <c r="C148" i="21"/>
  <c r="D148" i="21"/>
  <c r="E148" i="21"/>
  <c r="F148" i="21"/>
  <c r="C149" i="21"/>
  <c r="D149" i="21"/>
  <c r="E149" i="21"/>
  <c r="F149" i="21"/>
  <c r="C150" i="21"/>
  <c r="D150" i="21"/>
  <c r="E150" i="21"/>
  <c r="F150" i="21"/>
  <c r="C151" i="21"/>
  <c r="D151" i="21"/>
  <c r="E151" i="21"/>
  <c r="F151" i="21"/>
  <c r="C152" i="21"/>
  <c r="D152" i="21"/>
  <c r="E152" i="21"/>
  <c r="F152" i="21"/>
  <c r="C153" i="21"/>
  <c r="D153" i="21"/>
  <c r="E153" i="21"/>
  <c r="F153" i="21"/>
  <c r="C154" i="21"/>
  <c r="D154" i="21"/>
  <c r="E154" i="21"/>
  <c r="F154" i="21"/>
  <c r="C155" i="21"/>
  <c r="D155" i="21"/>
  <c r="E155" i="21"/>
  <c r="F155" i="21"/>
  <c r="C156" i="21"/>
  <c r="D156" i="21"/>
  <c r="E156" i="21"/>
  <c r="F156" i="21"/>
  <c r="C157" i="21"/>
  <c r="D157" i="21"/>
  <c r="E157" i="21"/>
  <c r="F157" i="21"/>
  <c r="C158" i="21"/>
  <c r="D158" i="21"/>
  <c r="E158" i="21"/>
  <c r="F158" i="21"/>
  <c r="C159" i="21"/>
  <c r="D159" i="21"/>
  <c r="E159" i="21"/>
  <c r="F159" i="21"/>
  <c r="C160" i="21"/>
  <c r="D160" i="21"/>
  <c r="E160" i="21"/>
  <c r="F160" i="21"/>
  <c r="C161" i="21"/>
  <c r="D161" i="21"/>
  <c r="E161" i="21"/>
  <c r="F161" i="21"/>
  <c r="C162" i="21"/>
  <c r="D162" i="21"/>
  <c r="E162" i="21"/>
  <c r="F162" i="21"/>
  <c r="C163" i="21"/>
  <c r="D163" i="21"/>
  <c r="E163" i="21"/>
  <c r="F163" i="21"/>
  <c r="C164" i="21"/>
  <c r="D164" i="21"/>
  <c r="E164" i="21"/>
  <c r="F164" i="21"/>
  <c r="C165" i="21"/>
  <c r="D165" i="21"/>
  <c r="E165" i="21"/>
  <c r="F165" i="21"/>
  <c r="C166" i="21"/>
  <c r="D166" i="21"/>
  <c r="E166" i="21"/>
  <c r="F166" i="21"/>
  <c r="C167" i="21"/>
  <c r="D167" i="21"/>
  <c r="E167" i="21"/>
  <c r="F167" i="21"/>
  <c r="C168" i="21"/>
  <c r="D168" i="21"/>
  <c r="E168" i="21"/>
  <c r="F168" i="21"/>
  <c r="C169" i="21"/>
  <c r="D169" i="21"/>
  <c r="E169" i="21"/>
  <c r="F169" i="21"/>
  <c r="C170" i="21"/>
  <c r="D170" i="21"/>
  <c r="E170" i="21"/>
  <c r="F170" i="21"/>
  <c r="C171" i="21"/>
  <c r="D171" i="21"/>
  <c r="E171" i="21"/>
  <c r="F171" i="21"/>
  <c r="C172" i="21"/>
  <c r="D172" i="21"/>
  <c r="E172" i="21"/>
  <c r="F172" i="21"/>
  <c r="C173" i="21"/>
  <c r="D173" i="21"/>
  <c r="E173" i="21"/>
  <c r="F173" i="21"/>
  <c r="C174" i="21"/>
  <c r="D174" i="21"/>
  <c r="E174" i="21"/>
  <c r="F174" i="21"/>
  <c r="C175" i="21"/>
  <c r="D175" i="21"/>
  <c r="E175" i="21"/>
  <c r="F175" i="21"/>
  <c r="C176" i="21"/>
  <c r="D176" i="21"/>
  <c r="E176" i="21"/>
  <c r="F176" i="21"/>
  <c r="C177" i="21"/>
  <c r="D177" i="21"/>
  <c r="E177" i="21"/>
  <c r="F177" i="21"/>
  <c r="C178" i="21"/>
  <c r="D178" i="21"/>
  <c r="E178" i="21"/>
  <c r="F178" i="21"/>
  <c r="C179" i="21"/>
  <c r="D179" i="21"/>
  <c r="E179" i="21"/>
  <c r="F179" i="21"/>
  <c r="C180" i="21"/>
  <c r="D180" i="21"/>
  <c r="E180" i="21"/>
  <c r="F180" i="21"/>
  <c r="C181" i="21"/>
  <c r="D181" i="21"/>
  <c r="E181" i="21"/>
  <c r="F181" i="21"/>
  <c r="C182" i="21"/>
  <c r="D182" i="21"/>
  <c r="E182" i="21"/>
  <c r="F182" i="21"/>
  <c r="C183" i="21"/>
  <c r="D183" i="21"/>
  <c r="E183" i="21"/>
  <c r="F183" i="21"/>
  <c r="C184" i="21"/>
  <c r="D184" i="21"/>
  <c r="E184" i="21"/>
  <c r="F184" i="21"/>
  <c r="C185" i="21"/>
  <c r="D185" i="21"/>
  <c r="E185" i="21"/>
  <c r="F185" i="21"/>
  <c r="C186" i="21"/>
  <c r="D186" i="21"/>
  <c r="E186" i="21"/>
  <c r="F186" i="21"/>
  <c r="C187" i="21"/>
  <c r="D187" i="21"/>
  <c r="E187" i="21"/>
  <c r="F187" i="21"/>
  <c r="C188" i="21"/>
  <c r="D188" i="21"/>
  <c r="E188" i="21"/>
  <c r="F188" i="21"/>
  <c r="C189" i="21"/>
  <c r="D189" i="21"/>
  <c r="E189" i="21"/>
  <c r="F189" i="21"/>
  <c r="C190" i="21"/>
  <c r="D190" i="21"/>
  <c r="E190" i="21"/>
  <c r="F190" i="21"/>
  <c r="C191" i="21"/>
  <c r="D191" i="21"/>
  <c r="E191" i="21"/>
  <c r="F191" i="21"/>
  <c r="C192" i="21"/>
  <c r="D192" i="21"/>
  <c r="E192" i="21"/>
  <c r="F192" i="21"/>
  <c r="C193" i="21"/>
  <c r="D193" i="21"/>
  <c r="E193" i="21"/>
  <c r="F193" i="21"/>
  <c r="C194" i="21"/>
  <c r="D194" i="21"/>
  <c r="E194" i="21"/>
  <c r="F194" i="21"/>
  <c r="C195" i="21"/>
  <c r="D195" i="21"/>
  <c r="E195" i="21"/>
  <c r="F195" i="21"/>
  <c r="C196" i="21"/>
  <c r="D196" i="21"/>
  <c r="E196" i="21"/>
  <c r="F196" i="21"/>
  <c r="C197" i="21"/>
  <c r="D197" i="21"/>
  <c r="E197" i="21"/>
  <c r="F197" i="21"/>
  <c r="C198" i="21"/>
  <c r="D198" i="21"/>
  <c r="E198" i="21"/>
  <c r="F198" i="21"/>
  <c r="C199" i="21"/>
  <c r="D199" i="21"/>
  <c r="E199" i="21"/>
  <c r="F199" i="21"/>
  <c r="C200" i="21"/>
  <c r="D200" i="21"/>
  <c r="E200" i="21"/>
  <c r="F200" i="21"/>
  <c r="C201" i="21"/>
  <c r="D201" i="21"/>
  <c r="E201" i="21"/>
  <c r="F201" i="21"/>
  <c r="C202" i="21"/>
  <c r="D202" i="21"/>
  <c r="E202" i="21"/>
  <c r="F202" i="21"/>
  <c r="C203" i="21"/>
  <c r="D203" i="21"/>
  <c r="E203" i="21"/>
  <c r="F203" i="21"/>
  <c r="C204" i="21"/>
  <c r="D204" i="21"/>
  <c r="E204" i="21"/>
  <c r="F204" i="21"/>
  <c r="C205" i="21"/>
  <c r="D205" i="21"/>
  <c r="E205" i="21"/>
  <c r="F205" i="21"/>
  <c r="C206" i="21"/>
  <c r="D206" i="21"/>
  <c r="E206" i="21"/>
  <c r="F206" i="21"/>
  <c r="C207" i="21"/>
  <c r="D207" i="21"/>
  <c r="E207" i="21"/>
  <c r="F207" i="21"/>
  <c r="C208" i="21"/>
  <c r="D208" i="21"/>
  <c r="E208" i="21"/>
  <c r="F208" i="21"/>
  <c r="C209" i="21"/>
  <c r="D209" i="21"/>
  <c r="E209" i="21"/>
  <c r="F209" i="21"/>
  <c r="C210" i="21"/>
  <c r="D210" i="21"/>
  <c r="E210" i="21"/>
  <c r="F210" i="21"/>
  <c r="C211" i="21"/>
  <c r="D211" i="21"/>
  <c r="E211" i="21"/>
  <c r="F211" i="21"/>
  <c r="C212" i="21"/>
  <c r="D212" i="21"/>
  <c r="E212" i="21"/>
  <c r="F212" i="21"/>
  <c r="C213" i="21"/>
  <c r="D213" i="21"/>
  <c r="E213" i="21"/>
  <c r="F213" i="21"/>
  <c r="C214" i="21"/>
  <c r="D214" i="21"/>
  <c r="E214" i="21"/>
  <c r="F214" i="21"/>
  <c r="C215" i="21"/>
  <c r="D215" i="21"/>
  <c r="E215" i="21"/>
  <c r="F215" i="21"/>
  <c r="C216" i="21"/>
  <c r="D216" i="21"/>
  <c r="E216" i="21"/>
  <c r="F216" i="21"/>
  <c r="C217" i="21"/>
  <c r="D217" i="21"/>
  <c r="E217" i="21"/>
  <c r="F217" i="21"/>
  <c r="C218" i="21"/>
  <c r="D218" i="21"/>
  <c r="E218" i="21"/>
  <c r="F218" i="21"/>
  <c r="C219" i="21"/>
  <c r="D219" i="21"/>
  <c r="E219" i="21"/>
  <c r="F219" i="21"/>
  <c r="C220" i="21"/>
  <c r="D220" i="21"/>
  <c r="E220" i="21"/>
  <c r="F220" i="21"/>
  <c r="C221" i="21"/>
  <c r="D221" i="21"/>
  <c r="E221" i="21"/>
  <c r="F221" i="21"/>
  <c r="C222" i="21"/>
  <c r="D222" i="21"/>
  <c r="E222" i="21"/>
  <c r="F222" i="21"/>
  <c r="C223" i="21"/>
  <c r="D223" i="21"/>
  <c r="E223" i="21"/>
  <c r="F223" i="21"/>
  <c r="C224" i="21"/>
  <c r="D224" i="21"/>
  <c r="E224" i="21"/>
  <c r="F224" i="21"/>
  <c r="C225" i="21"/>
  <c r="D225" i="21"/>
  <c r="E225" i="21"/>
  <c r="F225" i="21"/>
  <c r="C226" i="21"/>
  <c r="D226" i="21"/>
  <c r="E226" i="21"/>
  <c r="F226" i="21"/>
  <c r="C227" i="21"/>
  <c r="D227" i="21"/>
  <c r="E227" i="21"/>
  <c r="F227" i="21"/>
  <c r="C228" i="21"/>
  <c r="D228" i="21"/>
  <c r="E228" i="21"/>
  <c r="F228" i="21"/>
  <c r="C229" i="21"/>
  <c r="D229" i="21"/>
  <c r="E229" i="21"/>
  <c r="F229" i="21"/>
  <c r="C230" i="21"/>
  <c r="D230" i="21"/>
  <c r="E230" i="21"/>
  <c r="F230" i="21"/>
  <c r="C231" i="21"/>
  <c r="D231" i="21"/>
  <c r="E231" i="21"/>
  <c r="F231" i="21"/>
  <c r="C232" i="21"/>
  <c r="D232" i="21"/>
  <c r="E232" i="21"/>
  <c r="F232" i="21"/>
  <c r="C233" i="21"/>
  <c r="D233" i="21"/>
  <c r="E233" i="21"/>
  <c r="F233" i="21"/>
  <c r="C234" i="21"/>
  <c r="D234" i="21"/>
  <c r="E234" i="21"/>
  <c r="F234" i="21"/>
  <c r="C235" i="21"/>
  <c r="D235" i="21"/>
  <c r="E235" i="21"/>
  <c r="F235" i="21"/>
  <c r="C236" i="21"/>
  <c r="D236" i="21"/>
  <c r="E236" i="21"/>
  <c r="F236" i="21"/>
  <c r="C237" i="21"/>
  <c r="D237" i="21"/>
  <c r="E237" i="21"/>
  <c r="F237" i="21"/>
  <c r="C238" i="21"/>
  <c r="D238" i="21"/>
  <c r="E238" i="21"/>
  <c r="F238" i="21"/>
  <c r="C239" i="21"/>
  <c r="D239" i="21"/>
  <c r="E239" i="21"/>
  <c r="F239" i="21"/>
  <c r="C240" i="21"/>
  <c r="D240" i="21"/>
  <c r="E240" i="21"/>
  <c r="F240" i="21"/>
  <c r="C241" i="21"/>
  <c r="D241" i="21"/>
  <c r="E241" i="21"/>
  <c r="F241" i="21"/>
  <c r="C242" i="21"/>
  <c r="D242" i="21"/>
  <c r="E242" i="21"/>
  <c r="F242" i="21"/>
  <c r="C243" i="21"/>
  <c r="D243" i="21"/>
  <c r="E243" i="21"/>
  <c r="F243" i="21"/>
  <c r="C244" i="21"/>
  <c r="D244" i="21"/>
  <c r="E244" i="21"/>
  <c r="F244" i="21"/>
  <c r="C245" i="21"/>
  <c r="D245" i="21"/>
  <c r="E245" i="21"/>
  <c r="F245" i="21"/>
  <c r="C246" i="21"/>
  <c r="D246" i="21"/>
  <c r="E246" i="21"/>
  <c r="F246" i="21"/>
  <c r="C247" i="21"/>
  <c r="D247" i="21"/>
  <c r="E247" i="21"/>
  <c r="F247" i="21"/>
  <c r="C248" i="21"/>
  <c r="D248" i="21"/>
  <c r="E248" i="21"/>
  <c r="F248" i="21"/>
  <c r="C249" i="21"/>
  <c r="D249" i="21"/>
  <c r="E249" i="21"/>
  <c r="F249" i="21"/>
  <c r="C250" i="21"/>
  <c r="D250" i="21"/>
  <c r="E250" i="21"/>
  <c r="F250" i="21"/>
  <c r="C251" i="21"/>
  <c r="D251" i="21"/>
  <c r="E251" i="21"/>
  <c r="F251" i="21"/>
  <c r="C252" i="21"/>
  <c r="D252" i="21"/>
  <c r="E252" i="21"/>
  <c r="F252" i="21"/>
  <c r="C253" i="21"/>
  <c r="D253" i="21"/>
  <c r="E253" i="21"/>
  <c r="F253" i="21"/>
  <c r="C254" i="21"/>
  <c r="D254" i="21"/>
  <c r="E254" i="21"/>
  <c r="F254" i="21"/>
  <c r="C255" i="21"/>
  <c r="D255" i="21"/>
  <c r="E255" i="21"/>
  <c r="F255" i="21"/>
  <c r="C256" i="21"/>
  <c r="D256" i="21"/>
  <c r="E256" i="21"/>
  <c r="F256" i="21"/>
  <c r="C257" i="21"/>
  <c r="D257" i="21"/>
  <c r="E257" i="21"/>
  <c r="F257" i="21"/>
  <c r="C258" i="21"/>
  <c r="D258" i="21"/>
  <c r="E258" i="21"/>
  <c r="F258" i="21"/>
  <c r="C259" i="21"/>
  <c r="D259" i="21"/>
  <c r="E259" i="21"/>
  <c r="F259" i="21"/>
  <c r="C260" i="21"/>
  <c r="D260" i="21"/>
  <c r="E260" i="21"/>
  <c r="F260" i="21"/>
  <c r="C261" i="21"/>
  <c r="D261" i="21"/>
  <c r="E261" i="21"/>
  <c r="F261" i="21"/>
  <c r="C262" i="21"/>
  <c r="D262" i="21"/>
  <c r="E262" i="21"/>
  <c r="F262" i="21"/>
  <c r="C263" i="21"/>
  <c r="D263" i="21"/>
  <c r="E263" i="21"/>
  <c r="F263" i="21"/>
  <c r="C264" i="21"/>
  <c r="D264" i="21"/>
  <c r="E264" i="21"/>
  <c r="F264" i="21"/>
  <c r="C265" i="21"/>
  <c r="D265" i="21"/>
  <c r="E265" i="21"/>
  <c r="F265" i="21"/>
  <c r="C266" i="21"/>
  <c r="D266" i="21"/>
  <c r="E266" i="21"/>
  <c r="F266" i="21"/>
  <c r="C267" i="21"/>
  <c r="D267" i="21"/>
  <c r="E267" i="21"/>
  <c r="F267" i="21"/>
  <c r="C268" i="21"/>
  <c r="D268" i="21"/>
  <c r="E268" i="21"/>
  <c r="F268" i="21"/>
  <c r="C269" i="21"/>
  <c r="D269" i="21"/>
  <c r="E269" i="21"/>
  <c r="F269" i="21"/>
  <c r="C270" i="21"/>
  <c r="D270" i="21"/>
  <c r="E270" i="21"/>
  <c r="F270" i="21"/>
  <c r="C271" i="21"/>
  <c r="D271" i="21"/>
  <c r="E271" i="21"/>
  <c r="F271" i="21"/>
  <c r="C272" i="21"/>
  <c r="D272" i="21"/>
  <c r="E272" i="21"/>
  <c r="F272" i="21"/>
  <c r="C273" i="21"/>
  <c r="D273" i="21"/>
  <c r="E273" i="21"/>
  <c r="F273" i="21"/>
  <c r="C274" i="21"/>
  <c r="D274" i="21"/>
  <c r="E274" i="21"/>
  <c r="F274" i="21"/>
  <c r="C275" i="21"/>
  <c r="D275" i="21"/>
  <c r="E275" i="21"/>
  <c r="F275" i="21"/>
  <c r="C276" i="21"/>
  <c r="D276" i="21"/>
  <c r="E276" i="21"/>
  <c r="F276" i="21"/>
  <c r="C277" i="21"/>
  <c r="D277" i="21"/>
  <c r="E277" i="21"/>
  <c r="F277" i="21"/>
  <c r="C278" i="21"/>
  <c r="D278" i="21"/>
  <c r="E278" i="21"/>
  <c r="F278" i="21"/>
  <c r="C279" i="21"/>
  <c r="D279" i="21"/>
  <c r="E279" i="21"/>
  <c r="F279" i="21"/>
  <c r="C280" i="21"/>
  <c r="D280" i="21"/>
  <c r="E280" i="21"/>
  <c r="F280" i="21"/>
  <c r="C281" i="21"/>
  <c r="D281" i="21"/>
  <c r="E281" i="21"/>
  <c r="F281" i="21"/>
  <c r="C282" i="21"/>
  <c r="D282" i="21"/>
  <c r="E282" i="21"/>
  <c r="F282" i="21"/>
  <c r="C283" i="21"/>
  <c r="D283" i="21"/>
  <c r="E283" i="21"/>
  <c r="F283" i="21"/>
  <c r="C284" i="21"/>
  <c r="D284" i="21"/>
  <c r="E284" i="21"/>
  <c r="F284" i="21"/>
  <c r="C285" i="21"/>
  <c r="D285" i="21"/>
  <c r="E285" i="21"/>
  <c r="F285" i="21"/>
  <c r="C286" i="21"/>
  <c r="D286" i="21"/>
  <c r="E286" i="21"/>
  <c r="F286" i="21"/>
  <c r="C287" i="21"/>
  <c r="D287" i="21"/>
  <c r="E287" i="21"/>
  <c r="F287" i="21"/>
  <c r="C288" i="21"/>
  <c r="D288" i="21"/>
  <c r="E288" i="21"/>
  <c r="F288" i="21"/>
  <c r="C289" i="21"/>
  <c r="D289" i="21"/>
  <c r="E289" i="21"/>
  <c r="F289" i="21"/>
  <c r="C290" i="21"/>
  <c r="D290" i="21"/>
  <c r="E290" i="21"/>
  <c r="F290" i="21"/>
  <c r="C291" i="21"/>
  <c r="D291" i="21"/>
  <c r="E291" i="21"/>
  <c r="F291" i="21"/>
  <c r="C292" i="21"/>
  <c r="D292" i="21"/>
  <c r="E292" i="21"/>
  <c r="F292" i="21"/>
  <c r="C293" i="21"/>
  <c r="D293" i="21"/>
  <c r="E293" i="21"/>
  <c r="F293" i="21"/>
  <c r="C294" i="21"/>
  <c r="D294" i="21"/>
  <c r="E294" i="21"/>
  <c r="F294" i="21"/>
  <c r="C295" i="21"/>
  <c r="D295" i="21"/>
  <c r="E295" i="21"/>
  <c r="F295" i="21"/>
  <c r="C296" i="21"/>
  <c r="D296" i="21"/>
  <c r="E296" i="21"/>
  <c r="F296" i="21"/>
  <c r="C297" i="21"/>
  <c r="D297" i="21"/>
  <c r="E297" i="21"/>
  <c r="F297" i="21"/>
  <c r="C298" i="21"/>
  <c r="D298" i="21"/>
  <c r="E298" i="21"/>
  <c r="F298" i="21"/>
  <c r="C299" i="21"/>
  <c r="D299" i="21"/>
  <c r="E299" i="21"/>
  <c r="F299" i="21"/>
  <c r="C300" i="21"/>
  <c r="D300" i="21"/>
  <c r="E300" i="21"/>
  <c r="F300" i="21"/>
  <c r="C301" i="21"/>
  <c r="D301" i="21"/>
  <c r="E301" i="21"/>
  <c r="F301" i="21"/>
  <c r="C302" i="21"/>
  <c r="D302" i="21"/>
  <c r="E302" i="21"/>
  <c r="F302" i="21"/>
  <c r="C303" i="21"/>
  <c r="D303" i="21"/>
  <c r="E303" i="21"/>
  <c r="F303" i="21"/>
  <c r="C304" i="21"/>
  <c r="D304" i="21"/>
  <c r="E304" i="21"/>
  <c r="F304" i="21"/>
  <c r="C305" i="21"/>
  <c r="D305" i="21"/>
  <c r="E305" i="21"/>
  <c r="F305" i="21"/>
  <c r="C306" i="21"/>
  <c r="D306" i="21"/>
  <c r="E306" i="21"/>
  <c r="F306" i="21"/>
  <c r="C307" i="21"/>
  <c r="D307" i="21"/>
  <c r="E307" i="21"/>
  <c r="F307" i="21"/>
  <c r="C308" i="21"/>
  <c r="D308" i="21"/>
  <c r="E308" i="21"/>
  <c r="F308" i="21"/>
  <c r="C309" i="21"/>
  <c r="D309" i="21"/>
  <c r="E309" i="21"/>
  <c r="F309" i="21"/>
  <c r="C310" i="21"/>
  <c r="D310" i="21"/>
  <c r="E310" i="21"/>
  <c r="F310" i="21"/>
  <c r="C311" i="21"/>
  <c r="D311" i="21"/>
  <c r="E311" i="21"/>
  <c r="F311" i="21"/>
  <c r="C312" i="21"/>
  <c r="D312" i="21"/>
  <c r="E312" i="21"/>
  <c r="F312" i="21"/>
  <c r="C313" i="21"/>
  <c r="D313" i="21"/>
  <c r="E313" i="21"/>
  <c r="F313" i="21"/>
  <c r="C314" i="21"/>
  <c r="D314" i="21"/>
  <c r="E314" i="21"/>
  <c r="F314" i="21"/>
  <c r="C315" i="21"/>
  <c r="D315" i="21"/>
  <c r="E315" i="21"/>
  <c r="F315" i="21"/>
  <c r="C316" i="21"/>
  <c r="D316" i="21"/>
  <c r="E316" i="21"/>
  <c r="F316" i="21"/>
  <c r="C317" i="21"/>
  <c r="D317" i="21"/>
  <c r="E317" i="21"/>
  <c r="F317" i="21"/>
  <c r="C318" i="21"/>
  <c r="D318" i="21"/>
  <c r="E318" i="21"/>
  <c r="F318" i="21"/>
  <c r="C319" i="21"/>
  <c r="D319" i="21"/>
  <c r="E319" i="21"/>
  <c r="F319" i="21"/>
  <c r="C320" i="21"/>
  <c r="D320" i="21"/>
  <c r="E320" i="21"/>
  <c r="F320" i="21"/>
  <c r="C321" i="21"/>
  <c r="D321" i="21"/>
  <c r="E321" i="21"/>
  <c r="F321" i="21"/>
  <c r="C322" i="21"/>
  <c r="D322" i="21"/>
  <c r="E322" i="21"/>
  <c r="F322" i="21"/>
  <c r="C323" i="21"/>
  <c r="D323" i="21"/>
  <c r="E323" i="21"/>
  <c r="F323" i="21"/>
  <c r="C324" i="21"/>
  <c r="D324" i="21"/>
  <c r="E324" i="21"/>
  <c r="F324" i="21"/>
  <c r="C325" i="21"/>
  <c r="D325" i="21"/>
  <c r="E325" i="21"/>
  <c r="F325" i="21"/>
  <c r="C326" i="21"/>
  <c r="D326" i="21"/>
  <c r="E326" i="21"/>
  <c r="F326" i="21"/>
  <c r="C327" i="21"/>
  <c r="D327" i="21"/>
  <c r="E327" i="21"/>
  <c r="F327" i="21"/>
  <c r="C328" i="21"/>
  <c r="D328" i="21"/>
  <c r="E328" i="21"/>
  <c r="F328" i="21"/>
  <c r="C329" i="21"/>
  <c r="D329" i="21"/>
  <c r="E329" i="21"/>
  <c r="F329" i="21"/>
  <c r="C330" i="21"/>
  <c r="D330" i="21"/>
  <c r="E330" i="21"/>
  <c r="F330" i="21"/>
  <c r="C331" i="21"/>
  <c r="D331" i="21"/>
  <c r="E331" i="21"/>
  <c r="F331" i="21"/>
  <c r="C332" i="21"/>
  <c r="D332" i="21"/>
  <c r="E332" i="21"/>
  <c r="F332" i="21"/>
  <c r="C333" i="21"/>
  <c r="D333" i="21"/>
  <c r="E333" i="21"/>
  <c r="F333" i="21"/>
  <c r="C334" i="21"/>
  <c r="D334" i="21"/>
  <c r="E334" i="21"/>
  <c r="F334" i="21"/>
  <c r="C335" i="21"/>
  <c r="D335" i="21"/>
  <c r="E335" i="21"/>
  <c r="F335" i="21"/>
  <c r="C336" i="21"/>
  <c r="D336" i="21"/>
  <c r="E336" i="21"/>
  <c r="F336" i="21"/>
  <c r="C337" i="21"/>
  <c r="D337" i="21"/>
  <c r="E337" i="21"/>
  <c r="F337" i="21"/>
  <c r="C338" i="21"/>
  <c r="D338" i="21"/>
  <c r="E338" i="21"/>
  <c r="F338" i="21"/>
  <c r="C339" i="21"/>
  <c r="D339" i="21"/>
  <c r="E339" i="21"/>
  <c r="F339" i="21"/>
  <c r="C340" i="21"/>
  <c r="D340" i="21"/>
  <c r="E340" i="21"/>
  <c r="F340" i="21"/>
  <c r="C341" i="21"/>
  <c r="D341" i="21"/>
  <c r="E341" i="21"/>
  <c r="F341" i="21"/>
  <c r="C342" i="21"/>
  <c r="D342" i="21"/>
  <c r="E342" i="21"/>
  <c r="F342" i="21"/>
  <c r="C343" i="21"/>
  <c r="D343" i="21"/>
  <c r="E343" i="21"/>
  <c r="F343" i="21"/>
  <c r="C344" i="21"/>
  <c r="D344" i="21"/>
  <c r="E344" i="21"/>
  <c r="F344" i="21"/>
  <c r="C345" i="21"/>
  <c r="D345" i="21"/>
  <c r="E345" i="21"/>
  <c r="F345" i="21"/>
  <c r="C346" i="21"/>
  <c r="D346" i="21"/>
  <c r="E346" i="21"/>
  <c r="F346" i="21"/>
  <c r="C347" i="21"/>
  <c r="D347" i="21"/>
  <c r="E347" i="21"/>
  <c r="F347" i="21"/>
  <c r="C348" i="21"/>
  <c r="D348" i="21"/>
  <c r="E348" i="21"/>
  <c r="F348" i="21"/>
  <c r="C349" i="21"/>
  <c r="D349" i="21"/>
  <c r="E349" i="21"/>
  <c r="F349" i="21"/>
  <c r="C350" i="21"/>
  <c r="D350" i="21"/>
  <c r="E350" i="21"/>
  <c r="F350" i="21"/>
  <c r="C351" i="21"/>
  <c r="D351" i="21"/>
  <c r="E351" i="21"/>
  <c r="F351" i="21"/>
  <c r="C352" i="21"/>
  <c r="D352" i="21"/>
  <c r="E352" i="21"/>
  <c r="F352" i="21"/>
  <c r="C353" i="21"/>
  <c r="D353" i="21"/>
  <c r="E353" i="21"/>
  <c r="F353" i="21"/>
  <c r="C354" i="21"/>
  <c r="D354" i="21"/>
  <c r="E354" i="21"/>
  <c r="F354" i="21"/>
  <c r="C355" i="21"/>
  <c r="D355" i="21"/>
  <c r="E355" i="21"/>
  <c r="F355" i="21"/>
  <c r="C356" i="21"/>
  <c r="D356" i="21"/>
  <c r="E356" i="21"/>
  <c r="F356" i="21"/>
  <c r="C357" i="21"/>
  <c r="D357" i="21"/>
  <c r="E357" i="21"/>
  <c r="F357" i="21"/>
  <c r="C358" i="21"/>
  <c r="D358" i="21"/>
  <c r="E358" i="21"/>
  <c r="F358" i="21"/>
  <c r="C359" i="21"/>
  <c r="D359" i="21"/>
  <c r="E359" i="21"/>
  <c r="F359" i="21"/>
  <c r="C360" i="21"/>
  <c r="D360" i="21"/>
  <c r="E360" i="21"/>
  <c r="F360" i="21"/>
  <c r="C361" i="21"/>
  <c r="D361" i="21"/>
  <c r="E361" i="21"/>
  <c r="F361" i="21"/>
  <c r="C362" i="21"/>
  <c r="D362" i="21"/>
  <c r="E362" i="21"/>
  <c r="F362" i="21"/>
  <c r="C363" i="21"/>
  <c r="D363" i="21"/>
  <c r="E363" i="21"/>
  <c r="F363" i="21"/>
  <c r="C364" i="21"/>
  <c r="D364" i="21"/>
  <c r="E364" i="21"/>
  <c r="F364" i="21"/>
  <c r="C365" i="21"/>
  <c r="D365" i="21"/>
  <c r="E365" i="21"/>
  <c r="F365" i="21"/>
  <c r="C366" i="21"/>
  <c r="D366" i="21"/>
  <c r="E366" i="21"/>
  <c r="F366" i="21"/>
  <c r="C367" i="21"/>
  <c r="D367" i="21"/>
  <c r="E367" i="21"/>
  <c r="F367" i="21"/>
  <c r="C368" i="21"/>
  <c r="D368" i="21"/>
  <c r="E368" i="21"/>
  <c r="F368" i="21"/>
  <c r="C369" i="21"/>
  <c r="D369" i="21"/>
  <c r="E369" i="21"/>
  <c r="F369" i="21"/>
  <c r="C370" i="21"/>
  <c r="D370" i="21"/>
  <c r="E370" i="21"/>
  <c r="F370" i="21"/>
  <c r="C371" i="21"/>
  <c r="D371" i="21"/>
  <c r="E371" i="21"/>
  <c r="F371" i="21"/>
  <c r="C372" i="21"/>
  <c r="D372" i="21"/>
  <c r="E372" i="21"/>
  <c r="F372" i="21"/>
  <c r="C373" i="21"/>
  <c r="D373" i="21"/>
  <c r="E373" i="21"/>
  <c r="F373" i="21"/>
  <c r="C374" i="21"/>
  <c r="D374" i="21"/>
  <c r="E374" i="21"/>
  <c r="F374" i="21"/>
  <c r="C375" i="21"/>
  <c r="D375" i="21"/>
  <c r="E375" i="21"/>
  <c r="F375" i="21"/>
  <c r="C376" i="21"/>
  <c r="D376" i="21"/>
  <c r="E376" i="21"/>
  <c r="F376" i="21"/>
  <c r="C377" i="21"/>
  <c r="D377" i="21"/>
  <c r="E377" i="21"/>
  <c r="F377" i="21"/>
  <c r="C378" i="21"/>
  <c r="D378" i="21"/>
  <c r="E378" i="21"/>
  <c r="F378" i="21"/>
  <c r="C379" i="21"/>
  <c r="D379" i="21"/>
  <c r="E379" i="21"/>
  <c r="F379" i="21"/>
  <c r="C380" i="21"/>
  <c r="D380" i="21"/>
  <c r="E380" i="21"/>
  <c r="F380" i="21"/>
  <c r="C381" i="21"/>
  <c r="D381" i="21"/>
  <c r="E381" i="21"/>
  <c r="F381" i="21"/>
  <c r="C382" i="21"/>
  <c r="D382" i="21"/>
  <c r="E382" i="21"/>
  <c r="F382" i="21"/>
  <c r="C383" i="21"/>
  <c r="D383" i="21"/>
  <c r="E383" i="21"/>
  <c r="F383" i="21"/>
  <c r="C384" i="21"/>
  <c r="D384" i="21"/>
  <c r="E384" i="21"/>
  <c r="F384" i="21"/>
  <c r="C385" i="21"/>
  <c r="D385" i="21"/>
  <c r="E385" i="21"/>
  <c r="F385" i="21"/>
  <c r="C386" i="21"/>
  <c r="D386" i="21"/>
  <c r="E386" i="21"/>
  <c r="F386" i="21"/>
  <c r="C387" i="21"/>
  <c r="D387" i="21"/>
  <c r="E387" i="21"/>
  <c r="F387" i="21"/>
  <c r="C388" i="21"/>
  <c r="D388" i="21"/>
  <c r="E388" i="21"/>
  <c r="F388" i="21"/>
  <c r="C389" i="21"/>
  <c r="D389" i="21"/>
  <c r="E389" i="21"/>
  <c r="F389" i="21"/>
  <c r="C390" i="21"/>
  <c r="D390" i="21"/>
  <c r="E390" i="21"/>
  <c r="F390" i="21"/>
  <c r="C391" i="21"/>
  <c r="D391" i="21"/>
  <c r="E391" i="21"/>
  <c r="F391" i="21"/>
  <c r="C392" i="21"/>
  <c r="D392" i="21"/>
  <c r="E392" i="21"/>
  <c r="F392" i="21"/>
  <c r="C393" i="21"/>
  <c r="D393" i="21"/>
  <c r="E393" i="21"/>
  <c r="F393" i="21"/>
  <c r="C394" i="21"/>
  <c r="D394" i="21"/>
  <c r="E394" i="21"/>
  <c r="F394" i="21"/>
  <c r="C395" i="21"/>
  <c r="D395" i="21"/>
  <c r="E395" i="21"/>
  <c r="F395" i="21"/>
  <c r="C396" i="21"/>
  <c r="D396" i="21"/>
  <c r="E396" i="21"/>
  <c r="F396" i="21"/>
  <c r="C397" i="21"/>
  <c r="D397" i="21"/>
  <c r="E397" i="21"/>
  <c r="F397" i="21"/>
  <c r="C398" i="21"/>
  <c r="D398" i="21"/>
  <c r="E398" i="21"/>
  <c r="F398" i="21"/>
  <c r="C399" i="21"/>
  <c r="D399" i="21"/>
  <c r="E399" i="21"/>
  <c r="F399" i="21"/>
  <c r="C400" i="21"/>
  <c r="D400" i="21"/>
  <c r="E400" i="21"/>
  <c r="F400" i="21"/>
  <c r="C401" i="21"/>
  <c r="D401" i="21"/>
  <c r="E401" i="21"/>
  <c r="F401" i="21"/>
  <c r="C402" i="21"/>
  <c r="D402" i="21"/>
  <c r="E402" i="21"/>
  <c r="F402" i="21"/>
  <c r="C403" i="21"/>
  <c r="D403" i="21"/>
  <c r="E403" i="21"/>
  <c r="F403" i="21"/>
  <c r="C404" i="21"/>
  <c r="D404" i="21"/>
  <c r="E404" i="21"/>
  <c r="F404" i="21"/>
  <c r="C405" i="21"/>
  <c r="D405" i="21"/>
  <c r="E405" i="21"/>
  <c r="F405" i="21"/>
  <c r="C406" i="21"/>
  <c r="D406" i="21"/>
  <c r="E406" i="21"/>
  <c r="F406" i="21"/>
  <c r="C407" i="21"/>
  <c r="D407" i="21"/>
  <c r="E407" i="21"/>
  <c r="F407" i="21"/>
  <c r="C408" i="21"/>
  <c r="D408" i="21"/>
  <c r="E408" i="21"/>
  <c r="F408" i="21"/>
  <c r="C409" i="21"/>
  <c r="D409" i="21"/>
  <c r="E409" i="21"/>
  <c r="F409" i="21"/>
  <c r="C410" i="21"/>
  <c r="D410" i="21"/>
  <c r="E410" i="21"/>
  <c r="F410" i="21"/>
  <c r="C411" i="21"/>
  <c r="D411" i="21"/>
  <c r="E411" i="21"/>
  <c r="F411" i="21"/>
  <c r="C412" i="21"/>
  <c r="D412" i="21"/>
  <c r="E412" i="21"/>
  <c r="F412" i="21"/>
  <c r="C413" i="21"/>
  <c r="D413" i="21"/>
  <c r="E413" i="21"/>
  <c r="F413" i="21"/>
  <c r="C414" i="21"/>
  <c r="D414" i="21"/>
  <c r="E414" i="21"/>
  <c r="F414" i="21"/>
  <c r="C415" i="21"/>
  <c r="D415" i="21"/>
  <c r="E415" i="21"/>
  <c r="F415" i="21"/>
  <c r="C416" i="21"/>
  <c r="D416" i="21"/>
  <c r="E416" i="21"/>
  <c r="F416" i="21"/>
  <c r="C417" i="21"/>
  <c r="D417" i="21"/>
  <c r="E417" i="21"/>
  <c r="F417" i="21"/>
  <c r="C418" i="21"/>
  <c r="D418" i="21"/>
  <c r="E418" i="21"/>
  <c r="F418" i="21"/>
  <c r="C419" i="21"/>
  <c r="D419" i="21"/>
  <c r="E419" i="21"/>
  <c r="F419" i="21"/>
  <c r="C420" i="21"/>
  <c r="D420" i="21"/>
  <c r="E420" i="21"/>
  <c r="F420" i="21"/>
  <c r="C421" i="21"/>
  <c r="D421" i="21"/>
  <c r="E421" i="21"/>
  <c r="F421" i="21"/>
  <c r="C422" i="21"/>
  <c r="D422" i="21"/>
  <c r="E422" i="21"/>
  <c r="F422" i="21"/>
  <c r="C423" i="21"/>
  <c r="D423" i="21"/>
  <c r="E423" i="21"/>
  <c r="F423" i="21"/>
  <c r="C424" i="21"/>
  <c r="D424" i="21"/>
  <c r="E424" i="21"/>
  <c r="F424" i="21"/>
  <c r="C425" i="21"/>
  <c r="D425" i="21"/>
  <c r="E425" i="21"/>
  <c r="F425" i="21"/>
  <c r="C426" i="21"/>
  <c r="D426" i="21"/>
  <c r="E426" i="21"/>
  <c r="F426" i="21"/>
  <c r="C427" i="21"/>
  <c r="D427" i="21"/>
  <c r="E427" i="21"/>
  <c r="F427" i="21"/>
  <c r="C428" i="21"/>
  <c r="D428" i="21"/>
  <c r="E428" i="21"/>
  <c r="F428" i="21"/>
  <c r="C429" i="21"/>
  <c r="D429" i="21"/>
  <c r="E429" i="21"/>
  <c r="F429" i="21"/>
  <c r="C430" i="21"/>
  <c r="D430" i="21"/>
  <c r="E430" i="21"/>
  <c r="F430" i="21"/>
  <c r="C431" i="21"/>
  <c r="D431" i="21"/>
  <c r="E431" i="21"/>
  <c r="F431" i="21"/>
  <c r="C432" i="21"/>
  <c r="D432" i="21"/>
  <c r="E432" i="21"/>
  <c r="F432" i="21"/>
  <c r="C433" i="21"/>
  <c r="D433" i="21"/>
  <c r="E433" i="21"/>
  <c r="F433" i="21"/>
  <c r="C434" i="21"/>
  <c r="D434" i="21"/>
  <c r="E434" i="21"/>
  <c r="F434" i="21"/>
  <c r="C435" i="21"/>
  <c r="D435" i="21"/>
  <c r="E435" i="21"/>
  <c r="F435" i="21"/>
  <c r="C436" i="21"/>
  <c r="D436" i="21"/>
  <c r="E436" i="21"/>
  <c r="F436" i="21"/>
  <c r="C437" i="21"/>
  <c r="D437" i="21"/>
  <c r="E437" i="21"/>
  <c r="F437" i="21"/>
  <c r="C438" i="21"/>
  <c r="D438" i="21"/>
  <c r="E438" i="21"/>
  <c r="F438" i="21"/>
  <c r="C439" i="21"/>
  <c r="D439" i="21"/>
  <c r="E439" i="21"/>
  <c r="F439" i="21"/>
  <c r="B440" i="21"/>
  <c r="C440" i="21"/>
  <c r="D440" i="21"/>
  <c r="E440" i="21"/>
  <c r="F440" i="21"/>
  <c r="B441" i="21"/>
  <c r="C441" i="21"/>
  <c r="D441" i="21"/>
  <c r="E441" i="21"/>
  <c r="F441" i="21"/>
  <c r="B442" i="21"/>
  <c r="C442" i="21"/>
  <c r="D442" i="21"/>
  <c r="E442" i="21"/>
  <c r="F442" i="21"/>
  <c r="C443" i="21"/>
  <c r="D443" i="21"/>
  <c r="E443" i="21"/>
  <c r="F443" i="21"/>
  <c r="C444" i="21"/>
  <c r="D444" i="21"/>
  <c r="E444" i="21"/>
  <c r="F444" i="21"/>
  <c r="C445" i="21"/>
  <c r="D445" i="21"/>
  <c r="E445" i="21"/>
  <c r="F445" i="21"/>
  <c r="C446" i="21"/>
  <c r="D446" i="21"/>
  <c r="E446" i="21"/>
  <c r="F446" i="21"/>
  <c r="C447" i="21"/>
  <c r="D447" i="21"/>
  <c r="E447" i="21"/>
  <c r="F447" i="21"/>
  <c r="C448" i="21"/>
  <c r="D448" i="21"/>
  <c r="E448" i="21"/>
  <c r="F448" i="21"/>
  <c r="C449" i="21"/>
  <c r="D449" i="21"/>
  <c r="E449" i="21"/>
  <c r="F449" i="21"/>
  <c r="C450" i="21"/>
  <c r="D450" i="21"/>
  <c r="E450" i="21"/>
  <c r="F450" i="21"/>
  <c r="C451" i="21"/>
  <c r="D451" i="21"/>
  <c r="E451" i="21"/>
  <c r="F451" i="21"/>
  <c r="C452" i="21"/>
  <c r="D452" i="21"/>
  <c r="E452" i="21"/>
  <c r="F452" i="21"/>
  <c r="A684" i="21"/>
  <c r="B684" i="21"/>
  <c r="C684" i="21"/>
  <c r="D684" i="21"/>
  <c r="E684" i="21"/>
  <c r="F684" i="21"/>
  <c r="A685" i="21"/>
  <c r="B685" i="21"/>
  <c r="C685" i="21"/>
  <c r="D685" i="21"/>
  <c r="E685" i="21"/>
  <c r="F685" i="21"/>
  <c r="A686" i="21"/>
  <c r="B686" i="21"/>
  <c r="C686" i="21"/>
  <c r="D686" i="21"/>
  <c r="E686" i="21"/>
  <c r="F686" i="21"/>
  <c r="A687" i="21"/>
  <c r="B687" i="21"/>
  <c r="C687" i="21"/>
  <c r="D687" i="21"/>
  <c r="E687" i="21"/>
  <c r="F687" i="21"/>
  <c r="A688" i="21"/>
  <c r="B688" i="21"/>
  <c r="C688" i="21"/>
  <c r="D688" i="21"/>
  <c r="E688" i="21"/>
  <c r="F688" i="21"/>
  <c r="A689" i="21"/>
  <c r="B689" i="21"/>
  <c r="C689" i="21"/>
  <c r="D689" i="21"/>
  <c r="E689" i="21"/>
  <c r="F689" i="21"/>
  <c r="A690" i="21"/>
  <c r="B690" i="21"/>
  <c r="C690" i="21"/>
  <c r="D690" i="21"/>
  <c r="E690" i="21"/>
  <c r="F690" i="21"/>
  <c r="A691" i="21"/>
  <c r="B691" i="21"/>
  <c r="C691" i="21"/>
  <c r="D691" i="21"/>
  <c r="E691" i="21"/>
  <c r="F691" i="21"/>
  <c r="A692" i="21"/>
  <c r="B692" i="21"/>
  <c r="C692" i="21"/>
  <c r="D692" i="21"/>
  <c r="E692" i="21"/>
  <c r="F692" i="21"/>
  <c r="A693" i="21"/>
  <c r="B693" i="21"/>
  <c r="C693" i="21"/>
  <c r="D693" i="21"/>
  <c r="E693" i="21"/>
  <c r="F693" i="21"/>
  <c r="A694" i="21"/>
  <c r="B694" i="21"/>
  <c r="C694" i="21"/>
  <c r="D694" i="21"/>
  <c r="E694" i="21"/>
  <c r="F694" i="21"/>
  <c r="A695" i="21"/>
  <c r="B695" i="21"/>
  <c r="C695" i="21"/>
  <c r="D695" i="21"/>
  <c r="E695" i="21"/>
  <c r="F695" i="21"/>
  <c r="A696" i="21"/>
  <c r="B696" i="21"/>
  <c r="C696" i="21"/>
  <c r="D696" i="21"/>
  <c r="E696" i="21"/>
  <c r="F696" i="21"/>
  <c r="A697" i="21"/>
  <c r="B697" i="21"/>
  <c r="C697" i="21"/>
  <c r="D697" i="21"/>
  <c r="E697" i="21"/>
  <c r="F697" i="21"/>
  <c r="A698" i="21"/>
  <c r="B698" i="21"/>
  <c r="C698" i="21"/>
  <c r="D698" i="21"/>
  <c r="E698" i="21"/>
  <c r="F698" i="21"/>
  <c r="A699" i="21"/>
  <c r="B699" i="21"/>
  <c r="C699" i="21"/>
  <c r="D699" i="21"/>
  <c r="E699" i="21"/>
  <c r="F699" i="21"/>
  <c r="A700" i="21"/>
  <c r="B700" i="21"/>
  <c r="C700" i="21"/>
  <c r="D700" i="21"/>
  <c r="E700" i="21"/>
  <c r="F700" i="21"/>
  <c r="A701" i="21"/>
  <c r="B701" i="21"/>
  <c r="C701" i="21"/>
  <c r="D701" i="21"/>
  <c r="E701" i="21"/>
  <c r="F701" i="21"/>
  <c r="A702" i="21"/>
  <c r="B702" i="21"/>
  <c r="C702" i="21"/>
  <c r="D702" i="21"/>
  <c r="E702" i="21"/>
  <c r="F702" i="21"/>
  <c r="A703" i="21"/>
  <c r="B703" i="21"/>
  <c r="C703" i="21"/>
  <c r="D703" i="21"/>
  <c r="E703" i="21"/>
  <c r="F703" i="21"/>
  <c r="A704" i="21"/>
  <c r="B704" i="21"/>
  <c r="C704" i="21"/>
  <c r="D704" i="21"/>
  <c r="E704" i="21"/>
  <c r="F704" i="21"/>
  <c r="A705" i="21"/>
  <c r="B705" i="21"/>
  <c r="C705" i="21"/>
  <c r="D705" i="21"/>
  <c r="E705" i="21"/>
  <c r="F705" i="21"/>
  <c r="A706" i="21"/>
  <c r="B706" i="21"/>
  <c r="C706" i="21"/>
  <c r="D706" i="21"/>
  <c r="E706" i="21"/>
  <c r="F706" i="21"/>
  <c r="A707" i="21"/>
  <c r="B707" i="21"/>
  <c r="C707" i="21"/>
  <c r="D707" i="21"/>
  <c r="E707" i="21"/>
  <c r="F707" i="21"/>
  <c r="A708" i="21"/>
  <c r="B708" i="21"/>
  <c r="C708" i="21"/>
  <c r="D708" i="21"/>
  <c r="E708" i="21"/>
  <c r="F708" i="21"/>
  <c r="A709" i="21"/>
  <c r="B709" i="21"/>
  <c r="C709" i="21"/>
  <c r="D709" i="21"/>
  <c r="E709" i="21"/>
  <c r="F709" i="21"/>
  <c r="A710" i="21"/>
  <c r="B710" i="21"/>
  <c r="C710" i="21"/>
  <c r="D710" i="21"/>
  <c r="E710" i="21"/>
  <c r="F710" i="21"/>
  <c r="A711" i="21"/>
  <c r="B711" i="21"/>
  <c r="C711" i="21"/>
  <c r="D711" i="21"/>
  <c r="E711" i="21"/>
  <c r="F711" i="21"/>
  <c r="A712" i="21"/>
  <c r="B712" i="21"/>
  <c r="C712" i="21"/>
  <c r="D712" i="21"/>
  <c r="E712" i="21"/>
  <c r="F712" i="21"/>
  <c r="A713" i="21"/>
  <c r="B713" i="21"/>
  <c r="C713" i="21"/>
  <c r="D713" i="21"/>
  <c r="E713" i="21"/>
  <c r="F713" i="21"/>
  <c r="A714" i="21"/>
  <c r="B714" i="21"/>
  <c r="C714" i="21"/>
  <c r="D714" i="21"/>
  <c r="E714" i="21"/>
  <c r="F714" i="21"/>
  <c r="A715" i="21"/>
  <c r="B715" i="21"/>
  <c r="C715" i="21"/>
  <c r="D715" i="21"/>
  <c r="E715" i="21"/>
  <c r="F715" i="21"/>
  <c r="A716" i="21"/>
  <c r="B716" i="21"/>
  <c r="C716" i="21"/>
  <c r="D716" i="21"/>
  <c r="E716" i="21"/>
  <c r="F716" i="21"/>
  <c r="A717" i="21"/>
  <c r="B717" i="21"/>
  <c r="C717" i="21"/>
  <c r="D717" i="21"/>
  <c r="E717" i="21"/>
  <c r="F717" i="21"/>
  <c r="A718" i="21"/>
  <c r="B718" i="21"/>
  <c r="C718" i="21"/>
  <c r="D718" i="21"/>
  <c r="E718" i="21"/>
  <c r="F718" i="21"/>
  <c r="A719" i="21"/>
  <c r="B719" i="21"/>
  <c r="C719" i="21"/>
  <c r="D719" i="21"/>
  <c r="E719" i="21"/>
  <c r="F719" i="21"/>
  <c r="A720" i="21"/>
  <c r="B720" i="21"/>
  <c r="C720" i="21"/>
  <c r="D720" i="21"/>
  <c r="E720" i="21"/>
  <c r="F720" i="21"/>
  <c r="A721" i="21"/>
  <c r="B721" i="21"/>
  <c r="C721" i="21"/>
  <c r="D721" i="21"/>
  <c r="E721" i="21"/>
  <c r="F721" i="21"/>
  <c r="A722" i="21"/>
  <c r="B722" i="21"/>
  <c r="C722" i="21"/>
  <c r="D722" i="21"/>
  <c r="E722" i="21"/>
  <c r="F722" i="21"/>
  <c r="A723" i="21"/>
  <c r="B723" i="21"/>
  <c r="C723" i="21"/>
  <c r="D723" i="21"/>
  <c r="E723" i="21"/>
  <c r="F723" i="21"/>
  <c r="A724" i="21"/>
  <c r="B724" i="21"/>
  <c r="C724" i="21"/>
  <c r="D724" i="21"/>
  <c r="E724" i="21"/>
  <c r="F724" i="21"/>
  <c r="A725" i="21"/>
  <c r="B725" i="21"/>
  <c r="C725" i="21"/>
  <c r="D725" i="21"/>
  <c r="E725" i="21"/>
  <c r="F725" i="21"/>
  <c r="A726" i="21"/>
  <c r="B726" i="21"/>
  <c r="C726" i="21"/>
  <c r="D726" i="21"/>
  <c r="E726" i="21"/>
  <c r="F726" i="21"/>
  <c r="A727" i="21"/>
  <c r="B727" i="21"/>
  <c r="C727" i="21"/>
  <c r="D727" i="21"/>
  <c r="E727" i="21"/>
  <c r="F727" i="21"/>
  <c r="A728" i="21"/>
  <c r="B728" i="21"/>
  <c r="C728" i="21"/>
  <c r="D728" i="21"/>
  <c r="E728" i="21"/>
  <c r="F728" i="21"/>
  <c r="A729" i="21"/>
  <c r="B729" i="21"/>
  <c r="C729" i="21"/>
  <c r="D729" i="21"/>
  <c r="E729" i="21"/>
  <c r="F729" i="21"/>
  <c r="A730" i="21"/>
  <c r="B730" i="21"/>
  <c r="C730" i="21"/>
  <c r="D730" i="21"/>
  <c r="E730" i="21"/>
  <c r="F730" i="21"/>
  <c r="A731" i="21"/>
  <c r="B731" i="21"/>
  <c r="C731" i="21"/>
  <c r="D731" i="21"/>
  <c r="E731" i="21"/>
  <c r="F731" i="21"/>
  <c r="A732" i="21"/>
  <c r="B732" i="21"/>
  <c r="C732" i="21"/>
  <c r="D732" i="21"/>
  <c r="E732" i="21"/>
  <c r="F732" i="21"/>
  <c r="A733" i="21"/>
  <c r="B733" i="21"/>
  <c r="C733" i="21"/>
  <c r="D733" i="21"/>
  <c r="E733" i="21"/>
  <c r="F733" i="21"/>
  <c r="A734" i="21"/>
  <c r="B734" i="21"/>
  <c r="C734" i="21"/>
  <c r="D734" i="21"/>
  <c r="E734" i="21"/>
  <c r="F734" i="21"/>
  <c r="A735" i="21"/>
  <c r="B735" i="21"/>
  <c r="C735" i="21"/>
  <c r="D735" i="21"/>
  <c r="E735" i="21"/>
  <c r="F735" i="21"/>
  <c r="A736" i="21"/>
  <c r="B736" i="21"/>
  <c r="C736" i="21"/>
  <c r="D736" i="21"/>
  <c r="E736" i="21"/>
  <c r="F736" i="21"/>
  <c r="A737" i="21"/>
  <c r="B737" i="21"/>
  <c r="C737" i="21"/>
  <c r="D737" i="21"/>
  <c r="E737" i="21"/>
  <c r="F737" i="21"/>
  <c r="A738" i="21"/>
  <c r="B738" i="21"/>
  <c r="C738" i="21"/>
  <c r="D738" i="21"/>
  <c r="E738" i="21"/>
  <c r="F738" i="21"/>
  <c r="A739" i="21"/>
  <c r="B739" i="21"/>
  <c r="C739" i="21"/>
  <c r="D739" i="21"/>
  <c r="E739" i="21"/>
  <c r="F739" i="21"/>
  <c r="A740" i="21"/>
  <c r="B740" i="21"/>
  <c r="C740" i="21"/>
  <c r="D740" i="21"/>
  <c r="E740" i="21"/>
  <c r="F740" i="21"/>
  <c r="A741" i="21"/>
  <c r="B741" i="21"/>
  <c r="C741" i="21"/>
  <c r="D741" i="21"/>
  <c r="E741" i="21"/>
  <c r="F741" i="21"/>
  <c r="A742" i="21"/>
  <c r="B742" i="21"/>
  <c r="C742" i="21"/>
  <c r="D742" i="21"/>
  <c r="E742" i="21"/>
  <c r="F742" i="21"/>
  <c r="A743" i="21"/>
  <c r="B743" i="21"/>
  <c r="C743" i="21"/>
  <c r="D743" i="21"/>
  <c r="E743" i="21"/>
  <c r="F743" i="21"/>
  <c r="A744" i="21"/>
  <c r="B744" i="21"/>
  <c r="C744" i="21"/>
  <c r="D744" i="21"/>
  <c r="E744" i="21"/>
  <c r="F744" i="21"/>
  <c r="A745" i="21"/>
  <c r="B745" i="21"/>
  <c r="C745" i="21"/>
  <c r="D745" i="21"/>
  <c r="E745" i="21"/>
  <c r="F745" i="21"/>
  <c r="A746" i="21"/>
  <c r="B746" i="21"/>
  <c r="C746" i="21"/>
  <c r="D746" i="21"/>
  <c r="E746" i="21"/>
  <c r="F746" i="21"/>
  <c r="A747" i="21"/>
  <c r="B747" i="21"/>
  <c r="C747" i="21"/>
  <c r="D747" i="21"/>
  <c r="E747" i="21"/>
  <c r="F747" i="21"/>
  <c r="A748" i="21"/>
  <c r="B748" i="21"/>
  <c r="C748" i="21"/>
  <c r="D748" i="21"/>
  <c r="E748" i="21"/>
  <c r="F748" i="21"/>
  <c r="A749" i="21"/>
  <c r="B749" i="21"/>
  <c r="C749" i="21"/>
  <c r="D749" i="21"/>
  <c r="E749" i="21"/>
  <c r="F749" i="21"/>
  <c r="A750" i="21"/>
  <c r="B750" i="21"/>
  <c r="C750" i="21"/>
  <c r="D750" i="21"/>
  <c r="E750" i="21"/>
  <c r="F750" i="21"/>
  <c r="A751" i="21"/>
  <c r="B751" i="21"/>
  <c r="C751" i="21"/>
  <c r="D751" i="21"/>
  <c r="E751" i="21"/>
  <c r="F751" i="21"/>
  <c r="A752" i="21"/>
  <c r="B752" i="21"/>
  <c r="C752" i="21"/>
  <c r="D752" i="21"/>
  <c r="E752" i="21"/>
  <c r="F752" i="21"/>
  <c r="A753" i="21"/>
  <c r="B753" i="21"/>
  <c r="C753" i="21"/>
  <c r="D753" i="21"/>
  <c r="E753" i="21"/>
  <c r="F753" i="21"/>
  <c r="A754" i="21"/>
  <c r="B754" i="21"/>
  <c r="C754" i="21"/>
  <c r="D754" i="21"/>
  <c r="E754" i="21"/>
  <c r="F754" i="21"/>
  <c r="A755" i="21"/>
  <c r="B755" i="21"/>
  <c r="C755" i="21"/>
  <c r="D755" i="21"/>
  <c r="E755" i="21"/>
  <c r="F755" i="21"/>
  <c r="A756" i="21"/>
  <c r="B756" i="21"/>
  <c r="C756" i="21"/>
  <c r="D756" i="21"/>
  <c r="E756" i="21"/>
  <c r="F756" i="21"/>
  <c r="A757" i="21"/>
  <c r="B757" i="21"/>
  <c r="C757" i="21"/>
  <c r="D757" i="21"/>
  <c r="E757" i="21"/>
  <c r="F757" i="21"/>
  <c r="A758" i="21"/>
  <c r="B758" i="21"/>
  <c r="C758" i="21"/>
  <c r="D758" i="21"/>
  <c r="E758" i="21"/>
  <c r="F758" i="21"/>
  <c r="A759" i="21"/>
  <c r="B759" i="21"/>
  <c r="C759" i="21"/>
  <c r="D759" i="21"/>
  <c r="E759" i="21"/>
  <c r="F759" i="21"/>
  <c r="A760" i="21"/>
  <c r="B760" i="21"/>
  <c r="C760" i="21"/>
  <c r="D760" i="21"/>
  <c r="E760" i="21"/>
  <c r="F760" i="21"/>
  <c r="A761" i="21"/>
  <c r="B761" i="21"/>
  <c r="C761" i="21"/>
  <c r="D761" i="21"/>
  <c r="E761" i="21"/>
  <c r="F761" i="21"/>
  <c r="A762" i="21"/>
  <c r="B762" i="21"/>
  <c r="C762" i="21"/>
  <c r="D762" i="21"/>
  <c r="E762" i="21"/>
  <c r="F762" i="21"/>
  <c r="A763" i="21"/>
  <c r="B763" i="21"/>
  <c r="C763" i="21"/>
  <c r="D763" i="21"/>
  <c r="E763" i="21"/>
  <c r="F763" i="21"/>
  <c r="A764" i="21"/>
  <c r="B764" i="21"/>
  <c r="C764" i="21"/>
  <c r="D764" i="21"/>
  <c r="E764" i="21"/>
  <c r="F764" i="21"/>
  <c r="A765" i="21"/>
  <c r="B765" i="21"/>
  <c r="C765" i="21"/>
  <c r="D765" i="21"/>
  <c r="E765" i="21"/>
  <c r="F765" i="21"/>
  <c r="A766" i="21"/>
  <c r="B766" i="21"/>
  <c r="C766" i="21"/>
  <c r="D766" i="21"/>
  <c r="E766" i="21"/>
  <c r="F766" i="21"/>
  <c r="A767" i="21"/>
  <c r="B767" i="21"/>
  <c r="C767" i="21"/>
  <c r="D767" i="21"/>
  <c r="E767" i="21"/>
  <c r="F767" i="21"/>
  <c r="A768" i="21"/>
  <c r="B768" i="21"/>
  <c r="C768" i="21"/>
  <c r="D768" i="21"/>
  <c r="E768" i="21"/>
  <c r="F768" i="21"/>
  <c r="A769" i="21"/>
  <c r="B769" i="21"/>
  <c r="C769" i="21"/>
  <c r="D769" i="21"/>
  <c r="E769" i="21"/>
  <c r="F769" i="21"/>
  <c r="A770" i="21"/>
  <c r="B770" i="21"/>
  <c r="C770" i="21"/>
  <c r="D770" i="21"/>
  <c r="E770" i="21"/>
  <c r="F770" i="21"/>
  <c r="A771" i="21"/>
  <c r="B771" i="21"/>
  <c r="C771" i="21"/>
  <c r="D771" i="21"/>
  <c r="E771" i="21"/>
  <c r="F771" i="21"/>
  <c r="A772" i="21"/>
  <c r="B772" i="21"/>
  <c r="C772" i="21"/>
  <c r="D772" i="21"/>
  <c r="E772" i="21"/>
  <c r="F772" i="21"/>
  <c r="A773" i="21"/>
  <c r="B773" i="21"/>
  <c r="C773" i="21"/>
  <c r="D773" i="21"/>
  <c r="E773" i="21"/>
  <c r="F773" i="21"/>
  <c r="A774" i="21"/>
  <c r="B774" i="21"/>
  <c r="C774" i="21"/>
  <c r="D774" i="21"/>
  <c r="E774" i="21"/>
  <c r="F774" i="21"/>
  <c r="A775" i="21"/>
  <c r="B775" i="21"/>
  <c r="C775" i="21"/>
  <c r="D775" i="21"/>
  <c r="E775" i="21"/>
  <c r="F775" i="21"/>
  <c r="A776" i="21"/>
  <c r="B776" i="21"/>
  <c r="C776" i="21"/>
  <c r="D776" i="21"/>
  <c r="E776" i="21"/>
  <c r="F776" i="21"/>
  <c r="A777" i="21"/>
  <c r="B777" i="21"/>
  <c r="C777" i="21"/>
  <c r="D777" i="21"/>
  <c r="E777" i="21"/>
  <c r="F777" i="21"/>
  <c r="A778" i="21"/>
  <c r="B778" i="21"/>
  <c r="C778" i="21"/>
  <c r="D778" i="21"/>
  <c r="E778" i="21"/>
  <c r="F778" i="21"/>
  <c r="A779" i="21"/>
  <c r="B779" i="21"/>
  <c r="C779" i="21"/>
  <c r="D779" i="21"/>
  <c r="E779" i="21"/>
  <c r="F779" i="21"/>
  <c r="A780" i="21"/>
  <c r="B780" i="21"/>
  <c r="C780" i="21"/>
  <c r="D780" i="21"/>
  <c r="E780" i="21"/>
  <c r="F780" i="21"/>
  <c r="A781" i="21"/>
  <c r="B781" i="21"/>
  <c r="C781" i="21"/>
  <c r="D781" i="21"/>
  <c r="E781" i="21"/>
  <c r="F781" i="21"/>
  <c r="A782" i="21"/>
  <c r="B782" i="21"/>
  <c r="C782" i="21"/>
  <c r="D782" i="21"/>
  <c r="E782" i="21"/>
  <c r="F782" i="21"/>
  <c r="A783" i="21"/>
  <c r="B783" i="21"/>
  <c r="C783" i="21"/>
  <c r="D783" i="21"/>
  <c r="E783" i="21"/>
  <c r="F783" i="21"/>
  <c r="A784" i="21"/>
  <c r="B784" i="21"/>
  <c r="C784" i="21"/>
  <c r="D784" i="21"/>
  <c r="E784" i="21"/>
  <c r="F784" i="21"/>
  <c r="A785" i="21"/>
  <c r="B785" i="21"/>
  <c r="C785" i="21"/>
  <c r="D785" i="21"/>
  <c r="E785" i="21"/>
  <c r="F785" i="21"/>
  <c r="A786" i="21"/>
  <c r="B786" i="21"/>
  <c r="C786" i="21"/>
  <c r="D786" i="21"/>
  <c r="E786" i="21"/>
  <c r="F786" i="21"/>
  <c r="A787" i="21"/>
  <c r="B787" i="21"/>
  <c r="C787" i="21"/>
  <c r="D787" i="21"/>
  <c r="E787" i="21"/>
  <c r="F787" i="21"/>
  <c r="A788" i="21"/>
  <c r="B788" i="21"/>
  <c r="C788" i="21"/>
  <c r="D788" i="21"/>
  <c r="E788" i="21"/>
  <c r="F788" i="21"/>
  <c r="A789" i="21"/>
  <c r="B789" i="21"/>
  <c r="C789" i="21"/>
  <c r="D789" i="21"/>
  <c r="E789" i="21"/>
  <c r="F789" i="21"/>
  <c r="A790" i="21"/>
  <c r="B790" i="21"/>
  <c r="C790" i="21"/>
  <c r="D790" i="21"/>
  <c r="E790" i="21"/>
  <c r="F790" i="21"/>
  <c r="A791" i="21"/>
  <c r="B791" i="21"/>
  <c r="C791" i="21"/>
  <c r="D791" i="21"/>
  <c r="E791" i="21"/>
  <c r="F791" i="21"/>
  <c r="A792" i="21"/>
  <c r="B792" i="21"/>
  <c r="C792" i="21"/>
  <c r="D792" i="21"/>
  <c r="E792" i="21"/>
  <c r="F792" i="21"/>
  <c r="A793" i="21"/>
  <c r="B793" i="21"/>
  <c r="C793" i="21"/>
  <c r="D793" i="21"/>
  <c r="E793" i="21"/>
  <c r="F793" i="21"/>
  <c r="A794" i="21"/>
  <c r="B794" i="21"/>
  <c r="C794" i="21"/>
  <c r="D794" i="21"/>
  <c r="E794" i="21"/>
  <c r="F794" i="21"/>
  <c r="A795" i="21"/>
  <c r="B795" i="21"/>
  <c r="C795" i="21"/>
  <c r="D795" i="21"/>
  <c r="E795" i="21"/>
  <c r="F795" i="21"/>
  <c r="A796" i="21"/>
  <c r="B796" i="21"/>
  <c r="C796" i="21"/>
  <c r="D796" i="21"/>
  <c r="E796" i="21"/>
  <c r="F796" i="21"/>
  <c r="A797" i="21"/>
  <c r="B797" i="21"/>
  <c r="C797" i="21"/>
  <c r="D797" i="21"/>
  <c r="E797" i="21"/>
  <c r="F797" i="21"/>
  <c r="A798" i="21"/>
  <c r="B798" i="21"/>
  <c r="C798" i="21"/>
  <c r="D798" i="21"/>
  <c r="E798" i="21"/>
  <c r="F798" i="21"/>
  <c r="A799" i="21"/>
  <c r="B799" i="21"/>
  <c r="C799" i="21"/>
  <c r="D799" i="21"/>
  <c r="E799" i="21"/>
  <c r="F799" i="21"/>
  <c r="A800" i="21"/>
  <c r="B800" i="21"/>
  <c r="C800" i="21"/>
  <c r="D800" i="21"/>
  <c r="E800" i="21"/>
  <c r="F800" i="21"/>
  <c r="A801" i="21"/>
  <c r="B801" i="21"/>
  <c r="C801" i="21"/>
  <c r="D801" i="21"/>
  <c r="E801" i="21"/>
  <c r="F801" i="21"/>
  <c r="A802" i="21"/>
  <c r="B802" i="21"/>
  <c r="C802" i="21"/>
  <c r="D802" i="21"/>
  <c r="E802" i="21"/>
  <c r="F802" i="21"/>
  <c r="A803" i="21"/>
  <c r="B803" i="21"/>
  <c r="C803" i="21"/>
  <c r="D803" i="21"/>
  <c r="E803" i="21"/>
  <c r="F803" i="21"/>
  <c r="A804" i="21"/>
  <c r="B804" i="21"/>
  <c r="C804" i="21"/>
  <c r="D804" i="21"/>
  <c r="E804" i="21"/>
  <c r="F804" i="21"/>
  <c r="A805" i="21"/>
  <c r="B805" i="21"/>
  <c r="C805" i="21"/>
  <c r="D805" i="21"/>
  <c r="E805" i="21"/>
  <c r="F805" i="21"/>
  <c r="A806" i="21"/>
  <c r="B806" i="21"/>
  <c r="C806" i="21"/>
  <c r="D806" i="21"/>
  <c r="E806" i="21"/>
  <c r="F806" i="21"/>
  <c r="A807" i="21"/>
  <c r="B807" i="21"/>
  <c r="C807" i="21"/>
  <c r="D807" i="21"/>
  <c r="E807" i="21"/>
  <c r="F807" i="21"/>
  <c r="A808" i="21"/>
  <c r="B808" i="21"/>
  <c r="C808" i="21"/>
  <c r="D808" i="21"/>
  <c r="E808" i="21"/>
  <c r="F808" i="21"/>
  <c r="A809" i="21"/>
  <c r="B809" i="21"/>
  <c r="C809" i="21"/>
  <c r="D809" i="21"/>
  <c r="E809" i="21"/>
  <c r="F809" i="21"/>
  <c r="A810" i="21"/>
  <c r="B810" i="21"/>
  <c r="C810" i="21"/>
  <c r="D810" i="21"/>
  <c r="E810" i="21"/>
  <c r="F810" i="21"/>
  <c r="A811" i="21"/>
  <c r="B811" i="21"/>
  <c r="C811" i="21"/>
  <c r="D811" i="21"/>
  <c r="E811" i="21"/>
  <c r="F811" i="21"/>
  <c r="A812" i="21"/>
  <c r="B812" i="21"/>
  <c r="C812" i="21"/>
  <c r="D812" i="21"/>
  <c r="E812" i="21"/>
  <c r="F812" i="21"/>
  <c r="A813" i="21"/>
  <c r="B813" i="21"/>
  <c r="C813" i="21"/>
  <c r="D813" i="21"/>
  <c r="E813" i="21"/>
  <c r="F813" i="21"/>
  <c r="A814" i="21"/>
  <c r="B814" i="21"/>
  <c r="C814" i="21"/>
  <c r="D814" i="21"/>
  <c r="E814" i="21"/>
  <c r="F814" i="21"/>
  <c r="A815" i="21"/>
  <c r="B815" i="21"/>
  <c r="C815" i="21"/>
  <c r="D815" i="21"/>
  <c r="E815" i="21"/>
  <c r="F815" i="21"/>
  <c r="A816" i="21"/>
  <c r="B816" i="21"/>
  <c r="C816" i="21"/>
  <c r="D816" i="21"/>
  <c r="E816" i="21"/>
  <c r="F816" i="21"/>
  <c r="A817" i="21"/>
  <c r="B817" i="21"/>
  <c r="C817" i="21"/>
  <c r="D817" i="21"/>
  <c r="E817" i="21"/>
  <c r="F817" i="21"/>
  <c r="A818" i="21"/>
  <c r="B818" i="21"/>
  <c r="C818" i="21"/>
  <c r="D818" i="21"/>
  <c r="E818" i="21"/>
  <c r="F818" i="21"/>
  <c r="A819" i="21"/>
  <c r="B819" i="21"/>
  <c r="C819" i="21"/>
  <c r="D819" i="21"/>
  <c r="E819" i="21"/>
  <c r="F819" i="21"/>
  <c r="A820" i="21"/>
  <c r="B820" i="21"/>
  <c r="C820" i="21"/>
  <c r="D820" i="21"/>
  <c r="E820" i="21"/>
  <c r="F820" i="21"/>
  <c r="A821" i="21"/>
  <c r="B821" i="21"/>
  <c r="C821" i="21"/>
  <c r="D821" i="21"/>
  <c r="E821" i="21"/>
  <c r="F821" i="21"/>
  <c r="A822" i="21"/>
  <c r="B822" i="21"/>
  <c r="C822" i="21"/>
  <c r="D822" i="21"/>
  <c r="E822" i="21"/>
  <c r="F822" i="21"/>
  <c r="A823" i="21"/>
  <c r="B823" i="21"/>
  <c r="C823" i="21"/>
  <c r="D823" i="21"/>
  <c r="E823" i="21"/>
  <c r="F823" i="21"/>
  <c r="A824" i="21"/>
  <c r="B824" i="21"/>
  <c r="C824" i="21"/>
  <c r="D824" i="21"/>
  <c r="E824" i="21"/>
  <c r="F824" i="21"/>
  <c r="A825" i="21"/>
  <c r="B825" i="21"/>
  <c r="C825" i="21"/>
  <c r="D825" i="21"/>
  <c r="E825" i="21"/>
  <c r="F825" i="21"/>
  <c r="A826" i="21"/>
  <c r="B826" i="21"/>
  <c r="C826" i="21"/>
  <c r="D826" i="21"/>
  <c r="E826" i="21"/>
  <c r="F826" i="21"/>
  <c r="A827" i="21"/>
  <c r="B827" i="21"/>
  <c r="C827" i="21"/>
  <c r="D827" i="21"/>
  <c r="E827" i="21"/>
  <c r="F827" i="21"/>
  <c r="A828" i="21"/>
  <c r="B828" i="21"/>
  <c r="C828" i="21"/>
  <c r="D828" i="21"/>
  <c r="E828" i="21"/>
  <c r="F828" i="21"/>
  <c r="A829" i="21"/>
  <c r="B829" i="21"/>
  <c r="C829" i="21"/>
  <c r="D829" i="21"/>
  <c r="E829" i="21"/>
  <c r="F829" i="21"/>
  <c r="A830" i="21"/>
  <c r="B830" i="21"/>
  <c r="C830" i="21"/>
  <c r="D830" i="21"/>
  <c r="E830" i="21"/>
  <c r="F830" i="21"/>
  <c r="A831" i="21"/>
  <c r="B831" i="21"/>
  <c r="C831" i="21"/>
  <c r="D831" i="21"/>
  <c r="E831" i="21"/>
  <c r="F831" i="21"/>
  <c r="A832" i="21"/>
  <c r="B832" i="21"/>
  <c r="C832" i="21"/>
  <c r="D832" i="21"/>
  <c r="E832" i="21"/>
  <c r="F832" i="21"/>
  <c r="A833" i="21"/>
  <c r="B833" i="21"/>
  <c r="C833" i="21"/>
  <c r="D833" i="21"/>
  <c r="E833" i="21"/>
  <c r="F833" i="21"/>
  <c r="A834" i="21"/>
  <c r="B834" i="21"/>
  <c r="C834" i="21"/>
  <c r="D834" i="21"/>
  <c r="E834" i="21"/>
  <c r="F834" i="21"/>
  <c r="A835" i="21"/>
  <c r="B835" i="21"/>
  <c r="C835" i="21"/>
  <c r="D835" i="21"/>
  <c r="E835" i="21"/>
  <c r="F835" i="21"/>
  <c r="A836" i="21"/>
  <c r="B836" i="21"/>
  <c r="C836" i="21"/>
  <c r="D836" i="21"/>
  <c r="E836" i="21"/>
  <c r="F836" i="21"/>
  <c r="A837" i="21"/>
  <c r="B837" i="21"/>
  <c r="C837" i="21"/>
  <c r="D837" i="21"/>
  <c r="E837" i="21"/>
  <c r="F837" i="21"/>
  <c r="A838" i="21"/>
  <c r="B838" i="21"/>
  <c r="C838" i="21"/>
  <c r="D838" i="21"/>
  <c r="E838" i="21"/>
  <c r="F838" i="21"/>
  <c r="A839" i="21"/>
  <c r="B839" i="21"/>
  <c r="C839" i="21"/>
  <c r="D839" i="21"/>
  <c r="E839" i="21"/>
  <c r="F839" i="21"/>
  <c r="A840" i="21"/>
  <c r="B840" i="21"/>
  <c r="C840" i="21"/>
  <c r="D840" i="21"/>
  <c r="E840" i="21"/>
  <c r="F840" i="21"/>
  <c r="A841" i="21"/>
  <c r="B841" i="21"/>
  <c r="C841" i="21"/>
  <c r="D841" i="21"/>
  <c r="E841" i="21"/>
  <c r="F841" i="21"/>
  <c r="A842" i="21"/>
  <c r="B842" i="21"/>
  <c r="C842" i="21"/>
  <c r="D842" i="21"/>
  <c r="E842" i="21"/>
  <c r="F842" i="21"/>
  <c r="A843" i="21"/>
  <c r="B843" i="21"/>
  <c r="C843" i="21"/>
  <c r="D843" i="21"/>
  <c r="E843" i="21"/>
  <c r="F843" i="21"/>
  <c r="A844" i="21"/>
  <c r="B844" i="21"/>
  <c r="C844" i="21"/>
  <c r="D844" i="21"/>
  <c r="E844" i="21"/>
  <c r="F844" i="21"/>
  <c r="A845" i="21"/>
  <c r="B845" i="21"/>
  <c r="C845" i="21"/>
  <c r="D845" i="21"/>
  <c r="E845" i="21"/>
  <c r="F845" i="21"/>
  <c r="A846" i="21"/>
  <c r="B846" i="21"/>
  <c r="C846" i="21"/>
  <c r="D846" i="21"/>
  <c r="E846" i="21"/>
  <c r="F846" i="21"/>
  <c r="A847" i="21"/>
  <c r="B847" i="21"/>
  <c r="C847" i="21"/>
  <c r="D847" i="21"/>
  <c r="E847" i="21"/>
  <c r="F847" i="21"/>
  <c r="A848" i="21"/>
  <c r="B848" i="21"/>
  <c r="C848" i="21"/>
  <c r="D848" i="21"/>
  <c r="E848" i="21"/>
  <c r="F848" i="21"/>
  <c r="A849" i="21"/>
  <c r="B849" i="21"/>
  <c r="C849" i="21"/>
  <c r="D849" i="21"/>
  <c r="E849" i="21"/>
  <c r="F849" i="21"/>
  <c r="A850" i="21"/>
  <c r="B850" i="21"/>
  <c r="C850" i="21"/>
  <c r="D850" i="21"/>
  <c r="E850" i="21"/>
  <c r="F850" i="21"/>
  <c r="A851" i="21"/>
  <c r="B851" i="21"/>
  <c r="C851" i="21"/>
  <c r="D851" i="21"/>
  <c r="E851" i="21"/>
  <c r="F851" i="21"/>
  <c r="A852" i="21"/>
  <c r="B852" i="21"/>
  <c r="C852" i="21"/>
  <c r="D852" i="21"/>
  <c r="E852" i="21"/>
  <c r="F852" i="21"/>
  <c r="A853" i="21"/>
  <c r="B853" i="21"/>
  <c r="C853" i="21"/>
  <c r="D853" i="21"/>
  <c r="E853" i="21"/>
  <c r="F853" i="21"/>
  <c r="A854" i="21"/>
  <c r="B854" i="21"/>
  <c r="C854" i="21"/>
  <c r="D854" i="21"/>
  <c r="E854" i="21"/>
  <c r="F854" i="21"/>
  <c r="A855" i="21"/>
  <c r="B855" i="21"/>
  <c r="C855" i="21"/>
  <c r="D855" i="21"/>
  <c r="E855" i="21"/>
  <c r="F855" i="21"/>
  <c r="A856" i="21"/>
  <c r="B856" i="21"/>
  <c r="C856" i="21"/>
  <c r="D856" i="21"/>
  <c r="E856" i="21"/>
  <c r="F856" i="21"/>
  <c r="A857" i="21"/>
  <c r="B857" i="21"/>
  <c r="C857" i="21"/>
  <c r="D857" i="21"/>
  <c r="E857" i="21"/>
  <c r="F857" i="21"/>
  <c r="A858" i="21"/>
  <c r="B858" i="21"/>
  <c r="C858" i="21"/>
  <c r="D858" i="21"/>
  <c r="E858" i="21"/>
  <c r="F858" i="21"/>
  <c r="A859" i="21"/>
  <c r="B859" i="21"/>
  <c r="C859" i="21"/>
  <c r="D859" i="21"/>
  <c r="E859" i="21"/>
  <c r="F859" i="21"/>
  <c r="A860" i="21"/>
  <c r="B860" i="21"/>
  <c r="C860" i="21"/>
  <c r="D860" i="21"/>
  <c r="E860" i="21"/>
  <c r="F860" i="21"/>
  <c r="A861" i="21"/>
  <c r="B861" i="21"/>
  <c r="C861" i="21"/>
  <c r="D861" i="21"/>
  <c r="E861" i="21"/>
  <c r="F861" i="21"/>
  <c r="A862" i="21"/>
  <c r="B862" i="21"/>
  <c r="C862" i="21"/>
  <c r="D862" i="21"/>
  <c r="E862" i="21"/>
  <c r="F862" i="21"/>
  <c r="A863" i="21"/>
  <c r="B863" i="21"/>
  <c r="C863" i="21"/>
  <c r="D863" i="21"/>
  <c r="E863" i="21"/>
  <c r="F863" i="21"/>
  <c r="A864" i="21"/>
  <c r="B864" i="21"/>
  <c r="C864" i="21"/>
  <c r="D864" i="21"/>
  <c r="E864" i="21"/>
  <c r="F864" i="21"/>
  <c r="A865" i="21"/>
  <c r="B865" i="21"/>
  <c r="C865" i="21"/>
  <c r="D865" i="21"/>
  <c r="E865" i="21"/>
  <c r="F865" i="21"/>
  <c r="A866" i="21"/>
  <c r="B866" i="21"/>
  <c r="C866" i="21"/>
  <c r="D866" i="21"/>
  <c r="E866" i="21"/>
  <c r="F866" i="21"/>
  <c r="A867" i="21"/>
  <c r="B867" i="21"/>
  <c r="C867" i="21"/>
  <c r="D867" i="21"/>
  <c r="E867" i="21"/>
  <c r="F867" i="21"/>
  <c r="A868" i="21"/>
  <c r="B868" i="21"/>
  <c r="C868" i="21"/>
  <c r="D868" i="21"/>
  <c r="E868" i="21"/>
  <c r="F868" i="21"/>
  <c r="A869" i="21"/>
  <c r="B869" i="21"/>
  <c r="C869" i="21"/>
  <c r="D869" i="21"/>
  <c r="E869" i="21"/>
  <c r="F869" i="21"/>
  <c r="A870" i="21"/>
  <c r="B870" i="21"/>
  <c r="C870" i="21"/>
  <c r="D870" i="21"/>
  <c r="E870" i="21"/>
  <c r="F870" i="21"/>
  <c r="A871" i="21"/>
  <c r="B871" i="21"/>
  <c r="C871" i="21"/>
  <c r="D871" i="21"/>
  <c r="E871" i="21"/>
  <c r="F871" i="21"/>
  <c r="A872" i="21"/>
  <c r="B872" i="21"/>
  <c r="C872" i="21"/>
  <c r="D872" i="21"/>
  <c r="E872" i="21"/>
  <c r="F872" i="21"/>
  <c r="A873" i="21"/>
  <c r="B873" i="21"/>
  <c r="C873" i="21"/>
  <c r="D873" i="21"/>
  <c r="E873" i="21"/>
  <c r="F873" i="21"/>
  <c r="A874" i="21"/>
  <c r="B874" i="21"/>
  <c r="C874" i="21"/>
  <c r="D874" i="21"/>
  <c r="E874" i="21"/>
  <c r="F874" i="21"/>
  <c r="A875" i="21"/>
  <c r="B875" i="21"/>
  <c r="C875" i="21"/>
  <c r="D875" i="21"/>
  <c r="E875" i="21"/>
  <c r="F875" i="21"/>
  <c r="A876" i="21"/>
  <c r="B876" i="21"/>
  <c r="C876" i="21"/>
  <c r="D876" i="21"/>
  <c r="E876" i="21"/>
  <c r="F876" i="21"/>
  <c r="A877" i="21"/>
  <c r="B877" i="21"/>
  <c r="C877" i="21"/>
  <c r="D877" i="21"/>
  <c r="E877" i="21"/>
  <c r="F877" i="21"/>
  <c r="A878" i="21"/>
  <c r="B878" i="21"/>
  <c r="C878" i="21"/>
  <c r="D878" i="21"/>
  <c r="E878" i="21"/>
  <c r="F878" i="21"/>
  <c r="A879" i="21"/>
  <c r="B879" i="21"/>
  <c r="C879" i="21"/>
  <c r="D879" i="21"/>
  <c r="E879" i="21"/>
  <c r="F879" i="21"/>
  <c r="A880" i="21"/>
  <c r="B880" i="21"/>
  <c r="C880" i="21"/>
  <c r="D880" i="21"/>
  <c r="E880" i="21"/>
  <c r="F880" i="21"/>
  <c r="A881" i="21"/>
  <c r="B881" i="21"/>
  <c r="C881" i="21"/>
  <c r="D881" i="21"/>
  <c r="E881" i="21"/>
  <c r="F881" i="21"/>
  <c r="A882" i="21"/>
  <c r="B882" i="21"/>
  <c r="C882" i="21"/>
  <c r="D882" i="21"/>
  <c r="E882" i="21"/>
  <c r="F882" i="21"/>
  <c r="A883" i="21"/>
  <c r="B883" i="21"/>
  <c r="C883" i="21"/>
  <c r="D883" i="21"/>
  <c r="E883" i="21"/>
  <c r="F883" i="21"/>
  <c r="A884" i="21"/>
  <c r="B884" i="21"/>
  <c r="C884" i="21"/>
  <c r="D884" i="21"/>
  <c r="E884" i="21"/>
  <c r="F884" i="21"/>
  <c r="A885" i="21"/>
  <c r="B885" i="21"/>
  <c r="C885" i="21"/>
  <c r="D885" i="21"/>
  <c r="E885" i="21"/>
  <c r="F885" i="21"/>
  <c r="A886" i="21"/>
  <c r="B886" i="21"/>
  <c r="C886" i="21"/>
  <c r="D886" i="21"/>
  <c r="E886" i="21"/>
  <c r="F886" i="21"/>
  <c r="A887" i="21"/>
  <c r="B887" i="21"/>
  <c r="C887" i="21"/>
  <c r="D887" i="21"/>
  <c r="E887" i="21"/>
  <c r="F887" i="21"/>
  <c r="A888" i="21"/>
  <c r="B888" i="21"/>
  <c r="C888" i="21"/>
  <c r="D888" i="21"/>
  <c r="E888" i="21"/>
  <c r="F888" i="21"/>
  <c r="A889" i="21"/>
  <c r="B889" i="21"/>
  <c r="C889" i="21"/>
  <c r="D889" i="21"/>
  <c r="E889" i="21"/>
  <c r="F889" i="21"/>
  <c r="A890" i="21"/>
  <c r="B890" i="21"/>
  <c r="C890" i="21"/>
  <c r="D890" i="21"/>
  <c r="E890" i="21"/>
  <c r="F890" i="21"/>
  <c r="A891" i="21"/>
  <c r="B891" i="21"/>
  <c r="C891" i="21"/>
  <c r="D891" i="21"/>
  <c r="E891" i="21"/>
  <c r="F891" i="21"/>
  <c r="A892" i="21"/>
  <c r="B892" i="21"/>
  <c r="C892" i="21"/>
  <c r="D892" i="21"/>
  <c r="E892" i="21"/>
  <c r="F892" i="21"/>
  <c r="A893" i="21"/>
  <c r="B893" i="21"/>
  <c r="C893" i="21"/>
  <c r="D893" i="21"/>
  <c r="E893" i="21"/>
  <c r="F893" i="21"/>
  <c r="A894" i="21"/>
  <c r="B894" i="21"/>
  <c r="C894" i="21"/>
  <c r="D894" i="21"/>
  <c r="E894" i="21"/>
  <c r="F894" i="21"/>
  <c r="A895" i="21"/>
  <c r="B895" i="21"/>
  <c r="C895" i="21"/>
  <c r="D895" i="21"/>
  <c r="E895" i="21"/>
  <c r="F895" i="21"/>
  <c r="A896" i="21"/>
  <c r="B896" i="21"/>
  <c r="C896" i="21"/>
  <c r="D896" i="21"/>
  <c r="E896" i="21"/>
  <c r="F896" i="21"/>
  <c r="A897" i="21"/>
  <c r="B897" i="21"/>
  <c r="C897" i="21"/>
  <c r="D897" i="21"/>
  <c r="E897" i="21"/>
  <c r="F897" i="21"/>
  <c r="A898" i="21"/>
  <c r="B898" i="21"/>
  <c r="C898" i="21"/>
  <c r="D898" i="21"/>
  <c r="E898" i="21"/>
  <c r="F898" i="21"/>
  <c r="A899" i="21"/>
  <c r="B899" i="21"/>
  <c r="C899" i="21"/>
  <c r="D899" i="21"/>
  <c r="E899" i="21"/>
  <c r="F899" i="21"/>
  <c r="A900" i="21"/>
  <c r="B900" i="21"/>
  <c r="C900" i="21"/>
  <c r="D900" i="21"/>
  <c r="E900" i="21"/>
  <c r="F900" i="21"/>
  <c r="A901" i="21"/>
  <c r="B901" i="21"/>
  <c r="C901" i="21"/>
  <c r="D901" i="21"/>
  <c r="E901" i="21"/>
  <c r="F901" i="21"/>
  <c r="A902" i="21"/>
  <c r="B902" i="21"/>
  <c r="C902" i="21"/>
  <c r="D902" i="21"/>
  <c r="E902" i="21"/>
  <c r="F902" i="21"/>
  <c r="A903" i="21"/>
  <c r="B903" i="21"/>
  <c r="C903" i="21"/>
  <c r="D903" i="21"/>
  <c r="E903" i="21"/>
  <c r="F903" i="21"/>
  <c r="A904" i="21"/>
  <c r="B904" i="21"/>
  <c r="C904" i="21"/>
  <c r="D904" i="21"/>
  <c r="E904" i="21"/>
  <c r="F904" i="21"/>
  <c r="A905" i="21"/>
  <c r="B905" i="21"/>
  <c r="C905" i="21"/>
  <c r="D905" i="21"/>
  <c r="E905" i="21"/>
  <c r="F905" i="21"/>
  <c r="A906" i="21"/>
  <c r="B906" i="21"/>
  <c r="C906" i="21"/>
  <c r="D906" i="21"/>
  <c r="E906" i="21"/>
  <c r="F906" i="21"/>
  <c r="A907" i="21"/>
  <c r="B907" i="21"/>
  <c r="C907" i="21"/>
  <c r="D907" i="21"/>
  <c r="E907" i="21"/>
  <c r="F907" i="21"/>
  <c r="A908" i="21"/>
  <c r="B908" i="21"/>
  <c r="C908" i="21"/>
  <c r="D908" i="21"/>
  <c r="E908" i="21"/>
  <c r="F908" i="21"/>
  <c r="A909" i="21"/>
  <c r="B909" i="21"/>
  <c r="C909" i="21"/>
  <c r="D909" i="21"/>
  <c r="E909" i="21"/>
  <c r="F909" i="21"/>
  <c r="A910" i="21"/>
  <c r="B910" i="21"/>
  <c r="C910" i="21"/>
  <c r="D910" i="21"/>
  <c r="E910" i="21"/>
  <c r="F910" i="21"/>
  <c r="A911" i="21"/>
  <c r="B911" i="21"/>
  <c r="C911" i="21"/>
  <c r="D911" i="21"/>
  <c r="E911" i="21"/>
  <c r="F911" i="21"/>
  <c r="A912" i="21"/>
  <c r="B912" i="21"/>
  <c r="C912" i="21"/>
  <c r="D912" i="21"/>
  <c r="E912" i="21"/>
  <c r="F912" i="21"/>
  <c r="A913" i="21"/>
  <c r="B913" i="21"/>
  <c r="C913" i="21"/>
  <c r="D913" i="21"/>
  <c r="E913" i="21"/>
  <c r="F913" i="21"/>
  <c r="A914" i="21"/>
  <c r="B914" i="21"/>
  <c r="C914" i="21"/>
  <c r="D914" i="21"/>
  <c r="E914" i="21"/>
  <c r="F914" i="21"/>
  <c r="A915" i="21"/>
  <c r="B915" i="21"/>
  <c r="C915" i="21"/>
  <c r="D915" i="21"/>
  <c r="E915" i="21"/>
  <c r="F915" i="21"/>
  <c r="A916" i="21"/>
  <c r="B916" i="21"/>
  <c r="C916" i="21"/>
  <c r="D916" i="21"/>
  <c r="E916" i="21"/>
  <c r="F916" i="21"/>
  <c r="A917" i="21"/>
  <c r="B917" i="21"/>
  <c r="C917" i="21"/>
  <c r="D917" i="21"/>
  <c r="E917" i="21"/>
  <c r="F917" i="21"/>
  <c r="A918" i="21"/>
  <c r="B918" i="21"/>
  <c r="C918" i="21"/>
  <c r="D918" i="21"/>
  <c r="E918" i="21"/>
  <c r="F918" i="21"/>
  <c r="A919" i="21"/>
  <c r="B919" i="21"/>
  <c r="C919" i="21"/>
  <c r="D919" i="21"/>
  <c r="E919" i="21"/>
  <c r="F919" i="21"/>
  <c r="A920" i="21"/>
  <c r="B920" i="21"/>
  <c r="C920" i="21"/>
  <c r="D920" i="21"/>
  <c r="E920" i="21"/>
  <c r="F920" i="21"/>
  <c r="A921" i="21"/>
  <c r="B921" i="21"/>
  <c r="C921" i="21"/>
  <c r="D921" i="21"/>
  <c r="E921" i="21"/>
  <c r="F921" i="21"/>
  <c r="A922" i="21"/>
  <c r="B922" i="21"/>
  <c r="C922" i="21"/>
  <c r="D922" i="21"/>
  <c r="E922" i="21"/>
  <c r="F922" i="21"/>
  <c r="A923" i="21"/>
  <c r="B923" i="21"/>
  <c r="C923" i="21"/>
  <c r="D923" i="21"/>
  <c r="E923" i="21"/>
  <c r="F923" i="21"/>
  <c r="A924" i="21"/>
  <c r="B924" i="21"/>
  <c r="C924" i="21"/>
  <c r="D924" i="21"/>
  <c r="E924" i="21"/>
  <c r="F924" i="21"/>
  <c r="A925" i="21"/>
  <c r="B925" i="21"/>
  <c r="C925" i="21"/>
  <c r="D925" i="21"/>
  <c r="E925" i="21"/>
  <c r="F925" i="21"/>
  <c r="A926" i="21"/>
  <c r="B926" i="21"/>
  <c r="C926" i="21"/>
  <c r="D926" i="21"/>
  <c r="E926" i="21"/>
  <c r="F926" i="21"/>
  <c r="A927" i="21"/>
  <c r="B927" i="21"/>
  <c r="C927" i="21"/>
  <c r="D927" i="21"/>
  <c r="E927" i="21"/>
  <c r="F927" i="21"/>
  <c r="A928" i="21"/>
  <c r="B928" i="21"/>
  <c r="C928" i="21"/>
  <c r="D928" i="21"/>
  <c r="E928" i="21"/>
  <c r="F928" i="21"/>
  <c r="A929" i="21"/>
  <c r="B929" i="21"/>
  <c r="C929" i="21"/>
  <c r="D929" i="21"/>
  <c r="E929" i="21"/>
  <c r="F929" i="21"/>
  <c r="A930" i="21"/>
  <c r="B930" i="21"/>
  <c r="C930" i="21"/>
  <c r="D930" i="21"/>
  <c r="E930" i="21"/>
  <c r="F930" i="21"/>
  <c r="A931" i="21"/>
  <c r="B931" i="21"/>
  <c r="C931" i="21"/>
  <c r="D931" i="21"/>
  <c r="E931" i="21"/>
  <c r="F931" i="21"/>
  <c r="A932" i="21"/>
  <c r="B932" i="21"/>
  <c r="C932" i="21"/>
  <c r="D932" i="21"/>
  <c r="E932" i="21"/>
  <c r="F932" i="21"/>
  <c r="A933" i="21"/>
  <c r="B933" i="21"/>
  <c r="C933" i="21"/>
  <c r="D933" i="21"/>
  <c r="E933" i="21"/>
  <c r="F933" i="21"/>
  <c r="A934" i="21"/>
  <c r="B934" i="21"/>
  <c r="C934" i="21"/>
  <c r="D934" i="21"/>
  <c r="E934" i="21"/>
  <c r="F934" i="21"/>
  <c r="A935" i="21"/>
  <c r="B935" i="21"/>
  <c r="C935" i="21"/>
  <c r="D935" i="21"/>
  <c r="E935" i="21"/>
  <c r="F935" i="21"/>
  <c r="A936" i="21"/>
  <c r="B936" i="21"/>
  <c r="C936" i="21"/>
  <c r="D936" i="21"/>
  <c r="E936" i="21"/>
  <c r="F936" i="21"/>
  <c r="A937" i="21"/>
  <c r="B937" i="21"/>
  <c r="C937" i="21"/>
  <c r="D937" i="21"/>
  <c r="E937" i="21"/>
  <c r="F937" i="21"/>
  <c r="A938" i="21"/>
  <c r="B938" i="21"/>
  <c r="C938" i="21"/>
  <c r="D938" i="21"/>
  <c r="E938" i="21"/>
  <c r="F938" i="21"/>
  <c r="A939" i="21"/>
  <c r="B939" i="21"/>
  <c r="C939" i="21"/>
  <c r="D939" i="21"/>
  <c r="E939" i="21"/>
  <c r="F939" i="21"/>
  <c r="A940" i="21"/>
  <c r="B940" i="21"/>
  <c r="C940" i="21"/>
  <c r="D940" i="21"/>
  <c r="E940" i="21"/>
  <c r="F940" i="21"/>
  <c r="A941" i="21"/>
  <c r="B941" i="21"/>
  <c r="C941" i="21"/>
  <c r="D941" i="21"/>
  <c r="E941" i="21"/>
  <c r="F941" i="21"/>
  <c r="A942" i="21"/>
  <c r="B942" i="21"/>
  <c r="C942" i="21"/>
  <c r="D942" i="21"/>
  <c r="E942" i="21"/>
  <c r="F942" i="21"/>
  <c r="A943" i="21"/>
  <c r="B943" i="21"/>
  <c r="C943" i="21"/>
  <c r="D943" i="21"/>
  <c r="E943" i="21"/>
  <c r="F943" i="21"/>
  <c r="A944" i="21"/>
  <c r="B944" i="21"/>
  <c r="C944" i="21"/>
  <c r="D944" i="21"/>
  <c r="E944" i="21"/>
  <c r="F944" i="21"/>
  <c r="A945" i="21"/>
  <c r="B945" i="21"/>
  <c r="C945" i="21"/>
  <c r="D945" i="21"/>
  <c r="E945" i="21"/>
  <c r="F945" i="21"/>
  <c r="A946" i="21"/>
  <c r="B946" i="21"/>
  <c r="C946" i="21"/>
  <c r="D946" i="21"/>
  <c r="E946" i="21"/>
  <c r="F946" i="21"/>
  <c r="A947" i="21"/>
  <c r="B947" i="21"/>
  <c r="C947" i="21"/>
  <c r="D947" i="21"/>
  <c r="E947" i="21"/>
  <c r="F947" i="21"/>
  <c r="A948" i="21"/>
  <c r="B948" i="21"/>
  <c r="C948" i="21"/>
  <c r="D948" i="21"/>
  <c r="E948" i="21"/>
  <c r="F948" i="21"/>
  <c r="A949" i="21"/>
  <c r="B949" i="21"/>
  <c r="C949" i="21"/>
  <c r="D949" i="21"/>
  <c r="E949" i="21"/>
  <c r="F949" i="21"/>
  <c r="A950" i="21"/>
  <c r="B950" i="21"/>
  <c r="C950" i="21"/>
  <c r="D950" i="21"/>
  <c r="E950" i="21"/>
  <c r="F950" i="21"/>
  <c r="A951" i="21"/>
  <c r="B951" i="21"/>
  <c r="C951" i="21"/>
  <c r="D951" i="21"/>
  <c r="E951" i="21"/>
  <c r="F951" i="21"/>
  <c r="A952" i="21"/>
  <c r="B952" i="21"/>
  <c r="C952" i="21"/>
  <c r="D952" i="21"/>
  <c r="E952" i="21"/>
  <c r="F952" i="21"/>
  <c r="A953" i="21"/>
  <c r="B953" i="21"/>
  <c r="C953" i="21"/>
  <c r="D953" i="21"/>
  <c r="E953" i="21"/>
  <c r="F953" i="21"/>
  <c r="A954" i="21"/>
  <c r="B954" i="21"/>
  <c r="C954" i="21"/>
  <c r="D954" i="21"/>
  <c r="E954" i="21"/>
  <c r="F954" i="21"/>
  <c r="A955" i="21"/>
  <c r="B955" i="21"/>
  <c r="C955" i="21"/>
  <c r="D955" i="21"/>
  <c r="E955" i="21"/>
  <c r="F955" i="21"/>
  <c r="A956" i="21"/>
  <c r="B956" i="21"/>
  <c r="C956" i="21"/>
  <c r="D956" i="21"/>
  <c r="E956" i="21"/>
  <c r="F956" i="21"/>
  <c r="A957" i="21"/>
  <c r="B957" i="21"/>
  <c r="C957" i="21"/>
  <c r="D957" i="21"/>
  <c r="E957" i="21"/>
  <c r="F957" i="21"/>
  <c r="A958" i="21"/>
  <c r="B958" i="21"/>
  <c r="C958" i="21"/>
  <c r="D958" i="21"/>
  <c r="E958" i="21"/>
  <c r="F958" i="21"/>
  <c r="A959" i="21"/>
  <c r="B959" i="21"/>
  <c r="C959" i="21"/>
  <c r="D959" i="21"/>
  <c r="E959" i="21"/>
  <c r="F959" i="21"/>
  <c r="A960" i="21"/>
  <c r="B960" i="21"/>
  <c r="C960" i="21"/>
  <c r="D960" i="21"/>
  <c r="E960" i="21"/>
  <c r="F960" i="21"/>
  <c r="A961" i="21"/>
  <c r="B961" i="21"/>
  <c r="C961" i="21"/>
  <c r="D961" i="21"/>
  <c r="E961" i="21"/>
  <c r="F961" i="21"/>
  <c r="A962" i="21"/>
  <c r="B962" i="21"/>
  <c r="C962" i="21"/>
  <c r="D962" i="21"/>
  <c r="E962" i="21"/>
  <c r="F962" i="21"/>
  <c r="A963" i="21"/>
  <c r="B963" i="21"/>
  <c r="C963" i="21"/>
  <c r="D963" i="21"/>
  <c r="E963" i="21"/>
  <c r="F963" i="21"/>
  <c r="A964" i="21"/>
  <c r="B964" i="21"/>
  <c r="C964" i="21"/>
  <c r="D964" i="21"/>
  <c r="E964" i="21"/>
  <c r="F964" i="21"/>
  <c r="A965" i="21"/>
  <c r="B965" i="21"/>
  <c r="C965" i="21"/>
  <c r="D965" i="21"/>
  <c r="E965" i="21"/>
  <c r="F965" i="21"/>
  <c r="A966" i="21"/>
  <c r="B966" i="21"/>
  <c r="C966" i="21"/>
  <c r="D966" i="21"/>
  <c r="E966" i="21"/>
  <c r="F966" i="21"/>
  <c r="A967" i="21"/>
  <c r="B967" i="21"/>
  <c r="C967" i="21"/>
  <c r="D967" i="21"/>
  <c r="E967" i="21"/>
  <c r="F967" i="21"/>
  <c r="A968" i="21"/>
  <c r="B968" i="21"/>
  <c r="C968" i="21"/>
  <c r="D968" i="21"/>
  <c r="E968" i="21"/>
  <c r="F968" i="21"/>
  <c r="A969" i="21"/>
  <c r="B969" i="21"/>
  <c r="C969" i="21"/>
  <c r="D969" i="21"/>
  <c r="E969" i="21"/>
  <c r="F969" i="21"/>
  <c r="A970" i="21"/>
  <c r="B970" i="21"/>
  <c r="C970" i="21"/>
  <c r="D970" i="21"/>
  <c r="E970" i="21"/>
  <c r="F970" i="21"/>
  <c r="A971" i="21"/>
  <c r="B971" i="21"/>
  <c r="C971" i="21"/>
  <c r="D971" i="21"/>
  <c r="E971" i="21"/>
  <c r="F971" i="21"/>
  <c r="A972" i="21"/>
  <c r="B972" i="21"/>
  <c r="C972" i="21"/>
  <c r="D972" i="21"/>
  <c r="E972" i="21"/>
  <c r="F972" i="21"/>
  <c r="A973" i="21"/>
  <c r="B973" i="21"/>
  <c r="C973" i="21"/>
  <c r="D973" i="21"/>
  <c r="E973" i="21"/>
  <c r="F973" i="21"/>
  <c r="A974" i="21"/>
  <c r="B974" i="21"/>
  <c r="C974" i="21"/>
  <c r="D974" i="21"/>
  <c r="E974" i="21"/>
  <c r="F974" i="21"/>
  <c r="A975" i="21"/>
  <c r="B975" i="21"/>
  <c r="C975" i="21"/>
  <c r="D975" i="21"/>
  <c r="E975" i="21"/>
  <c r="F975" i="21"/>
  <c r="A976" i="21"/>
  <c r="B976" i="21"/>
  <c r="C976" i="21"/>
  <c r="D976" i="21"/>
  <c r="E976" i="21"/>
  <c r="F976" i="21"/>
  <c r="A977" i="21"/>
  <c r="B977" i="21"/>
  <c r="C977" i="21"/>
  <c r="D977" i="21"/>
  <c r="E977" i="21"/>
  <c r="F977" i="21"/>
  <c r="A978" i="21"/>
  <c r="B978" i="21"/>
  <c r="C978" i="21"/>
  <c r="D978" i="21"/>
  <c r="E978" i="21"/>
  <c r="F978" i="21"/>
  <c r="A979" i="21"/>
  <c r="B979" i="21"/>
  <c r="C979" i="21"/>
  <c r="D979" i="21"/>
  <c r="E979" i="21"/>
  <c r="F979" i="21"/>
  <c r="A980" i="21"/>
  <c r="B980" i="21"/>
  <c r="C980" i="21"/>
  <c r="D980" i="21"/>
  <c r="E980" i="21"/>
  <c r="F980" i="21"/>
  <c r="A981" i="21"/>
  <c r="B981" i="21"/>
  <c r="C981" i="21"/>
  <c r="D981" i="21"/>
  <c r="E981" i="21"/>
  <c r="F981" i="21"/>
  <c r="A982" i="21"/>
  <c r="B982" i="21"/>
  <c r="C982" i="21"/>
  <c r="D982" i="21"/>
  <c r="E982" i="21"/>
  <c r="F982" i="21"/>
  <c r="A983" i="21"/>
  <c r="B983" i="21"/>
  <c r="C983" i="21"/>
  <c r="D983" i="21"/>
  <c r="E983" i="21"/>
  <c r="F983" i="21"/>
  <c r="A984" i="21"/>
  <c r="B984" i="21"/>
  <c r="C984" i="21"/>
  <c r="D984" i="21"/>
  <c r="E984" i="21"/>
  <c r="F984" i="21"/>
  <c r="A985" i="21"/>
  <c r="B985" i="21"/>
  <c r="C985" i="21"/>
  <c r="D985" i="21"/>
  <c r="E985" i="21"/>
  <c r="F985" i="21"/>
  <c r="A986" i="21"/>
  <c r="B986" i="21"/>
  <c r="C986" i="21"/>
  <c r="D986" i="21"/>
  <c r="E986" i="21"/>
  <c r="F986" i="21"/>
  <c r="A987" i="21"/>
  <c r="B987" i="21"/>
  <c r="C987" i="21"/>
  <c r="D987" i="21"/>
  <c r="E987" i="21"/>
  <c r="F987" i="21"/>
  <c r="A988" i="21"/>
  <c r="B988" i="21"/>
  <c r="C988" i="21"/>
  <c r="D988" i="21"/>
  <c r="E988" i="21"/>
  <c r="F988" i="21"/>
  <c r="A989" i="21"/>
  <c r="B989" i="21"/>
  <c r="C989" i="21"/>
  <c r="D989" i="21"/>
  <c r="E989" i="21"/>
  <c r="F989" i="21"/>
  <c r="A990" i="21"/>
  <c r="B990" i="21"/>
  <c r="C990" i="21"/>
  <c r="D990" i="21"/>
  <c r="E990" i="21"/>
  <c r="F990" i="21"/>
  <c r="A991" i="21"/>
  <c r="B991" i="21"/>
  <c r="C991" i="21"/>
  <c r="D991" i="21"/>
  <c r="E991" i="21"/>
  <c r="F991" i="21"/>
  <c r="A992" i="21"/>
  <c r="B992" i="21"/>
  <c r="C992" i="21"/>
  <c r="D992" i="21"/>
  <c r="E992" i="21"/>
  <c r="F992" i="21"/>
  <c r="A993" i="21"/>
  <c r="B993" i="21"/>
  <c r="C993" i="21"/>
  <c r="D993" i="21"/>
  <c r="E993" i="21"/>
  <c r="F993" i="21"/>
  <c r="A994" i="21"/>
  <c r="B994" i="21"/>
  <c r="C994" i="21"/>
  <c r="D994" i="21"/>
  <c r="E994" i="21"/>
  <c r="F994" i="21"/>
  <c r="A995" i="21"/>
  <c r="B995" i="21"/>
  <c r="C995" i="21"/>
  <c r="D995" i="21"/>
  <c r="E995" i="21"/>
  <c r="F995" i="21"/>
  <c r="A996" i="21"/>
  <c r="B996" i="21"/>
  <c r="C996" i="21"/>
  <c r="D996" i="21"/>
  <c r="E996" i="21"/>
  <c r="F996" i="21"/>
  <c r="A997" i="21"/>
  <c r="B997" i="21"/>
  <c r="C997" i="21"/>
  <c r="D997" i="21"/>
  <c r="E997" i="21"/>
  <c r="F997" i="21"/>
  <c r="A998" i="21"/>
  <c r="B998" i="21"/>
  <c r="C998" i="21"/>
  <c r="D998" i="21"/>
  <c r="E998" i="21"/>
  <c r="F998" i="21"/>
  <c r="A999" i="21"/>
  <c r="B999" i="21"/>
  <c r="C999" i="21"/>
  <c r="D999" i="21"/>
  <c r="E999" i="21"/>
  <c r="F999" i="21"/>
  <c r="A1000" i="21"/>
  <c r="B1000" i="21"/>
  <c r="C1000" i="21"/>
  <c r="D1000" i="21"/>
  <c r="E1000" i="21"/>
  <c r="F1000" i="21"/>
  <c r="C5" i="22"/>
  <c r="D5" i="22"/>
  <c r="E5" i="22"/>
  <c r="F5" i="22"/>
  <c r="C6" i="22"/>
  <c r="D6" i="22"/>
  <c r="E6" i="22"/>
  <c r="F6" i="22"/>
  <c r="C7" i="22"/>
  <c r="D7" i="22"/>
  <c r="E7" i="22"/>
  <c r="F7" i="22"/>
  <c r="C8" i="22"/>
  <c r="D8" i="22"/>
  <c r="E8" i="22"/>
  <c r="F8" i="22"/>
  <c r="C9" i="22"/>
  <c r="D9" i="22"/>
  <c r="E9" i="22"/>
  <c r="F9" i="22"/>
  <c r="C10" i="22"/>
  <c r="D10" i="22"/>
  <c r="E10" i="22"/>
  <c r="F10" i="22"/>
  <c r="C11" i="22"/>
  <c r="D11" i="22"/>
  <c r="E11" i="22"/>
  <c r="F11" i="22"/>
  <c r="C12" i="22"/>
  <c r="D12" i="22"/>
  <c r="E12" i="22"/>
  <c r="F12" i="22"/>
  <c r="C13" i="22"/>
  <c r="D13" i="22"/>
  <c r="E13" i="22"/>
  <c r="F13" i="22"/>
  <c r="C14" i="22"/>
  <c r="D14" i="22"/>
  <c r="E14" i="22"/>
  <c r="F14" i="22"/>
  <c r="C15" i="22"/>
  <c r="D15" i="22"/>
  <c r="E15" i="22"/>
  <c r="F15" i="22"/>
  <c r="C16" i="22"/>
  <c r="D16" i="22"/>
  <c r="E16" i="22"/>
  <c r="F16" i="22"/>
  <c r="C17" i="22"/>
  <c r="D17" i="22"/>
  <c r="E17" i="22"/>
  <c r="F17" i="22"/>
  <c r="C18" i="22"/>
  <c r="D18" i="22"/>
  <c r="E18" i="22"/>
  <c r="F18" i="22"/>
  <c r="C19" i="22"/>
  <c r="D19" i="22"/>
  <c r="E19" i="22"/>
  <c r="F19" i="22"/>
  <c r="C20" i="22"/>
  <c r="D20" i="22"/>
  <c r="E20" i="22"/>
  <c r="F20" i="22"/>
  <c r="C21" i="22"/>
  <c r="D21" i="22"/>
  <c r="E21" i="22"/>
  <c r="F21" i="22"/>
  <c r="C22" i="22"/>
  <c r="D22" i="22"/>
  <c r="E22" i="22"/>
  <c r="F22" i="22"/>
  <c r="C23" i="22"/>
  <c r="D23" i="22"/>
  <c r="E23" i="22"/>
  <c r="F23" i="22"/>
  <c r="C24" i="22"/>
  <c r="D24" i="22"/>
  <c r="E24" i="22"/>
  <c r="F24" i="22"/>
  <c r="C25" i="22"/>
  <c r="D25" i="22"/>
  <c r="E25" i="22"/>
  <c r="F25" i="22"/>
  <c r="C26" i="22"/>
  <c r="D26" i="22"/>
  <c r="E26" i="22"/>
  <c r="F26" i="22"/>
  <c r="C27" i="22"/>
  <c r="D27" i="22"/>
  <c r="E27" i="22"/>
  <c r="F27" i="22"/>
  <c r="C28" i="22"/>
  <c r="D28" i="22"/>
  <c r="E28" i="22"/>
  <c r="F28" i="22"/>
  <c r="C29" i="22"/>
  <c r="D29" i="22"/>
  <c r="E29" i="22"/>
  <c r="F29" i="22"/>
  <c r="C30" i="22"/>
  <c r="D30" i="22"/>
  <c r="E30" i="22"/>
  <c r="F30" i="22"/>
  <c r="C31" i="22"/>
  <c r="D31" i="22"/>
  <c r="E31" i="22"/>
  <c r="F31" i="22"/>
  <c r="C32" i="22"/>
  <c r="D32" i="22"/>
  <c r="E32" i="22"/>
  <c r="F32" i="22"/>
  <c r="C33" i="22"/>
  <c r="D33" i="22"/>
  <c r="E33" i="22"/>
  <c r="F33" i="22"/>
  <c r="C34" i="22"/>
  <c r="D34" i="22"/>
  <c r="E34" i="22"/>
  <c r="F34" i="22"/>
  <c r="C35" i="22"/>
  <c r="D35" i="22"/>
  <c r="E35" i="22"/>
  <c r="F35" i="22"/>
  <c r="C36" i="22"/>
  <c r="D36" i="22"/>
  <c r="E36" i="22"/>
  <c r="F36" i="22"/>
  <c r="C37" i="22"/>
  <c r="D37" i="22"/>
  <c r="E37" i="22"/>
  <c r="F37" i="22"/>
  <c r="C38" i="22"/>
  <c r="D38" i="22"/>
  <c r="E38" i="22"/>
  <c r="F38" i="22"/>
  <c r="C39" i="22"/>
  <c r="D39" i="22"/>
  <c r="E39" i="22"/>
  <c r="F39" i="22"/>
  <c r="C40" i="22"/>
  <c r="D40" i="22"/>
  <c r="E40" i="22"/>
  <c r="F40" i="22"/>
  <c r="C41" i="22"/>
  <c r="D41" i="22"/>
  <c r="E41" i="22"/>
  <c r="F41" i="22"/>
  <c r="C42" i="22"/>
  <c r="D42" i="22"/>
  <c r="E42" i="22"/>
  <c r="F42" i="22"/>
  <c r="C43" i="22"/>
  <c r="D43" i="22"/>
  <c r="E43" i="22"/>
  <c r="F43" i="22"/>
  <c r="C44" i="22"/>
  <c r="D44" i="22"/>
  <c r="E44" i="22"/>
  <c r="F44" i="22"/>
  <c r="C45" i="22"/>
  <c r="D45" i="22"/>
  <c r="E45" i="22"/>
  <c r="F45" i="22"/>
  <c r="C46" i="22"/>
  <c r="D46" i="22"/>
  <c r="E46" i="22"/>
  <c r="F46" i="22"/>
  <c r="C47" i="22"/>
  <c r="D47" i="22"/>
  <c r="E47" i="22"/>
  <c r="F47" i="22"/>
  <c r="C48" i="22"/>
  <c r="D48" i="22"/>
  <c r="E48" i="22"/>
  <c r="F48" i="22"/>
  <c r="C49" i="22"/>
  <c r="D49" i="22"/>
  <c r="E49" i="22"/>
  <c r="F49" i="22"/>
  <c r="C50" i="22"/>
  <c r="D50" i="22"/>
  <c r="E50" i="22"/>
  <c r="F50" i="22"/>
  <c r="C51" i="22"/>
  <c r="D51" i="22"/>
  <c r="E51" i="22"/>
  <c r="F51" i="22"/>
  <c r="C52" i="22"/>
  <c r="D52" i="22"/>
  <c r="E52" i="22"/>
  <c r="F52" i="22"/>
  <c r="C53" i="22"/>
  <c r="D53" i="22"/>
  <c r="E53" i="22"/>
  <c r="F53" i="22"/>
  <c r="C54" i="22"/>
  <c r="D54" i="22"/>
  <c r="E54" i="22"/>
  <c r="F54" i="22"/>
  <c r="C55" i="22"/>
  <c r="D55" i="22"/>
  <c r="E55" i="22"/>
  <c r="F55" i="22"/>
  <c r="C56" i="22"/>
  <c r="D56" i="22"/>
  <c r="E56" i="22"/>
  <c r="F56" i="22"/>
  <c r="C57" i="22"/>
  <c r="D57" i="22"/>
  <c r="E57" i="22"/>
  <c r="F57" i="22"/>
  <c r="C58" i="22"/>
  <c r="D58" i="22"/>
  <c r="E58" i="22"/>
  <c r="F58" i="22"/>
  <c r="C59" i="22"/>
  <c r="D59" i="22"/>
  <c r="E59" i="22"/>
  <c r="F59" i="22"/>
  <c r="C60" i="22"/>
  <c r="D60" i="22"/>
  <c r="E60" i="22"/>
  <c r="F60" i="22"/>
  <c r="C61" i="22"/>
  <c r="D61" i="22"/>
  <c r="E61" i="22"/>
  <c r="F61" i="22"/>
  <c r="C62" i="22"/>
  <c r="D62" i="22"/>
  <c r="E62" i="22"/>
  <c r="F62" i="22"/>
  <c r="C63" i="22"/>
  <c r="D63" i="22"/>
  <c r="E63" i="22"/>
  <c r="F63" i="22"/>
  <c r="C64" i="22"/>
  <c r="D64" i="22"/>
  <c r="E64" i="22"/>
  <c r="F64" i="22"/>
  <c r="C65" i="22"/>
  <c r="D65" i="22"/>
  <c r="E65" i="22"/>
  <c r="F65" i="22"/>
  <c r="C66" i="22"/>
  <c r="D66" i="22"/>
  <c r="E66" i="22"/>
  <c r="F66" i="22"/>
  <c r="C67" i="22"/>
  <c r="D67" i="22"/>
  <c r="E67" i="22"/>
  <c r="F67" i="22"/>
  <c r="C68" i="22"/>
  <c r="D68" i="22"/>
  <c r="E68" i="22"/>
  <c r="F68" i="22"/>
  <c r="C69" i="22"/>
  <c r="D69" i="22"/>
  <c r="E69" i="22"/>
  <c r="F69" i="22"/>
  <c r="C70" i="22"/>
  <c r="D70" i="22"/>
  <c r="E70" i="22"/>
  <c r="F70" i="22"/>
  <c r="C71" i="22"/>
  <c r="D71" i="22"/>
  <c r="E71" i="22"/>
  <c r="F71" i="22"/>
  <c r="C72" i="22"/>
  <c r="D72" i="22"/>
  <c r="E72" i="22"/>
  <c r="F72" i="22"/>
  <c r="C73" i="22"/>
  <c r="D73" i="22"/>
  <c r="E73" i="22"/>
  <c r="F73" i="22"/>
  <c r="C74" i="22"/>
  <c r="D74" i="22"/>
  <c r="E74" i="22"/>
  <c r="F74" i="22"/>
  <c r="C75" i="22"/>
  <c r="D75" i="22"/>
  <c r="E75" i="22"/>
  <c r="F75" i="22"/>
  <c r="C76" i="22"/>
  <c r="D76" i="22"/>
  <c r="E76" i="22"/>
  <c r="F76" i="22"/>
  <c r="C77" i="22"/>
  <c r="D77" i="22"/>
  <c r="E77" i="22"/>
  <c r="F77" i="22"/>
  <c r="C78" i="22"/>
  <c r="D78" i="22"/>
  <c r="E78" i="22"/>
  <c r="F78" i="22"/>
  <c r="C79" i="22"/>
  <c r="D79" i="22"/>
  <c r="E79" i="22"/>
  <c r="F79" i="22"/>
  <c r="C80" i="22"/>
  <c r="D80" i="22"/>
  <c r="E80" i="22"/>
  <c r="F80" i="22"/>
  <c r="C81" i="22"/>
  <c r="D81" i="22"/>
  <c r="E81" i="22"/>
  <c r="F81" i="22"/>
  <c r="C82" i="22"/>
  <c r="D82" i="22"/>
  <c r="E82" i="22"/>
  <c r="F82" i="22"/>
  <c r="C83" i="22"/>
  <c r="D83" i="22"/>
  <c r="E83" i="22"/>
  <c r="F83" i="22"/>
  <c r="C84" i="22"/>
  <c r="D84" i="22"/>
  <c r="E84" i="22"/>
  <c r="F84" i="22"/>
  <c r="C85" i="22"/>
  <c r="D85" i="22"/>
  <c r="E85" i="22"/>
  <c r="F85" i="22"/>
  <c r="C86" i="22"/>
  <c r="D86" i="22"/>
  <c r="E86" i="22"/>
  <c r="F86" i="22"/>
  <c r="C87" i="22"/>
  <c r="D87" i="22"/>
  <c r="E87" i="22"/>
  <c r="F87" i="22"/>
  <c r="C88" i="22"/>
  <c r="D88" i="22"/>
  <c r="E88" i="22"/>
  <c r="F88" i="22"/>
  <c r="C89" i="22"/>
  <c r="D89" i="22"/>
  <c r="E89" i="22"/>
  <c r="F89" i="22"/>
  <c r="C90" i="22"/>
  <c r="D90" i="22"/>
  <c r="E90" i="22"/>
  <c r="F90" i="22"/>
  <c r="C91" i="22"/>
  <c r="D91" i="22"/>
  <c r="E91" i="22"/>
  <c r="F91" i="22"/>
  <c r="C92" i="22"/>
  <c r="D92" i="22"/>
  <c r="E92" i="22"/>
  <c r="F92" i="22"/>
  <c r="C93" i="22"/>
  <c r="D93" i="22"/>
  <c r="E93" i="22"/>
  <c r="F93" i="22"/>
  <c r="C94" i="22"/>
  <c r="D94" i="22"/>
  <c r="E94" i="22"/>
  <c r="F94" i="22"/>
  <c r="C95" i="22"/>
  <c r="D95" i="22"/>
  <c r="E95" i="22"/>
  <c r="F95" i="22"/>
  <c r="C96" i="22"/>
  <c r="D96" i="22"/>
  <c r="E96" i="22"/>
  <c r="F96" i="22"/>
  <c r="C97" i="22"/>
  <c r="D97" i="22"/>
  <c r="E97" i="22"/>
  <c r="F97" i="22"/>
  <c r="C98" i="22"/>
  <c r="D98" i="22"/>
  <c r="E98" i="22"/>
  <c r="F98" i="22"/>
  <c r="C99" i="22"/>
  <c r="D99" i="22"/>
  <c r="E99" i="22"/>
  <c r="F99" i="22"/>
  <c r="C100" i="22"/>
  <c r="D100" i="22"/>
  <c r="E100" i="22"/>
  <c r="F100" i="22"/>
  <c r="C101" i="22"/>
  <c r="D101" i="22"/>
  <c r="E101" i="22"/>
  <c r="F101" i="22"/>
  <c r="C102" i="22"/>
  <c r="D102" i="22"/>
  <c r="E102" i="22"/>
  <c r="F102" i="22"/>
  <c r="C103" i="22"/>
  <c r="D103" i="22"/>
  <c r="E103" i="22"/>
  <c r="F103" i="22"/>
  <c r="C104" i="22"/>
  <c r="D104" i="22"/>
  <c r="E104" i="22"/>
  <c r="F104" i="22"/>
  <c r="C105" i="22"/>
  <c r="D105" i="22"/>
  <c r="E105" i="22"/>
  <c r="F105" i="22"/>
  <c r="C106" i="22"/>
  <c r="D106" i="22"/>
  <c r="E106" i="22"/>
  <c r="F106" i="22"/>
  <c r="C107" i="22"/>
  <c r="D107" i="22"/>
  <c r="E107" i="22"/>
  <c r="F107" i="22"/>
  <c r="C108" i="22"/>
  <c r="D108" i="22"/>
  <c r="E108" i="22"/>
  <c r="F108" i="22"/>
  <c r="C109" i="22"/>
  <c r="D109" i="22"/>
  <c r="E109" i="22"/>
  <c r="F109" i="22"/>
  <c r="C110" i="22"/>
  <c r="D110" i="22"/>
  <c r="E110" i="22"/>
  <c r="F110" i="22"/>
  <c r="C111" i="22"/>
  <c r="D111" i="22"/>
  <c r="E111" i="22"/>
  <c r="F111" i="22"/>
  <c r="C112" i="22"/>
  <c r="D112" i="22"/>
  <c r="E112" i="22"/>
  <c r="F112" i="22"/>
  <c r="C113" i="22"/>
  <c r="D113" i="22"/>
  <c r="E113" i="22"/>
  <c r="F113" i="22"/>
  <c r="C114" i="22"/>
  <c r="D114" i="22"/>
  <c r="E114" i="22"/>
  <c r="F114" i="22"/>
  <c r="B115" i="22"/>
  <c r="C115" i="22"/>
  <c r="D115" i="22"/>
  <c r="E115" i="22"/>
  <c r="F115" i="22"/>
  <c r="B116" i="22"/>
  <c r="C116" i="22"/>
  <c r="D116" i="22"/>
  <c r="E116" i="22"/>
  <c r="F116" i="22"/>
  <c r="B117" i="22"/>
  <c r="C117" i="22"/>
  <c r="D117" i="22"/>
  <c r="E117" i="22"/>
  <c r="F117" i="22"/>
  <c r="B118" i="22"/>
  <c r="C118" i="22"/>
  <c r="D118" i="22"/>
  <c r="E118" i="22"/>
  <c r="F118" i="22"/>
  <c r="B119" i="22"/>
  <c r="C119" i="22"/>
  <c r="D119" i="22"/>
  <c r="E119" i="22"/>
  <c r="F119" i="22"/>
  <c r="B120" i="22"/>
  <c r="C120" i="22"/>
  <c r="D120" i="22"/>
  <c r="E120" i="22"/>
  <c r="F120" i="22"/>
  <c r="B121" i="22"/>
  <c r="C121" i="22"/>
  <c r="D121" i="22"/>
  <c r="E121" i="22"/>
  <c r="F121" i="22"/>
  <c r="B122" i="22"/>
  <c r="C122" i="22"/>
  <c r="D122" i="22"/>
  <c r="E122" i="22"/>
  <c r="F122" i="22"/>
  <c r="B123" i="22"/>
  <c r="C123" i="22"/>
  <c r="D123" i="22"/>
  <c r="E123" i="22"/>
  <c r="F123" i="22"/>
  <c r="B124" i="22"/>
  <c r="C124" i="22"/>
  <c r="D124" i="22"/>
  <c r="E124" i="22"/>
  <c r="F124" i="22"/>
  <c r="B125" i="22"/>
  <c r="C125" i="22"/>
  <c r="D125" i="22"/>
  <c r="E125" i="22"/>
  <c r="F125" i="22"/>
  <c r="B126" i="22"/>
  <c r="C126" i="22"/>
  <c r="D126" i="22"/>
  <c r="E126" i="22"/>
  <c r="F126" i="22"/>
  <c r="B127" i="22"/>
  <c r="C127" i="22"/>
  <c r="D127" i="22"/>
  <c r="E127" i="22"/>
  <c r="F127" i="22"/>
  <c r="B128" i="22"/>
  <c r="C128" i="22"/>
  <c r="D128" i="22"/>
  <c r="E128" i="22"/>
  <c r="F128" i="22"/>
  <c r="B129" i="22"/>
  <c r="C129" i="22"/>
  <c r="D129" i="22"/>
  <c r="E129" i="22"/>
  <c r="F129" i="22"/>
  <c r="B130" i="22"/>
  <c r="C130" i="22"/>
  <c r="D130" i="22"/>
  <c r="E130" i="22"/>
  <c r="F130" i="22"/>
  <c r="B131" i="22"/>
  <c r="C131" i="22"/>
  <c r="D131" i="22"/>
  <c r="E131" i="22"/>
  <c r="F131" i="22"/>
  <c r="B132" i="22"/>
  <c r="C132" i="22"/>
  <c r="D132" i="22"/>
  <c r="E132" i="22"/>
  <c r="F132" i="22"/>
  <c r="B133" i="22"/>
  <c r="C133" i="22"/>
  <c r="D133" i="22"/>
  <c r="E133" i="22"/>
  <c r="F133" i="22"/>
  <c r="B134" i="22"/>
  <c r="C134" i="22"/>
  <c r="D134" i="22"/>
  <c r="E134" i="22"/>
  <c r="F134" i="22"/>
  <c r="B135" i="22"/>
  <c r="C135" i="22"/>
  <c r="D135" i="22"/>
  <c r="E135" i="22"/>
  <c r="F135" i="22"/>
  <c r="B136" i="22"/>
  <c r="C136" i="22"/>
  <c r="D136" i="22"/>
  <c r="E136" i="22"/>
  <c r="F136" i="22"/>
  <c r="B137" i="22"/>
  <c r="C137" i="22"/>
  <c r="D137" i="22"/>
  <c r="E137" i="22"/>
  <c r="F137" i="22"/>
  <c r="B138" i="22"/>
  <c r="C138" i="22"/>
  <c r="D138" i="22"/>
  <c r="E138" i="22"/>
  <c r="F138" i="22"/>
  <c r="B139" i="22"/>
  <c r="C139" i="22"/>
  <c r="D139" i="22"/>
  <c r="E139" i="22"/>
  <c r="F139" i="22"/>
  <c r="B140" i="22"/>
  <c r="C140" i="22"/>
  <c r="D140" i="22"/>
  <c r="E140" i="22"/>
  <c r="F140" i="22"/>
  <c r="B141" i="22"/>
  <c r="C141" i="22"/>
  <c r="D141" i="22"/>
  <c r="E141" i="22"/>
  <c r="F141" i="22"/>
  <c r="B142" i="22"/>
  <c r="C142" i="22"/>
  <c r="D142" i="22"/>
  <c r="E142" i="22"/>
  <c r="F142" i="22"/>
  <c r="B143" i="22"/>
  <c r="C143" i="22"/>
  <c r="D143" i="22"/>
  <c r="E143" i="22"/>
  <c r="F143" i="22"/>
  <c r="B144" i="22"/>
  <c r="C144" i="22"/>
  <c r="D144" i="22"/>
  <c r="E144" i="22"/>
  <c r="F144" i="22"/>
  <c r="B145" i="22"/>
  <c r="C145" i="22"/>
  <c r="D145" i="22"/>
  <c r="E145" i="22"/>
  <c r="F145" i="22"/>
  <c r="B146" i="22"/>
  <c r="C146" i="22"/>
  <c r="D146" i="22"/>
  <c r="E146" i="22"/>
  <c r="F146" i="22"/>
  <c r="B147" i="22"/>
  <c r="C147" i="22"/>
  <c r="D147" i="22"/>
  <c r="E147" i="22"/>
  <c r="F147" i="22"/>
  <c r="C148" i="22"/>
  <c r="D148" i="22"/>
  <c r="E148" i="22"/>
  <c r="F148" i="22"/>
  <c r="C149" i="22"/>
  <c r="D149" i="22"/>
  <c r="E149" i="22"/>
  <c r="F149" i="22"/>
  <c r="C150" i="22"/>
  <c r="D150" i="22"/>
  <c r="E150" i="22"/>
  <c r="F150" i="22"/>
  <c r="C151" i="22"/>
  <c r="D151" i="22"/>
  <c r="E151" i="22"/>
  <c r="F151" i="22"/>
  <c r="C152" i="22"/>
  <c r="D152" i="22"/>
  <c r="E152" i="22"/>
  <c r="F152" i="22"/>
  <c r="C153" i="22"/>
  <c r="D153" i="22"/>
  <c r="E153" i="22"/>
  <c r="F153" i="22"/>
  <c r="C154" i="22"/>
  <c r="D154" i="22"/>
  <c r="E154" i="22"/>
  <c r="F154" i="22"/>
  <c r="C155" i="22"/>
  <c r="D155" i="22"/>
  <c r="E155" i="22"/>
  <c r="F155" i="22"/>
  <c r="C156" i="22"/>
  <c r="D156" i="22"/>
  <c r="E156" i="22"/>
  <c r="F156" i="22"/>
  <c r="C157" i="22"/>
  <c r="D157" i="22"/>
  <c r="E157" i="22"/>
  <c r="F157" i="22"/>
  <c r="C158" i="22"/>
  <c r="D158" i="22"/>
  <c r="E158" i="22"/>
  <c r="F158" i="22"/>
  <c r="C159" i="22"/>
  <c r="D159" i="22"/>
  <c r="E159" i="22"/>
  <c r="F159" i="22"/>
  <c r="C160" i="22"/>
  <c r="D160" i="22"/>
  <c r="E160" i="22"/>
  <c r="F160" i="22"/>
  <c r="C161" i="22"/>
  <c r="D161" i="22"/>
  <c r="E161" i="22"/>
  <c r="F161" i="22"/>
  <c r="C162" i="22"/>
  <c r="D162" i="22"/>
  <c r="E162" i="22"/>
  <c r="F162" i="22"/>
  <c r="C163" i="22"/>
  <c r="D163" i="22"/>
  <c r="E163" i="22"/>
  <c r="F163" i="22"/>
  <c r="C164" i="22"/>
  <c r="D164" i="22"/>
  <c r="E164" i="22"/>
  <c r="F164" i="22"/>
  <c r="C165" i="22"/>
  <c r="D165" i="22"/>
  <c r="E165" i="22"/>
  <c r="F165" i="22"/>
  <c r="C166" i="22"/>
  <c r="D166" i="22"/>
  <c r="E166" i="22"/>
  <c r="F166" i="22"/>
  <c r="C167" i="22"/>
  <c r="D167" i="22"/>
  <c r="E167" i="22"/>
  <c r="F167" i="22"/>
  <c r="C168" i="22"/>
  <c r="D168" i="22"/>
  <c r="E168" i="22"/>
  <c r="F168" i="22"/>
  <c r="C169" i="22"/>
  <c r="D169" i="22"/>
  <c r="E169" i="22"/>
  <c r="F169" i="22"/>
  <c r="C170" i="22"/>
  <c r="D170" i="22"/>
  <c r="E170" i="22"/>
  <c r="F170" i="22"/>
  <c r="C171" i="22"/>
  <c r="D171" i="22"/>
  <c r="E171" i="22"/>
  <c r="F171" i="22"/>
  <c r="C172" i="22"/>
  <c r="D172" i="22"/>
  <c r="E172" i="22"/>
  <c r="F172" i="22"/>
  <c r="C173" i="22"/>
  <c r="D173" i="22"/>
  <c r="E173" i="22"/>
  <c r="F173" i="22"/>
  <c r="C174" i="22"/>
  <c r="D174" i="22"/>
  <c r="E174" i="22"/>
  <c r="F174" i="22"/>
  <c r="C175" i="22"/>
  <c r="D175" i="22"/>
  <c r="E175" i="22"/>
  <c r="F175" i="22"/>
  <c r="C176" i="22"/>
  <c r="D176" i="22"/>
  <c r="E176" i="22"/>
  <c r="F176" i="22"/>
  <c r="C177" i="22"/>
  <c r="D177" i="22"/>
  <c r="E177" i="22"/>
  <c r="F177" i="22"/>
  <c r="C178" i="22"/>
  <c r="D178" i="22"/>
  <c r="E178" i="22"/>
  <c r="F178" i="22"/>
  <c r="C179" i="22"/>
  <c r="D179" i="22"/>
  <c r="E179" i="22"/>
  <c r="F179" i="22"/>
  <c r="C180" i="22"/>
  <c r="D180" i="22"/>
  <c r="E180" i="22"/>
  <c r="F180" i="22"/>
  <c r="C181" i="22"/>
  <c r="D181" i="22"/>
  <c r="E181" i="22"/>
  <c r="F181" i="22"/>
  <c r="C182" i="22"/>
  <c r="D182" i="22"/>
  <c r="E182" i="22"/>
  <c r="F182" i="22"/>
  <c r="C183" i="22"/>
  <c r="D183" i="22"/>
  <c r="E183" i="22"/>
  <c r="F183" i="22"/>
  <c r="C184" i="22"/>
  <c r="D184" i="22"/>
  <c r="E184" i="22"/>
  <c r="F184" i="22"/>
  <c r="C185" i="22"/>
  <c r="D185" i="22"/>
  <c r="E185" i="22"/>
  <c r="F185" i="22"/>
  <c r="C186" i="22"/>
  <c r="D186" i="22"/>
  <c r="E186" i="22"/>
  <c r="F186" i="22"/>
  <c r="C187" i="22"/>
  <c r="D187" i="22"/>
  <c r="E187" i="22"/>
  <c r="F187" i="22"/>
  <c r="C188" i="22"/>
  <c r="D188" i="22"/>
  <c r="E188" i="22"/>
  <c r="F188" i="22"/>
  <c r="C189" i="22"/>
  <c r="D189" i="22"/>
  <c r="E189" i="22"/>
  <c r="F189" i="22"/>
  <c r="C190" i="22"/>
  <c r="D190" i="22"/>
  <c r="E190" i="22"/>
  <c r="F190" i="22"/>
  <c r="C191" i="22"/>
  <c r="D191" i="22"/>
  <c r="E191" i="22"/>
  <c r="F191" i="22"/>
  <c r="C192" i="22"/>
  <c r="D192" i="22"/>
  <c r="E192" i="22"/>
  <c r="F192" i="22"/>
  <c r="C193" i="22"/>
  <c r="D193" i="22"/>
  <c r="E193" i="22"/>
  <c r="F193" i="22"/>
  <c r="C194" i="22"/>
  <c r="D194" i="22"/>
  <c r="E194" i="22"/>
  <c r="F194" i="22"/>
  <c r="C195" i="22"/>
  <c r="D195" i="22"/>
  <c r="E195" i="22"/>
  <c r="F195" i="22"/>
  <c r="C196" i="22"/>
  <c r="D196" i="22"/>
  <c r="E196" i="22"/>
  <c r="F196" i="22"/>
  <c r="C197" i="22"/>
  <c r="D197" i="22"/>
  <c r="E197" i="22"/>
  <c r="F197" i="22"/>
  <c r="C198" i="22"/>
  <c r="D198" i="22"/>
  <c r="E198" i="22"/>
  <c r="F198" i="22"/>
  <c r="C199" i="22"/>
  <c r="D199" i="22"/>
  <c r="E199" i="22"/>
  <c r="F199" i="22"/>
  <c r="C200" i="22"/>
  <c r="D200" i="22"/>
  <c r="E200" i="22"/>
  <c r="F200" i="22"/>
  <c r="C201" i="22"/>
  <c r="D201" i="22"/>
  <c r="E201" i="22"/>
  <c r="F201" i="22"/>
  <c r="C202" i="22"/>
  <c r="D202" i="22"/>
  <c r="E202" i="22"/>
  <c r="F202" i="22"/>
  <c r="C203" i="22"/>
  <c r="D203" i="22"/>
  <c r="E203" i="22"/>
  <c r="F203" i="22"/>
  <c r="C204" i="22"/>
  <c r="D204" i="22"/>
  <c r="E204" i="22"/>
  <c r="F204" i="22"/>
  <c r="C205" i="22"/>
  <c r="D205" i="22"/>
  <c r="E205" i="22"/>
  <c r="F205" i="22"/>
  <c r="C206" i="22"/>
  <c r="D206" i="22"/>
  <c r="E206" i="22"/>
  <c r="F206" i="22"/>
  <c r="C207" i="22"/>
  <c r="D207" i="22"/>
  <c r="E207" i="22"/>
  <c r="F207" i="22"/>
  <c r="C208" i="22"/>
  <c r="D208" i="22"/>
  <c r="E208" i="22"/>
  <c r="F208" i="22"/>
  <c r="C209" i="22"/>
  <c r="D209" i="22"/>
  <c r="E209" i="22"/>
  <c r="F209" i="22"/>
  <c r="C210" i="22"/>
  <c r="D210" i="22"/>
  <c r="E210" i="22"/>
  <c r="F210" i="22"/>
  <c r="C211" i="22"/>
  <c r="D211" i="22"/>
  <c r="E211" i="22"/>
  <c r="F211" i="22"/>
  <c r="C212" i="22"/>
  <c r="D212" i="22"/>
  <c r="E212" i="22"/>
  <c r="F212" i="22"/>
  <c r="C213" i="22"/>
  <c r="D213" i="22"/>
  <c r="E213" i="22"/>
  <c r="F213" i="22"/>
  <c r="C214" i="22"/>
  <c r="D214" i="22"/>
  <c r="E214" i="22"/>
  <c r="F214" i="22"/>
  <c r="C215" i="22"/>
  <c r="D215" i="22"/>
  <c r="E215" i="22"/>
  <c r="F215" i="22"/>
  <c r="C216" i="22"/>
  <c r="D216" i="22"/>
  <c r="E216" i="22"/>
  <c r="F216" i="22"/>
  <c r="C217" i="22"/>
  <c r="D217" i="22"/>
  <c r="E217" i="22"/>
  <c r="F217" i="22"/>
  <c r="C218" i="22"/>
  <c r="D218" i="22"/>
  <c r="E218" i="22"/>
  <c r="F218" i="22"/>
  <c r="C219" i="22"/>
  <c r="D219" i="22"/>
  <c r="E219" i="22"/>
  <c r="F219" i="22"/>
  <c r="C220" i="22"/>
  <c r="D220" i="22"/>
  <c r="E220" i="22"/>
  <c r="F220" i="22"/>
  <c r="C221" i="22"/>
  <c r="D221" i="22"/>
  <c r="E221" i="22"/>
  <c r="F221" i="22"/>
  <c r="C222" i="22"/>
  <c r="D222" i="22"/>
  <c r="E222" i="22"/>
  <c r="F222" i="22"/>
  <c r="C223" i="22"/>
  <c r="D223" i="22"/>
  <c r="E223" i="22"/>
  <c r="F223" i="22"/>
  <c r="C224" i="22"/>
  <c r="D224" i="22"/>
  <c r="E224" i="22"/>
  <c r="F224" i="22"/>
  <c r="C225" i="22"/>
  <c r="D225" i="22"/>
  <c r="E225" i="22"/>
  <c r="F225" i="22"/>
  <c r="C226" i="22"/>
  <c r="D226" i="22"/>
  <c r="E226" i="22"/>
  <c r="F226" i="22"/>
  <c r="C227" i="22"/>
  <c r="D227" i="22"/>
  <c r="E227" i="22"/>
  <c r="F227" i="22"/>
  <c r="C228" i="22"/>
  <c r="D228" i="22"/>
  <c r="E228" i="22"/>
  <c r="F228" i="22"/>
  <c r="C229" i="22"/>
  <c r="D229" i="22"/>
  <c r="E229" i="22"/>
  <c r="F229" i="22"/>
  <c r="C230" i="22"/>
  <c r="D230" i="22"/>
  <c r="E230" i="22"/>
  <c r="F230" i="22"/>
  <c r="C231" i="22"/>
  <c r="D231" i="22"/>
  <c r="E231" i="22"/>
  <c r="F231" i="22"/>
  <c r="C232" i="22"/>
  <c r="D232" i="22"/>
  <c r="E232" i="22"/>
  <c r="F232" i="22"/>
  <c r="C233" i="22"/>
  <c r="D233" i="22"/>
  <c r="E233" i="22"/>
  <c r="F233" i="22"/>
  <c r="C234" i="22"/>
  <c r="D234" i="22"/>
  <c r="E234" i="22"/>
  <c r="F234" i="22"/>
  <c r="C235" i="22"/>
  <c r="D235" i="22"/>
  <c r="E235" i="22"/>
  <c r="F235" i="22"/>
  <c r="C236" i="22"/>
  <c r="D236" i="22"/>
  <c r="E236" i="22"/>
  <c r="F236" i="22"/>
  <c r="C237" i="22"/>
  <c r="D237" i="22"/>
  <c r="E237" i="22"/>
  <c r="F237" i="22"/>
  <c r="C238" i="22"/>
  <c r="D238" i="22"/>
  <c r="E238" i="22"/>
  <c r="F238" i="22"/>
  <c r="C239" i="22"/>
  <c r="D239" i="22"/>
  <c r="E239" i="22"/>
  <c r="F239" i="22"/>
  <c r="C240" i="22"/>
  <c r="D240" i="22"/>
  <c r="E240" i="22"/>
  <c r="F240" i="22"/>
  <c r="C241" i="22"/>
  <c r="D241" i="22"/>
  <c r="E241" i="22"/>
  <c r="F241" i="22"/>
  <c r="C242" i="22"/>
  <c r="D242" i="22"/>
  <c r="E242" i="22"/>
  <c r="F242" i="22"/>
  <c r="C243" i="22"/>
  <c r="D243" i="22"/>
  <c r="E243" i="22"/>
  <c r="F243" i="22"/>
  <c r="C244" i="22"/>
  <c r="D244" i="22"/>
  <c r="E244" i="22"/>
  <c r="F244" i="22"/>
  <c r="C245" i="22"/>
  <c r="D245" i="22"/>
  <c r="E245" i="22"/>
  <c r="F245" i="22"/>
  <c r="C246" i="22"/>
  <c r="D246" i="22"/>
  <c r="E246" i="22"/>
  <c r="F246" i="22"/>
  <c r="C247" i="22"/>
  <c r="D247" i="22"/>
  <c r="E247" i="22"/>
  <c r="F247" i="22"/>
  <c r="C248" i="22"/>
  <c r="D248" i="22"/>
  <c r="E248" i="22"/>
  <c r="F248" i="22"/>
  <c r="C249" i="22"/>
  <c r="D249" i="22"/>
  <c r="E249" i="22"/>
  <c r="F249" i="22"/>
  <c r="C250" i="22"/>
  <c r="D250" i="22"/>
  <c r="E250" i="22"/>
  <c r="F250" i="22"/>
  <c r="C251" i="22"/>
  <c r="D251" i="22"/>
  <c r="E251" i="22"/>
  <c r="F251" i="22"/>
  <c r="C252" i="22"/>
  <c r="D252" i="22"/>
  <c r="E252" i="22"/>
  <c r="F252" i="22"/>
  <c r="C253" i="22"/>
  <c r="D253" i="22"/>
  <c r="E253" i="22"/>
  <c r="F253" i="22"/>
  <c r="C254" i="22"/>
  <c r="D254" i="22"/>
  <c r="E254" i="22"/>
  <c r="F254" i="22"/>
  <c r="C255" i="22"/>
  <c r="D255" i="22"/>
  <c r="E255" i="22"/>
  <c r="F255" i="22"/>
  <c r="C256" i="22"/>
  <c r="D256" i="22"/>
  <c r="E256" i="22"/>
  <c r="F256" i="22"/>
  <c r="C257" i="22"/>
  <c r="D257" i="22"/>
  <c r="E257" i="22"/>
  <c r="F257" i="22"/>
  <c r="C258" i="22"/>
  <c r="D258" i="22"/>
  <c r="E258" i="22"/>
  <c r="F258" i="22"/>
  <c r="C259" i="22"/>
  <c r="D259" i="22"/>
  <c r="E259" i="22"/>
  <c r="F259" i="22"/>
  <c r="C260" i="22"/>
  <c r="D260" i="22"/>
  <c r="E260" i="22"/>
  <c r="F260" i="22"/>
  <c r="C261" i="22"/>
  <c r="D261" i="22"/>
  <c r="E261" i="22"/>
  <c r="F261" i="22"/>
  <c r="C262" i="22"/>
  <c r="D262" i="22"/>
  <c r="E262" i="22"/>
  <c r="F262" i="22"/>
  <c r="C263" i="22"/>
  <c r="D263" i="22"/>
  <c r="E263" i="22"/>
  <c r="F263" i="22"/>
  <c r="C264" i="22"/>
  <c r="D264" i="22"/>
  <c r="E264" i="22"/>
  <c r="F264" i="22"/>
  <c r="C265" i="22"/>
  <c r="D265" i="22"/>
  <c r="E265" i="22"/>
  <c r="F265" i="22"/>
  <c r="C266" i="22"/>
  <c r="D266" i="22"/>
  <c r="E266" i="22"/>
  <c r="F266" i="22"/>
  <c r="C267" i="22"/>
  <c r="D267" i="22"/>
  <c r="E267" i="22"/>
  <c r="F267" i="22"/>
  <c r="C268" i="22"/>
  <c r="D268" i="22"/>
  <c r="E268" i="22"/>
  <c r="F268" i="22"/>
  <c r="C269" i="22"/>
  <c r="D269" i="22"/>
  <c r="E269" i="22"/>
  <c r="F269" i="22"/>
  <c r="C270" i="22"/>
  <c r="D270" i="22"/>
  <c r="E270" i="22"/>
  <c r="F270" i="22"/>
  <c r="C271" i="22"/>
  <c r="D271" i="22"/>
  <c r="E271" i="22"/>
  <c r="F271" i="22"/>
  <c r="C272" i="22"/>
  <c r="D272" i="22"/>
  <c r="E272" i="22"/>
  <c r="F272" i="22"/>
  <c r="C273" i="22"/>
  <c r="D273" i="22"/>
  <c r="E273" i="22"/>
  <c r="F273" i="22"/>
  <c r="C274" i="22"/>
  <c r="D274" i="22"/>
  <c r="E274" i="22"/>
  <c r="F274" i="22"/>
  <c r="C275" i="22"/>
  <c r="D275" i="22"/>
  <c r="E275" i="22"/>
  <c r="F275" i="22"/>
  <c r="C276" i="22"/>
  <c r="D276" i="22"/>
  <c r="E276" i="22"/>
  <c r="F276" i="22"/>
  <c r="C277" i="22"/>
  <c r="D277" i="22"/>
  <c r="E277" i="22"/>
  <c r="F277" i="22"/>
  <c r="C278" i="22"/>
  <c r="D278" i="22"/>
  <c r="E278" i="22"/>
  <c r="F278" i="22"/>
  <c r="C279" i="22"/>
  <c r="D279" i="22"/>
  <c r="E279" i="22"/>
  <c r="F279" i="22"/>
  <c r="C280" i="22"/>
  <c r="D280" i="22"/>
  <c r="E280" i="22"/>
  <c r="F280" i="22"/>
  <c r="C281" i="22"/>
  <c r="D281" i="22"/>
  <c r="E281" i="22"/>
  <c r="F281" i="22"/>
  <c r="C282" i="22"/>
  <c r="D282" i="22"/>
  <c r="E282" i="22"/>
  <c r="F282" i="22"/>
  <c r="C283" i="22"/>
  <c r="D283" i="22"/>
  <c r="E283" i="22"/>
  <c r="F283" i="22"/>
  <c r="C284" i="22"/>
  <c r="D284" i="22"/>
  <c r="E284" i="22"/>
  <c r="F284" i="22"/>
  <c r="C285" i="22"/>
  <c r="D285" i="22"/>
  <c r="E285" i="22"/>
  <c r="F285" i="22"/>
  <c r="C286" i="22"/>
  <c r="D286" i="22"/>
  <c r="E286" i="22"/>
  <c r="F286" i="22"/>
  <c r="C287" i="22"/>
  <c r="D287" i="22"/>
  <c r="E287" i="22"/>
  <c r="F287" i="22"/>
  <c r="C288" i="22"/>
  <c r="D288" i="22"/>
  <c r="E288" i="22"/>
  <c r="F288" i="22"/>
  <c r="C289" i="22"/>
  <c r="D289" i="22"/>
  <c r="E289" i="22"/>
  <c r="F289" i="22"/>
  <c r="C290" i="22"/>
  <c r="D290" i="22"/>
  <c r="E290" i="22"/>
  <c r="F290" i="22"/>
  <c r="C291" i="22"/>
  <c r="D291" i="22"/>
  <c r="E291" i="22"/>
  <c r="F291" i="22"/>
  <c r="C292" i="22"/>
  <c r="D292" i="22"/>
  <c r="E292" i="22"/>
  <c r="F292" i="22"/>
  <c r="C293" i="22"/>
  <c r="D293" i="22"/>
  <c r="E293" i="22"/>
  <c r="F293" i="22"/>
  <c r="C294" i="22"/>
  <c r="D294" i="22"/>
  <c r="E294" i="22"/>
  <c r="F294" i="22"/>
  <c r="C295" i="22"/>
  <c r="D295" i="22"/>
  <c r="E295" i="22"/>
  <c r="F295" i="22"/>
  <c r="C296" i="22"/>
  <c r="D296" i="22"/>
  <c r="E296" i="22"/>
  <c r="F296" i="22"/>
  <c r="C297" i="22"/>
  <c r="D297" i="22"/>
  <c r="E297" i="22"/>
  <c r="F297" i="22"/>
  <c r="C298" i="22"/>
  <c r="D298" i="22"/>
  <c r="E298" i="22"/>
  <c r="F298" i="22"/>
  <c r="C299" i="22"/>
  <c r="D299" i="22"/>
  <c r="E299" i="22"/>
  <c r="F299" i="22"/>
  <c r="C300" i="22"/>
  <c r="D300" i="22"/>
  <c r="E300" i="22"/>
  <c r="F300" i="22"/>
  <c r="C301" i="22"/>
  <c r="D301" i="22"/>
  <c r="E301" i="22"/>
  <c r="F301" i="22"/>
  <c r="C302" i="22"/>
  <c r="D302" i="22"/>
  <c r="E302" i="22"/>
  <c r="F302" i="22"/>
  <c r="C303" i="22"/>
  <c r="D303" i="22"/>
  <c r="E303" i="22"/>
  <c r="F303" i="22"/>
  <c r="C304" i="22"/>
  <c r="D304" i="22"/>
  <c r="E304" i="22"/>
  <c r="F304" i="22"/>
  <c r="C305" i="22"/>
  <c r="D305" i="22"/>
  <c r="E305" i="22"/>
  <c r="F305" i="22"/>
  <c r="C306" i="22"/>
  <c r="D306" i="22"/>
  <c r="E306" i="22"/>
  <c r="F306" i="22"/>
  <c r="C307" i="22"/>
  <c r="D307" i="22"/>
  <c r="E307" i="22"/>
  <c r="F307" i="22"/>
  <c r="C308" i="22"/>
  <c r="D308" i="22"/>
  <c r="E308" i="22"/>
  <c r="F308" i="22"/>
  <c r="C309" i="22"/>
  <c r="D309" i="22"/>
  <c r="E309" i="22"/>
  <c r="F309" i="22"/>
  <c r="C310" i="22"/>
  <c r="D310" i="22"/>
  <c r="E310" i="22"/>
  <c r="F310" i="22"/>
  <c r="C311" i="22"/>
  <c r="D311" i="22"/>
  <c r="E311" i="22"/>
  <c r="F311" i="22"/>
  <c r="C312" i="22"/>
  <c r="D312" i="22"/>
  <c r="E312" i="22"/>
  <c r="F312" i="22"/>
  <c r="C313" i="22"/>
  <c r="D313" i="22"/>
  <c r="E313" i="22"/>
  <c r="F313" i="22"/>
  <c r="C314" i="22"/>
  <c r="D314" i="22"/>
  <c r="E314" i="22"/>
  <c r="F314" i="22"/>
  <c r="C315" i="22"/>
  <c r="D315" i="22"/>
  <c r="E315" i="22"/>
  <c r="F315" i="22"/>
  <c r="C316" i="22"/>
  <c r="D316" i="22"/>
  <c r="E316" i="22"/>
  <c r="F316" i="22"/>
  <c r="C317" i="22"/>
  <c r="D317" i="22"/>
  <c r="E317" i="22"/>
  <c r="F317" i="22"/>
  <c r="C318" i="22"/>
  <c r="D318" i="22"/>
  <c r="E318" i="22"/>
  <c r="F318" i="22"/>
  <c r="C319" i="22"/>
  <c r="D319" i="22"/>
  <c r="E319" i="22"/>
  <c r="F319" i="22"/>
  <c r="C320" i="22"/>
  <c r="D320" i="22"/>
  <c r="E320" i="22"/>
  <c r="F320" i="22"/>
  <c r="C321" i="22"/>
  <c r="D321" i="22"/>
  <c r="E321" i="22"/>
  <c r="F321" i="22"/>
  <c r="C322" i="22"/>
  <c r="D322" i="22"/>
  <c r="E322" i="22"/>
  <c r="F322" i="22"/>
  <c r="C323" i="22"/>
  <c r="D323" i="22"/>
  <c r="E323" i="22"/>
  <c r="F323" i="22"/>
  <c r="C324" i="22"/>
  <c r="D324" i="22"/>
  <c r="E324" i="22"/>
  <c r="F324" i="22"/>
  <c r="C325" i="22"/>
  <c r="D325" i="22"/>
  <c r="E325" i="22"/>
  <c r="F325" i="22"/>
  <c r="C326" i="22"/>
  <c r="D326" i="22"/>
  <c r="E326" i="22"/>
  <c r="F326" i="22"/>
  <c r="C327" i="22"/>
  <c r="D327" i="22"/>
  <c r="E327" i="22"/>
  <c r="F327" i="22"/>
  <c r="C328" i="22"/>
  <c r="D328" i="22"/>
  <c r="E328" i="22"/>
  <c r="F328" i="22"/>
  <c r="C329" i="22"/>
  <c r="D329" i="22"/>
  <c r="E329" i="22"/>
  <c r="F329" i="22"/>
  <c r="C330" i="22"/>
  <c r="D330" i="22"/>
  <c r="E330" i="22"/>
  <c r="F330" i="22"/>
  <c r="C331" i="22"/>
  <c r="D331" i="22"/>
  <c r="E331" i="22"/>
  <c r="F331" i="22"/>
  <c r="C332" i="22"/>
  <c r="D332" i="22"/>
  <c r="E332" i="22"/>
  <c r="F332" i="22"/>
  <c r="C333" i="22"/>
  <c r="D333" i="22"/>
  <c r="E333" i="22"/>
  <c r="F333" i="22"/>
  <c r="C334" i="22"/>
  <c r="D334" i="22"/>
  <c r="E334" i="22"/>
  <c r="F334" i="22"/>
  <c r="C335" i="22"/>
  <c r="D335" i="22"/>
  <c r="E335" i="22"/>
  <c r="F335" i="22"/>
  <c r="C336" i="22"/>
  <c r="D336" i="22"/>
  <c r="E336" i="22"/>
  <c r="F336" i="22"/>
  <c r="C337" i="22"/>
  <c r="D337" i="22"/>
  <c r="E337" i="22"/>
  <c r="F337" i="22"/>
  <c r="C338" i="22"/>
  <c r="D338" i="22"/>
  <c r="E338" i="22"/>
  <c r="F338" i="22"/>
  <c r="C339" i="22"/>
  <c r="D339" i="22"/>
  <c r="E339" i="22"/>
  <c r="F339" i="22"/>
  <c r="C340" i="22"/>
  <c r="D340" i="22"/>
  <c r="E340" i="22"/>
  <c r="F340" i="22"/>
  <c r="C341" i="22"/>
  <c r="D341" i="22"/>
  <c r="E341" i="22"/>
  <c r="F341" i="22"/>
  <c r="C342" i="22"/>
  <c r="D342" i="22"/>
  <c r="E342" i="22"/>
  <c r="F342" i="22"/>
  <c r="C343" i="22"/>
  <c r="D343" i="22"/>
  <c r="E343" i="22"/>
  <c r="F343" i="22"/>
  <c r="C344" i="22"/>
  <c r="D344" i="22"/>
  <c r="E344" i="22"/>
  <c r="F344" i="22"/>
  <c r="C345" i="22"/>
  <c r="D345" i="22"/>
  <c r="E345" i="22"/>
  <c r="F345" i="22"/>
  <c r="C346" i="22"/>
  <c r="D346" i="22"/>
  <c r="E346" i="22"/>
  <c r="F346" i="22"/>
  <c r="C347" i="22"/>
  <c r="D347" i="22"/>
  <c r="E347" i="22"/>
  <c r="F347" i="22"/>
  <c r="C348" i="22"/>
  <c r="D348" i="22"/>
  <c r="E348" i="22"/>
  <c r="F348" i="22"/>
  <c r="C349" i="22"/>
  <c r="D349" i="22"/>
  <c r="E349" i="22"/>
  <c r="F349" i="22"/>
  <c r="C350" i="22"/>
  <c r="D350" i="22"/>
  <c r="E350" i="22"/>
  <c r="F350" i="22"/>
  <c r="C351" i="22"/>
  <c r="D351" i="22"/>
  <c r="E351" i="22"/>
  <c r="F351" i="22"/>
  <c r="C352" i="22"/>
  <c r="D352" i="22"/>
  <c r="E352" i="22"/>
  <c r="F352" i="22"/>
  <c r="C353" i="22"/>
  <c r="D353" i="22"/>
  <c r="E353" i="22"/>
  <c r="F353" i="22"/>
  <c r="C354" i="22"/>
  <c r="D354" i="22"/>
  <c r="E354" i="22"/>
  <c r="F354" i="22"/>
  <c r="C355" i="22"/>
  <c r="D355" i="22"/>
  <c r="E355" i="22"/>
  <c r="F355" i="22"/>
  <c r="C356" i="22"/>
  <c r="D356" i="22"/>
  <c r="E356" i="22"/>
  <c r="F356" i="22"/>
  <c r="C357" i="22"/>
  <c r="D357" i="22"/>
  <c r="E357" i="22"/>
  <c r="F357" i="22"/>
  <c r="C358" i="22"/>
  <c r="D358" i="22"/>
  <c r="E358" i="22"/>
  <c r="F358" i="22"/>
  <c r="C359" i="22"/>
  <c r="D359" i="22"/>
  <c r="E359" i="22"/>
  <c r="F359" i="22"/>
  <c r="C360" i="22"/>
  <c r="D360" i="22"/>
  <c r="E360" i="22"/>
  <c r="F360" i="22"/>
  <c r="C361" i="22"/>
  <c r="D361" i="22"/>
  <c r="E361" i="22"/>
  <c r="F361" i="22"/>
  <c r="C362" i="22"/>
  <c r="D362" i="22"/>
  <c r="E362" i="22"/>
  <c r="F362" i="22"/>
  <c r="C363" i="22"/>
  <c r="D363" i="22"/>
  <c r="E363" i="22"/>
  <c r="F363" i="22"/>
  <c r="C364" i="22"/>
  <c r="D364" i="22"/>
  <c r="E364" i="22"/>
  <c r="F364" i="22"/>
  <c r="C365" i="22"/>
  <c r="D365" i="22"/>
  <c r="E365" i="22"/>
  <c r="F365" i="22"/>
  <c r="C366" i="22"/>
  <c r="D366" i="22"/>
  <c r="E366" i="22"/>
  <c r="F366" i="22"/>
  <c r="C367" i="22"/>
  <c r="D367" i="22"/>
  <c r="E367" i="22"/>
  <c r="F367" i="22"/>
  <c r="C368" i="22"/>
  <c r="D368" i="22"/>
  <c r="E368" i="22"/>
  <c r="F368" i="22"/>
  <c r="C369" i="22"/>
  <c r="D369" i="22"/>
  <c r="E369" i="22"/>
  <c r="F369" i="22"/>
  <c r="C370" i="22"/>
  <c r="D370" i="22"/>
  <c r="E370" i="22"/>
  <c r="F370" i="22"/>
  <c r="C371" i="22"/>
  <c r="D371" i="22"/>
  <c r="E371" i="22"/>
  <c r="F371" i="22"/>
  <c r="C372" i="22"/>
  <c r="D372" i="22"/>
  <c r="E372" i="22"/>
  <c r="F372" i="22"/>
  <c r="C373" i="22"/>
  <c r="D373" i="22"/>
  <c r="E373" i="22"/>
  <c r="F373" i="22"/>
  <c r="C374" i="22"/>
  <c r="D374" i="22"/>
  <c r="E374" i="22"/>
  <c r="F374" i="22"/>
  <c r="C375" i="22"/>
  <c r="D375" i="22"/>
  <c r="E375" i="22"/>
  <c r="F375" i="22"/>
  <c r="C376" i="22"/>
  <c r="D376" i="22"/>
  <c r="E376" i="22"/>
  <c r="F376" i="22"/>
  <c r="C377" i="22"/>
  <c r="D377" i="22"/>
  <c r="E377" i="22"/>
  <c r="F377" i="22"/>
  <c r="C378" i="22"/>
  <c r="D378" i="22"/>
  <c r="E378" i="22"/>
  <c r="F378" i="22"/>
  <c r="C379" i="22"/>
  <c r="D379" i="22"/>
  <c r="E379" i="22"/>
  <c r="F379" i="22"/>
  <c r="C380" i="22"/>
  <c r="D380" i="22"/>
  <c r="E380" i="22"/>
  <c r="F380" i="22"/>
  <c r="C381" i="22"/>
  <c r="D381" i="22"/>
  <c r="E381" i="22"/>
  <c r="F381" i="22"/>
  <c r="C382" i="22"/>
  <c r="D382" i="22"/>
  <c r="E382" i="22"/>
  <c r="F382" i="22"/>
  <c r="C383" i="22"/>
  <c r="D383" i="22"/>
  <c r="E383" i="22"/>
  <c r="F383" i="22"/>
  <c r="C384" i="22"/>
  <c r="D384" i="22"/>
  <c r="E384" i="22"/>
  <c r="F384" i="22"/>
  <c r="C385" i="22"/>
  <c r="D385" i="22"/>
  <c r="E385" i="22"/>
  <c r="F385" i="22"/>
  <c r="C386" i="22"/>
  <c r="D386" i="22"/>
  <c r="E386" i="22"/>
  <c r="F386" i="22"/>
  <c r="C387" i="22"/>
  <c r="D387" i="22"/>
  <c r="E387" i="22"/>
  <c r="F387" i="22"/>
  <c r="C388" i="22"/>
  <c r="D388" i="22"/>
  <c r="E388" i="22"/>
  <c r="F388" i="22"/>
  <c r="C389" i="22"/>
  <c r="D389" i="22"/>
  <c r="E389" i="22"/>
  <c r="F389" i="22"/>
  <c r="C390" i="22"/>
  <c r="D390" i="22"/>
  <c r="E390" i="22"/>
  <c r="F390" i="22"/>
  <c r="C391" i="22"/>
  <c r="D391" i="22"/>
  <c r="E391" i="22"/>
  <c r="F391" i="22"/>
  <c r="C392" i="22"/>
  <c r="D392" i="22"/>
  <c r="E392" i="22"/>
  <c r="F392" i="22"/>
  <c r="C393" i="22"/>
  <c r="D393" i="22"/>
  <c r="E393" i="22"/>
  <c r="F393" i="22"/>
  <c r="C394" i="22"/>
  <c r="D394" i="22"/>
  <c r="E394" i="22"/>
  <c r="F394" i="22"/>
  <c r="C395" i="22"/>
  <c r="D395" i="22"/>
  <c r="E395" i="22"/>
  <c r="F395" i="22"/>
  <c r="C396" i="22"/>
  <c r="D396" i="22"/>
  <c r="E396" i="22"/>
  <c r="F396" i="22"/>
  <c r="C397" i="22"/>
  <c r="D397" i="22"/>
  <c r="E397" i="22"/>
  <c r="F397" i="22"/>
  <c r="C398" i="22"/>
  <c r="D398" i="22"/>
  <c r="E398" i="22"/>
  <c r="F398" i="22"/>
  <c r="C399" i="22"/>
  <c r="D399" i="22"/>
  <c r="E399" i="22"/>
  <c r="F399" i="22"/>
  <c r="C400" i="22"/>
  <c r="D400" i="22"/>
  <c r="E400" i="22"/>
  <c r="F400" i="22"/>
  <c r="C401" i="22"/>
  <c r="D401" i="22"/>
  <c r="E401" i="22"/>
  <c r="F401" i="22"/>
  <c r="C402" i="22"/>
  <c r="D402" i="22"/>
  <c r="E402" i="22"/>
  <c r="F402" i="22"/>
  <c r="C403" i="22"/>
  <c r="D403" i="22"/>
  <c r="E403" i="22"/>
  <c r="F403" i="22"/>
  <c r="C404" i="22"/>
  <c r="D404" i="22"/>
  <c r="E404" i="22"/>
  <c r="F404" i="22"/>
  <c r="C405" i="22"/>
  <c r="D405" i="22"/>
  <c r="E405" i="22"/>
  <c r="F405" i="22"/>
  <c r="C406" i="22"/>
  <c r="D406" i="22"/>
  <c r="E406" i="22"/>
  <c r="F406" i="22"/>
  <c r="C407" i="22"/>
  <c r="D407" i="22"/>
  <c r="E407" i="22"/>
  <c r="F407" i="22"/>
  <c r="C408" i="22"/>
  <c r="D408" i="22"/>
  <c r="E408" i="22"/>
  <c r="F408" i="22"/>
  <c r="C409" i="22"/>
  <c r="D409" i="22"/>
  <c r="E409" i="22"/>
  <c r="F409" i="22"/>
  <c r="C410" i="22"/>
  <c r="D410" i="22"/>
  <c r="E410" i="22"/>
  <c r="F410" i="22"/>
  <c r="C411" i="22"/>
  <c r="D411" i="22"/>
  <c r="E411" i="22"/>
  <c r="F411" i="22"/>
  <c r="C412" i="22"/>
  <c r="D412" i="22"/>
  <c r="E412" i="22"/>
  <c r="F412" i="22"/>
  <c r="C413" i="22"/>
  <c r="D413" i="22"/>
  <c r="E413" i="22"/>
  <c r="F413" i="22"/>
  <c r="C414" i="22"/>
  <c r="D414" i="22"/>
  <c r="E414" i="22"/>
  <c r="F414" i="22"/>
  <c r="C415" i="22"/>
  <c r="D415" i="22"/>
  <c r="E415" i="22"/>
  <c r="F415" i="22"/>
  <c r="C416" i="22"/>
  <c r="D416" i="22"/>
  <c r="E416" i="22"/>
  <c r="F416" i="22"/>
  <c r="C417" i="22"/>
  <c r="D417" i="22"/>
  <c r="E417" i="22"/>
  <c r="F417" i="22"/>
  <c r="C418" i="22"/>
  <c r="D418" i="22"/>
  <c r="E418" i="22"/>
  <c r="F418" i="22"/>
  <c r="C419" i="22"/>
  <c r="D419" i="22"/>
  <c r="E419" i="22"/>
  <c r="F419" i="22"/>
  <c r="C420" i="22"/>
  <c r="D420" i="22"/>
  <c r="E420" i="22"/>
  <c r="F420" i="22"/>
  <c r="C421" i="22"/>
  <c r="D421" i="22"/>
  <c r="E421" i="22"/>
  <c r="F421" i="22"/>
  <c r="C422" i="22"/>
  <c r="D422" i="22"/>
  <c r="E422" i="22"/>
  <c r="F422" i="22"/>
  <c r="C423" i="22"/>
  <c r="D423" i="22"/>
  <c r="E423" i="22"/>
  <c r="F423" i="22"/>
  <c r="C424" i="22"/>
  <c r="D424" i="22"/>
  <c r="E424" i="22"/>
  <c r="F424" i="22"/>
  <c r="C425" i="22"/>
  <c r="D425" i="22"/>
  <c r="E425" i="22"/>
  <c r="F425" i="22"/>
  <c r="C426" i="22"/>
  <c r="D426" i="22"/>
  <c r="E426" i="22"/>
  <c r="F426" i="22"/>
  <c r="C427" i="22"/>
  <c r="D427" i="22"/>
  <c r="E427" i="22"/>
  <c r="F427" i="22"/>
  <c r="C428" i="22"/>
  <c r="D428" i="22"/>
  <c r="E428" i="22"/>
  <c r="F428" i="22"/>
  <c r="C429" i="22"/>
  <c r="D429" i="22"/>
  <c r="E429" i="22"/>
  <c r="F429" i="22"/>
  <c r="C430" i="22"/>
  <c r="D430" i="22"/>
  <c r="E430" i="22"/>
  <c r="F430" i="22"/>
  <c r="C431" i="22"/>
  <c r="D431" i="22"/>
  <c r="E431" i="22"/>
  <c r="F431" i="22"/>
  <c r="C432" i="22"/>
  <c r="D432" i="22"/>
  <c r="E432" i="22"/>
  <c r="F432" i="22"/>
  <c r="C433" i="22"/>
  <c r="D433" i="22"/>
  <c r="E433" i="22"/>
  <c r="F433" i="22"/>
  <c r="C434" i="22"/>
  <c r="D434" i="22"/>
  <c r="E434" i="22"/>
  <c r="F434" i="22"/>
  <c r="C435" i="22"/>
  <c r="D435" i="22"/>
  <c r="E435" i="22"/>
  <c r="F435" i="22"/>
  <c r="C436" i="22"/>
  <c r="D436" i="22"/>
  <c r="E436" i="22"/>
  <c r="F436" i="22"/>
  <c r="C437" i="22"/>
  <c r="D437" i="22"/>
  <c r="E437" i="22"/>
  <c r="F437" i="22"/>
  <c r="C438" i="22"/>
  <c r="D438" i="22"/>
  <c r="E438" i="22"/>
  <c r="F438" i="22"/>
  <c r="C439" i="22"/>
  <c r="D439" i="22"/>
  <c r="E439" i="22"/>
  <c r="F439" i="22"/>
  <c r="B440" i="22"/>
  <c r="C440" i="22"/>
  <c r="D440" i="22"/>
  <c r="E440" i="22"/>
  <c r="F440" i="22"/>
  <c r="B441" i="22"/>
  <c r="C441" i="22"/>
  <c r="D441" i="22"/>
  <c r="E441" i="22"/>
  <c r="F441" i="22"/>
  <c r="B442" i="22"/>
  <c r="C442" i="22"/>
  <c r="D442" i="22"/>
  <c r="E442" i="22"/>
  <c r="F442" i="22"/>
  <c r="C443" i="22"/>
  <c r="D443" i="22"/>
  <c r="E443" i="22"/>
  <c r="F443" i="22"/>
  <c r="C444" i="22"/>
  <c r="D444" i="22"/>
  <c r="E444" i="22"/>
  <c r="F444" i="22"/>
  <c r="C445" i="22"/>
  <c r="D445" i="22"/>
  <c r="E445" i="22"/>
  <c r="F445" i="22"/>
  <c r="C446" i="22"/>
  <c r="D446" i="22"/>
  <c r="E446" i="22"/>
  <c r="F446" i="22"/>
  <c r="C447" i="22"/>
  <c r="D447" i="22"/>
  <c r="E447" i="22"/>
  <c r="F447" i="22"/>
  <c r="C448" i="22"/>
  <c r="D448" i="22"/>
  <c r="E448" i="22"/>
  <c r="F448" i="22"/>
  <c r="C449" i="22"/>
  <c r="D449" i="22"/>
  <c r="E449" i="22"/>
  <c r="F449" i="22"/>
  <c r="C450" i="22"/>
  <c r="D450" i="22"/>
  <c r="E450" i="22"/>
  <c r="F450" i="22"/>
  <c r="C451" i="22"/>
  <c r="D451" i="22"/>
  <c r="E451" i="22"/>
  <c r="F451" i="22"/>
  <c r="C452" i="22"/>
  <c r="D452" i="22"/>
  <c r="E452" i="22"/>
  <c r="F452" i="22"/>
  <c r="A670" i="22"/>
  <c r="B670" i="22"/>
  <c r="C670" i="22"/>
  <c r="D670" i="22"/>
  <c r="E670" i="22"/>
  <c r="F670" i="22"/>
  <c r="A671" i="22"/>
  <c r="B671" i="22"/>
  <c r="C671" i="22"/>
  <c r="D671" i="22"/>
  <c r="E671" i="22"/>
  <c r="F671" i="22"/>
  <c r="A672" i="22"/>
  <c r="B672" i="22"/>
  <c r="C672" i="22"/>
  <c r="D672" i="22"/>
  <c r="E672" i="22"/>
  <c r="F672" i="22"/>
  <c r="A673" i="22"/>
  <c r="B673" i="22"/>
  <c r="C673" i="22"/>
  <c r="D673" i="22"/>
  <c r="E673" i="22"/>
  <c r="F673" i="22"/>
  <c r="A674" i="22"/>
  <c r="B674" i="22"/>
  <c r="C674" i="22"/>
  <c r="D674" i="22"/>
  <c r="E674" i="22"/>
  <c r="F674" i="22"/>
  <c r="A675" i="22"/>
  <c r="B675" i="22"/>
  <c r="C675" i="22"/>
  <c r="D675" i="22"/>
  <c r="E675" i="22"/>
  <c r="F675" i="22"/>
  <c r="A676" i="22"/>
  <c r="B676" i="22"/>
  <c r="C676" i="22"/>
  <c r="D676" i="22"/>
  <c r="E676" i="22"/>
  <c r="F676" i="22"/>
  <c r="A677" i="22"/>
  <c r="B677" i="22"/>
  <c r="C677" i="22"/>
  <c r="D677" i="22"/>
  <c r="E677" i="22"/>
  <c r="F677" i="22"/>
  <c r="A678" i="22"/>
  <c r="B678" i="22"/>
  <c r="C678" i="22"/>
  <c r="D678" i="22"/>
  <c r="E678" i="22"/>
  <c r="F678" i="22"/>
  <c r="A679" i="22"/>
  <c r="B679" i="22"/>
  <c r="C679" i="22"/>
  <c r="D679" i="22"/>
  <c r="E679" i="22"/>
  <c r="F679" i="22"/>
  <c r="A680" i="22"/>
  <c r="B680" i="22"/>
  <c r="C680" i="22"/>
  <c r="D680" i="22"/>
  <c r="E680" i="22"/>
  <c r="F680" i="22"/>
  <c r="A681" i="22"/>
  <c r="B681" i="22"/>
  <c r="C681" i="22"/>
  <c r="D681" i="22"/>
  <c r="E681" i="22"/>
  <c r="F681" i="22"/>
  <c r="A682" i="22"/>
  <c r="B682" i="22"/>
  <c r="C682" i="22"/>
  <c r="D682" i="22"/>
  <c r="E682" i="22"/>
  <c r="F682" i="22"/>
  <c r="A683" i="22"/>
  <c r="B683" i="22"/>
  <c r="C683" i="22"/>
  <c r="D683" i="22"/>
  <c r="E683" i="22"/>
  <c r="F683" i="22"/>
  <c r="A684" i="22"/>
  <c r="B684" i="22"/>
  <c r="C684" i="22"/>
  <c r="D684" i="22"/>
  <c r="E684" i="22"/>
  <c r="F684" i="22"/>
  <c r="A685" i="22"/>
  <c r="B685" i="22"/>
  <c r="C685" i="22"/>
  <c r="D685" i="22"/>
  <c r="E685" i="22"/>
  <c r="F685" i="22"/>
  <c r="A686" i="22"/>
  <c r="B686" i="22"/>
  <c r="C686" i="22"/>
  <c r="D686" i="22"/>
  <c r="E686" i="22"/>
  <c r="F686" i="22"/>
  <c r="A687" i="22"/>
  <c r="B687" i="22"/>
  <c r="C687" i="22"/>
  <c r="D687" i="22"/>
  <c r="E687" i="22"/>
  <c r="F687" i="22"/>
  <c r="A688" i="22"/>
  <c r="B688" i="22"/>
  <c r="C688" i="22"/>
  <c r="D688" i="22"/>
  <c r="E688" i="22"/>
  <c r="F688" i="22"/>
  <c r="A689" i="22"/>
  <c r="B689" i="22"/>
  <c r="C689" i="22"/>
  <c r="D689" i="22"/>
  <c r="E689" i="22"/>
  <c r="F689" i="22"/>
  <c r="A690" i="22"/>
  <c r="B690" i="22"/>
  <c r="C690" i="22"/>
  <c r="D690" i="22"/>
  <c r="E690" i="22"/>
  <c r="F690" i="22"/>
  <c r="A691" i="22"/>
  <c r="B691" i="22"/>
  <c r="C691" i="22"/>
  <c r="D691" i="22"/>
  <c r="E691" i="22"/>
  <c r="F691" i="22"/>
  <c r="A692" i="22"/>
  <c r="B692" i="22"/>
  <c r="C692" i="22"/>
  <c r="D692" i="22"/>
  <c r="E692" i="22"/>
  <c r="F692" i="22"/>
  <c r="A693" i="22"/>
  <c r="B693" i="22"/>
  <c r="C693" i="22"/>
  <c r="D693" i="22"/>
  <c r="E693" i="22"/>
  <c r="F693" i="22"/>
  <c r="A694" i="22"/>
  <c r="B694" i="22"/>
  <c r="C694" i="22"/>
  <c r="D694" i="22"/>
  <c r="E694" i="22"/>
  <c r="F694" i="22"/>
  <c r="A695" i="22"/>
  <c r="B695" i="22"/>
  <c r="C695" i="22"/>
  <c r="D695" i="22"/>
  <c r="E695" i="22"/>
  <c r="F695" i="22"/>
  <c r="A696" i="22"/>
  <c r="B696" i="22"/>
  <c r="C696" i="22"/>
  <c r="D696" i="22"/>
  <c r="E696" i="22"/>
  <c r="F696" i="22"/>
  <c r="A697" i="22"/>
  <c r="B697" i="22"/>
  <c r="C697" i="22"/>
  <c r="D697" i="22"/>
  <c r="E697" i="22"/>
  <c r="F697" i="22"/>
  <c r="A698" i="22"/>
  <c r="B698" i="22"/>
  <c r="C698" i="22"/>
  <c r="D698" i="22"/>
  <c r="E698" i="22"/>
  <c r="F698" i="22"/>
  <c r="A699" i="22"/>
  <c r="B699" i="22"/>
  <c r="C699" i="22"/>
  <c r="D699" i="22"/>
  <c r="E699" i="22"/>
  <c r="F699" i="22"/>
  <c r="A700" i="22"/>
  <c r="B700" i="22"/>
  <c r="C700" i="22"/>
  <c r="D700" i="22"/>
  <c r="E700" i="22"/>
  <c r="F700" i="22"/>
  <c r="A701" i="22"/>
  <c r="B701" i="22"/>
  <c r="C701" i="22"/>
  <c r="D701" i="22"/>
  <c r="E701" i="22"/>
  <c r="F701" i="22"/>
  <c r="A702" i="22"/>
  <c r="B702" i="22"/>
  <c r="C702" i="22"/>
  <c r="D702" i="22"/>
  <c r="E702" i="22"/>
  <c r="F702" i="22"/>
  <c r="A703" i="22"/>
  <c r="B703" i="22"/>
  <c r="C703" i="22"/>
  <c r="D703" i="22"/>
  <c r="E703" i="22"/>
  <c r="F703" i="22"/>
  <c r="A704" i="22"/>
  <c r="B704" i="22"/>
  <c r="C704" i="22"/>
  <c r="D704" i="22"/>
  <c r="E704" i="22"/>
  <c r="F704" i="22"/>
  <c r="A705" i="22"/>
  <c r="B705" i="22"/>
  <c r="C705" i="22"/>
  <c r="D705" i="22"/>
  <c r="E705" i="22"/>
  <c r="F705" i="22"/>
  <c r="A706" i="22"/>
  <c r="B706" i="22"/>
  <c r="C706" i="22"/>
  <c r="D706" i="22"/>
  <c r="E706" i="22"/>
  <c r="F706" i="22"/>
  <c r="A707" i="22"/>
  <c r="B707" i="22"/>
  <c r="C707" i="22"/>
  <c r="D707" i="22"/>
  <c r="E707" i="22"/>
  <c r="F707" i="22"/>
  <c r="A708" i="22"/>
  <c r="B708" i="22"/>
  <c r="C708" i="22"/>
  <c r="D708" i="22"/>
  <c r="E708" i="22"/>
  <c r="F708" i="22"/>
  <c r="A709" i="22"/>
  <c r="B709" i="22"/>
  <c r="C709" i="22"/>
  <c r="D709" i="22"/>
  <c r="E709" i="22"/>
  <c r="F709" i="22"/>
  <c r="A710" i="22"/>
  <c r="B710" i="22"/>
  <c r="C710" i="22"/>
  <c r="D710" i="22"/>
  <c r="E710" i="22"/>
  <c r="F710" i="22"/>
  <c r="A711" i="22"/>
  <c r="B711" i="22"/>
  <c r="C711" i="22"/>
  <c r="D711" i="22"/>
  <c r="E711" i="22"/>
  <c r="F711" i="22"/>
  <c r="A712" i="22"/>
  <c r="B712" i="22"/>
  <c r="C712" i="22"/>
  <c r="D712" i="22"/>
  <c r="E712" i="22"/>
  <c r="F712" i="22"/>
  <c r="A713" i="22"/>
  <c r="B713" i="22"/>
  <c r="C713" i="22"/>
  <c r="D713" i="22"/>
  <c r="E713" i="22"/>
  <c r="F713" i="22"/>
  <c r="A714" i="22"/>
  <c r="B714" i="22"/>
  <c r="C714" i="22"/>
  <c r="D714" i="22"/>
  <c r="E714" i="22"/>
  <c r="F714" i="22"/>
  <c r="A715" i="22"/>
  <c r="B715" i="22"/>
  <c r="C715" i="22"/>
  <c r="D715" i="22"/>
  <c r="E715" i="22"/>
  <c r="F715" i="22"/>
  <c r="A716" i="22"/>
  <c r="B716" i="22"/>
  <c r="C716" i="22"/>
  <c r="D716" i="22"/>
  <c r="E716" i="22"/>
  <c r="F716" i="22"/>
  <c r="A717" i="22"/>
  <c r="B717" i="22"/>
  <c r="C717" i="22"/>
  <c r="D717" i="22"/>
  <c r="E717" i="22"/>
  <c r="F717" i="22"/>
  <c r="A718" i="22"/>
  <c r="B718" i="22"/>
  <c r="C718" i="22"/>
  <c r="D718" i="22"/>
  <c r="E718" i="22"/>
  <c r="F718" i="22"/>
  <c r="A719" i="22"/>
  <c r="B719" i="22"/>
  <c r="C719" i="22"/>
  <c r="D719" i="22"/>
  <c r="E719" i="22"/>
  <c r="F719" i="22"/>
  <c r="A720" i="22"/>
  <c r="B720" i="22"/>
  <c r="C720" i="22"/>
  <c r="D720" i="22"/>
  <c r="E720" i="22"/>
  <c r="F720" i="22"/>
  <c r="A721" i="22"/>
  <c r="B721" i="22"/>
  <c r="C721" i="22"/>
  <c r="D721" i="22"/>
  <c r="E721" i="22"/>
  <c r="F721" i="22"/>
  <c r="A722" i="22"/>
  <c r="B722" i="22"/>
  <c r="C722" i="22"/>
  <c r="D722" i="22"/>
  <c r="E722" i="22"/>
  <c r="F722" i="22"/>
  <c r="A723" i="22"/>
  <c r="B723" i="22"/>
  <c r="C723" i="22"/>
  <c r="D723" i="22"/>
  <c r="E723" i="22"/>
  <c r="F723" i="22"/>
  <c r="A724" i="22"/>
  <c r="B724" i="22"/>
  <c r="C724" i="22"/>
  <c r="D724" i="22"/>
  <c r="E724" i="22"/>
  <c r="F724" i="22"/>
  <c r="A725" i="22"/>
  <c r="B725" i="22"/>
  <c r="C725" i="22"/>
  <c r="D725" i="22"/>
  <c r="E725" i="22"/>
  <c r="F725" i="22"/>
  <c r="A726" i="22"/>
  <c r="B726" i="22"/>
  <c r="C726" i="22"/>
  <c r="D726" i="22"/>
  <c r="E726" i="22"/>
  <c r="F726" i="22"/>
  <c r="A727" i="22"/>
  <c r="B727" i="22"/>
  <c r="C727" i="22"/>
  <c r="D727" i="22"/>
  <c r="E727" i="22"/>
  <c r="F727" i="22"/>
  <c r="A728" i="22"/>
  <c r="B728" i="22"/>
  <c r="C728" i="22"/>
  <c r="D728" i="22"/>
  <c r="E728" i="22"/>
  <c r="F728" i="22"/>
  <c r="A729" i="22"/>
  <c r="B729" i="22"/>
  <c r="C729" i="22"/>
  <c r="D729" i="22"/>
  <c r="E729" i="22"/>
  <c r="F729" i="22"/>
  <c r="A730" i="22"/>
  <c r="B730" i="22"/>
  <c r="C730" i="22"/>
  <c r="D730" i="22"/>
  <c r="E730" i="22"/>
  <c r="F730" i="22"/>
  <c r="A731" i="22"/>
  <c r="B731" i="22"/>
  <c r="C731" i="22"/>
  <c r="D731" i="22"/>
  <c r="E731" i="22"/>
  <c r="F731" i="22"/>
  <c r="A732" i="22"/>
  <c r="B732" i="22"/>
  <c r="C732" i="22"/>
  <c r="D732" i="22"/>
  <c r="E732" i="22"/>
  <c r="F732" i="22"/>
  <c r="A733" i="22"/>
  <c r="B733" i="22"/>
  <c r="C733" i="22"/>
  <c r="D733" i="22"/>
  <c r="E733" i="22"/>
  <c r="F733" i="22"/>
  <c r="A734" i="22"/>
  <c r="B734" i="22"/>
  <c r="C734" i="22"/>
  <c r="D734" i="22"/>
  <c r="E734" i="22"/>
  <c r="F734" i="22"/>
  <c r="A735" i="22"/>
  <c r="B735" i="22"/>
  <c r="C735" i="22"/>
  <c r="D735" i="22"/>
  <c r="E735" i="22"/>
  <c r="F735" i="22"/>
  <c r="A736" i="22"/>
  <c r="B736" i="22"/>
  <c r="C736" i="22"/>
  <c r="D736" i="22"/>
  <c r="E736" i="22"/>
  <c r="F736" i="22"/>
  <c r="A737" i="22"/>
  <c r="B737" i="22"/>
  <c r="C737" i="22"/>
  <c r="D737" i="22"/>
  <c r="E737" i="22"/>
  <c r="F737" i="22"/>
  <c r="A738" i="22"/>
  <c r="B738" i="22"/>
  <c r="C738" i="22"/>
  <c r="D738" i="22"/>
  <c r="E738" i="22"/>
  <c r="F738" i="22"/>
  <c r="A739" i="22"/>
  <c r="B739" i="22"/>
  <c r="C739" i="22"/>
  <c r="D739" i="22"/>
  <c r="E739" i="22"/>
  <c r="F739" i="22"/>
  <c r="A740" i="22"/>
  <c r="B740" i="22"/>
  <c r="C740" i="22"/>
  <c r="D740" i="22"/>
  <c r="E740" i="22"/>
  <c r="F740" i="22"/>
  <c r="A741" i="22"/>
  <c r="B741" i="22"/>
  <c r="C741" i="22"/>
  <c r="D741" i="22"/>
  <c r="E741" i="22"/>
  <c r="F741" i="22"/>
  <c r="A742" i="22"/>
  <c r="B742" i="22"/>
  <c r="C742" i="22"/>
  <c r="D742" i="22"/>
  <c r="E742" i="22"/>
  <c r="F742" i="22"/>
  <c r="A743" i="22"/>
  <c r="B743" i="22"/>
  <c r="C743" i="22"/>
  <c r="D743" i="22"/>
  <c r="E743" i="22"/>
  <c r="F743" i="22"/>
  <c r="A744" i="22"/>
  <c r="B744" i="22"/>
  <c r="C744" i="22"/>
  <c r="D744" i="22"/>
  <c r="E744" i="22"/>
  <c r="F744" i="22"/>
  <c r="A745" i="22"/>
  <c r="B745" i="22"/>
  <c r="C745" i="22"/>
  <c r="D745" i="22"/>
  <c r="E745" i="22"/>
  <c r="F745" i="22"/>
  <c r="A746" i="22"/>
  <c r="B746" i="22"/>
  <c r="C746" i="22"/>
  <c r="D746" i="22"/>
  <c r="E746" i="22"/>
  <c r="F746" i="22"/>
  <c r="A747" i="22"/>
  <c r="B747" i="22"/>
  <c r="C747" i="22"/>
  <c r="D747" i="22"/>
  <c r="E747" i="22"/>
  <c r="F747" i="22"/>
  <c r="A748" i="22"/>
  <c r="B748" i="22"/>
  <c r="C748" i="22"/>
  <c r="D748" i="22"/>
  <c r="E748" i="22"/>
  <c r="F748" i="22"/>
  <c r="A749" i="22"/>
  <c r="B749" i="22"/>
  <c r="C749" i="22"/>
  <c r="D749" i="22"/>
  <c r="E749" i="22"/>
  <c r="F749" i="22"/>
  <c r="A750" i="22"/>
  <c r="B750" i="22"/>
  <c r="C750" i="22"/>
  <c r="D750" i="22"/>
  <c r="E750" i="22"/>
  <c r="F750" i="22"/>
  <c r="A751" i="22"/>
  <c r="B751" i="22"/>
  <c r="C751" i="22"/>
  <c r="D751" i="22"/>
  <c r="E751" i="22"/>
  <c r="F751" i="22"/>
  <c r="A752" i="22"/>
  <c r="B752" i="22"/>
  <c r="C752" i="22"/>
  <c r="D752" i="22"/>
  <c r="E752" i="22"/>
  <c r="F752" i="22"/>
  <c r="A753" i="22"/>
  <c r="B753" i="22"/>
  <c r="C753" i="22"/>
  <c r="D753" i="22"/>
  <c r="E753" i="22"/>
  <c r="F753" i="22"/>
  <c r="A754" i="22"/>
  <c r="B754" i="22"/>
  <c r="C754" i="22"/>
  <c r="D754" i="22"/>
  <c r="E754" i="22"/>
  <c r="F754" i="22"/>
  <c r="A755" i="22"/>
  <c r="B755" i="22"/>
  <c r="C755" i="22"/>
  <c r="D755" i="22"/>
  <c r="E755" i="22"/>
  <c r="F755" i="22"/>
  <c r="A756" i="22"/>
  <c r="B756" i="22"/>
  <c r="C756" i="22"/>
  <c r="D756" i="22"/>
  <c r="E756" i="22"/>
  <c r="F756" i="22"/>
  <c r="A757" i="22"/>
  <c r="B757" i="22"/>
  <c r="C757" i="22"/>
  <c r="D757" i="22"/>
  <c r="E757" i="22"/>
  <c r="F757" i="22"/>
  <c r="A758" i="22"/>
  <c r="B758" i="22"/>
  <c r="C758" i="22"/>
  <c r="D758" i="22"/>
  <c r="E758" i="22"/>
  <c r="F758" i="22"/>
  <c r="A759" i="22"/>
  <c r="B759" i="22"/>
  <c r="C759" i="22"/>
  <c r="D759" i="22"/>
  <c r="E759" i="22"/>
  <c r="F759" i="22"/>
  <c r="A760" i="22"/>
  <c r="B760" i="22"/>
  <c r="C760" i="22"/>
  <c r="D760" i="22"/>
  <c r="E760" i="22"/>
  <c r="F760" i="22"/>
  <c r="A761" i="22"/>
  <c r="B761" i="22"/>
  <c r="C761" i="22"/>
  <c r="D761" i="22"/>
  <c r="E761" i="22"/>
  <c r="F761" i="22"/>
  <c r="A762" i="22"/>
  <c r="B762" i="22"/>
  <c r="C762" i="22"/>
  <c r="D762" i="22"/>
  <c r="E762" i="22"/>
  <c r="F762" i="22"/>
  <c r="A763" i="22"/>
  <c r="B763" i="22"/>
  <c r="C763" i="22"/>
  <c r="D763" i="22"/>
  <c r="E763" i="22"/>
  <c r="F763" i="22"/>
  <c r="A764" i="22"/>
  <c r="B764" i="22"/>
  <c r="C764" i="22"/>
  <c r="D764" i="22"/>
  <c r="E764" i="22"/>
  <c r="F764" i="22"/>
  <c r="A765" i="22"/>
  <c r="B765" i="22"/>
  <c r="C765" i="22"/>
  <c r="D765" i="22"/>
  <c r="E765" i="22"/>
  <c r="F765" i="22"/>
  <c r="A766" i="22"/>
  <c r="B766" i="22"/>
  <c r="C766" i="22"/>
  <c r="D766" i="22"/>
  <c r="E766" i="22"/>
  <c r="F766" i="22"/>
  <c r="A767" i="22"/>
  <c r="B767" i="22"/>
  <c r="C767" i="22"/>
  <c r="D767" i="22"/>
  <c r="E767" i="22"/>
  <c r="F767" i="22"/>
  <c r="A768" i="22"/>
  <c r="B768" i="22"/>
  <c r="C768" i="22"/>
  <c r="D768" i="22"/>
  <c r="E768" i="22"/>
  <c r="F768" i="22"/>
  <c r="A769" i="22"/>
  <c r="B769" i="22"/>
  <c r="C769" i="22"/>
  <c r="D769" i="22"/>
  <c r="E769" i="22"/>
  <c r="F769" i="22"/>
  <c r="A770" i="22"/>
  <c r="B770" i="22"/>
  <c r="C770" i="22"/>
  <c r="D770" i="22"/>
  <c r="E770" i="22"/>
  <c r="F770" i="22"/>
  <c r="A771" i="22"/>
  <c r="B771" i="22"/>
  <c r="C771" i="22"/>
  <c r="D771" i="22"/>
  <c r="E771" i="22"/>
  <c r="F771" i="22"/>
  <c r="A772" i="22"/>
  <c r="B772" i="22"/>
  <c r="C772" i="22"/>
  <c r="D772" i="22"/>
  <c r="E772" i="22"/>
  <c r="F772" i="22"/>
  <c r="A773" i="22"/>
  <c r="B773" i="22"/>
  <c r="C773" i="22"/>
  <c r="D773" i="22"/>
  <c r="E773" i="22"/>
  <c r="F773" i="22"/>
  <c r="A774" i="22"/>
  <c r="B774" i="22"/>
  <c r="C774" i="22"/>
  <c r="D774" i="22"/>
  <c r="E774" i="22"/>
  <c r="F774" i="22"/>
  <c r="A775" i="22"/>
  <c r="B775" i="22"/>
  <c r="C775" i="22"/>
  <c r="D775" i="22"/>
  <c r="E775" i="22"/>
  <c r="F775" i="22"/>
  <c r="A776" i="22"/>
  <c r="B776" i="22"/>
  <c r="C776" i="22"/>
  <c r="D776" i="22"/>
  <c r="E776" i="22"/>
  <c r="F776" i="22"/>
  <c r="A777" i="22"/>
  <c r="B777" i="22"/>
  <c r="C777" i="22"/>
  <c r="D777" i="22"/>
  <c r="E777" i="22"/>
  <c r="F777" i="22"/>
  <c r="A778" i="22"/>
  <c r="B778" i="22"/>
  <c r="C778" i="22"/>
  <c r="D778" i="22"/>
  <c r="E778" i="22"/>
  <c r="F778" i="22"/>
  <c r="A779" i="22"/>
  <c r="B779" i="22"/>
  <c r="C779" i="22"/>
  <c r="D779" i="22"/>
  <c r="E779" i="22"/>
  <c r="F779" i="22"/>
  <c r="A780" i="22"/>
  <c r="B780" i="22"/>
  <c r="C780" i="22"/>
  <c r="D780" i="22"/>
  <c r="E780" i="22"/>
  <c r="F780" i="22"/>
  <c r="A781" i="22"/>
  <c r="B781" i="22"/>
  <c r="C781" i="22"/>
  <c r="D781" i="22"/>
  <c r="E781" i="22"/>
  <c r="F781" i="22"/>
  <c r="A782" i="22"/>
  <c r="B782" i="22"/>
  <c r="C782" i="22"/>
  <c r="D782" i="22"/>
  <c r="E782" i="22"/>
  <c r="F782" i="22"/>
  <c r="A783" i="22"/>
  <c r="B783" i="22"/>
  <c r="C783" i="22"/>
  <c r="D783" i="22"/>
  <c r="E783" i="22"/>
  <c r="F783" i="22"/>
  <c r="A784" i="22"/>
  <c r="B784" i="22"/>
  <c r="C784" i="22"/>
  <c r="D784" i="22"/>
  <c r="E784" i="22"/>
  <c r="F784" i="22"/>
  <c r="A785" i="22"/>
  <c r="B785" i="22"/>
  <c r="C785" i="22"/>
  <c r="D785" i="22"/>
  <c r="E785" i="22"/>
  <c r="F785" i="22"/>
  <c r="A786" i="22"/>
  <c r="B786" i="22"/>
  <c r="C786" i="22"/>
  <c r="D786" i="22"/>
  <c r="E786" i="22"/>
  <c r="F786" i="22"/>
  <c r="A787" i="22"/>
  <c r="B787" i="22"/>
  <c r="C787" i="22"/>
  <c r="D787" i="22"/>
  <c r="E787" i="22"/>
  <c r="F787" i="22"/>
  <c r="A788" i="22"/>
  <c r="B788" i="22"/>
  <c r="C788" i="22"/>
  <c r="D788" i="22"/>
  <c r="E788" i="22"/>
  <c r="F788" i="22"/>
  <c r="A789" i="22"/>
  <c r="B789" i="22"/>
  <c r="C789" i="22"/>
  <c r="D789" i="22"/>
  <c r="E789" i="22"/>
  <c r="F789" i="22"/>
  <c r="A790" i="22"/>
  <c r="B790" i="22"/>
  <c r="C790" i="22"/>
  <c r="D790" i="22"/>
  <c r="E790" i="22"/>
  <c r="F790" i="22"/>
  <c r="A791" i="22"/>
  <c r="B791" i="22"/>
  <c r="C791" i="22"/>
  <c r="D791" i="22"/>
  <c r="E791" i="22"/>
  <c r="F791" i="22"/>
  <c r="A792" i="22"/>
  <c r="B792" i="22"/>
  <c r="C792" i="22"/>
  <c r="D792" i="22"/>
  <c r="E792" i="22"/>
  <c r="F792" i="22"/>
  <c r="A793" i="22"/>
  <c r="B793" i="22"/>
  <c r="C793" i="22"/>
  <c r="D793" i="22"/>
  <c r="E793" i="22"/>
  <c r="F793" i="22"/>
  <c r="A794" i="22"/>
  <c r="B794" i="22"/>
  <c r="C794" i="22"/>
  <c r="D794" i="22"/>
  <c r="E794" i="22"/>
  <c r="F794" i="22"/>
  <c r="A795" i="22"/>
  <c r="B795" i="22"/>
  <c r="C795" i="22"/>
  <c r="D795" i="22"/>
  <c r="E795" i="22"/>
  <c r="F795" i="22"/>
  <c r="A796" i="22"/>
  <c r="B796" i="22"/>
  <c r="C796" i="22"/>
  <c r="D796" i="22"/>
  <c r="E796" i="22"/>
  <c r="F796" i="22"/>
  <c r="A797" i="22"/>
  <c r="B797" i="22"/>
  <c r="C797" i="22"/>
  <c r="D797" i="22"/>
  <c r="E797" i="22"/>
  <c r="F797" i="22"/>
  <c r="A798" i="22"/>
  <c r="B798" i="22"/>
  <c r="C798" i="22"/>
  <c r="D798" i="22"/>
  <c r="E798" i="22"/>
  <c r="F798" i="22"/>
  <c r="A799" i="22"/>
  <c r="B799" i="22"/>
  <c r="C799" i="22"/>
  <c r="D799" i="22"/>
  <c r="E799" i="22"/>
  <c r="F799" i="22"/>
  <c r="A800" i="22"/>
  <c r="B800" i="22"/>
  <c r="C800" i="22"/>
  <c r="D800" i="22"/>
  <c r="E800" i="22"/>
  <c r="F800" i="22"/>
  <c r="A801" i="22"/>
  <c r="B801" i="22"/>
  <c r="C801" i="22"/>
  <c r="D801" i="22"/>
  <c r="E801" i="22"/>
  <c r="F801" i="22"/>
  <c r="A802" i="22"/>
  <c r="B802" i="22"/>
  <c r="C802" i="22"/>
  <c r="D802" i="22"/>
  <c r="E802" i="22"/>
  <c r="F802" i="22"/>
  <c r="A803" i="22"/>
  <c r="B803" i="22"/>
  <c r="C803" i="22"/>
  <c r="D803" i="22"/>
  <c r="E803" i="22"/>
  <c r="F803" i="22"/>
  <c r="A804" i="22"/>
  <c r="B804" i="22"/>
  <c r="C804" i="22"/>
  <c r="D804" i="22"/>
  <c r="E804" i="22"/>
  <c r="F804" i="22"/>
  <c r="A805" i="22"/>
  <c r="B805" i="22"/>
  <c r="C805" i="22"/>
  <c r="D805" i="22"/>
  <c r="E805" i="22"/>
  <c r="F805" i="22"/>
  <c r="A806" i="22"/>
  <c r="B806" i="22"/>
  <c r="C806" i="22"/>
  <c r="D806" i="22"/>
  <c r="E806" i="22"/>
  <c r="F806" i="22"/>
  <c r="A807" i="22"/>
  <c r="B807" i="22"/>
  <c r="C807" i="22"/>
  <c r="D807" i="22"/>
  <c r="E807" i="22"/>
  <c r="F807" i="22"/>
  <c r="A808" i="22"/>
  <c r="B808" i="22"/>
  <c r="C808" i="22"/>
  <c r="D808" i="22"/>
  <c r="E808" i="22"/>
  <c r="F808" i="22"/>
  <c r="A809" i="22"/>
  <c r="B809" i="22"/>
  <c r="C809" i="22"/>
  <c r="D809" i="22"/>
  <c r="E809" i="22"/>
  <c r="F809" i="22"/>
  <c r="A810" i="22"/>
  <c r="B810" i="22"/>
  <c r="C810" i="22"/>
  <c r="D810" i="22"/>
  <c r="E810" i="22"/>
  <c r="F810" i="22"/>
  <c r="A811" i="22"/>
  <c r="B811" i="22"/>
  <c r="C811" i="22"/>
  <c r="D811" i="22"/>
  <c r="E811" i="22"/>
  <c r="F811" i="22"/>
  <c r="A812" i="22"/>
  <c r="B812" i="22"/>
  <c r="C812" i="22"/>
  <c r="D812" i="22"/>
  <c r="E812" i="22"/>
  <c r="F812" i="22"/>
  <c r="A813" i="22"/>
  <c r="B813" i="22"/>
  <c r="C813" i="22"/>
  <c r="D813" i="22"/>
  <c r="E813" i="22"/>
  <c r="F813" i="22"/>
  <c r="A814" i="22"/>
  <c r="B814" i="22"/>
  <c r="C814" i="22"/>
  <c r="D814" i="22"/>
  <c r="E814" i="22"/>
  <c r="F814" i="22"/>
  <c r="A815" i="22"/>
  <c r="B815" i="22"/>
  <c r="C815" i="22"/>
  <c r="D815" i="22"/>
  <c r="E815" i="22"/>
  <c r="F815" i="22"/>
  <c r="A816" i="22"/>
  <c r="B816" i="22"/>
  <c r="C816" i="22"/>
  <c r="D816" i="22"/>
  <c r="E816" i="22"/>
  <c r="F816" i="22"/>
  <c r="A817" i="22"/>
  <c r="B817" i="22"/>
  <c r="C817" i="22"/>
  <c r="D817" i="22"/>
  <c r="E817" i="22"/>
  <c r="F817" i="22"/>
  <c r="A818" i="22"/>
  <c r="B818" i="22"/>
  <c r="C818" i="22"/>
  <c r="D818" i="22"/>
  <c r="E818" i="22"/>
  <c r="F818" i="22"/>
  <c r="A819" i="22"/>
  <c r="B819" i="22"/>
  <c r="C819" i="22"/>
  <c r="D819" i="22"/>
  <c r="E819" i="22"/>
  <c r="F819" i="22"/>
  <c r="A820" i="22"/>
  <c r="B820" i="22"/>
  <c r="C820" i="22"/>
  <c r="D820" i="22"/>
  <c r="E820" i="22"/>
  <c r="F820" i="22"/>
  <c r="A821" i="22"/>
  <c r="B821" i="22"/>
  <c r="C821" i="22"/>
  <c r="D821" i="22"/>
  <c r="E821" i="22"/>
  <c r="F821" i="22"/>
  <c r="A822" i="22"/>
  <c r="B822" i="22"/>
  <c r="C822" i="22"/>
  <c r="D822" i="22"/>
  <c r="E822" i="22"/>
  <c r="F822" i="22"/>
  <c r="A823" i="22"/>
  <c r="B823" i="22"/>
  <c r="C823" i="22"/>
  <c r="D823" i="22"/>
  <c r="E823" i="22"/>
  <c r="F823" i="22"/>
  <c r="A824" i="22"/>
  <c r="B824" i="22"/>
  <c r="C824" i="22"/>
  <c r="D824" i="22"/>
  <c r="E824" i="22"/>
  <c r="F824" i="22"/>
  <c r="A825" i="22"/>
  <c r="B825" i="22"/>
  <c r="C825" i="22"/>
  <c r="D825" i="22"/>
  <c r="E825" i="22"/>
  <c r="F825" i="22"/>
  <c r="A826" i="22"/>
  <c r="B826" i="22"/>
  <c r="C826" i="22"/>
  <c r="D826" i="22"/>
  <c r="E826" i="22"/>
  <c r="F826" i="22"/>
  <c r="A827" i="22"/>
  <c r="B827" i="22"/>
  <c r="C827" i="22"/>
  <c r="D827" i="22"/>
  <c r="E827" i="22"/>
  <c r="F827" i="22"/>
  <c r="A828" i="22"/>
  <c r="B828" i="22"/>
  <c r="C828" i="22"/>
  <c r="D828" i="22"/>
  <c r="E828" i="22"/>
  <c r="F828" i="22"/>
  <c r="A829" i="22"/>
  <c r="B829" i="22"/>
  <c r="C829" i="22"/>
  <c r="D829" i="22"/>
  <c r="E829" i="22"/>
  <c r="F829" i="22"/>
  <c r="A830" i="22"/>
  <c r="B830" i="22"/>
  <c r="C830" i="22"/>
  <c r="D830" i="22"/>
  <c r="E830" i="22"/>
  <c r="F830" i="22"/>
  <c r="A831" i="22"/>
  <c r="B831" i="22"/>
  <c r="C831" i="22"/>
  <c r="D831" i="22"/>
  <c r="E831" i="22"/>
  <c r="F831" i="22"/>
  <c r="A832" i="22"/>
  <c r="B832" i="22"/>
  <c r="C832" i="22"/>
  <c r="D832" i="22"/>
  <c r="E832" i="22"/>
  <c r="F832" i="22"/>
  <c r="A833" i="22"/>
  <c r="B833" i="22"/>
  <c r="C833" i="22"/>
  <c r="D833" i="22"/>
  <c r="E833" i="22"/>
  <c r="F833" i="22"/>
  <c r="A834" i="22"/>
  <c r="B834" i="22"/>
  <c r="C834" i="22"/>
  <c r="D834" i="22"/>
  <c r="E834" i="22"/>
  <c r="F834" i="22"/>
  <c r="A835" i="22"/>
  <c r="B835" i="22"/>
  <c r="C835" i="22"/>
  <c r="D835" i="22"/>
  <c r="E835" i="22"/>
  <c r="F835" i="22"/>
  <c r="A836" i="22"/>
  <c r="B836" i="22"/>
  <c r="C836" i="22"/>
  <c r="D836" i="22"/>
  <c r="E836" i="22"/>
  <c r="F836" i="22"/>
  <c r="A837" i="22"/>
  <c r="B837" i="22"/>
  <c r="C837" i="22"/>
  <c r="D837" i="22"/>
  <c r="E837" i="22"/>
  <c r="F837" i="22"/>
  <c r="A838" i="22"/>
  <c r="B838" i="22"/>
  <c r="C838" i="22"/>
  <c r="D838" i="22"/>
  <c r="E838" i="22"/>
  <c r="F838" i="22"/>
  <c r="A839" i="22"/>
  <c r="B839" i="22"/>
  <c r="C839" i="22"/>
  <c r="D839" i="22"/>
  <c r="E839" i="22"/>
  <c r="F839" i="22"/>
  <c r="A840" i="22"/>
  <c r="B840" i="22"/>
  <c r="C840" i="22"/>
  <c r="D840" i="22"/>
  <c r="E840" i="22"/>
  <c r="F840" i="22"/>
  <c r="A841" i="22"/>
  <c r="B841" i="22"/>
  <c r="C841" i="22"/>
  <c r="D841" i="22"/>
  <c r="E841" i="22"/>
  <c r="F841" i="22"/>
  <c r="A842" i="22"/>
  <c r="B842" i="22"/>
  <c r="C842" i="22"/>
  <c r="D842" i="22"/>
  <c r="E842" i="22"/>
  <c r="F842" i="22"/>
  <c r="A843" i="22"/>
  <c r="B843" i="22"/>
  <c r="C843" i="22"/>
  <c r="D843" i="22"/>
  <c r="E843" i="22"/>
  <c r="F843" i="22"/>
  <c r="A844" i="22"/>
  <c r="B844" i="22"/>
  <c r="C844" i="22"/>
  <c r="D844" i="22"/>
  <c r="E844" i="22"/>
  <c r="F844" i="22"/>
  <c r="A845" i="22"/>
  <c r="B845" i="22"/>
  <c r="C845" i="22"/>
  <c r="D845" i="22"/>
  <c r="E845" i="22"/>
  <c r="F845" i="22"/>
  <c r="A846" i="22"/>
  <c r="B846" i="22"/>
  <c r="C846" i="22"/>
  <c r="D846" i="22"/>
  <c r="E846" i="22"/>
  <c r="F846" i="22"/>
  <c r="A847" i="22"/>
  <c r="B847" i="22"/>
  <c r="C847" i="22"/>
  <c r="D847" i="22"/>
  <c r="E847" i="22"/>
  <c r="F847" i="22"/>
  <c r="A848" i="22"/>
  <c r="B848" i="22"/>
  <c r="C848" i="22"/>
  <c r="D848" i="22"/>
  <c r="E848" i="22"/>
  <c r="F848" i="22"/>
  <c r="A849" i="22"/>
  <c r="B849" i="22"/>
  <c r="C849" i="22"/>
  <c r="D849" i="22"/>
  <c r="E849" i="22"/>
  <c r="F849" i="22"/>
  <c r="A850" i="22"/>
  <c r="B850" i="22"/>
  <c r="C850" i="22"/>
  <c r="D850" i="22"/>
  <c r="E850" i="22"/>
  <c r="F850" i="22"/>
  <c r="A851" i="22"/>
  <c r="B851" i="22"/>
  <c r="C851" i="22"/>
  <c r="D851" i="22"/>
  <c r="E851" i="22"/>
  <c r="F851" i="22"/>
  <c r="A852" i="22"/>
  <c r="B852" i="22"/>
  <c r="C852" i="22"/>
  <c r="D852" i="22"/>
  <c r="E852" i="22"/>
  <c r="F852" i="22"/>
  <c r="A853" i="22"/>
  <c r="B853" i="22"/>
  <c r="C853" i="22"/>
  <c r="D853" i="22"/>
  <c r="E853" i="22"/>
  <c r="F853" i="22"/>
  <c r="A854" i="22"/>
  <c r="B854" i="22"/>
  <c r="C854" i="22"/>
  <c r="D854" i="22"/>
  <c r="E854" i="22"/>
  <c r="F854" i="22"/>
  <c r="A855" i="22"/>
  <c r="B855" i="22"/>
  <c r="C855" i="22"/>
  <c r="D855" i="22"/>
  <c r="E855" i="22"/>
  <c r="F855" i="22"/>
  <c r="A856" i="22"/>
  <c r="B856" i="22"/>
  <c r="C856" i="22"/>
  <c r="D856" i="22"/>
  <c r="E856" i="22"/>
  <c r="F856" i="22"/>
  <c r="A857" i="22"/>
  <c r="B857" i="22"/>
  <c r="C857" i="22"/>
  <c r="D857" i="22"/>
  <c r="E857" i="22"/>
  <c r="F857" i="22"/>
  <c r="A858" i="22"/>
  <c r="B858" i="22"/>
  <c r="C858" i="22"/>
  <c r="D858" i="22"/>
  <c r="E858" i="22"/>
  <c r="F858" i="22"/>
  <c r="A859" i="22"/>
  <c r="B859" i="22"/>
  <c r="C859" i="22"/>
  <c r="D859" i="22"/>
  <c r="E859" i="22"/>
  <c r="F859" i="22"/>
  <c r="A860" i="22"/>
  <c r="B860" i="22"/>
  <c r="C860" i="22"/>
  <c r="D860" i="22"/>
  <c r="E860" i="22"/>
  <c r="F860" i="22"/>
  <c r="A861" i="22"/>
  <c r="B861" i="22"/>
  <c r="C861" i="22"/>
  <c r="D861" i="22"/>
  <c r="E861" i="22"/>
  <c r="F861" i="22"/>
  <c r="A862" i="22"/>
  <c r="B862" i="22"/>
  <c r="C862" i="22"/>
  <c r="D862" i="22"/>
  <c r="E862" i="22"/>
  <c r="F862" i="22"/>
  <c r="A863" i="22"/>
  <c r="B863" i="22"/>
  <c r="C863" i="22"/>
  <c r="D863" i="22"/>
  <c r="E863" i="22"/>
  <c r="F863" i="22"/>
  <c r="A864" i="22"/>
  <c r="B864" i="22"/>
  <c r="C864" i="22"/>
  <c r="D864" i="22"/>
  <c r="E864" i="22"/>
  <c r="F864" i="22"/>
  <c r="A865" i="22"/>
  <c r="B865" i="22"/>
  <c r="C865" i="22"/>
  <c r="D865" i="22"/>
  <c r="E865" i="22"/>
  <c r="F865" i="22"/>
  <c r="A866" i="22"/>
  <c r="B866" i="22"/>
  <c r="C866" i="22"/>
  <c r="D866" i="22"/>
  <c r="E866" i="22"/>
  <c r="F866" i="22"/>
  <c r="A867" i="22"/>
  <c r="B867" i="22"/>
  <c r="C867" i="22"/>
  <c r="D867" i="22"/>
  <c r="E867" i="22"/>
  <c r="F867" i="22"/>
  <c r="A868" i="22"/>
  <c r="B868" i="22"/>
  <c r="C868" i="22"/>
  <c r="D868" i="22"/>
  <c r="E868" i="22"/>
  <c r="F868" i="22"/>
  <c r="A869" i="22"/>
  <c r="B869" i="22"/>
  <c r="C869" i="22"/>
  <c r="D869" i="22"/>
  <c r="E869" i="22"/>
  <c r="F869" i="22"/>
  <c r="A870" i="22"/>
  <c r="B870" i="22"/>
  <c r="C870" i="22"/>
  <c r="D870" i="22"/>
  <c r="E870" i="22"/>
  <c r="F870" i="22"/>
  <c r="A871" i="22"/>
  <c r="B871" i="22"/>
  <c r="C871" i="22"/>
  <c r="D871" i="22"/>
  <c r="E871" i="22"/>
  <c r="F871" i="22"/>
  <c r="A872" i="22"/>
  <c r="B872" i="22"/>
  <c r="C872" i="22"/>
  <c r="D872" i="22"/>
  <c r="E872" i="22"/>
  <c r="F872" i="22"/>
  <c r="A873" i="22"/>
  <c r="B873" i="22"/>
  <c r="C873" i="22"/>
  <c r="D873" i="22"/>
  <c r="E873" i="22"/>
  <c r="F873" i="22"/>
  <c r="A874" i="22"/>
  <c r="B874" i="22"/>
  <c r="C874" i="22"/>
  <c r="D874" i="22"/>
  <c r="E874" i="22"/>
  <c r="F874" i="22"/>
  <c r="A875" i="22"/>
  <c r="B875" i="22"/>
  <c r="C875" i="22"/>
  <c r="D875" i="22"/>
  <c r="E875" i="22"/>
  <c r="F875" i="22"/>
  <c r="A876" i="22"/>
  <c r="B876" i="22"/>
  <c r="C876" i="22"/>
  <c r="D876" i="22"/>
  <c r="E876" i="22"/>
  <c r="F876" i="22"/>
  <c r="A877" i="22"/>
  <c r="B877" i="22"/>
  <c r="C877" i="22"/>
  <c r="D877" i="22"/>
  <c r="E877" i="22"/>
  <c r="F877" i="22"/>
  <c r="A878" i="22"/>
  <c r="B878" i="22"/>
  <c r="C878" i="22"/>
  <c r="D878" i="22"/>
  <c r="E878" i="22"/>
  <c r="F878" i="22"/>
  <c r="A879" i="22"/>
  <c r="B879" i="22"/>
  <c r="C879" i="22"/>
  <c r="D879" i="22"/>
  <c r="E879" i="22"/>
  <c r="F879" i="22"/>
  <c r="A880" i="22"/>
  <c r="B880" i="22"/>
  <c r="C880" i="22"/>
  <c r="D880" i="22"/>
  <c r="E880" i="22"/>
  <c r="F880" i="22"/>
  <c r="A881" i="22"/>
  <c r="B881" i="22"/>
  <c r="C881" i="22"/>
  <c r="D881" i="22"/>
  <c r="E881" i="22"/>
  <c r="F881" i="22"/>
  <c r="A882" i="22"/>
  <c r="B882" i="22"/>
  <c r="C882" i="22"/>
  <c r="D882" i="22"/>
  <c r="E882" i="22"/>
  <c r="F882" i="22"/>
  <c r="A883" i="22"/>
  <c r="B883" i="22"/>
  <c r="C883" i="22"/>
  <c r="D883" i="22"/>
  <c r="E883" i="22"/>
  <c r="F883" i="22"/>
  <c r="A884" i="22"/>
  <c r="B884" i="22"/>
  <c r="C884" i="22"/>
  <c r="D884" i="22"/>
  <c r="E884" i="22"/>
  <c r="F884" i="22"/>
  <c r="A885" i="22"/>
  <c r="B885" i="22"/>
  <c r="C885" i="22"/>
  <c r="D885" i="22"/>
  <c r="E885" i="22"/>
  <c r="F885" i="22"/>
  <c r="A886" i="22"/>
  <c r="B886" i="22"/>
  <c r="C886" i="22"/>
  <c r="D886" i="22"/>
  <c r="E886" i="22"/>
  <c r="F886" i="22"/>
  <c r="A887" i="22"/>
  <c r="B887" i="22"/>
  <c r="C887" i="22"/>
  <c r="D887" i="22"/>
  <c r="E887" i="22"/>
  <c r="F887" i="22"/>
  <c r="A888" i="22"/>
  <c r="B888" i="22"/>
  <c r="C888" i="22"/>
  <c r="D888" i="22"/>
  <c r="E888" i="22"/>
  <c r="F888" i="22"/>
  <c r="A889" i="22"/>
  <c r="B889" i="22"/>
  <c r="C889" i="22"/>
  <c r="D889" i="22"/>
  <c r="E889" i="22"/>
  <c r="F889" i="22"/>
  <c r="A890" i="22"/>
  <c r="B890" i="22"/>
  <c r="C890" i="22"/>
  <c r="D890" i="22"/>
  <c r="E890" i="22"/>
  <c r="F890" i="22"/>
  <c r="A891" i="22"/>
  <c r="B891" i="22"/>
  <c r="C891" i="22"/>
  <c r="D891" i="22"/>
  <c r="E891" i="22"/>
  <c r="F891" i="22"/>
  <c r="A892" i="22"/>
  <c r="B892" i="22"/>
  <c r="C892" i="22"/>
  <c r="D892" i="22"/>
  <c r="E892" i="22"/>
  <c r="F892" i="22"/>
  <c r="A893" i="22"/>
  <c r="B893" i="22"/>
  <c r="C893" i="22"/>
  <c r="D893" i="22"/>
  <c r="E893" i="22"/>
  <c r="F893" i="22"/>
  <c r="A894" i="22"/>
  <c r="B894" i="22"/>
  <c r="C894" i="22"/>
  <c r="D894" i="22"/>
  <c r="E894" i="22"/>
  <c r="F894" i="22"/>
  <c r="A895" i="22"/>
  <c r="B895" i="22"/>
  <c r="C895" i="22"/>
  <c r="D895" i="22"/>
  <c r="E895" i="22"/>
  <c r="F895" i="22"/>
  <c r="A896" i="22"/>
  <c r="B896" i="22"/>
  <c r="C896" i="22"/>
  <c r="D896" i="22"/>
  <c r="E896" i="22"/>
  <c r="F896" i="22"/>
  <c r="A897" i="22"/>
  <c r="B897" i="22"/>
  <c r="C897" i="22"/>
  <c r="D897" i="22"/>
  <c r="E897" i="22"/>
  <c r="F897" i="22"/>
  <c r="A898" i="22"/>
  <c r="B898" i="22"/>
  <c r="C898" i="22"/>
  <c r="D898" i="22"/>
  <c r="E898" i="22"/>
  <c r="F898" i="22"/>
  <c r="A899" i="22"/>
  <c r="B899" i="22"/>
  <c r="C899" i="22"/>
  <c r="D899" i="22"/>
  <c r="E899" i="22"/>
  <c r="F899" i="22"/>
  <c r="A900" i="22"/>
  <c r="B900" i="22"/>
  <c r="C900" i="22"/>
  <c r="D900" i="22"/>
  <c r="E900" i="22"/>
  <c r="F900" i="22"/>
  <c r="A901" i="22"/>
  <c r="B901" i="22"/>
  <c r="C901" i="22"/>
  <c r="D901" i="22"/>
  <c r="E901" i="22"/>
  <c r="F901" i="22"/>
  <c r="A902" i="22"/>
  <c r="B902" i="22"/>
  <c r="C902" i="22"/>
  <c r="D902" i="22"/>
  <c r="E902" i="22"/>
  <c r="F902" i="22"/>
  <c r="A903" i="22"/>
  <c r="B903" i="22"/>
  <c r="C903" i="22"/>
  <c r="D903" i="22"/>
  <c r="E903" i="22"/>
  <c r="F903" i="22"/>
  <c r="A904" i="22"/>
  <c r="B904" i="22"/>
  <c r="C904" i="22"/>
  <c r="D904" i="22"/>
  <c r="E904" i="22"/>
  <c r="F904" i="22"/>
  <c r="A905" i="22"/>
  <c r="B905" i="22"/>
  <c r="C905" i="22"/>
  <c r="D905" i="22"/>
  <c r="E905" i="22"/>
  <c r="F905" i="22"/>
  <c r="A906" i="22"/>
  <c r="B906" i="22"/>
  <c r="C906" i="22"/>
  <c r="D906" i="22"/>
  <c r="E906" i="22"/>
  <c r="F906" i="22"/>
  <c r="A907" i="22"/>
  <c r="B907" i="22"/>
  <c r="C907" i="22"/>
  <c r="D907" i="22"/>
  <c r="E907" i="22"/>
  <c r="F907" i="22"/>
  <c r="A908" i="22"/>
  <c r="B908" i="22"/>
  <c r="C908" i="22"/>
  <c r="D908" i="22"/>
  <c r="E908" i="22"/>
  <c r="F908" i="22"/>
  <c r="A909" i="22"/>
  <c r="B909" i="22"/>
  <c r="C909" i="22"/>
  <c r="D909" i="22"/>
  <c r="E909" i="22"/>
  <c r="F909" i="22"/>
  <c r="A910" i="22"/>
  <c r="B910" i="22"/>
  <c r="C910" i="22"/>
  <c r="D910" i="22"/>
  <c r="E910" i="22"/>
  <c r="F910" i="22"/>
  <c r="A911" i="22"/>
  <c r="B911" i="22"/>
  <c r="C911" i="22"/>
  <c r="D911" i="22"/>
  <c r="E911" i="22"/>
  <c r="F911" i="22"/>
  <c r="A912" i="22"/>
  <c r="B912" i="22"/>
  <c r="C912" i="22"/>
  <c r="D912" i="22"/>
  <c r="E912" i="22"/>
  <c r="F912" i="22"/>
  <c r="A913" i="22"/>
  <c r="B913" i="22"/>
  <c r="C913" i="22"/>
  <c r="D913" i="22"/>
  <c r="E913" i="22"/>
  <c r="F913" i="22"/>
  <c r="A914" i="22"/>
  <c r="B914" i="22"/>
  <c r="C914" i="22"/>
  <c r="D914" i="22"/>
  <c r="E914" i="22"/>
  <c r="F914" i="22"/>
  <c r="A915" i="22"/>
  <c r="B915" i="22"/>
  <c r="C915" i="22"/>
  <c r="D915" i="22"/>
  <c r="E915" i="22"/>
  <c r="F915" i="22"/>
  <c r="A916" i="22"/>
  <c r="B916" i="22"/>
  <c r="C916" i="22"/>
  <c r="D916" i="22"/>
  <c r="E916" i="22"/>
  <c r="F916" i="22"/>
  <c r="A917" i="22"/>
  <c r="B917" i="22"/>
  <c r="C917" i="22"/>
  <c r="D917" i="22"/>
  <c r="E917" i="22"/>
  <c r="F917" i="22"/>
  <c r="A918" i="22"/>
  <c r="B918" i="22"/>
  <c r="C918" i="22"/>
  <c r="D918" i="22"/>
  <c r="E918" i="22"/>
  <c r="F918" i="22"/>
  <c r="A919" i="22"/>
  <c r="B919" i="22"/>
  <c r="C919" i="22"/>
  <c r="D919" i="22"/>
  <c r="E919" i="22"/>
  <c r="F919" i="22"/>
  <c r="A920" i="22"/>
  <c r="B920" i="22"/>
  <c r="C920" i="22"/>
  <c r="D920" i="22"/>
  <c r="E920" i="22"/>
  <c r="F920" i="22"/>
  <c r="A921" i="22"/>
  <c r="B921" i="22"/>
  <c r="C921" i="22"/>
  <c r="D921" i="22"/>
  <c r="E921" i="22"/>
  <c r="F921" i="22"/>
  <c r="A922" i="22"/>
  <c r="B922" i="22"/>
  <c r="C922" i="22"/>
  <c r="D922" i="22"/>
  <c r="E922" i="22"/>
  <c r="F922" i="22"/>
  <c r="A923" i="22"/>
  <c r="B923" i="22"/>
  <c r="C923" i="22"/>
  <c r="D923" i="22"/>
  <c r="E923" i="22"/>
  <c r="F923" i="22"/>
  <c r="A924" i="22"/>
  <c r="B924" i="22"/>
  <c r="C924" i="22"/>
  <c r="D924" i="22"/>
  <c r="E924" i="22"/>
  <c r="F924" i="22"/>
  <c r="A925" i="22"/>
  <c r="B925" i="22"/>
  <c r="C925" i="22"/>
  <c r="D925" i="22"/>
  <c r="E925" i="22"/>
  <c r="F925" i="22"/>
  <c r="A926" i="22"/>
  <c r="B926" i="22"/>
  <c r="C926" i="22"/>
  <c r="D926" i="22"/>
  <c r="E926" i="22"/>
  <c r="F926" i="22"/>
  <c r="A927" i="22"/>
  <c r="B927" i="22"/>
  <c r="C927" i="22"/>
  <c r="D927" i="22"/>
  <c r="E927" i="22"/>
  <c r="F927" i="22"/>
  <c r="A928" i="22"/>
  <c r="B928" i="22"/>
  <c r="C928" i="22"/>
  <c r="D928" i="22"/>
  <c r="E928" i="22"/>
  <c r="F928" i="22"/>
  <c r="A929" i="22"/>
  <c r="B929" i="22"/>
  <c r="C929" i="22"/>
  <c r="D929" i="22"/>
  <c r="E929" i="22"/>
  <c r="F929" i="22"/>
  <c r="A930" i="22"/>
  <c r="B930" i="22"/>
  <c r="C930" i="22"/>
  <c r="D930" i="22"/>
  <c r="E930" i="22"/>
  <c r="F930" i="22"/>
  <c r="A931" i="22"/>
  <c r="B931" i="22"/>
  <c r="C931" i="22"/>
  <c r="D931" i="22"/>
  <c r="E931" i="22"/>
  <c r="F931" i="22"/>
  <c r="A932" i="22"/>
  <c r="B932" i="22"/>
  <c r="C932" i="22"/>
  <c r="D932" i="22"/>
  <c r="E932" i="22"/>
  <c r="F932" i="22"/>
  <c r="A933" i="22"/>
  <c r="B933" i="22"/>
  <c r="C933" i="22"/>
  <c r="D933" i="22"/>
  <c r="E933" i="22"/>
  <c r="F933" i="22"/>
  <c r="A934" i="22"/>
  <c r="B934" i="22"/>
  <c r="C934" i="22"/>
  <c r="D934" i="22"/>
  <c r="E934" i="22"/>
  <c r="F934" i="22"/>
  <c r="A935" i="22"/>
  <c r="B935" i="22"/>
  <c r="C935" i="22"/>
  <c r="D935" i="22"/>
  <c r="E935" i="22"/>
  <c r="F935" i="22"/>
  <c r="A936" i="22"/>
  <c r="B936" i="22"/>
  <c r="C936" i="22"/>
  <c r="D936" i="22"/>
  <c r="E936" i="22"/>
  <c r="F936" i="22"/>
  <c r="A937" i="22"/>
  <c r="B937" i="22"/>
  <c r="C937" i="22"/>
  <c r="D937" i="22"/>
  <c r="E937" i="22"/>
  <c r="F937" i="22"/>
  <c r="A938" i="22"/>
  <c r="B938" i="22"/>
  <c r="C938" i="22"/>
  <c r="D938" i="22"/>
  <c r="E938" i="22"/>
  <c r="F938" i="22"/>
  <c r="A939" i="22"/>
  <c r="B939" i="22"/>
  <c r="C939" i="22"/>
  <c r="D939" i="22"/>
  <c r="E939" i="22"/>
  <c r="F939" i="22"/>
  <c r="A940" i="22"/>
  <c r="B940" i="22"/>
  <c r="C940" i="22"/>
  <c r="D940" i="22"/>
  <c r="E940" i="22"/>
  <c r="F940" i="22"/>
  <c r="A941" i="22"/>
  <c r="B941" i="22"/>
  <c r="C941" i="22"/>
  <c r="D941" i="22"/>
  <c r="E941" i="22"/>
  <c r="F941" i="22"/>
  <c r="A942" i="22"/>
  <c r="B942" i="22"/>
  <c r="C942" i="22"/>
  <c r="D942" i="22"/>
  <c r="E942" i="22"/>
  <c r="F942" i="22"/>
  <c r="A943" i="22"/>
  <c r="B943" i="22"/>
  <c r="C943" i="22"/>
  <c r="D943" i="22"/>
  <c r="E943" i="22"/>
  <c r="F943" i="22"/>
  <c r="A944" i="22"/>
  <c r="B944" i="22"/>
  <c r="C944" i="22"/>
  <c r="D944" i="22"/>
  <c r="E944" i="22"/>
  <c r="F944" i="22"/>
  <c r="A945" i="22"/>
  <c r="B945" i="22"/>
  <c r="C945" i="22"/>
  <c r="D945" i="22"/>
  <c r="E945" i="22"/>
  <c r="F945" i="22"/>
  <c r="A946" i="22"/>
  <c r="B946" i="22"/>
  <c r="C946" i="22"/>
  <c r="D946" i="22"/>
  <c r="E946" i="22"/>
  <c r="F946" i="22"/>
  <c r="A947" i="22"/>
  <c r="B947" i="22"/>
  <c r="C947" i="22"/>
  <c r="D947" i="22"/>
  <c r="E947" i="22"/>
  <c r="F947" i="22"/>
  <c r="A948" i="22"/>
  <c r="B948" i="22"/>
  <c r="C948" i="22"/>
  <c r="D948" i="22"/>
  <c r="E948" i="22"/>
  <c r="F948" i="22"/>
  <c r="A949" i="22"/>
  <c r="B949" i="22"/>
  <c r="C949" i="22"/>
  <c r="D949" i="22"/>
  <c r="E949" i="22"/>
  <c r="F949" i="22"/>
  <c r="A950" i="22"/>
  <c r="B950" i="22"/>
  <c r="C950" i="22"/>
  <c r="D950" i="22"/>
  <c r="E950" i="22"/>
  <c r="F950" i="22"/>
  <c r="A951" i="22"/>
  <c r="B951" i="22"/>
  <c r="C951" i="22"/>
  <c r="D951" i="22"/>
  <c r="E951" i="22"/>
  <c r="F951" i="22"/>
  <c r="A952" i="22"/>
  <c r="B952" i="22"/>
  <c r="C952" i="22"/>
  <c r="D952" i="22"/>
  <c r="E952" i="22"/>
  <c r="F952" i="22"/>
  <c r="A953" i="22"/>
  <c r="B953" i="22"/>
  <c r="C953" i="22"/>
  <c r="D953" i="22"/>
  <c r="E953" i="22"/>
  <c r="F953" i="22"/>
  <c r="A954" i="22"/>
  <c r="B954" i="22"/>
  <c r="C954" i="22"/>
  <c r="D954" i="22"/>
  <c r="E954" i="22"/>
  <c r="F954" i="22"/>
  <c r="A955" i="22"/>
  <c r="B955" i="22"/>
  <c r="C955" i="22"/>
  <c r="D955" i="22"/>
  <c r="E955" i="22"/>
  <c r="F955" i="22"/>
  <c r="A956" i="22"/>
  <c r="B956" i="22"/>
  <c r="C956" i="22"/>
  <c r="D956" i="22"/>
  <c r="E956" i="22"/>
  <c r="F956" i="22"/>
  <c r="A957" i="22"/>
  <c r="B957" i="22"/>
  <c r="C957" i="22"/>
  <c r="D957" i="22"/>
  <c r="E957" i="22"/>
  <c r="F957" i="22"/>
  <c r="A958" i="22"/>
  <c r="B958" i="22"/>
  <c r="C958" i="22"/>
  <c r="D958" i="22"/>
  <c r="E958" i="22"/>
  <c r="F958" i="22"/>
  <c r="A959" i="22"/>
  <c r="B959" i="22"/>
  <c r="C959" i="22"/>
  <c r="D959" i="22"/>
  <c r="E959" i="22"/>
  <c r="F959" i="22"/>
  <c r="A960" i="22"/>
  <c r="B960" i="22"/>
  <c r="C960" i="22"/>
  <c r="D960" i="22"/>
  <c r="E960" i="22"/>
  <c r="F960" i="22"/>
  <c r="A961" i="22"/>
  <c r="B961" i="22"/>
  <c r="C961" i="22"/>
  <c r="D961" i="22"/>
  <c r="E961" i="22"/>
  <c r="F961" i="22"/>
  <c r="A962" i="22"/>
  <c r="B962" i="22"/>
  <c r="C962" i="22"/>
  <c r="D962" i="22"/>
  <c r="E962" i="22"/>
  <c r="F962" i="22"/>
  <c r="A963" i="22"/>
  <c r="B963" i="22"/>
  <c r="C963" i="22"/>
  <c r="D963" i="22"/>
  <c r="E963" i="22"/>
  <c r="F963" i="22"/>
  <c r="A964" i="22"/>
  <c r="B964" i="22"/>
  <c r="C964" i="22"/>
  <c r="D964" i="22"/>
  <c r="E964" i="22"/>
  <c r="F964" i="22"/>
  <c r="A965" i="22"/>
  <c r="B965" i="22"/>
  <c r="C965" i="22"/>
  <c r="D965" i="22"/>
  <c r="E965" i="22"/>
  <c r="F965" i="22"/>
  <c r="A966" i="22"/>
  <c r="B966" i="22"/>
  <c r="C966" i="22"/>
  <c r="D966" i="22"/>
  <c r="E966" i="22"/>
  <c r="F966" i="22"/>
  <c r="A967" i="22"/>
  <c r="B967" i="22"/>
  <c r="C967" i="22"/>
  <c r="D967" i="22"/>
  <c r="E967" i="22"/>
  <c r="F967" i="22"/>
  <c r="A968" i="22"/>
  <c r="B968" i="22"/>
  <c r="C968" i="22"/>
  <c r="D968" i="22"/>
  <c r="E968" i="22"/>
  <c r="F968" i="22"/>
  <c r="A969" i="22"/>
  <c r="B969" i="22"/>
  <c r="C969" i="22"/>
  <c r="D969" i="22"/>
  <c r="E969" i="22"/>
  <c r="F969" i="22"/>
  <c r="A970" i="22"/>
  <c r="B970" i="22"/>
  <c r="C970" i="22"/>
  <c r="D970" i="22"/>
  <c r="E970" i="22"/>
  <c r="F970" i="22"/>
  <c r="A971" i="22"/>
  <c r="B971" i="22"/>
  <c r="C971" i="22"/>
  <c r="D971" i="22"/>
  <c r="E971" i="22"/>
  <c r="F971" i="22"/>
  <c r="A972" i="22"/>
  <c r="B972" i="22"/>
  <c r="C972" i="22"/>
  <c r="D972" i="22"/>
  <c r="E972" i="22"/>
  <c r="F972" i="22"/>
  <c r="A973" i="22"/>
  <c r="B973" i="22"/>
  <c r="C973" i="22"/>
  <c r="D973" i="22"/>
  <c r="E973" i="22"/>
  <c r="F973" i="22"/>
  <c r="A974" i="22"/>
  <c r="B974" i="22"/>
  <c r="C974" i="22"/>
  <c r="D974" i="22"/>
  <c r="E974" i="22"/>
  <c r="F974" i="22"/>
  <c r="A975" i="22"/>
  <c r="B975" i="22"/>
  <c r="C975" i="22"/>
  <c r="D975" i="22"/>
  <c r="E975" i="22"/>
  <c r="F975" i="22"/>
  <c r="A976" i="22"/>
  <c r="B976" i="22"/>
  <c r="C976" i="22"/>
  <c r="D976" i="22"/>
  <c r="E976" i="22"/>
  <c r="F976" i="22"/>
  <c r="A977" i="22"/>
  <c r="B977" i="22"/>
  <c r="C977" i="22"/>
  <c r="D977" i="22"/>
  <c r="E977" i="22"/>
  <c r="F977" i="22"/>
  <c r="A978" i="22"/>
  <c r="B978" i="22"/>
  <c r="C978" i="22"/>
  <c r="D978" i="22"/>
  <c r="E978" i="22"/>
  <c r="F978" i="22"/>
  <c r="A979" i="22"/>
  <c r="B979" i="22"/>
  <c r="C979" i="22"/>
  <c r="D979" i="22"/>
  <c r="E979" i="22"/>
  <c r="F979" i="22"/>
  <c r="A980" i="22"/>
  <c r="B980" i="22"/>
  <c r="C980" i="22"/>
  <c r="D980" i="22"/>
  <c r="E980" i="22"/>
  <c r="F980" i="22"/>
  <c r="A981" i="22"/>
  <c r="B981" i="22"/>
  <c r="C981" i="22"/>
  <c r="D981" i="22"/>
  <c r="E981" i="22"/>
  <c r="F981" i="22"/>
  <c r="A982" i="22"/>
  <c r="B982" i="22"/>
  <c r="C982" i="22"/>
  <c r="D982" i="22"/>
  <c r="E982" i="22"/>
  <c r="F982" i="22"/>
  <c r="A983" i="22"/>
  <c r="B983" i="22"/>
  <c r="C983" i="22"/>
  <c r="D983" i="22"/>
  <c r="E983" i="22"/>
  <c r="F983" i="22"/>
  <c r="A984" i="22"/>
  <c r="B984" i="22"/>
  <c r="C984" i="22"/>
  <c r="D984" i="22"/>
  <c r="E984" i="22"/>
  <c r="F984" i="22"/>
  <c r="A985" i="22"/>
  <c r="B985" i="22"/>
  <c r="C985" i="22"/>
  <c r="D985" i="22"/>
  <c r="E985" i="22"/>
  <c r="F985" i="22"/>
  <c r="A986" i="22"/>
  <c r="B986" i="22"/>
  <c r="C986" i="22"/>
  <c r="D986" i="22"/>
  <c r="E986" i="22"/>
  <c r="F986" i="22"/>
  <c r="A987" i="22"/>
  <c r="B987" i="22"/>
  <c r="C987" i="22"/>
  <c r="D987" i="22"/>
  <c r="E987" i="22"/>
  <c r="F987" i="22"/>
  <c r="A988" i="22"/>
  <c r="B988" i="22"/>
  <c r="C988" i="22"/>
  <c r="D988" i="22"/>
  <c r="E988" i="22"/>
  <c r="F988" i="22"/>
  <c r="A989" i="22"/>
  <c r="B989" i="22"/>
  <c r="C989" i="22"/>
  <c r="D989" i="22"/>
  <c r="E989" i="22"/>
  <c r="F989" i="22"/>
  <c r="A990" i="22"/>
  <c r="B990" i="22"/>
  <c r="C990" i="22"/>
  <c r="D990" i="22"/>
  <c r="E990" i="22"/>
  <c r="F990" i="22"/>
  <c r="A991" i="22"/>
  <c r="B991" i="22"/>
  <c r="C991" i="22"/>
  <c r="D991" i="22"/>
  <c r="E991" i="22"/>
  <c r="F991" i="22"/>
  <c r="A992" i="22"/>
  <c r="B992" i="22"/>
  <c r="C992" i="22"/>
  <c r="D992" i="22"/>
  <c r="E992" i="22"/>
  <c r="F992" i="22"/>
  <c r="A993" i="22"/>
  <c r="B993" i="22"/>
  <c r="C993" i="22"/>
  <c r="D993" i="22"/>
  <c r="E993" i="22"/>
  <c r="F993" i="22"/>
  <c r="A994" i="22"/>
  <c r="B994" i="22"/>
  <c r="C994" i="22"/>
  <c r="D994" i="22"/>
  <c r="E994" i="22"/>
  <c r="F994" i="22"/>
  <c r="A995" i="22"/>
  <c r="B995" i="22"/>
  <c r="C995" i="22"/>
  <c r="D995" i="22"/>
  <c r="E995" i="22"/>
  <c r="F995" i="22"/>
  <c r="A996" i="22"/>
  <c r="B996" i="22"/>
  <c r="C996" i="22"/>
  <c r="D996" i="22"/>
  <c r="E996" i="22"/>
  <c r="F996" i="22"/>
  <c r="A997" i="22"/>
  <c r="B997" i="22"/>
  <c r="C997" i="22"/>
  <c r="D997" i="22"/>
  <c r="E997" i="22"/>
  <c r="F997" i="22"/>
  <c r="A998" i="22"/>
  <c r="B998" i="22"/>
  <c r="C998" i="22"/>
  <c r="D998" i="22"/>
  <c r="E998" i="22"/>
  <c r="F998" i="22"/>
  <c r="A999" i="22"/>
  <c r="B999" i="22"/>
  <c r="C999" i="22"/>
  <c r="D999" i="22"/>
  <c r="E999" i="22"/>
  <c r="F999" i="22"/>
  <c r="A1000" i="22"/>
  <c r="B1000" i="22"/>
  <c r="C1000" i="22"/>
  <c r="D1000" i="22"/>
  <c r="E1000" i="22"/>
  <c r="F1000" i="22"/>
  <c r="B59" i="11"/>
  <c r="B60" i="11"/>
  <c r="B61" i="11"/>
  <c r="B62" i="11"/>
  <c r="B63" i="11"/>
  <c r="B64" i="11"/>
  <c r="B64" i="22" s="1"/>
  <c r="B65" i="11"/>
  <c r="B66" i="11"/>
  <c r="B58" i="11"/>
  <c r="A66" i="11"/>
  <c r="A65" i="11"/>
  <c r="A64" i="11"/>
  <c r="A63" i="11"/>
  <c r="A62" i="11"/>
  <c r="A61" i="11"/>
  <c r="A60" i="11"/>
  <c r="A59" i="11"/>
  <c r="A58" i="11"/>
  <c r="A30" i="11"/>
  <c r="A29" i="11"/>
  <c r="A28" i="11"/>
  <c r="A27" i="11"/>
  <c r="A26" i="11"/>
  <c r="A25" i="11"/>
  <c r="A24" i="11"/>
  <c r="A23" i="11"/>
  <c r="A22" i="11"/>
  <c r="B449" i="11"/>
  <c r="B449" i="22" s="1"/>
  <c r="B450" i="11"/>
  <c r="B450" i="22" s="1"/>
  <c r="B451" i="11"/>
  <c r="B452" i="11"/>
  <c r="B452" i="22" s="1"/>
  <c r="B448" i="11"/>
  <c r="B448" i="22" s="1"/>
  <c r="A452" i="11"/>
  <c r="A452" i="22" s="1"/>
  <c r="B444" i="11"/>
  <c r="B444" i="22" s="1"/>
  <c r="B445" i="11"/>
  <c r="B446" i="11"/>
  <c r="B447" i="11"/>
  <c r="B443" i="11"/>
  <c r="A444" i="11"/>
  <c r="A444" i="22" s="1"/>
  <c r="A445" i="11"/>
  <c r="A446" i="11"/>
  <c r="A447" i="11"/>
  <c r="A447" i="22" s="1"/>
  <c r="A448" i="11"/>
  <c r="A449" i="11"/>
  <c r="A450" i="11"/>
  <c r="A450" i="22" s="1"/>
  <c r="A451" i="11"/>
  <c r="A451" i="22" s="1"/>
  <c r="A443" i="11"/>
  <c r="A443" i="22" s="1"/>
  <c r="S998" i="15" l="1"/>
  <c r="T998" i="15"/>
  <c r="S990" i="15"/>
  <c r="T990" i="15"/>
  <c r="T982" i="15"/>
  <c r="S982" i="15"/>
  <c r="S974" i="15"/>
  <c r="T974" i="15"/>
  <c r="S966" i="15"/>
  <c r="T966" i="15"/>
  <c r="S958" i="15"/>
  <c r="T958" i="15"/>
  <c r="T950" i="15"/>
  <c r="S950" i="15"/>
  <c r="S942" i="15"/>
  <c r="T942" i="15"/>
  <c r="T934" i="15"/>
  <c r="S934" i="15"/>
  <c r="S922" i="15"/>
  <c r="T922" i="15"/>
  <c r="T914" i="15"/>
  <c r="S914" i="15"/>
  <c r="T910" i="15"/>
  <c r="S910" i="15"/>
  <c r="S906" i="15"/>
  <c r="T906" i="15"/>
  <c r="T898" i="15"/>
  <c r="S898" i="15"/>
  <c r="T894" i="15"/>
  <c r="S894" i="15"/>
  <c r="S890" i="15"/>
  <c r="T890" i="15"/>
  <c r="T882" i="15"/>
  <c r="S882" i="15"/>
  <c r="S874" i="15"/>
  <c r="T874" i="15"/>
  <c r="T866" i="15"/>
  <c r="S866" i="15"/>
  <c r="T858" i="15"/>
  <c r="S858" i="15"/>
  <c r="S850" i="15"/>
  <c r="T850" i="15"/>
  <c r="S842" i="15"/>
  <c r="T842" i="15"/>
  <c r="S834" i="15"/>
  <c r="T834" i="15"/>
  <c r="S826" i="15"/>
  <c r="T826" i="15"/>
  <c r="S818" i="15"/>
  <c r="T818" i="15"/>
  <c r="S810" i="15"/>
  <c r="T810" i="15"/>
  <c r="S802" i="15"/>
  <c r="T802" i="15"/>
  <c r="T794" i="15"/>
  <c r="S794" i="15"/>
  <c r="T786" i="15"/>
  <c r="S786" i="15"/>
  <c r="T778" i="15"/>
  <c r="S778" i="15"/>
  <c r="T770" i="15"/>
  <c r="S770" i="15"/>
  <c r="S762" i="15"/>
  <c r="T762" i="15"/>
  <c r="S754" i="15"/>
  <c r="T754" i="15"/>
  <c r="S746" i="15"/>
  <c r="T746" i="15"/>
  <c r="T738" i="15"/>
  <c r="S738" i="15"/>
  <c r="T730" i="15"/>
  <c r="S730" i="15"/>
  <c r="T722" i="15"/>
  <c r="S722" i="15"/>
  <c r="T714" i="15"/>
  <c r="S714" i="15"/>
  <c r="S706" i="15"/>
  <c r="T706" i="15"/>
  <c r="S698" i="15"/>
  <c r="T698" i="15"/>
  <c r="S690" i="15"/>
  <c r="T690" i="15"/>
  <c r="T682" i="15"/>
  <c r="S682" i="15"/>
  <c r="S674" i="15"/>
  <c r="T674" i="15"/>
  <c r="S666" i="15"/>
  <c r="T666" i="15"/>
  <c r="S658" i="15"/>
  <c r="T658" i="15"/>
  <c r="S654" i="15"/>
  <c r="T654" i="15"/>
  <c r="S646" i="15"/>
  <c r="T646" i="15"/>
  <c r="S622" i="15"/>
  <c r="T622" i="15"/>
  <c r="S614" i="15"/>
  <c r="T614" i="15"/>
  <c r="S590" i="15"/>
  <c r="T590" i="15"/>
  <c r="S582" i="15"/>
  <c r="T582" i="15"/>
  <c r="T650" i="15"/>
  <c r="T602" i="15"/>
  <c r="S599" i="15"/>
  <c r="T651" i="15"/>
  <c r="T718" i="15"/>
  <c r="T782" i="15"/>
  <c r="S611" i="15"/>
  <c r="T626" i="15"/>
  <c r="S736" i="15"/>
  <c r="T872" i="15"/>
  <c r="T986" i="15"/>
  <c r="T680" i="15"/>
  <c r="T911" i="15"/>
  <c r="S717" i="15"/>
  <c r="T856" i="15"/>
  <c r="T696" i="15"/>
  <c r="T831" i="15"/>
  <c r="T912" i="15"/>
  <c r="T984" i="15"/>
  <c r="S704" i="15"/>
  <c r="T712" i="15"/>
  <c r="T728" i="15"/>
  <c r="T720" i="15"/>
  <c r="T606" i="15"/>
  <c r="T578" i="15"/>
  <c r="T662" i="15"/>
  <c r="T726" i="15"/>
  <c r="T790" i="15"/>
  <c r="T618" i="15"/>
  <c r="S765" i="15"/>
  <c r="S885" i="15"/>
  <c r="T994" i="15"/>
  <c r="T938" i="15"/>
  <c r="T752" i="15"/>
  <c r="S869" i="15"/>
  <c r="T846" i="15"/>
  <c r="T927" i="15"/>
  <c r="T992" i="15"/>
  <c r="T768" i="15"/>
  <c r="T999" i="15"/>
  <c r="S999" i="15"/>
  <c r="T991" i="15"/>
  <c r="S991" i="15"/>
  <c r="S987" i="15"/>
  <c r="T987" i="15"/>
  <c r="T983" i="15"/>
  <c r="S983" i="15"/>
  <c r="S979" i="15"/>
  <c r="T979" i="15"/>
  <c r="T975" i="15"/>
  <c r="S975" i="15"/>
  <c r="S971" i="15"/>
  <c r="T971" i="15"/>
  <c r="T967" i="15"/>
  <c r="S967" i="15"/>
  <c r="S963" i="15"/>
  <c r="T963" i="15"/>
  <c r="T959" i="15"/>
  <c r="S959" i="15"/>
  <c r="S955" i="15"/>
  <c r="T955" i="15"/>
  <c r="T951" i="15"/>
  <c r="S951" i="15"/>
  <c r="S947" i="15"/>
  <c r="T947" i="15"/>
  <c r="T943" i="15"/>
  <c r="S943" i="15"/>
  <c r="S939" i="15"/>
  <c r="T939" i="15"/>
  <c r="S931" i="15"/>
  <c r="T931" i="15"/>
  <c r="T923" i="15"/>
  <c r="S923" i="15"/>
  <c r="S919" i="15"/>
  <c r="T919" i="15"/>
  <c r="S915" i="15"/>
  <c r="T915" i="15"/>
  <c r="S907" i="15"/>
  <c r="T907" i="15"/>
  <c r="T903" i="15"/>
  <c r="S903" i="15"/>
  <c r="T899" i="15"/>
  <c r="S899" i="15"/>
  <c r="T891" i="15"/>
  <c r="S891" i="15"/>
  <c r="T887" i="15"/>
  <c r="S887" i="15"/>
  <c r="S883" i="15"/>
  <c r="T883" i="15"/>
  <c r="T875" i="15"/>
  <c r="S875" i="15"/>
  <c r="S871" i="15"/>
  <c r="T871" i="15"/>
  <c r="S867" i="15"/>
  <c r="T867" i="15"/>
  <c r="S859" i="15"/>
  <c r="T859" i="15"/>
  <c r="T855" i="15"/>
  <c r="S855" i="15"/>
  <c r="T851" i="15"/>
  <c r="S851" i="15"/>
  <c r="S847" i="15"/>
  <c r="T847" i="15"/>
  <c r="S843" i="15"/>
  <c r="T843" i="15"/>
  <c r="S839" i="15"/>
  <c r="T839" i="15"/>
  <c r="T835" i="15"/>
  <c r="S835" i="15"/>
  <c r="S827" i="15"/>
  <c r="T827" i="15"/>
  <c r="S819" i="15"/>
  <c r="T819" i="15"/>
  <c r="S815" i="15"/>
  <c r="T815" i="15"/>
  <c r="T811" i="15"/>
  <c r="S811" i="15"/>
  <c r="T803" i="15"/>
  <c r="S803" i="15"/>
  <c r="S799" i="15"/>
  <c r="T799" i="15"/>
  <c r="S795" i="15"/>
  <c r="T795" i="15"/>
  <c r="S791" i="15"/>
  <c r="T791" i="15"/>
  <c r="S787" i="15"/>
  <c r="T787" i="15"/>
  <c r="S783" i="15"/>
  <c r="T783" i="15"/>
  <c r="T779" i="15"/>
  <c r="S779" i="15"/>
  <c r="S775" i="15"/>
  <c r="T775" i="15"/>
  <c r="S771" i="15"/>
  <c r="T771" i="15"/>
  <c r="S767" i="15"/>
  <c r="T767" i="15"/>
  <c r="S763" i="15"/>
  <c r="T763" i="15"/>
  <c r="S759" i="15"/>
  <c r="T759" i="15"/>
  <c r="S755" i="15"/>
  <c r="T755" i="15"/>
  <c r="S751" i="15"/>
  <c r="T751" i="15"/>
  <c r="T747" i="15"/>
  <c r="S747" i="15"/>
  <c r="S743" i="15"/>
  <c r="T743" i="15"/>
  <c r="S739" i="15"/>
  <c r="T739" i="15"/>
  <c r="S735" i="15"/>
  <c r="T735" i="15"/>
  <c r="S731" i="15"/>
  <c r="T731" i="15"/>
  <c r="S727" i="15"/>
  <c r="T727" i="15"/>
  <c r="T723" i="15"/>
  <c r="S723" i="15"/>
  <c r="S719" i="15"/>
  <c r="T719" i="15"/>
  <c r="T715" i="15"/>
  <c r="S715" i="15"/>
  <c r="S711" i="15"/>
  <c r="T711" i="15"/>
  <c r="S707" i="15"/>
  <c r="T707" i="15"/>
  <c r="S703" i="15"/>
  <c r="T703" i="15"/>
  <c r="S699" i="15"/>
  <c r="T699" i="15"/>
  <c r="S695" i="15"/>
  <c r="T695" i="15"/>
  <c r="T691" i="15"/>
  <c r="S691" i="15"/>
  <c r="S687" i="15"/>
  <c r="T687" i="15"/>
  <c r="T683" i="15"/>
  <c r="S683" i="15"/>
  <c r="S679" i="15"/>
  <c r="T679" i="15"/>
  <c r="T675" i="15"/>
  <c r="S675" i="15"/>
  <c r="S671" i="15"/>
  <c r="T671" i="15"/>
  <c r="S667" i="15"/>
  <c r="T667" i="15"/>
  <c r="S663" i="15"/>
  <c r="T663" i="15"/>
  <c r="S659" i="15"/>
  <c r="T659" i="15"/>
  <c r="T655" i="15"/>
  <c r="S655" i="15"/>
  <c r="T643" i="15"/>
  <c r="S643" i="15"/>
  <c r="T627" i="15"/>
  <c r="S627" i="15"/>
  <c r="T615" i="15"/>
  <c r="S615" i="15"/>
  <c r="T607" i="15"/>
  <c r="S607" i="15"/>
  <c r="T595" i="15"/>
  <c r="S595" i="15"/>
  <c r="T583" i="15"/>
  <c r="S583" i="15"/>
  <c r="T575" i="15"/>
  <c r="S575" i="15"/>
  <c r="T634" i="15"/>
  <c r="S631" i="15"/>
  <c r="T670" i="15"/>
  <c r="T734" i="15"/>
  <c r="T798" i="15"/>
  <c r="T800" i="15"/>
  <c r="S901" i="15"/>
  <c r="T744" i="15"/>
  <c r="T946" i="15"/>
  <c r="S886" i="15"/>
  <c r="S725" i="15"/>
  <c r="T930" i="15"/>
  <c r="T1000" i="15"/>
  <c r="T776" i="15"/>
  <c r="T792" i="15"/>
  <c r="T784" i="15"/>
  <c r="S591" i="15"/>
  <c r="S603" i="15"/>
  <c r="T678" i="15"/>
  <c r="T742" i="15"/>
  <c r="T806" i="15"/>
  <c r="S639" i="15"/>
  <c r="S917" i="15"/>
  <c r="T954" i="15"/>
  <c r="S781" i="15"/>
  <c r="S902" i="15"/>
  <c r="T760" i="15"/>
  <c r="T863" i="15"/>
  <c r="T944" i="15"/>
  <c r="S661" i="15"/>
  <c r="T832" i="15"/>
  <c r="T996" i="15"/>
  <c r="S996" i="15"/>
  <c r="S988" i="15"/>
  <c r="T988" i="15"/>
  <c r="S980" i="15"/>
  <c r="T980" i="15"/>
  <c r="S972" i="15"/>
  <c r="T972" i="15"/>
  <c r="S964" i="15"/>
  <c r="T964" i="15"/>
  <c r="S956" i="15"/>
  <c r="T956" i="15"/>
  <c r="S948" i="15"/>
  <c r="T948" i="15"/>
  <c r="T940" i="15"/>
  <c r="S940" i="15"/>
  <c r="S936" i="15"/>
  <c r="T936" i="15"/>
  <c r="T932" i="15"/>
  <c r="S932" i="15"/>
  <c r="T928" i="15"/>
  <c r="S928" i="15"/>
  <c r="T924" i="15"/>
  <c r="S924" i="15"/>
  <c r="T920" i="15"/>
  <c r="S920" i="15"/>
  <c r="T916" i="15"/>
  <c r="S916" i="15"/>
  <c r="T908" i="15"/>
  <c r="S908" i="15"/>
  <c r="S904" i="15"/>
  <c r="T904" i="15"/>
  <c r="S900" i="15"/>
  <c r="T900" i="15"/>
  <c r="T892" i="15"/>
  <c r="S892" i="15"/>
  <c r="S888" i="15"/>
  <c r="T888" i="15"/>
  <c r="S884" i="15"/>
  <c r="T884" i="15"/>
  <c r="T876" i="15"/>
  <c r="S876" i="15"/>
  <c r="S868" i="15"/>
  <c r="T868" i="15"/>
  <c r="S864" i="15"/>
  <c r="T864" i="15"/>
  <c r="T860" i="15"/>
  <c r="S860" i="15"/>
  <c r="S852" i="15"/>
  <c r="T852" i="15"/>
  <c r="S848" i="15"/>
  <c r="T848" i="15"/>
  <c r="T844" i="15"/>
  <c r="S844" i="15"/>
  <c r="S836" i="15"/>
  <c r="T836" i="15"/>
  <c r="T828" i="15"/>
  <c r="S828" i="15"/>
  <c r="T820" i="15"/>
  <c r="S820" i="15"/>
  <c r="S812" i="15"/>
  <c r="T812" i="15"/>
  <c r="S804" i="15"/>
  <c r="T804" i="15"/>
  <c r="T796" i="15"/>
  <c r="S796" i="15"/>
  <c r="T788" i="15"/>
  <c r="S788" i="15"/>
  <c r="T780" i="15"/>
  <c r="S780" i="15"/>
  <c r="S772" i="15"/>
  <c r="T772" i="15"/>
  <c r="S764" i="15"/>
  <c r="T764" i="15"/>
  <c r="T756" i="15"/>
  <c r="S756" i="15"/>
  <c r="S748" i="15"/>
  <c r="T748" i="15"/>
  <c r="S740" i="15"/>
  <c r="T740" i="15"/>
  <c r="S732" i="15"/>
  <c r="T732" i="15"/>
  <c r="S724" i="15"/>
  <c r="T724" i="15"/>
  <c r="S716" i="15"/>
  <c r="T716" i="15"/>
  <c r="T708" i="15"/>
  <c r="S708" i="15"/>
  <c r="T700" i="15"/>
  <c r="S700" i="15"/>
  <c r="S692" i="15"/>
  <c r="T692" i="15"/>
  <c r="S684" i="15"/>
  <c r="T684" i="15"/>
  <c r="S676" i="15"/>
  <c r="T676" i="15"/>
  <c r="S668" i="15"/>
  <c r="T668" i="15"/>
  <c r="S660" i="15"/>
  <c r="T660" i="15"/>
  <c r="S652" i="15"/>
  <c r="T652" i="15"/>
  <c r="S648" i="15"/>
  <c r="T648" i="15"/>
  <c r="T640" i="15"/>
  <c r="S640" i="15"/>
  <c r="S636" i="15"/>
  <c r="T636" i="15"/>
  <c r="T632" i="15"/>
  <c r="S632" i="15"/>
  <c r="S628" i="15"/>
  <c r="T628" i="15"/>
  <c r="S624" i="15"/>
  <c r="T624" i="15"/>
  <c r="T620" i="15"/>
  <c r="S620" i="15"/>
  <c r="T616" i="15"/>
  <c r="S616" i="15"/>
  <c r="S608" i="15"/>
  <c r="T608" i="15"/>
  <c r="S604" i="15"/>
  <c r="T604" i="15"/>
  <c r="T600" i="15"/>
  <c r="S600" i="15"/>
  <c r="S596" i="15"/>
  <c r="T596" i="15"/>
  <c r="S592" i="15"/>
  <c r="T592" i="15"/>
  <c r="T588" i="15"/>
  <c r="S588" i="15"/>
  <c r="S584" i="15"/>
  <c r="T584" i="15"/>
  <c r="T576" i="15"/>
  <c r="S576" i="15"/>
  <c r="S572" i="15"/>
  <c r="T572" i="15"/>
  <c r="T598" i="15"/>
  <c r="T644" i="15"/>
  <c r="T610" i="15"/>
  <c r="T686" i="15"/>
  <c r="T750" i="15"/>
  <c r="T814" i="15"/>
  <c r="T807" i="15"/>
  <c r="S926" i="15"/>
  <c r="T808" i="15"/>
  <c r="T962" i="15"/>
  <c r="T816" i="15"/>
  <c r="S918" i="15"/>
  <c r="T870" i="15"/>
  <c r="T952" i="15"/>
  <c r="T840" i="15"/>
  <c r="T878" i="15"/>
  <c r="S623" i="15"/>
  <c r="T656" i="15"/>
  <c r="T694" i="15"/>
  <c r="T758" i="15"/>
  <c r="T822" i="15"/>
  <c r="S579" i="15"/>
  <c r="S829" i="15"/>
  <c r="T929" i="15"/>
  <c r="T970" i="15"/>
  <c r="T921" i="15"/>
  <c r="S789" i="15"/>
  <c r="T960" i="15"/>
  <c r="S669" i="15"/>
  <c r="T995" i="15"/>
  <c r="S997" i="15"/>
  <c r="T997" i="15"/>
  <c r="T993" i="15"/>
  <c r="S993" i="15"/>
  <c r="T989" i="15"/>
  <c r="S989" i="15"/>
  <c r="S985" i="15"/>
  <c r="T985" i="15"/>
  <c r="T981" i="15"/>
  <c r="S981" i="15"/>
  <c r="S977" i="15"/>
  <c r="T977" i="15"/>
  <c r="T973" i="15"/>
  <c r="S973" i="15"/>
  <c r="S969" i="15"/>
  <c r="T969" i="15"/>
  <c r="T965" i="15"/>
  <c r="S965" i="15"/>
  <c r="T961" i="15"/>
  <c r="S961" i="15"/>
  <c r="S957" i="15"/>
  <c r="T957" i="15"/>
  <c r="S953" i="15"/>
  <c r="T953" i="15"/>
  <c r="T949" i="15"/>
  <c r="S949" i="15"/>
  <c r="S945" i="15"/>
  <c r="T945" i="15"/>
  <c r="T941" i="15"/>
  <c r="S941" i="15"/>
  <c r="S937" i="15"/>
  <c r="T937" i="15"/>
  <c r="S933" i="15"/>
  <c r="T933" i="15"/>
  <c r="T925" i="15"/>
  <c r="S925" i="15"/>
  <c r="S913" i="15"/>
  <c r="T913" i="15"/>
  <c r="T909" i="15"/>
  <c r="S909" i="15"/>
  <c r="S905" i="15"/>
  <c r="T905" i="15"/>
  <c r="S897" i="15"/>
  <c r="T897" i="15"/>
  <c r="T893" i="15"/>
  <c r="S893" i="15"/>
  <c r="S889" i="15"/>
  <c r="T889" i="15"/>
  <c r="S881" i="15"/>
  <c r="T881" i="15"/>
  <c r="T877" i="15"/>
  <c r="S877" i="15"/>
  <c r="S873" i="15"/>
  <c r="T873" i="15"/>
  <c r="S865" i="15"/>
  <c r="T865" i="15"/>
  <c r="T861" i="15"/>
  <c r="S861" i="15"/>
  <c r="S857" i="15"/>
  <c r="T857" i="15"/>
  <c r="T853" i="15"/>
  <c r="S853" i="15"/>
  <c r="S849" i="15"/>
  <c r="T849" i="15"/>
  <c r="S841" i="15"/>
  <c r="T841" i="15"/>
  <c r="T837" i="15"/>
  <c r="S837" i="15"/>
  <c r="S833" i="15"/>
  <c r="T833" i="15"/>
  <c r="S825" i="15"/>
  <c r="T825" i="15"/>
  <c r="T821" i="15"/>
  <c r="S821" i="15"/>
  <c r="S817" i="15"/>
  <c r="T817" i="15"/>
  <c r="T813" i="15"/>
  <c r="S813" i="15"/>
  <c r="S809" i="15"/>
  <c r="T809" i="15"/>
  <c r="T805" i="15"/>
  <c r="S805" i="15"/>
  <c r="S801" i="15"/>
  <c r="T801" i="15"/>
  <c r="T797" i="15"/>
  <c r="S797" i="15"/>
  <c r="S793" i="15"/>
  <c r="T793" i="15"/>
  <c r="S785" i="15"/>
  <c r="T785" i="15"/>
  <c r="S777" i="15"/>
  <c r="T777" i="15"/>
  <c r="T773" i="15"/>
  <c r="S773" i="15"/>
  <c r="S769" i="15"/>
  <c r="T769" i="15"/>
  <c r="S761" i="15"/>
  <c r="T761" i="15"/>
  <c r="T757" i="15"/>
  <c r="S757" i="15"/>
  <c r="S753" i="15"/>
  <c r="T753" i="15"/>
  <c r="T749" i="15"/>
  <c r="S749" i="15"/>
  <c r="S745" i="15"/>
  <c r="T745" i="15"/>
  <c r="T741" i="15"/>
  <c r="S741" i="15"/>
  <c r="S737" i="15"/>
  <c r="T737" i="15"/>
  <c r="T733" i="15"/>
  <c r="S733" i="15"/>
  <c r="S729" i="15"/>
  <c r="T729" i="15"/>
  <c r="S721" i="15"/>
  <c r="T721" i="15"/>
  <c r="S713" i="15"/>
  <c r="T713" i="15"/>
  <c r="T709" i="15"/>
  <c r="S709" i="15"/>
  <c r="S705" i="15"/>
  <c r="T705" i="15"/>
  <c r="S697" i="15"/>
  <c r="T697" i="15"/>
  <c r="T693" i="15"/>
  <c r="S693" i="15"/>
  <c r="S689" i="15"/>
  <c r="T689" i="15"/>
  <c r="T685" i="15"/>
  <c r="S685" i="15"/>
  <c r="S681" i="15"/>
  <c r="T681" i="15"/>
  <c r="T677" i="15"/>
  <c r="S677" i="15"/>
  <c r="S673" i="15"/>
  <c r="T673" i="15"/>
  <c r="S665" i="15"/>
  <c r="T665" i="15"/>
  <c r="S657" i="15"/>
  <c r="T657" i="15"/>
  <c r="S653" i="15"/>
  <c r="T653" i="15"/>
  <c r="T649" i="15"/>
  <c r="S649" i="15"/>
  <c r="S645" i="15"/>
  <c r="T645" i="15"/>
  <c r="T641" i="15"/>
  <c r="S641" i="15"/>
  <c r="T637" i="15"/>
  <c r="S637" i="15"/>
  <c r="S633" i="15"/>
  <c r="T633" i="15"/>
  <c r="S629" i="15"/>
  <c r="T629" i="15"/>
  <c r="T625" i="15"/>
  <c r="S625" i="15"/>
  <c r="S621" i="15"/>
  <c r="T621" i="15"/>
  <c r="S617" i="15"/>
  <c r="T617" i="15"/>
  <c r="S613" i="15"/>
  <c r="T613" i="15"/>
  <c r="S609" i="15"/>
  <c r="T609" i="15"/>
  <c r="S605" i="15"/>
  <c r="T605" i="15"/>
  <c r="T601" i="15"/>
  <c r="S601" i="15"/>
  <c r="S597" i="15"/>
  <c r="T597" i="15"/>
  <c r="T593" i="15"/>
  <c r="S593" i="15"/>
  <c r="S589" i="15"/>
  <c r="T589" i="15"/>
  <c r="S585" i="15"/>
  <c r="T585" i="15"/>
  <c r="S581" i="15"/>
  <c r="T581" i="15"/>
  <c r="T577" i="15"/>
  <c r="S577" i="15"/>
  <c r="S573" i="15"/>
  <c r="T573" i="15"/>
  <c r="T630" i="15"/>
  <c r="T664" i="15"/>
  <c r="S635" i="15"/>
  <c r="T702" i="15"/>
  <c r="T766" i="15"/>
  <c r="T830" i="15"/>
  <c r="T642" i="15"/>
  <c r="T586" i="15"/>
  <c r="T594" i="15"/>
  <c r="S701" i="15"/>
  <c r="T862" i="15"/>
  <c r="T935" i="15"/>
  <c r="S619" i="15"/>
  <c r="T879" i="15"/>
  <c r="T688" i="15"/>
  <c r="T823" i="15"/>
  <c r="S612" i="15"/>
  <c r="T824" i="15"/>
  <c r="T880" i="15"/>
  <c r="T968" i="15"/>
  <c r="S587" i="15"/>
  <c r="T854" i="15"/>
  <c r="S580" i="15"/>
  <c r="S647" i="15"/>
  <c r="T672" i="15"/>
  <c r="T574" i="15"/>
  <c r="T638" i="15"/>
  <c r="T710" i="15"/>
  <c r="T774" i="15"/>
  <c r="T838" i="15"/>
  <c r="T978" i="15"/>
  <c r="T895" i="15"/>
  <c r="S845" i="15"/>
  <c r="T896" i="15"/>
  <c r="T976" i="15"/>
  <c r="B446" i="15"/>
  <c r="B446" i="21"/>
  <c r="B63" i="15"/>
  <c r="B63" i="21"/>
  <c r="B63" i="22"/>
  <c r="A448" i="15"/>
  <c r="A448" i="21"/>
  <c r="B445" i="15"/>
  <c r="B445" i="21"/>
  <c r="A22" i="15"/>
  <c r="A22" i="21"/>
  <c r="A22" i="22"/>
  <c r="A30" i="15"/>
  <c r="A30" i="21"/>
  <c r="A30" i="22"/>
  <c r="B24" i="21"/>
  <c r="B24" i="22"/>
  <c r="A64" i="15"/>
  <c r="A64" i="21"/>
  <c r="A64" i="22"/>
  <c r="B62" i="15"/>
  <c r="B62" i="21"/>
  <c r="B62" i="22"/>
  <c r="A449" i="15"/>
  <c r="A449" i="21"/>
  <c r="A63" i="15"/>
  <c r="A63" i="21"/>
  <c r="A63" i="22"/>
  <c r="A447" i="15"/>
  <c r="A447" i="21"/>
  <c r="B444" i="15"/>
  <c r="B444" i="21"/>
  <c r="A23" i="15"/>
  <c r="A23" i="21"/>
  <c r="A23" i="22"/>
  <c r="B22" i="21"/>
  <c r="B22" i="22"/>
  <c r="B23" i="22"/>
  <c r="B23" i="21"/>
  <c r="A65" i="15"/>
  <c r="A65" i="22"/>
  <c r="A65" i="21"/>
  <c r="B61" i="15"/>
  <c r="B61" i="21"/>
  <c r="B61" i="22"/>
  <c r="A448" i="22"/>
  <c r="A29" i="15"/>
  <c r="A29" i="21"/>
  <c r="A29" i="22"/>
  <c r="A446" i="15"/>
  <c r="A446" i="21"/>
  <c r="A452" i="15"/>
  <c r="A452" i="21"/>
  <c r="A24" i="15"/>
  <c r="A24" i="21"/>
  <c r="A24" i="22"/>
  <c r="B30" i="21"/>
  <c r="B30" i="22"/>
  <c r="A58" i="15"/>
  <c r="A58" i="22"/>
  <c r="A58" i="21"/>
  <c r="A66" i="15"/>
  <c r="A66" i="22"/>
  <c r="A66" i="21"/>
  <c r="B60" i="15"/>
  <c r="B60" i="21"/>
  <c r="B60" i="22"/>
  <c r="B445" i="22"/>
  <c r="A445" i="15"/>
  <c r="A445" i="21"/>
  <c r="B448" i="15"/>
  <c r="B448" i="21"/>
  <c r="A25" i="15"/>
  <c r="A25" i="21"/>
  <c r="A25" i="22"/>
  <c r="B29" i="21"/>
  <c r="B29" i="22"/>
  <c r="A59" i="15"/>
  <c r="A59" i="21"/>
  <c r="A59" i="22"/>
  <c r="B58" i="21"/>
  <c r="B58" i="15"/>
  <c r="B58" i="22"/>
  <c r="B59" i="15"/>
  <c r="B59" i="21"/>
  <c r="B59" i="22"/>
  <c r="A449" i="22"/>
  <c r="A445" i="22"/>
  <c r="B25" i="21"/>
  <c r="B25" i="22"/>
  <c r="A443" i="15"/>
  <c r="A443" i="21"/>
  <c r="B452" i="15"/>
  <c r="B452" i="21"/>
  <c r="B66" i="15"/>
  <c r="B66" i="21"/>
  <c r="B66" i="22"/>
  <c r="B446" i="22"/>
  <c r="A444" i="15"/>
  <c r="A444" i="21"/>
  <c r="A26" i="15"/>
  <c r="A26" i="21"/>
  <c r="A26" i="22"/>
  <c r="B28" i="21"/>
  <c r="B28" i="22"/>
  <c r="A60" i="15"/>
  <c r="A60" i="21"/>
  <c r="A60" i="22"/>
  <c r="A451" i="15"/>
  <c r="A451" i="21"/>
  <c r="B443" i="15"/>
  <c r="B443" i="21"/>
  <c r="B451" i="15"/>
  <c r="B451" i="21"/>
  <c r="A27" i="15"/>
  <c r="A27" i="21"/>
  <c r="A27" i="22"/>
  <c r="B27" i="21"/>
  <c r="B27" i="22"/>
  <c r="A61" i="15"/>
  <c r="A61" i="21"/>
  <c r="A61" i="22"/>
  <c r="B65" i="15"/>
  <c r="B65" i="22"/>
  <c r="B65" i="21"/>
  <c r="A446" i="22"/>
  <c r="B449" i="15"/>
  <c r="B449" i="21"/>
  <c r="A450" i="15"/>
  <c r="A450" i="21"/>
  <c r="B447" i="15"/>
  <c r="B447" i="21"/>
  <c r="B450" i="15"/>
  <c r="B450" i="21"/>
  <c r="A28" i="15"/>
  <c r="A28" i="21"/>
  <c r="A28" i="22"/>
  <c r="B26" i="21"/>
  <c r="B26" i="22"/>
  <c r="A62" i="15"/>
  <c r="A62" i="22"/>
  <c r="A62" i="21"/>
  <c r="B64" i="15"/>
  <c r="B64" i="21"/>
  <c r="B451" i="22"/>
  <c r="B447" i="22"/>
  <c r="B443" i="22"/>
  <c r="A116" i="11" l="1"/>
  <c r="A116" i="15" l="1"/>
  <c r="R116" i="15" s="1"/>
  <c r="A116" i="21"/>
  <c r="A116" i="22"/>
  <c r="R22" i="15"/>
  <c r="R23" i="15"/>
  <c r="R24" i="15"/>
  <c r="R25" i="15"/>
  <c r="R26" i="15"/>
  <c r="R27" i="15"/>
  <c r="R28" i="15"/>
  <c r="R29" i="15"/>
  <c r="R30" i="15"/>
  <c r="R58" i="15"/>
  <c r="R59" i="15"/>
  <c r="R60" i="15"/>
  <c r="R61" i="15"/>
  <c r="R62" i="15"/>
  <c r="R63" i="15"/>
  <c r="R64" i="15"/>
  <c r="R65" i="15"/>
  <c r="R66" i="15"/>
  <c r="R443" i="15"/>
  <c r="R444" i="15"/>
  <c r="R445" i="15"/>
  <c r="R446" i="15"/>
  <c r="R447" i="15"/>
  <c r="R448" i="15"/>
  <c r="R449" i="15"/>
  <c r="R450" i="15"/>
  <c r="R451" i="15"/>
  <c r="R452" i="15"/>
  <c r="T62" i="15" l="1"/>
  <c r="S62" i="15"/>
  <c r="S446" i="15"/>
  <c r="T446" i="15"/>
  <c r="S61" i="15"/>
  <c r="T61" i="15"/>
  <c r="T448" i="15"/>
  <c r="S448" i="15"/>
  <c r="S63" i="15"/>
  <c r="T63" i="15"/>
  <c r="S30" i="15"/>
  <c r="T30" i="15"/>
  <c r="T22" i="15"/>
  <c r="S22" i="15"/>
  <c r="T447" i="15"/>
  <c r="S447" i="15"/>
  <c r="S445" i="15"/>
  <c r="T445" i="15"/>
  <c r="T60" i="15"/>
  <c r="S60" i="15"/>
  <c r="T27" i="15"/>
  <c r="S27" i="15"/>
  <c r="S29" i="15"/>
  <c r="T29" i="15"/>
  <c r="T28" i="15"/>
  <c r="S28" i="15"/>
  <c r="S452" i="15"/>
  <c r="T452" i="15"/>
  <c r="T444" i="15"/>
  <c r="S444" i="15"/>
  <c r="T59" i="15"/>
  <c r="S59" i="15"/>
  <c r="T26" i="15"/>
  <c r="S26" i="15"/>
  <c r="T451" i="15"/>
  <c r="S451" i="15"/>
  <c r="S443" i="15"/>
  <c r="T443" i="15"/>
  <c r="S66" i="15"/>
  <c r="T66" i="15"/>
  <c r="S58" i="15"/>
  <c r="T58" i="15"/>
  <c r="S25" i="15"/>
  <c r="T25" i="15"/>
  <c r="S450" i="15"/>
  <c r="T450" i="15"/>
  <c r="S65" i="15"/>
  <c r="T65" i="15"/>
  <c r="T24" i="15"/>
  <c r="S24" i="15"/>
  <c r="T449" i="15"/>
  <c r="S449" i="15"/>
  <c r="S64" i="15"/>
  <c r="T64" i="15"/>
  <c r="T23" i="15"/>
  <c r="S23" i="15"/>
  <c r="T116" i="15"/>
  <c r="S116" i="15"/>
  <c r="I3" i="27"/>
  <c r="F1" i="27"/>
  <c r="G1" i="27" s="1"/>
  <c r="J1" i="21" l="1"/>
  <c r="J996" i="21" l="1"/>
  <c r="J988" i="21"/>
  <c r="J980" i="21"/>
  <c r="J972" i="21"/>
  <c r="J964" i="21"/>
  <c r="J956" i="21"/>
  <c r="J948" i="21"/>
  <c r="J940" i="21"/>
  <c r="J932" i="21"/>
  <c r="J924" i="21"/>
  <c r="J916" i="21"/>
  <c r="J908" i="21"/>
  <c r="J900" i="21"/>
  <c r="J892" i="21"/>
  <c r="J884" i="21"/>
  <c r="J876" i="21"/>
  <c r="J868" i="21"/>
  <c r="J860" i="21"/>
  <c r="J852" i="21"/>
  <c r="J844" i="21"/>
  <c r="J836" i="21"/>
  <c r="J828" i="21"/>
  <c r="J820" i="21"/>
  <c r="J812" i="21"/>
  <c r="J804" i="21"/>
  <c r="J796" i="21"/>
  <c r="J788" i="21"/>
  <c r="J780" i="21"/>
  <c r="J772" i="21"/>
  <c r="J764" i="21"/>
  <c r="J756" i="21"/>
  <c r="J748" i="21"/>
  <c r="J740" i="21"/>
  <c r="J732" i="21"/>
  <c r="J724" i="21"/>
  <c r="J716" i="21"/>
  <c r="J708" i="21"/>
  <c r="J700" i="21"/>
  <c r="J692" i="21"/>
  <c r="J684" i="21"/>
  <c r="J676" i="21"/>
  <c r="J668" i="21"/>
  <c r="J660" i="21"/>
  <c r="J652" i="21"/>
  <c r="J644" i="21"/>
  <c r="J636" i="21"/>
  <c r="J628" i="21"/>
  <c r="J620" i="21"/>
  <c r="J612" i="21"/>
  <c r="J604" i="21"/>
  <c r="J596" i="21"/>
  <c r="J588" i="21"/>
  <c r="J580" i="21"/>
  <c r="J572" i="21"/>
  <c r="J564" i="21"/>
  <c r="J556" i="21"/>
  <c r="J548" i="21"/>
  <c r="J540" i="21"/>
  <c r="J532" i="21"/>
  <c r="J524" i="21"/>
  <c r="J516" i="21"/>
  <c r="J508" i="21"/>
  <c r="J500" i="21"/>
  <c r="J492" i="21"/>
  <c r="J484" i="21"/>
  <c r="J476" i="21"/>
  <c r="J468" i="21"/>
  <c r="J460" i="21"/>
  <c r="J452" i="21"/>
  <c r="J444" i="21"/>
  <c r="J436" i="21"/>
  <c r="J428" i="21"/>
  <c r="J420" i="21"/>
  <c r="J412" i="21"/>
  <c r="J404" i="21"/>
  <c r="J396" i="21"/>
  <c r="J388" i="21"/>
  <c r="J380" i="21"/>
  <c r="J372" i="21"/>
  <c r="J364" i="21"/>
  <c r="J356" i="21"/>
  <c r="J348" i="21"/>
  <c r="J340" i="21"/>
  <c r="J332" i="21"/>
  <c r="J324" i="21"/>
  <c r="J994" i="21"/>
  <c r="J986" i="21"/>
  <c r="J978" i="21"/>
  <c r="J970" i="21"/>
  <c r="J962" i="21"/>
  <c r="J954" i="21"/>
  <c r="J946" i="21"/>
  <c r="J938" i="21"/>
  <c r="J930" i="21"/>
  <c r="J922" i="21"/>
  <c r="J914" i="21"/>
  <c r="J906" i="21"/>
  <c r="J898" i="21"/>
  <c r="J890" i="21"/>
  <c r="J882" i="21"/>
  <c r="J874" i="21"/>
  <c r="J866" i="21"/>
  <c r="J858" i="21"/>
  <c r="J850" i="21"/>
  <c r="J842" i="21"/>
  <c r="J834" i="21"/>
  <c r="J826" i="21"/>
  <c r="J818" i="21"/>
  <c r="J810" i="21"/>
  <c r="J802" i="21"/>
  <c r="J794" i="21"/>
  <c r="J786" i="21"/>
  <c r="J778" i="21"/>
  <c r="J770" i="21"/>
  <c r="J762" i="21"/>
  <c r="J754" i="21"/>
  <c r="J746" i="21"/>
  <c r="J738" i="21"/>
  <c r="J730" i="21"/>
  <c r="J722" i="21"/>
  <c r="J714" i="21"/>
  <c r="J706" i="21"/>
  <c r="J698" i="21"/>
  <c r="J690" i="21"/>
  <c r="J682" i="21"/>
  <c r="J674" i="21"/>
  <c r="J666" i="21"/>
  <c r="J658" i="21"/>
  <c r="J650" i="21"/>
  <c r="J642" i="21"/>
  <c r="J634" i="21"/>
  <c r="J626" i="21"/>
  <c r="J618" i="21"/>
  <c r="J610" i="21"/>
  <c r="J602" i="21"/>
  <c r="J594" i="21"/>
  <c r="J586" i="21"/>
  <c r="J578" i="21"/>
  <c r="J570" i="21"/>
  <c r="J562" i="21"/>
  <c r="J554" i="21"/>
  <c r="J546" i="21"/>
  <c r="J538" i="21"/>
  <c r="J530" i="21"/>
  <c r="J522" i="21"/>
  <c r="J514" i="21"/>
  <c r="J506" i="21"/>
  <c r="J498" i="21"/>
  <c r="J490" i="21"/>
  <c r="J482" i="21"/>
  <c r="J474" i="21"/>
  <c r="J466" i="21"/>
  <c r="J458" i="21"/>
  <c r="J450" i="21"/>
  <c r="J442" i="21"/>
  <c r="J434" i="21"/>
  <c r="J426" i="21"/>
  <c r="J418" i="21"/>
  <c r="J410" i="21"/>
  <c r="J402" i="21"/>
  <c r="J394" i="21"/>
  <c r="J386" i="21"/>
  <c r="J378" i="21"/>
  <c r="J370" i="21"/>
  <c r="J362" i="21"/>
  <c r="J354" i="21"/>
  <c r="J346" i="21"/>
  <c r="J338" i="21"/>
  <c r="J330" i="21"/>
  <c r="J322" i="21"/>
  <c r="J993" i="21"/>
  <c r="J985" i="21"/>
  <c r="J977" i="21"/>
  <c r="J969" i="21"/>
  <c r="J961" i="21"/>
  <c r="J953" i="21"/>
  <c r="J945" i="21"/>
  <c r="J937" i="21"/>
  <c r="J929" i="21"/>
  <c r="J921" i="21"/>
  <c r="J913" i="21"/>
  <c r="J905" i="21"/>
  <c r="J897" i="21"/>
  <c r="J889" i="21"/>
  <c r="J881" i="21"/>
  <c r="J873" i="21"/>
  <c r="J865" i="21"/>
  <c r="J857" i="21"/>
  <c r="J849" i="21"/>
  <c r="J841" i="21"/>
  <c r="J833" i="21"/>
  <c r="J825" i="21"/>
  <c r="J817" i="21"/>
  <c r="J809" i="21"/>
  <c r="J801" i="21"/>
  <c r="J793" i="21"/>
  <c r="J785" i="21"/>
  <c r="J777" i="21"/>
  <c r="J769" i="21"/>
  <c r="J761" i="21"/>
  <c r="J753" i="21"/>
  <c r="J745" i="21"/>
  <c r="J737" i="21"/>
  <c r="J729" i="21"/>
  <c r="J721" i="21"/>
  <c r="J713" i="21"/>
  <c r="J705" i="21"/>
  <c r="J697" i="21"/>
  <c r="J689" i="21"/>
  <c r="J681" i="21"/>
  <c r="J673" i="21"/>
  <c r="J665" i="21"/>
  <c r="J657" i="21"/>
  <c r="J649" i="21"/>
  <c r="J641" i="21"/>
  <c r="J633" i="21"/>
  <c r="J625" i="21"/>
  <c r="J617" i="21"/>
  <c r="J609" i="21"/>
  <c r="J601" i="21"/>
  <c r="J593" i="21"/>
  <c r="J585" i="21"/>
  <c r="J577" i="21"/>
  <c r="J569" i="21"/>
  <c r="J561" i="21"/>
  <c r="J553" i="21"/>
  <c r="J545" i="21"/>
  <c r="J537" i="21"/>
  <c r="J529" i="21"/>
  <c r="J521" i="21"/>
  <c r="J513" i="21"/>
  <c r="J505" i="21"/>
  <c r="J497" i="21"/>
  <c r="J489" i="21"/>
  <c r="J481" i="21"/>
  <c r="J473" i="21"/>
  <c r="J465" i="21"/>
  <c r="J457" i="21"/>
  <c r="J449" i="21"/>
  <c r="J441" i="21"/>
  <c r="J433" i="21"/>
  <c r="J425" i="21"/>
  <c r="J417" i="21"/>
  <c r="J409" i="21"/>
  <c r="J401" i="21"/>
  <c r="J393" i="21"/>
  <c r="J385" i="21"/>
  <c r="J377" i="21"/>
  <c r="J369" i="21"/>
  <c r="J361" i="21"/>
  <c r="J353" i="21"/>
  <c r="J345" i="21"/>
  <c r="J337" i="21"/>
  <c r="J329" i="21"/>
  <c r="J321" i="21"/>
  <c r="J1000" i="21"/>
  <c r="J992" i="21"/>
  <c r="J984" i="21"/>
  <c r="J976" i="21"/>
  <c r="J968" i="21"/>
  <c r="J960" i="21"/>
  <c r="J952" i="21"/>
  <c r="J944" i="21"/>
  <c r="J936" i="21"/>
  <c r="J928" i="21"/>
  <c r="J920" i="21"/>
  <c r="J912" i="21"/>
  <c r="J904" i="21"/>
  <c r="J896" i="21"/>
  <c r="J888" i="21"/>
  <c r="J880" i="21"/>
  <c r="J872" i="21"/>
  <c r="J864" i="21"/>
  <c r="J856" i="21"/>
  <c r="J848" i="21"/>
  <c r="J840" i="21"/>
  <c r="J832" i="21"/>
  <c r="J824" i="21"/>
  <c r="J816" i="21"/>
  <c r="J808" i="21"/>
  <c r="J800" i="21"/>
  <c r="J792" i="21"/>
  <c r="J784" i="21"/>
  <c r="J776" i="21"/>
  <c r="J768" i="21"/>
  <c r="J760" i="21"/>
  <c r="J752" i="21"/>
  <c r="J744" i="21"/>
  <c r="J736" i="21"/>
  <c r="J728" i="21"/>
  <c r="J720" i="21"/>
  <c r="J712" i="21"/>
  <c r="J704" i="21"/>
  <c r="J696" i="21"/>
  <c r="J688" i="21"/>
  <c r="J680" i="21"/>
  <c r="J672" i="21"/>
  <c r="J664" i="21"/>
  <c r="J656" i="21"/>
  <c r="J648" i="21"/>
  <c r="J640" i="21"/>
  <c r="J632" i="21"/>
  <c r="J624" i="21"/>
  <c r="J616" i="21"/>
  <c r="J608" i="21"/>
  <c r="J600" i="21"/>
  <c r="J592" i="21"/>
  <c r="J584" i="21"/>
  <c r="J576" i="21"/>
  <c r="J568" i="21"/>
  <c r="J560" i="21"/>
  <c r="J552" i="21"/>
  <c r="J544" i="21"/>
  <c r="J536" i="21"/>
  <c r="J528" i="21"/>
  <c r="J520" i="21"/>
  <c r="J512" i="21"/>
  <c r="J504" i="21"/>
  <c r="J496" i="21"/>
  <c r="J488" i="21"/>
  <c r="J480" i="21"/>
  <c r="J472" i="21"/>
  <c r="J464" i="21"/>
  <c r="J456" i="21"/>
  <c r="J448" i="21"/>
  <c r="J440" i="21"/>
  <c r="J432" i="21"/>
  <c r="J424" i="21"/>
  <c r="J416" i="21"/>
  <c r="J408" i="21"/>
  <c r="J400" i="21"/>
  <c r="J392" i="21"/>
  <c r="J384" i="21"/>
  <c r="J376" i="21"/>
  <c r="J368" i="21"/>
  <c r="J360" i="21"/>
  <c r="J352" i="21"/>
  <c r="J344" i="21"/>
  <c r="J336" i="21"/>
  <c r="J328" i="21"/>
  <c r="J999" i="21"/>
  <c r="J991" i="21"/>
  <c r="J983" i="21"/>
  <c r="J975" i="21"/>
  <c r="J967" i="21"/>
  <c r="J959" i="21"/>
  <c r="J951" i="21"/>
  <c r="J943" i="21"/>
  <c r="J935" i="21"/>
  <c r="J927" i="21"/>
  <c r="J919" i="21"/>
  <c r="J911" i="21"/>
  <c r="J903" i="21"/>
  <c r="J895" i="21"/>
  <c r="J887" i="21"/>
  <c r="J879" i="21"/>
  <c r="J871" i="21"/>
  <c r="J863" i="21"/>
  <c r="J855" i="21"/>
  <c r="J847" i="21"/>
  <c r="J839" i="21"/>
  <c r="J831" i="21"/>
  <c r="J823" i="21"/>
  <c r="J815" i="21"/>
  <c r="J807" i="21"/>
  <c r="J799" i="21"/>
  <c r="J791" i="21"/>
  <c r="J783" i="21"/>
  <c r="J775" i="21"/>
  <c r="J767" i="21"/>
  <c r="J759" i="21"/>
  <c r="J751" i="21"/>
  <c r="J743" i="21"/>
  <c r="J735" i="21"/>
  <c r="J727" i="21"/>
  <c r="J719" i="21"/>
  <c r="J711" i="21"/>
  <c r="J703" i="21"/>
  <c r="J695" i="21"/>
  <c r="J687" i="21"/>
  <c r="J679" i="21"/>
  <c r="J671" i="21"/>
  <c r="J663" i="21"/>
  <c r="J655" i="21"/>
  <c r="J647" i="21"/>
  <c r="J639" i="21"/>
  <c r="J631" i="21"/>
  <c r="J623" i="21"/>
  <c r="J615" i="21"/>
  <c r="J607" i="21"/>
  <c r="J599" i="21"/>
  <c r="J591" i="21"/>
  <c r="J583" i="21"/>
  <c r="J575" i="21"/>
  <c r="J567" i="21"/>
  <c r="J559" i="21"/>
  <c r="J551" i="21"/>
  <c r="J543" i="21"/>
  <c r="J535" i="21"/>
  <c r="J527" i="21"/>
  <c r="J519" i="21"/>
  <c r="J511" i="21"/>
  <c r="J503" i="21"/>
  <c r="J495" i="21"/>
  <c r="J487" i="21"/>
  <c r="J479" i="21"/>
  <c r="J471" i="21"/>
  <c r="J463" i="21"/>
  <c r="J455" i="21"/>
  <c r="J447" i="21"/>
  <c r="J439" i="21"/>
  <c r="J431" i="21"/>
  <c r="J423" i="21"/>
  <c r="J415" i="21"/>
  <c r="J407" i="21"/>
  <c r="J399" i="21"/>
  <c r="J391" i="21"/>
  <c r="J383" i="21"/>
  <c r="J375" i="21"/>
  <c r="J367" i="21"/>
  <c r="J359" i="21"/>
  <c r="J351" i="21"/>
  <c r="J343" i="21"/>
  <c r="J335" i="21"/>
  <c r="J327" i="21"/>
  <c r="J990" i="21"/>
  <c r="J971" i="21"/>
  <c r="J949" i="21"/>
  <c r="J926" i="21"/>
  <c r="J907" i="21"/>
  <c r="J885" i="21"/>
  <c r="J862" i="21"/>
  <c r="J843" i="21"/>
  <c r="J821" i="21"/>
  <c r="J798" i="21"/>
  <c r="J779" i="21"/>
  <c r="J757" i="21"/>
  <c r="J734" i="21"/>
  <c r="J715" i="21"/>
  <c r="J693" i="21"/>
  <c r="J670" i="21"/>
  <c r="J651" i="21"/>
  <c r="J629" i="21"/>
  <c r="J606" i="21"/>
  <c r="J587" i="21"/>
  <c r="J565" i="21"/>
  <c r="J542" i="21"/>
  <c r="J523" i="21"/>
  <c r="J501" i="21"/>
  <c r="J478" i="21"/>
  <c r="J459" i="21"/>
  <c r="J437" i="21"/>
  <c r="J414" i="21"/>
  <c r="J395" i="21"/>
  <c r="J373" i="21"/>
  <c r="J350" i="21"/>
  <c r="J331" i="21"/>
  <c r="J316" i="21"/>
  <c r="J308" i="21"/>
  <c r="J300" i="21"/>
  <c r="J292" i="21"/>
  <c r="J284" i="21"/>
  <c r="J276" i="21"/>
  <c r="J268" i="21"/>
  <c r="J260" i="21"/>
  <c r="J252" i="21"/>
  <c r="J244" i="21"/>
  <c r="J236" i="21"/>
  <c r="J228" i="21"/>
  <c r="J220" i="21"/>
  <c r="J212" i="21"/>
  <c r="J204" i="21"/>
  <c r="J196" i="21"/>
  <c r="J188" i="21"/>
  <c r="J180" i="21"/>
  <c r="J172" i="21"/>
  <c r="J164" i="21"/>
  <c r="J156" i="21"/>
  <c r="J148" i="21"/>
  <c r="J140" i="21"/>
  <c r="J132" i="21"/>
  <c r="J124" i="21"/>
  <c r="J116" i="21"/>
  <c r="J108" i="21"/>
  <c r="J100" i="21"/>
  <c r="J92" i="21"/>
  <c r="J84" i="21"/>
  <c r="J76" i="21"/>
  <c r="J68" i="21"/>
  <c r="J60" i="21"/>
  <c r="J52" i="21"/>
  <c r="J44" i="21"/>
  <c r="J36" i="21"/>
  <c r="J28" i="21"/>
  <c r="J20" i="21"/>
  <c r="J12" i="21"/>
  <c r="J4" i="21"/>
  <c r="J909" i="21"/>
  <c r="J758" i="21"/>
  <c r="J611" i="21"/>
  <c r="J525" i="21"/>
  <c r="J419" i="21"/>
  <c r="J317" i="21"/>
  <c r="J285" i="21"/>
  <c r="J253" i="21"/>
  <c r="J213" i="21"/>
  <c r="J157" i="21"/>
  <c r="J125" i="21"/>
  <c r="J85" i="21"/>
  <c r="J53" i="21"/>
  <c r="J989" i="21"/>
  <c r="J966" i="21"/>
  <c r="J947" i="21"/>
  <c r="J925" i="21"/>
  <c r="J902" i="21"/>
  <c r="J883" i="21"/>
  <c r="J861" i="21"/>
  <c r="J838" i="21"/>
  <c r="J819" i="21"/>
  <c r="J797" i="21"/>
  <c r="J774" i="21"/>
  <c r="J755" i="21"/>
  <c r="J733" i="21"/>
  <c r="J710" i="21"/>
  <c r="J691" i="21"/>
  <c r="J669" i="21"/>
  <c r="J646" i="21"/>
  <c r="J627" i="21"/>
  <c r="J605" i="21"/>
  <c r="J582" i="21"/>
  <c r="J563" i="21"/>
  <c r="J541" i="21"/>
  <c r="J518" i="21"/>
  <c r="J499" i="21"/>
  <c r="J477" i="21"/>
  <c r="J454" i="21"/>
  <c r="J435" i="21"/>
  <c r="J413" i="21"/>
  <c r="J390" i="21"/>
  <c r="J371" i="21"/>
  <c r="J349" i="21"/>
  <c r="J326" i="21"/>
  <c r="J315" i="21"/>
  <c r="J307" i="21"/>
  <c r="J299" i="21"/>
  <c r="J291" i="21"/>
  <c r="J283" i="21"/>
  <c r="J275" i="21"/>
  <c r="J267" i="21"/>
  <c r="J259" i="21"/>
  <c r="J251" i="21"/>
  <c r="J243" i="21"/>
  <c r="J235" i="21"/>
  <c r="J227" i="21"/>
  <c r="J219" i="21"/>
  <c r="J211" i="21"/>
  <c r="J203" i="21"/>
  <c r="J195" i="21"/>
  <c r="J187" i="21"/>
  <c r="J179" i="21"/>
  <c r="J171" i="21"/>
  <c r="J163" i="21"/>
  <c r="J155" i="21"/>
  <c r="J147" i="21"/>
  <c r="J139" i="21"/>
  <c r="J131" i="21"/>
  <c r="J123" i="21"/>
  <c r="J115" i="21"/>
  <c r="J107" i="21"/>
  <c r="J99" i="21"/>
  <c r="J91" i="21"/>
  <c r="J83" i="21"/>
  <c r="J75" i="21"/>
  <c r="J67" i="21"/>
  <c r="J59" i="21"/>
  <c r="J51" i="21"/>
  <c r="J43" i="21"/>
  <c r="J35" i="21"/>
  <c r="J27" i="21"/>
  <c r="J19" i="21"/>
  <c r="J11" i="21"/>
  <c r="J3" i="21"/>
  <c r="J822" i="21"/>
  <c r="J694" i="21"/>
  <c r="J566" i="21"/>
  <c r="J438" i="21"/>
  <c r="J309" i="21"/>
  <c r="J261" i="21"/>
  <c r="J205" i="21"/>
  <c r="J149" i="21"/>
  <c r="J93" i="21"/>
  <c r="J29" i="21"/>
  <c r="J987" i="21"/>
  <c r="J965" i="21"/>
  <c r="J942" i="21"/>
  <c r="J923" i="21"/>
  <c r="J901" i="21"/>
  <c r="J878" i="21"/>
  <c r="J859" i="21"/>
  <c r="J837" i="21"/>
  <c r="J814" i="21"/>
  <c r="J795" i="21"/>
  <c r="J773" i="21"/>
  <c r="J750" i="21"/>
  <c r="J731" i="21"/>
  <c r="J709" i="21"/>
  <c r="J686" i="21"/>
  <c r="J667" i="21"/>
  <c r="J645" i="21"/>
  <c r="J622" i="21"/>
  <c r="J603" i="21"/>
  <c r="J581" i="21"/>
  <c r="J558" i="21"/>
  <c r="J539" i="21"/>
  <c r="J517" i="21"/>
  <c r="J494" i="21"/>
  <c r="J475" i="21"/>
  <c r="J453" i="21"/>
  <c r="J430" i="21"/>
  <c r="J411" i="21"/>
  <c r="J389" i="21"/>
  <c r="J366" i="21"/>
  <c r="J347" i="21"/>
  <c r="J325" i="21"/>
  <c r="J314" i="21"/>
  <c r="J306" i="21"/>
  <c r="J298" i="21"/>
  <c r="J290" i="21"/>
  <c r="J282" i="21"/>
  <c r="J274" i="21"/>
  <c r="J266" i="21"/>
  <c r="J258" i="21"/>
  <c r="J250" i="21"/>
  <c r="J242" i="21"/>
  <c r="J234" i="21"/>
  <c r="J226" i="21"/>
  <c r="J218" i="21"/>
  <c r="J210" i="21"/>
  <c r="J202" i="21"/>
  <c r="J194" i="21"/>
  <c r="J186" i="21"/>
  <c r="J178" i="21"/>
  <c r="J170" i="21"/>
  <c r="J162" i="21"/>
  <c r="J154" i="21"/>
  <c r="J146" i="21"/>
  <c r="J138" i="21"/>
  <c r="J130" i="21"/>
  <c r="J122" i="21"/>
  <c r="J114" i="21"/>
  <c r="J106" i="21"/>
  <c r="J98" i="21"/>
  <c r="J90" i="21"/>
  <c r="J82" i="21"/>
  <c r="J74" i="21"/>
  <c r="J66" i="21"/>
  <c r="J58" i="21"/>
  <c r="J50" i="21"/>
  <c r="J42" i="21"/>
  <c r="J34" i="21"/>
  <c r="J26" i="21"/>
  <c r="J18" i="21"/>
  <c r="J10" i="21"/>
  <c r="J2" i="21"/>
  <c r="J973" i="21"/>
  <c r="J845" i="21"/>
  <c r="J717" i="21"/>
  <c r="J589" i="21"/>
  <c r="J483" i="21"/>
  <c r="J355" i="21"/>
  <c r="J277" i="21"/>
  <c r="J229" i="21"/>
  <c r="J181" i="21"/>
  <c r="J141" i="21"/>
  <c r="J109" i="21"/>
  <c r="J69" i="21"/>
  <c r="J13" i="21"/>
  <c r="J982" i="21"/>
  <c r="J963" i="21"/>
  <c r="J941" i="21"/>
  <c r="J918" i="21"/>
  <c r="J899" i="21"/>
  <c r="J877" i="21"/>
  <c r="J854" i="21"/>
  <c r="J835" i="21"/>
  <c r="J813" i="21"/>
  <c r="J790" i="21"/>
  <c r="J771" i="21"/>
  <c r="J749" i="21"/>
  <c r="J726" i="21"/>
  <c r="J707" i="21"/>
  <c r="J685" i="21"/>
  <c r="J662" i="21"/>
  <c r="J643" i="21"/>
  <c r="J621" i="21"/>
  <c r="J598" i="21"/>
  <c r="J579" i="21"/>
  <c r="J557" i="21"/>
  <c r="J534" i="21"/>
  <c r="J515" i="21"/>
  <c r="J493" i="21"/>
  <c r="J470" i="21"/>
  <c r="J451" i="21"/>
  <c r="J429" i="21"/>
  <c r="J406" i="21"/>
  <c r="J387" i="21"/>
  <c r="J365" i="21"/>
  <c r="J342" i="21"/>
  <c r="J323" i="21"/>
  <c r="J313" i="21"/>
  <c r="J305" i="21"/>
  <c r="J297" i="21"/>
  <c r="J289" i="21"/>
  <c r="J281" i="21"/>
  <c r="J273" i="21"/>
  <c r="J265" i="21"/>
  <c r="J257" i="21"/>
  <c r="J249" i="21"/>
  <c r="J241" i="21"/>
  <c r="J233" i="21"/>
  <c r="J225" i="21"/>
  <c r="J217" i="21"/>
  <c r="J209" i="21"/>
  <c r="J201" i="21"/>
  <c r="J193" i="21"/>
  <c r="J185" i="21"/>
  <c r="J177" i="21"/>
  <c r="J169" i="21"/>
  <c r="J161" i="21"/>
  <c r="J153" i="21"/>
  <c r="J145" i="21"/>
  <c r="J137" i="21"/>
  <c r="J129" i="21"/>
  <c r="J121" i="21"/>
  <c r="J113" i="21"/>
  <c r="J105" i="21"/>
  <c r="J97" i="21"/>
  <c r="J89" i="21"/>
  <c r="J81" i="21"/>
  <c r="J73" i="21"/>
  <c r="J65" i="21"/>
  <c r="J57" i="21"/>
  <c r="J49" i="21"/>
  <c r="J41" i="21"/>
  <c r="J33" i="21"/>
  <c r="J25" i="21"/>
  <c r="J17" i="21"/>
  <c r="J9" i="21"/>
  <c r="J950" i="21"/>
  <c r="J886" i="21"/>
  <c r="J803" i="21"/>
  <c r="J653" i="21"/>
  <c r="J502" i="21"/>
  <c r="J333" i="21"/>
  <c r="J269" i="21"/>
  <c r="J221" i="21"/>
  <c r="J165" i="21"/>
  <c r="J101" i="21"/>
  <c r="J45" i="21"/>
  <c r="J981" i="21"/>
  <c r="J958" i="21"/>
  <c r="J939" i="21"/>
  <c r="J917" i="21"/>
  <c r="J894" i="21"/>
  <c r="J875" i="21"/>
  <c r="J853" i="21"/>
  <c r="J830" i="21"/>
  <c r="J811" i="21"/>
  <c r="J789" i="21"/>
  <c r="J766" i="21"/>
  <c r="J747" i="21"/>
  <c r="J725" i="21"/>
  <c r="J702" i="21"/>
  <c r="J683" i="21"/>
  <c r="J661" i="21"/>
  <c r="J638" i="21"/>
  <c r="J619" i="21"/>
  <c r="J597" i="21"/>
  <c r="J574" i="21"/>
  <c r="J555" i="21"/>
  <c r="J533" i="21"/>
  <c r="J510" i="21"/>
  <c r="J491" i="21"/>
  <c r="J469" i="21"/>
  <c r="J446" i="21"/>
  <c r="J427" i="21"/>
  <c r="J405" i="21"/>
  <c r="J382" i="21"/>
  <c r="J363" i="21"/>
  <c r="J341" i="21"/>
  <c r="J320" i="21"/>
  <c r="J312" i="21"/>
  <c r="J304" i="21"/>
  <c r="J296" i="21"/>
  <c r="J288" i="21"/>
  <c r="J280" i="21"/>
  <c r="J272" i="21"/>
  <c r="J264" i="21"/>
  <c r="J256" i="21"/>
  <c r="J248" i="21"/>
  <c r="J240" i="21"/>
  <c r="J232" i="21"/>
  <c r="J224" i="21"/>
  <c r="J216" i="21"/>
  <c r="J208" i="21"/>
  <c r="J200" i="21"/>
  <c r="J192" i="21"/>
  <c r="J184" i="21"/>
  <c r="J176" i="21"/>
  <c r="J168" i="21"/>
  <c r="J160" i="21"/>
  <c r="J152" i="21"/>
  <c r="J144" i="21"/>
  <c r="J136" i="21"/>
  <c r="J128" i="21"/>
  <c r="J120" i="21"/>
  <c r="J112" i="21"/>
  <c r="J104" i="21"/>
  <c r="J96" i="21"/>
  <c r="J88" i="21"/>
  <c r="J80" i="21"/>
  <c r="J72" i="21"/>
  <c r="J64" i="21"/>
  <c r="J56" i="21"/>
  <c r="J48" i="21"/>
  <c r="J40" i="21"/>
  <c r="J32" i="21"/>
  <c r="J24" i="21"/>
  <c r="J16" i="21"/>
  <c r="J8" i="21"/>
  <c r="J739" i="21"/>
  <c r="J397" i="21"/>
  <c r="J197" i="21"/>
  <c r="J998" i="21"/>
  <c r="J979" i="21"/>
  <c r="J957" i="21"/>
  <c r="J934" i="21"/>
  <c r="J915" i="21"/>
  <c r="J893" i="21"/>
  <c r="J870" i="21"/>
  <c r="J851" i="21"/>
  <c r="J829" i="21"/>
  <c r="J806" i="21"/>
  <c r="J787" i="21"/>
  <c r="J765" i="21"/>
  <c r="J742" i="21"/>
  <c r="J723" i="21"/>
  <c r="J701" i="21"/>
  <c r="J678" i="21"/>
  <c r="J659" i="21"/>
  <c r="J637" i="21"/>
  <c r="J614" i="21"/>
  <c r="J595" i="21"/>
  <c r="J573" i="21"/>
  <c r="J550" i="21"/>
  <c r="J531" i="21"/>
  <c r="J509" i="21"/>
  <c r="J486" i="21"/>
  <c r="J467" i="21"/>
  <c r="J445" i="21"/>
  <c r="J422" i="21"/>
  <c r="J403" i="21"/>
  <c r="J381" i="21"/>
  <c r="J358" i="21"/>
  <c r="J339" i="21"/>
  <c r="J319" i="21"/>
  <c r="J311" i="21"/>
  <c r="J303" i="21"/>
  <c r="J295" i="21"/>
  <c r="J287" i="21"/>
  <c r="J279" i="21"/>
  <c r="J271" i="21"/>
  <c r="J263" i="21"/>
  <c r="J255" i="21"/>
  <c r="J247" i="21"/>
  <c r="J239" i="21"/>
  <c r="J231" i="21"/>
  <c r="J223" i="21"/>
  <c r="J215" i="21"/>
  <c r="J207" i="21"/>
  <c r="J199" i="21"/>
  <c r="J191" i="21"/>
  <c r="J183" i="21"/>
  <c r="J175" i="21"/>
  <c r="J167" i="21"/>
  <c r="J159" i="21"/>
  <c r="J151" i="21"/>
  <c r="J143" i="21"/>
  <c r="J135" i="21"/>
  <c r="J127" i="21"/>
  <c r="J119" i="21"/>
  <c r="J111" i="21"/>
  <c r="J103" i="21"/>
  <c r="J95" i="21"/>
  <c r="J87" i="21"/>
  <c r="J79" i="21"/>
  <c r="J71" i="21"/>
  <c r="J63" i="21"/>
  <c r="J55" i="21"/>
  <c r="J47" i="21"/>
  <c r="J39" i="21"/>
  <c r="J31" i="21"/>
  <c r="J23" i="21"/>
  <c r="J15" i="21"/>
  <c r="J7" i="21"/>
  <c r="J995" i="21"/>
  <c r="J931" i="21"/>
  <c r="J867" i="21"/>
  <c r="J781" i="21"/>
  <c r="J675" i="21"/>
  <c r="J547" i="21"/>
  <c r="J374" i="21"/>
  <c r="J293" i="21"/>
  <c r="J245" i="21"/>
  <c r="J189" i="21"/>
  <c r="J133" i="21"/>
  <c r="J77" i="21"/>
  <c r="J21" i="21"/>
  <c r="J997" i="21"/>
  <c r="J974" i="21"/>
  <c r="J955" i="21"/>
  <c r="J933" i="21"/>
  <c r="J910" i="21"/>
  <c r="J891" i="21"/>
  <c r="J869" i="21"/>
  <c r="J846" i="21"/>
  <c r="J827" i="21"/>
  <c r="J805" i="21"/>
  <c r="J782" i="21"/>
  <c r="J763" i="21"/>
  <c r="J741" i="21"/>
  <c r="J718" i="21"/>
  <c r="J699" i="21"/>
  <c r="J677" i="21"/>
  <c r="J654" i="21"/>
  <c r="J635" i="21"/>
  <c r="J613" i="21"/>
  <c r="J590" i="21"/>
  <c r="J571" i="21"/>
  <c r="J549" i="21"/>
  <c r="J526" i="21"/>
  <c r="J507" i="21"/>
  <c r="J485" i="21"/>
  <c r="J462" i="21"/>
  <c r="J443" i="21"/>
  <c r="J421" i="21"/>
  <c r="J398" i="21"/>
  <c r="J379" i="21"/>
  <c r="J357" i="21"/>
  <c r="J334" i="21"/>
  <c r="J318" i="21"/>
  <c r="J310" i="21"/>
  <c r="J302" i="21"/>
  <c r="J294" i="21"/>
  <c r="J286" i="21"/>
  <c r="J278" i="21"/>
  <c r="J270" i="21"/>
  <c r="J262" i="21"/>
  <c r="J254" i="21"/>
  <c r="J246" i="21"/>
  <c r="J238" i="21"/>
  <c r="J230" i="21"/>
  <c r="J222" i="21"/>
  <c r="J214" i="21"/>
  <c r="J206" i="21"/>
  <c r="J198" i="21"/>
  <c r="J190" i="21"/>
  <c r="J182" i="21"/>
  <c r="J174" i="21"/>
  <c r="J166" i="21"/>
  <c r="J158" i="21"/>
  <c r="J150" i="21"/>
  <c r="J142" i="21"/>
  <c r="J134" i="21"/>
  <c r="J126" i="21"/>
  <c r="J118" i="21"/>
  <c r="J110" i="21"/>
  <c r="J102" i="21"/>
  <c r="J94" i="21"/>
  <c r="J86" i="21"/>
  <c r="J78" i="21"/>
  <c r="J70" i="21"/>
  <c r="J62" i="21"/>
  <c r="J54" i="21"/>
  <c r="J46" i="21"/>
  <c r="J38" i="21"/>
  <c r="J30" i="21"/>
  <c r="J22" i="21"/>
  <c r="J14" i="21"/>
  <c r="J6" i="21"/>
  <c r="J630" i="21"/>
  <c r="J461" i="21"/>
  <c r="J301" i="21"/>
  <c r="J237" i="21"/>
  <c r="J173" i="21"/>
  <c r="J117" i="21"/>
  <c r="J61" i="21"/>
  <c r="J37" i="21"/>
  <c r="J5" i="21"/>
  <c r="A152" i="11"/>
  <c r="B152" i="11"/>
  <c r="A152" i="15" l="1"/>
  <c r="R152" i="15" s="1"/>
  <c r="A152" i="21"/>
  <c r="A152" i="22"/>
  <c r="B152" i="15"/>
  <c r="B152" i="21"/>
  <c r="B152" i="22"/>
  <c r="F4" i="21"/>
  <c r="E4" i="21"/>
  <c r="D4" i="21"/>
  <c r="C4" i="21"/>
  <c r="F2" i="21"/>
  <c r="E2" i="21"/>
  <c r="D2" i="21"/>
  <c r="C2" i="21"/>
  <c r="B2" i="21"/>
  <c r="A2" i="21"/>
  <c r="F4" i="22"/>
  <c r="E4" i="22"/>
  <c r="D4" i="22"/>
  <c r="C4" i="22"/>
  <c r="F2" i="22"/>
  <c r="E2" i="22"/>
  <c r="D2" i="22"/>
  <c r="C2" i="22"/>
  <c r="B2" i="22"/>
  <c r="A2" i="22"/>
  <c r="A442" i="11"/>
  <c r="A441" i="11"/>
  <c r="A440" i="11"/>
  <c r="B439" i="11"/>
  <c r="A439" i="11"/>
  <c r="B438" i="11"/>
  <c r="A438" i="11"/>
  <c r="B437" i="11"/>
  <c r="A437" i="11"/>
  <c r="B436" i="11"/>
  <c r="A436" i="11"/>
  <c r="B435" i="11"/>
  <c r="A435" i="11"/>
  <c r="B434" i="11"/>
  <c r="A434" i="11"/>
  <c r="B433" i="11"/>
  <c r="A433" i="11"/>
  <c r="B432" i="11"/>
  <c r="A432" i="11"/>
  <c r="B431" i="11"/>
  <c r="A431" i="11"/>
  <c r="B430" i="11"/>
  <c r="A430" i="11"/>
  <c r="B429" i="11"/>
  <c r="A429" i="11"/>
  <c r="B428" i="11"/>
  <c r="A428" i="11"/>
  <c r="B427" i="11"/>
  <c r="A427" i="11"/>
  <c r="B426" i="11"/>
  <c r="A426" i="11"/>
  <c r="B425" i="11"/>
  <c r="A425" i="11"/>
  <c r="B424" i="11"/>
  <c r="A424" i="11"/>
  <c r="B423" i="11"/>
  <c r="A423" i="11"/>
  <c r="B422" i="11"/>
  <c r="A422" i="11"/>
  <c r="B421" i="11"/>
  <c r="A421" i="11"/>
  <c r="B420" i="11"/>
  <c r="A420" i="11"/>
  <c r="B419" i="11"/>
  <c r="A419" i="11"/>
  <c r="B418" i="11"/>
  <c r="A418" i="11"/>
  <c r="B417" i="11"/>
  <c r="A417" i="11"/>
  <c r="B416" i="11"/>
  <c r="A416" i="11"/>
  <c r="B415" i="11"/>
  <c r="A415" i="11"/>
  <c r="B414" i="11"/>
  <c r="A414" i="11"/>
  <c r="B413" i="11"/>
  <c r="A413" i="11"/>
  <c r="B412" i="11"/>
  <c r="A412" i="11"/>
  <c r="B411" i="11"/>
  <c r="A411" i="11"/>
  <c r="B410" i="11"/>
  <c r="A410" i="11"/>
  <c r="B409" i="11"/>
  <c r="A409" i="11"/>
  <c r="B408" i="11"/>
  <c r="A408" i="11"/>
  <c r="B407" i="11"/>
  <c r="A407" i="11"/>
  <c r="B406" i="11"/>
  <c r="A406" i="11"/>
  <c r="B405" i="11"/>
  <c r="A405" i="11"/>
  <c r="B404" i="11"/>
  <c r="A404" i="11"/>
  <c r="B403" i="11"/>
  <c r="A403" i="11"/>
  <c r="B402" i="11"/>
  <c r="A402" i="11"/>
  <c r="B401" i="11"/>
  <c r="A401" i="11"/>
  <c r="B400" i="11"/>
  <c r="A400" i="11"/>
  <c r="B399" i="11"/>
  <c r="A399" i="11"/>
  <c r="B398" i="11"/>
  <c r="A398" i="11"/>
  <c r="B397" i="11"/>
  <c r="A397" i="11"/>
  <c r="B396" i="11"/>
  <c r="A396" i="11"/>
  <c r="B395" i="11"/>
  <c r="A395" i="11"/>
  <c r="B394" i="11"/>
  <c r="A394" i="11"/>
  <c r="B393" i="11"/>
  <c r="A393" i="11"/>
  <c r="B392" i="11"/>
  <c r="A392" i="11"/>
  <c r="B391" i="11"/>
  <c r="A391" i="11"/>
  <c r="B390" i="11"/>
  <c r="A390" i="11"/>
  <c r="B389" i="11"/>
  <c r="A389" i="11"/>
  <c r="B388" i="11"/>
  <c r="A388" i="11"/>
  <c r="B387" i="11"/>
  <c r="A387" i="11"/>
  <c r="B386" i="11"/>
  <c r="A386" i="11"/>
  <c r="B385" i="11"/>
  <c r="A385" i="11"/>
  <c r="B384" i="11"/>
  <c r="A384" i="11"/>
  <c r="B383" i="11"/>
  <c r="A383" i="11"/>
  <c r="B382" i="11"/>
  <c r="A382" i="11"/>
  <c r="B381" i="11"/>
  <c r="A381" i="11"/>
  <c r="B380" i="11"/>
  <c r="A380" i="11"/>
  <c r="B379" i="11"/>
  <c r="A379" i="11"/>
  <c r="B378" i="11"/>
  <c r="A378" i="11"/>
  <c r="B377" i="11"/>
  <c r="A377" i="11"/>
  <c r="B376" i="11"/>
  <c r="A376" i="11"/>
  <c r="B375" i="11"/>
  <c r="A375" i="11"/>
  <c r="B374" i="11"/>
  <c r="A374" i="11"/>
  <c r="B373" i="11"/>
  <c r="A373" i="11"/>
  <c r="B372" i="11"/>
  <c r="A372" i="11"/>
  <c r="B371" i="11"/>
  <c r="A371" i="11"/>
  <c r="B370" i="11"/>
  <c r="A370" i="11"/>
  <c r="B369" i="11"/>
  <c r="A369" i="11"/>
  <c r="B368" i="11"/>
  <c r="A368" i="11"/>
  <c r="B367" i="11"/>
  <c r="A367" i="11"/>
  <c r="B366" i="11"/>
  <c r="A366" i="11"/>
  <c r="B365" i="11"/>
  <c r="A365" i="11"/>
  <c r="B364" i="11"/>
  <c r="A364" i="11"/>
  <c r="B363" i="11"/>
  <c r="A363" i="11"/>
  <c r="B362" i="11"/>
  <c r="A362" i="11"/>
  <c r="B361" i="11"/>
  <c r="A361" i="11"/>
  <c r="B360" i="11"/>
  <c r="A360" i="11"/>
  <c r="B359" i="11"/>
  <c r="A359" i="11"/>
  <c r="B358" i="11"/>
  <c r="A358" i="11"/>
  <c r="B357" i="11"/>
  <c r="A357" i="11"/>
  <c r="B356" i="11"/>
  <c r="A356" i="11"/>
  <c r="B355" i="11"/>
  <c r="A355" i="11"/>
  <c r="B354" i="11"/>
  <c r="A354" i="11"/>
  <c r="B353" i="11"/>
  <c r="A353" i="11"/>
  <c r="B352" i="11"/>
  <c r="A352" i="11"/>
  <c r="B351" i="11"/>
  <c r="A351" i="11"/>
  <c r="B350" i="11"/>
  <c r="A350" i="11"/>
  <c r="B349" i="11"/>
  <c r="A349" i="11"/>
  <c r="B348" i="11"/>
  <c r="A348" i="11"/>
  <c r="B347" i="11"/>
  <c r="A347" i="11"/>
  <c r="B346" i="11"/>
  <c r="A346" i="11"/>
  <c r="B345" i="11"/>
  <c r="A345" i="11"/>
  <c r="B344" i="11"/>
  <c r="A344" i="11"/>
  <c r="B343" i="11"/>
  <c r="A343" i="11"/>
  <c r="B342" i="11"/>
  <c r="A342" i="11"/>
  <c r="B341" i="11"/>
  <c r="A341" i="11"/>
  <c r="B340" i="11"/>
  <c r="A340" i="11"/>
  <c r="B339" i="11"/>
  <c r="A339" i="11"/>
  <c r="B338" i="11"/>
  <c r="A338" i="11"/>
  <c r="B337" i="11"/>
  <c r="A337" i="11"/>
  <c r="B336" i="11"/>
  <c r="A336" i="11"/>
  <c r="B335" i="11"/>
  <c r="A335" i="11"/>
  <c r="B334" i="11"/>
  <c r="A334" i="11"/>
  <c r="B333" i="11"/>
  <c r="A333" i="11"/>
  <c r="B332" i="11"/>
  <c r="A332" i="11"/>
  <c r="B331" i="11"/>
  <c r="A331" i="11"/>
  <c r="B330" i="11"/>
  <c r="A330" i="11"/>
  <c r="B329" i="11"/>
  <c r="A329" i="11"/>
  <c r="B328" i="11"/>
  <c r="A328" i="11"/>
  <c r="B327" i="11"/>
  <c r="A327" i="11"/>
  <c r="B326" i="11"/>
  <c r="A326" i="11"/>
  <c r="B325" i="11"/>
  <c r="A325" i="11"/>
  <c r="B324" i="11"/>
  <c r="A324" i="11"/>
  <c r="B323" i="11"/>
  <c r="A323" i="11"/>
  <c r="B322" i="11"/>
  <c r="A322" i="11"/>
  <c r="B321" i="11"/>
  <c r="A321" i="11"/>
  <c r="B320" i="11"/>
  <c r="A320" i="11"/>
  <c r="B319" i="11"/>
  <c r="A319" i="11"/>
  <c r="B318" i="11"/>
  <c r="A318" i="11"/>
  <c r="B317" i="11"/>
  <c r="A317" i="11"/>
  <c r="B316" i="11"/>
  <c r="A316" i="11"/>
  <c r="B315" i="11"/>
  <c r="A315" i="11"/>
  <c r="B314" i="11"/>
  <c r="A314" i="11"/>
  <c r="B313" i="11"/>
  <c r="A313" i="11"/>
  <c r="B312" i="11"/>
  <c r="A312" i="11"/>
  <c r="B311" i="11"/>
  <c r="A311" i="11"/>
  <c r="B310" i="11"/>
  <c r="A310" i="11"/>
  <c r="B309" i="11"/>
  <c r="A309" i="11"/>
  <c r="B308" i="11"/>
  <c r="A308" i="11"/>
  <c r="B307" i="11"/>
  <c r="A307" i="11"/>
  <c r="B306" i="11"/>
  <c r="A306" i="11"/>
  <c r="B305" i="11"/>
  <c r="A305" i="11"/>
  <c r="B304" i="11"/>
  <c r="A304" i="11"/>
  <c r="B303" i="11"/>
  <c r="A303" i="11"/>
  <c r="B302" i="11"/>
  <c r="A302" i="11"/>
  <c r="B301" i="11"/>
  <c r="A301" i="11"/>
  <c r="B300" i="11"/>
  <c r="A300" i="11"/>
  <c r="B299" i="11"/>
  <c r="A299" i="11"/>
  <c r="B298" i="11"/>
  <c r="A298" i="11"/>
  <c r="B297" i="11"/>
  <c r="A297" i="11"/>
  <c r="B296" i="11"/>
  <c r="A296" i="11"/>
  <c r="B295" i="11"/>
  <c r="A295" i="11"/>
  <c r="B294" i="11"/>
  <c r="A294" i="11"/>
  <c r="B293" i="11"/>
  <c r="A293" i="11"/>
  <c r="B292" i="11"/>
  <c r="A292" i="11"/>
  <c r="B291" i="11"/>
  <c r="A291" i="11"/>
  <c r="B290" i="11"/>
  <c r="A290" i="11"/>
  <c r="B289" i="11"/>
  <c r="A289" i="11"/>
  <c r="B288" i="11"/>
  <c r="A288" i="11"/>
  <c r="B287" i="11"/>
  <c r="A287" i="11"/>
  <c r="B286" i="11"/>
  <c r="A286" i="11"/>
  <c r="B285" i="11"/>
  <c r="A285" i="11"/>
  <c r="B284" i="11"/>
  <c r="A284" i="11"/>
  <c r="B283" i="11"/>
  <c r="A283" i="11"/>
  <c r="B282" i="11"/>
  <c r="A282" i="11"/>
  <c r="B281" i="11"/>
  <c r="A281" i="11"/>
  <c r="B280" i="11"/>
  <c r="A280" i="11"/>
  <c r="B279" i="11"/>
  <c r="A279" i="11"/>
  <c r="B278" i="11"/>
  <c r="A278" i="11"/>
  <c r="B277" i="11"/>
  <c r="A277" i="11"/>
  <c r="B276" i="11"/>
  <c r="A276" i="11"/>
  <c r="B275" i="11"/>
  <c r="A275" i="11"/>
  <c r="B274" i="11"/>
  <c r="A274" i="11"/>
  <c r="B273" i="11"/>
  <c r="A273" i="11"/>
  <c r="B272" i="11"/>
  <c r="A272" i="11"/>
  <c r="B271" i="11"/>
  <c r="A271" i="11"/>
  <c r="B270" i="11"/>
  <c r="A270" i="11"/>
  <c r="B269" i="11"/>
  <c r="A269" i="11"/>
  <c r="B268" i="11"/>
  <c r="A268" i="11"/>
  <c r="B267" i="11"/>
  <c r="A267" i="11"/>
  <c r="B266" i="11"/>
  <c r="A266" i="11"/>
  <c r="B265" i="11"/>
  <c r="A265" i="11"/>
  <c r="B264" i="11"/>
  <c r="A264" i="11"/>
  <c r="B263" i="11"/>
  <c r="A263" i="11"/>
  <c r="B262" i="11"/>
  <c r="A262" i="11"/>
  <c r="B261" i="11"/>
  <c r="A261" i="11"/>
  <c r="B260" i="11"/>
  <c r="A260" i="11"/>
  <c r="B259" i="11"/>
  <c r="A259" i="11"/>
  <c r="B258" i="11"/>
  <c r="A258" i="11"/>
  <c r="B257" i="11"/>
  <c r="A257" i="11"/>
  <c r="B256" i="11"/>
  <c r="A256" i="11"/>
  <c r="B255" i="11"/>
  <c r="A255" i="11"/>
  <c r="B254" i="11"/>
  <c r="A254" i="11"/>
  <c r="B253" i="11"/>
  <c r="A253" i="11"/>
  <c r="B252" i="11"/>
  <c r="A252" i="11"/>
  <c r="B251" i="11"/>
  <c r="A251" i="11"/>
  <c r="B250" i="11"/>
  <c r="A250" i="11"/>
  <c r="B249" i="11"/>
  <c r="A249" i="11"/>
  <c r="B248" i="11"/>
  <c r="A248" i="11"/>
  <c r="B247" i="11"/>
  <c r="A247" i="11"/>
  <c r="B246" i="11"/>
  <c r="A246" i="11"/>
  <c r="B245" i="11"/>
  <c r="A245" i="11"/>
  <c r="B244" i="11"/>
  <c r="A244" i="11"/>
  <c r="B243" i="11"/>
  <c r="A243" i="11"/>
  <c r="B242" i="11"/>
  <c r="A242" i="11"/>
  <c r="B241" i="11"/>
  <c r="A241" i="11"/>
  <c r="B240" i="11"/>
  <c r="A240" i="11"/>
  <c r="B239" i="11"/>
  <c r="A239" i="11"/>
  <c r="B238" i="11"/>
  <c r="A238" i="11"/>
  <c r="B237" i="11"/>
  <c r="A237" i="11"/>
  <c r="B236" i="11"/>
  <c r="A236" i="11"/>
  <c r="B235" i="11"/>
  <c r="A235" i="11"/>
  <c r="B234" i="11"/>
  <c r="A234" i="11"/>
  <c r="B233" i="11"/>
  <c r="A233" i="11"/>
  <c r="B232" i="11"/>
  <c r="A232" i="11"/>
  <c r="B231" i="11"/>
  <c r="A231" i="11"/>
  <c r="B230" i="11"/>
  <c r="A230" i="11"/>
  <c r="B229" i="11"/>
  <c r="A229" i="11"/>
  <c r="B228" i="11"/>
  <c r="A228" i="11"/>
  <c r="B227" i="11"/>
  <c r="A227" i="11"/>
  <c r="B226" i="11"/>
  <c r="A226" i="11"/>
  <c r="B225" i="11"/>
  <c r="A225" i="11"/>
  <c r="B224" i="11"/>
  <c r="A224" i="11"/>
  <c r="B223" i="11"/>
  <c r="A223" i="11"/>
  <c r="B222" i="11"/>
  <c r="A222" i="11"/>
  <c r="B221" i="11"/>
  <c r="A221" i="11"/>
  <c r="B220" i="11"/>
  <c r="A220" i="11"/>
  <c r="B219" i="11"/>
  <c r="A219" i="11"/>
  <c r="B218" i="11"/>
  <c r="A218" i="11"/>
  <c r="B217" i="11"/>
  <c r="A217" i="11"/>
  <c r="B216" i="11"/>
  <c r="A216" i="11"/>
  <c r="B215" i="11"/>
  <c r="A215" i="11"/>
  <c r="B214" i="11"/>
  <c r="A214" i="11"/>
  <c r="B213" i="11"/>
  <c r="A213" i="11"/>
  <c r="B212" i="11"/>
  <c r="A212" i="11"/>
  <c r="B211" i="11"/>
  <c r="A211" i="11"/>
  <c r="B210" i="11"/>
  <c r="A210" i="11"/>
  <c r="B209" i="11"/>
  <c r="A209" i="11"/>
  <c r="B208" i="11"/>
  <c r="A208" i="11"/>
  <c r="B207" i="11"/>
  <c r="A207" i="11"/>
  <c r="B206" i="11"/>
  <c r="A206" i="11"/>
  <c r="B205" i="11"/>
  <c r="A205" i="11"/>
  <c r="B204" i="11"/>
  <c r="A204" i="11"/>
  <c r="B203" i="11"/>
  <c r="A203" i="11"/>
  <c r="B202" i="11"/>
  <c r="A202" i="11"/>
  <c r="B201" i="11"/>
  <c r="A201" i="11"/>
  <c r="B200" i="11"/>
  <c r="A200" i="11"/>
  <c r="B199" i="11"/>
  <c r="A199" i="11"/>
  <c r="B198" i="11"/>
  <c r="A198" i="11"/>
  <c r="B197" i="11"/>
  <c r="A197" i="11"/>
  <c r="B196" i="11"/>
  <c r="A196" i="11"/>
  <c r="B195" i="11"/>
  <c r="A195" i="11"/>
  <c r="B194" i="11"/>
  <c r="A194" i="11"/>
  <c r="B193" i="11"/>
  <c r="A193" i="11"/>
  <c r="B192" i="11"/>
  <c r="A192" i="11"/>
  <c r="B191" i="11"/>
  <c r="A191" i="11"/>
  <c r="B190" i="11"/>
  <c r="A190" i="11"/>
  <c r="B189" i="11"/>
  <c r="A189" i="11"/>
  <c r="B188" i="11"/>
  <c r="A188" i="11"/>
  <c r="B187" i="11"/>
  <c r="A187" i="11"/>
  <c r="B186" i="11"/>
  <c r="A186" i="11"/>
  <c r="B185" i="11"/>
  <c r="A185" i="11"/>
  <c r="B184" i="11"/>
  <c r="A184" i="11"/>
  <c r="B183" i="11"/>
  <c r="A183" i="11"/>
  <c r="B182" i="11"/>
  <c r="A182" i="11"/>
  <c r="B181" i="11"/>
  <c r="A181" i="11"/>
  <c r="B180" i="11"/>
  <c r="A180" i="11"/>
  <c r="B179" i="11"/>
  <c r="A179" i="11"/>
  <c r="B178" i="11"/>
  <c r="A178" i="11"/>
  <c r="B177" i="11"/>
  <c r="A177" i="11"/>
  <c r="B176" i="11"/>
  <c r="A176" i="11"/>
  <c r="B175" i="11"/>
  <c r="A175" i="11"/>
  <c r="B174" i="11"/>
  <c r="A174" i="11"/>
  <c r="B173" i="11"/>
  <c r="A173" i="11"/>
  <c r="B172" i="11"/>
  <c r="A172" i="11"/>
  <c r="B171" i="11"/>
  <c r="A171" i="11"/>
  <c r="B170" i="11"/>
  <c r="A170" i="11"/>
  <c r="B169" i="11"/>
  <c r="A169" i="11"/>
  <c r="B168" i="11"/>
  <c r="A168" i="11"/>
  <c r="B167" i="11"/>
  <c r="A167" i="11"/>
  <c r="B166" i="11"/>
  <c r="A166" i="11"/>
  <c r="B165" i="11"/>
  <c r="A165" i="11"/>
  <c r="B164" i="11"/>
  <c r="A164" i="11"/>
  <c r="B163" i="11"/>
  <c r="A163" i="11"/>
  <c r="B162" i="11"/>
  <c r="A162" i="11"/>
  <c r="B161" i="11"/>
  <c r="A161" i="11"/>
  <c r="B160" i="11"/>
  <c r="A160" i="11"/>
  <c r="B159" i="11"/>
  <c r="A159" i="11"/>
  <c r="B158" i="11"/>
  <c r="A158" i="11"/>
  <c r="B157" i="11"/>
  <c r="A157" i="11"/>
  <c r="B156" i="11"/>
  <c r="A156" i="11"/>
  <c r="B155" i="11"/>
  <c r="A155" i="11"/>
  <c r="B154" i="11"/>
  <c r="A154" i="11"/>
  <c r="B153" i="11"/>
  <c r="A153" i="11"/>
  <c r="B151" i="11"/>
  <c r="A151" i="11"/>
  <c r="B150" i="11"/>
  <c r="A150" i="11"/>
  <c r="B149" i="11"/>
  <c r="A149" i="11"/>
  <c r="B148" i="11"/>
  <c r="A148" i="11"/>
  <c r="A147" i="11"/>
  <c r="A146" i="11"/>
  <c r="A145" i="11"/>
  <c r="A144" i="11"/>
  <c r="A143" i="11"/>
  <c r="A142" i="11"/>
  <c r="A141" i="11"/>
  <c r="A140" i="11"/>
  <c r="A139" i="11"/>
  <c r="A138" i="11"/>
  <c r="A137" i="11"/>
  <c r="A136" i="11"/>
  <c r="A135" i="11"/>
  <c r="A134" i="11"/>
  <c r="A133" i="11"/>
  <c r="A132" i="11"/>
  <c r="A131" i="11"/>
  <c r="A130" i="11"/>
  <c r="A129" i="11"/>
  <c r="A128" i="11"/>
  <c r="A127" i="11"/>
  <c r="A126" i="11"/>
  <c r="A125" i="11"/>
  <c r="A124" i="11"/>
  <c r="A123" i="11"/>
  <c r="A122" i="11"/>
  <c r="A121" i="11"/>
  <c r="A120" i="11"/>
  <c r="A119" i="11"/>
  <c r="A118" i="11"/>
  <c r="A117" i="11"/>
  <c r="A115" i="11"/>
  <c r="B114" i="11"/>
  <c r="A114" i="11"/>
  <c r="B113" i="11"/>
  <c r="A113" i="11"/>
  <c r="B112" i="11"/>
  <c r="A112" i="11"/>
  <c r="B111" i="11"/>
  <c r="A111" i="11"/>
  <c r="B110" i="11"/>
  <c r="A110" i="11"/>
  <c r="B109" i="11"/>
  <c r="A109" i="11"/>
  <c r="B108" i="11"/>
  <c r="A108" i="11"/>
  <c r="B107" i="11"/>
  <c r="A107" i="11"/>
  <c r="B106" i="11"/>
  <c r="A106" i="11"/>
  <c r="B105" i="11"/>
  <c r="A105" i="11"/>
  <c r="B104" i="11"/>
  <c r="A104" i="11"/>
  <c r="B103" i="11"/>
  <c r="A103" i="11"/>
  <c r="B102" i="11"/>
  <c r="A102" i="11"/>
  <c r="B101" i="11"/>
  <c r="A101" i="11"/>
  <c r="B100" i="11"/>
  <c r="A100" i="11"/>
  <c r="B99" i="11"/>
  <c r="A99" i="11"/>
  <c r="B98" i="11"/>
  <c r="A98" i="11"/>
  <c r="B97" i="11"/>
  <c r="A97" i="11"/>
  <c r="B96" i="11"/>
  <c r="A96" i="11"/>
  <c r="B95" i="11"/>
  <c r="A95" i="11"/>
  <c r="B94" i="11"/>
  <c r="A94" i="11"/>
  <c r="B93" i="11"/>
  <c r="A93" i="11"/>
  <c r="B92" i="11"/>
  <c r="A92" i="11"/>
  <c r="B91" i="11"/>
  <c r="A91" i="11"/>
  <c r="B90" i="11"/>
  <c r="A90" i="11"/>
  <c r="B89" i="11"/>
  <c r="A89" i="11"/>
  <c r="B88" i="11"/>
  <c r="A88" i="11"/>
  <c r="B87" i="11"/>
  <c r="A87" i="11"/>
  <c r="B86" i="11"/>
  <c r="A86" i="11"/>
  <c r="B85" i="11"/>
  <c r="A85" i="11"/>
  <c r="B84" i="11"/>
  <c r="A84" i="11"/>
  <c r="B83" i="11"/>
  <c r="A83" i="11"/>
  <c r="B82" i="11"/>
  <c r="A82" i="11"/>
  <c r="B81" i="11"/>
  <c r="A81" i="11"/>
  <c r="B80" i="11"/>
  <c r="A80" i="11"/>
  <c r="B79" i="11"/>
  <c r="A79" i="11"/>
  <c r="B78" i="11"/>
  <c r="A78" i="11"/>
  <c r="B77" i="11"/>
  <c r="A77" i="11"/>
  <c r="B76" i="11"/>
  <c r="A76" i="11"/>
  <c r="B75" i="11"/>
  <c r="A75" i="11"/>
  <c r="B74" i="11"/>
  <c r="A74" i="11"/>
  <c r="B73" i="11"/>
  <c r="A73" i="11"/>
  <c r="B72" i="11"/>
  <c r="A72" i="11"/>
  <c r="B71" i="11"/>
  <c r="A71" i="11"/>
  <c r="B70" i="11"/>
  <c r="A70" i="11"/>
  <c r="B69" i="11"/>
  <c r="A69" i="11"/>
  <c r="B68" i="11"/>
  <c r="A68" i="11"/>
  <c r="B67" i="11"/>
  <c r="A67" i="11"/>
  <c r="B57" i="11"/>
  <c r="A57" i="11"/>
  <c r="B56" i="11"/>
  <c r="A56" i="11"/>
  <c r="B55" i="11"/>
  <c r="A55" i="11"/>
  <c r="B54" i="11"/>
  <c r="A54" i="11"/>
  <c r="B53" i="11"/>
  <c r="A53" i="11"/>
  <c r="B52" i="11"/>
  <c r="A52" i="11"/>
  <c r="B51" i="11"/>
  <c r="A51" i="11"/>
  <c r="B50" i="11"/>
  <c r="A50" i="11"/>
  <c r="B49" i="11"/>
  <c r="A49" i="11"/>
  <c r="B48" i="11"/>
  <c r="A48" i="11"/>
  <c r="B47" i="11"/>
  <c r="A47" i="11"/>
  <c r="B46" i="11"/>
  <c r="A46" i="11"/>
  <c r="B45" i="11"/>
  <c r="A45" i="11"/>
  <c r="B44" i="11"/>
  <c r="A44" i="11"/>
  <c r="B43" i="11"/>
  <c r="A43" i="11"/>
  <c r="B42" i="11"/>
  <c r="A42" i="11"/>
  <c r="B41" i="11"/>
  <c r="A41" i="11"/>
  <c r="B40" i="11"/>
  <c r="A40" i="11"/>
  <c r="B39" i="11"/>
  <c r="A39" i="11"/>
  <c r="B38" i="11"/>
  <c r="A38" i="11"/>
  <c r="B37" i="11"/>
  <c r="A37" i="11"/>
  <c r="B36" i="11"/>
  <c r="A36" i="11"/>
  <c r="B35" i="11"/>
  <c r="A35" i="11"/>
  <c r="B34" i="11"/>
  <c r="A34" i="11"/>
  <c r="B33" i="11"/>
  <c r="A33" i="11"/>
  <c r="B32" i="11"/>
  <c r="A32" i="11"/>
  <c r="B31" i="11"/>
  <c r="A31" i="11"/>
  <c r="B21" i="11"/>
  <c r="A21" i="11"/>
  <c r="B20" i="11"/>
  <c r="A20" i="11"/>
  <c r="B19" i="11"/>
  <c r="A19" i="11"/>
  <c r="B18" i="11"/>
  <c r="A18" i="11"/>
  <c r="B17" i="11"/>
  <c r="A17" i="11"/>
  <c r="B16" i="11"/>
  <c r="A16" i="11"/>
  <c r="B15" i="11"/>
  <c r="A15" i="11"/>
  <c r="B14" i="11"/>
  <c r="A14" i="11"/>
  <c r="B13" i="11"/>
  <c r="A13" i="11"/>
  <c r="B12" i="11"/>
  <c r="A12" i="11"/>
  <c r="B11" i="11"/>
  <c r="A11" i="11"/>
  <c r="B10" i="11"/>
  <c r="A10" i="11"/>
  <c r="B9" i="11"/>
  <c r="A9" i="11"/>
  <c r="B8" i="11"/>
  <c r="A8" i="11"/>
  <c r="B7" i="11"/>
  <c r="A7" i="11"/>
  <c r="B6" i="11"/>
  <c r="A6" i="11"/>
  <c r="B5" i="11"/>
  <c r="A5" i="11"/>
  <c r="B4" i="11"/>
  <c r="B4" i="21" s="1"/>
  <c r="A4" i="11"/>
  <c r="A4" i="21" s="1"/>
  <c r="F4" i="15"/>
  <c r="K4" i="15" s="1"/>
  <c r="E4" i="15"/>
  <c r="D4" i="15"/>
  <c r="C4" i="15"/>
  <c r="F2" i="15"/>
  <c r="E2" i="15"/>
  <c r="D2" i="15"/>
  <c r="C2" i="15"/>
  <c r="B2" i="15"/>
  <c r="A2" i="15"/>
  <c r="S152" i="15" l="1"/>
  <c r="T152" i="15"/>
  <c r="B15" i="15"/>
  <c r="B15" i="22"/>
  <c r="B15" i="21"/>
  <c r="B52" i="15"/>
  <c r="B52" i="21"/>
  <c r="B52" i="22"/>
  <c r="B77" i="15"/>
  <c r="B77" i="22"/>
  <c r="B77" i="21"/>
  <c r="B105" i="15"/>
  <c r="B105" i="22"/>
  <c r="B105" i="21"/>
  <c r="B150" i="15"/>
  <c r="B150" i="21"/>
  <c r="B150" i="22"/>
  <c r="B179" i="15"/>
  <c r="B179" i="21"/>
  <c r="B179" i="22"/>
  <c r="B219" i="15"/>
  <c r="B219" i="21"/>
  <c r="B219" i="22"/>
  <c r="B251" i="15"/>
  <c r="B251" i="21"/>
  <c r="B251" i="22"/>
  <c r="B275" i="15"/>
  <c r="B275" i="21"/>
  <c r="B275" i="22"/>
  <c r="B295" i="15"/>
  <c r="B295" i="21"/>
  <c r="B295" i="22"/>
  <c r="B315" i="15"/>
  <c r="B315" i="21"/>
  <c r="B315" i="22"/>
  <c r="B335" i="15"/>
  <c r="B335" i="21"/>
  <c r="B335" i="22"/>
  <c r="B363" i="15"/>
  <c r="B363" i="21"/>
  <c r="B363" i="22"/>
  <c r="B383" i="15"/>
  <c r="B383" i="21"/>
  <c r="B383" i="22"/>
  <c r="B403" i="15"/>
  <c r="B403" i="21"/>
  <c r="B403" i="22"/>
  <c r="B423" i="15"/>
  <c r="B423" i="21"/>
  <c r="B423" i="22"/>
  <c r="R455" i="15"/>
  <c r="R475" i="15"/>
  <c r="R563" i="15"/>
  <c r="B10" i="15"/>
  <c r="B10" i="21"/>
  <c r="B10" i="22"/>
  <c r="B18" i="15"/>
  <c r="B18" i="21"/>
  <c r="B18" i="22"/>
  <c r="B35" i="15"/>
  <c r="B35" i="21"/>
  <c r="B35" i="22"/>
  <c r="B43" i="15"/>
  <c r="B43" i="21"/>
  <c r="B43" i="22"/>
  <c r="B55" i="15"/>
  <c r="B55" i="21"/>
  <c r="B55" i="22"/>
  <c r="A7" i="21"/>
  <c r="A7" i="15"/>
  <c r="R7" i="15" s="1"/>
  <c r="A7" i="22"/>
  <c r="A11" i="15"/>
  <c r="R11" i="15" s="1"/>
  <c r="A11" i="21"/>
  <c r="A11" i="22"/>
  <c r="A15" i="15"/>
  <c r="R15" i="15" s="1"/>
  <c r="A15" i="21"/>
  <c r="A15" i="22"/>
  <c r="A19" i="21"/>
  <c r="A19" i="15"/>
  <c r="R19" i="15" s="1"/>
  <c r="A19" i="22"/>
  <c r="A32" i="15"/>
  <c r="R32" i="15" s="1"/>
  <c r="A32" i="21"/>
  <c r="A32" i="22"/>
  <c r="A36" i="15"/>
  <c r="R36" i="15" s="1"/>
  <c r="A36" i="21"/>
  <c r="A36" i="22"/>
  <c r="A40" i="15"/>
  <c r="R40" i="15" s="1"/>
  <c r="A40" i="21"/>
  <c r="A40" i="22"/>
  <c r="A44" i="15"/>
  <c r="R44" i="15" s="1"/>
  <c r="A44" i="21"/>
  <c r="A44" i="22"/>
  <c r="A48" i="15"/>
  <c r="R48" i="15" s="1"/>
  <c r="A48" i="21"/>
  <c r="A48" i="22"/>
  <c r="A52" i="15"/>
  <c r="R52" i="15" s="1"/>
  <c r="A52" i="21"/>
  <c r="A52" i="22"/>
  <c r="A56" i="15"/>
  <c r="R56" i="15" s="1"/>
  <c r="A56" i="21"/>
  <c r="A56" i="22"/>
  <c r="A69" i="15"/>
  <c r="R69" i="15" s="1"/>
  <c r="A69" i="22"/>
  <c r="A69" i="21"/>
  <c r="A73" i="15"/>
  <c r="R73" i="15" s="1"/>
  <c r="A73" i="21"/>
  <c r="A73" i="22"/>
  <c r="A77" i="15"/>
  <c r="R77" i="15" s="1"/>
  <c r="A77" i="22"/>
  <c r="A77" i="21"/>
  <c r="A81" i="15"/>
  <c r="R81" i="15" s="1"/>
  <c r="A81" i="21"/>
  <c r="A81" i="22"/>
  <c r="A85" i="15"/>
  <c r="R85" i="15" s="1"/>
  <c r="A85" i="21"/>
  <c r="A85" i="22"/>
  <c r="A89" i="15"/>
  <c r="R89" i="15" s="1"/>
  <c r="A89" i="22"/>
  <c r="A89" i="21"/>
  <c r="A93" i="15"/>
  <c r="R93" i="15" s="1"/>
  <c r="A93" i="21"/>
  <c r="A93" i="22"/>
  <c r="A97" i="15"/>
  <c r="R97" i="15" s="1"/>
  <c r="A97" i="22"/>
  <c r="A97" i="21"/>
  <c r="A101" i="21"/>
  <c r="A101" i="22"/>
  <c r="A101" i="15"/>
  <c r="R101" i="15" s="1"/>
  <c r="A105" i="15"/>
  <c r="R105" i="15" s="1"/>
  <c r="A105" i="22"/>
  <c r="A105" i="21"/>
  <c r="A109" i="15"/>
  <c r="R109" i="15" s="1"/>
  <c r="A109" i="21"/>
  <c r="A109" i="22"/>
  <c r="A113" i="15"/>
  <c r="R113" i="15" s="1"/>
  <c r="A113" i="22"/>
  <c r="A113" i="21"/>
  <c r="A120" i="15"/>
  <c r="R120" i="15" s="1"/>
  <c r="A120" i="21"/>
  <c r="A120" i="22"/>
  <c r="A128" i="15"/>
  <c r="R128" i="15" s="1"/>
  <c r="A128" i="21"/>
  <c r="A128" i="22"/>
  <c r="A136" i="15"/>
  <c r="R136" i="15" s="1"/>
  <c r="A136" i="21"/>
  <c r="A136" i="22"/>
  <c r="A144" i="15"/>
  <c r="R144" i="15" s="1"/>
  <c r="A144" i="21"/>
  <c r="A144" i="22"/>
  <c r="A150" i="15"/>
  <c r="R150" i="15" s="1"/>
  <c r="A150" i="22"/>
  <c r="A150" i="21"/>
  <c r="A155" i="15"/>
  <c r="R155" i="15" s="1"/>
  <c r="A155" i="21"/>
  <c r="A155" i="22"/>
  <c r="A159" i="15"/>
  <c r="R159" i="15" s="1"/>
  <c r="A159" i="21"/>
  <c r="A159" i="22"/>
  <c r="A163" i="15"/>
  <c r="R163" i="15" s="1"/>
  <c r="A163" i="21"/>
  <c r="A163" i="22"/>
  <c r="A167" i="15"/>
  <c r="R167" i="15" s="1"/>
  <c r="A167" i="21"/>
  <c r="A167" i="22"/>
  <c r="A171" i="15"/>
  <c r="R171" i="15" s="1"/>
  <c r="A171" i="21"/>
  <c r="A171" i="22"/>
  <c r="A175" i="15"/>
  <c r="R175" i="15" s="1"/>
  <c r="A175" i="21"/>
  <c r="A175" i="22"/>
  <c r="A179" i="21"/>
  <c r="A179" i="15"/>
  <c r="R179" i="15" s="1"/>
  <c r="A179" i="22"/>
  <c r="A183" i="15"/>
  <c r="R183" i="15" s="1"/>
  <c r="A183" i="21"/>
  <c r="A183" i="22"/>
  <c r="A187" i="15"/>
  <c r="R187" i="15" s="1"/>
  <c r="A187" i="21"/>
  <c r="A187" i="22"/>
  <c r="A191" i="15"/>
  <c r="R191" i="15" s="1"/>
  <c r="A191" i="21"/>
  <c r="A191" i="22"/>
  <c r="A195" i="15"/>
  <c r="R195" i="15" s="1"/>
  <c r="A195" i="21"/>
  <c r="A195" i="22"/>
  <c r="A199" i="15"/>
  <c r="R199" i="15" s="1"/>
  <c r="A199" i="21"/>
  <c r="A199" i="22"/>
  <c r="A203" i="15"/>
  <c r="R203" i="15" s="1"/>
  <c r="A203" i="21"/>
  <c r="A203" i="22"/>
  <c r="A207" i="15"/>
  <c r="R207" i="15" s="1"/>
  <c r="A207" i="21"/>
  <c r="A207" i="22"/>
  <c r="A211" i="15"/>
  <c r="R211" i="15" s="1"/>
  <c r="A211" i="21"/>
  <c r="A211" i="22"/>
  <c r="A215" i="15"/>
  <c r="R215" i="15" s="1"/>
  <c r="A215" i="21"/>
  <c r="A215" i="22"/>
  <c r="A219" i="15"/>
  <c r="R219" i="15" s="1"/>
  <c r="A219" i="21"/>
  <c r="A219" i="22"/>
  <c r="A223" i="15"/>
  <c r="R223" i="15" s="1"/>
  <c r="A223" i="21"/>
  <c r="A223" i="22"/>
  <c r="A227" i="15"/>
  <c r="R227" i="15" s="1"/>
  <c r="A227" i="21"/>
  <c r="A227" i="22"/>
  <c r="A231" i="15"/>
  <c r="R231" i="15" s="1"/>
  <c r="A231" i="21"/>
  <c r="A231" i="22"/>
  <c r="A235" i="15"/>
  <c r="R235" i="15" s="1"/>
  <c r="A235" i="21"/>
  <c r="A235" i="22"/>
  <c r="A239" i="15"/>
  <c r="R239" i="15" s="1"/>
  <c r="A239" i="21"/>
  <c r="A239" i="22"/>
  <c r="A243" i="15"/>
  <c r="R243" i="15" s="1"/>
  <c r="A243" i="21"/>
  <c r="A243" i="22"/>
  <c r="A247" i="21"/>
  <c r="A247" i="22"/>
  <c r="A247" i="15"/>
  <c r="R247" i="15" s="1"/>
  <c r="A251" i="15"/>
  <c r="R251" i="15" s="1"/>
  <c r="A251" i="21"/>
  <c r="A251" i="22"/>
  <c r="A255" i="15"/>
  <c r="R255" i="15" s="1"/>
  <c r="A255" i="21"/>
  <c r="A255" i="22"/>
  <c r="A259" i="15"/>
  <c r="R259" i="15" s="1"/>
  <c r="A259" i="21"/>
  <c r="A259" i="22"/>
  <c r="A263" i="15"/>
  <c r="R263" i="15" s="1"/>
  <c r="A263" i="21"/>
  <c r="A263" i="22"/>
  <c r="A267" i="15"/>
  <c r="R267" i="15" s="1"/>
  <c r="A267" i="21"/>
  <c r="A267" i="22"/>
  <c r="A271" i="15"/>
  <c r="R271" i="15" s="1"/>
  <c r="A271" i="21"/>
  <c r="A271" i="22"/>
  <c r="A275" i="15"/>
  <c r="R275" i="15" s="1"/>
  <c r="A275" i="21"/>
  <c r="A275" i="22"/>
  <c r="A279" i="15"/>
  <c r="R279" i="15" s="1"/>
  <c r="A279" i="21"/>
  <c r="A279" i="22"/>
  <c r="A283" i="15"/>
  <c r="R283" i="15" s="1"/>
  <c r="A283" i="21"/>
  <c r="A283" i="22"/>
  <c r="A287" i="15"/>
  <c r="R287" i="15" s="1"/>
  <c r="A287" i="21"/>
  <c r="A287" i="22"/>
  <c r="A291" i="15"/>
  <c r="R291" i="15" s="1"/>
  <c r="A291" i="21"/>
  <c r="A291" i="22"/>
  <c r="A295" i="15"/>
  <c r="R295" i="15" s="1"/>
  <c r="A295" i="21"/>
  <c r="A295" i="22"/>
  <c r="A299" i="15"/>
  <c r="R299" i="15" s="1"/>
  <c r="A299" i="21"/>
  <c r="A299" i="22"/>
  <c r="A303" i="15"/>
  <c r="R303" i="15" s="1"/>
  <c r="A303" i="21"/>
  <c r="A303" i="22"/>
  <c r="A307" i="15"/>
  <c r="R307" i="15" s="1"/>
  <c r="A307" i="21"/>
  <c r="A307" i="22"/>
  <c r="A311" i="15"/>
  <c r="R311" i="15" s="1"/>
  <c r="A311" i="21"/>
  <c r="A311" i="22"/>
  <c r="A315" i="15"/>
  <c r="R315" i="15" s="1"/>
  <c r="A315" i="21"/>
  <c r="A315" i="22"/>
  <c r="A319" i="15"/>
  <c r="R319" i="15" s="1"/>
  <c r="A319" i="21"/>
  <c r="A319" i="22"/>
  <c r="A323" i="15"/>
  <c r="R323" i="15" s="1"/>
  <c r="A323" i="21"/>
  <c r="A323" i="22"/>
  <c r="A327" i="15"/>
  <c r="R327" i="15" s="1"/>
  <c r="A327" i="21"/>
  <c r="A327" i="22"/>
  <c r="A331" i="15"/>
  <c r="R331" i="15" s="1"/>
  <c r="A331" i="21"/>
  <c r="A331" i="22"/>
  <c r="A335" i="15"/>
  <c r="R335" i="15" s="1"/>
  <c r="A335" i="21"/>
  <c r="A335" i="22"/>
  <c r="A339" i="15"/>
  <c r="R339" i="15" s="1"/>
  <c r="A339" i="21"/>
  <c r="A339" i="22"/>
  <c r="A343" i="15"/>
  <c r="R343" i="15" s="1"/>
  <c r="A343" i="21"/>
  <c r="A343" i="22"/>
  <c r="A347" i="15"/>
  <c r="R347" i="15" s="1"/>
  <c r="A347" i="21"/>
  <c r="A347" i="22"/>
  <c r="A351" i="15"/>
  <c r="R351" i="15" s="1"/>
  <c r="A351" i="21"/>
  <c r="A351" i="22"/>
  <c r="A355" i="15"/>
  <c r="R355" i="15" s="1"/>
  <c r="A355" i="21"/>
  <c r="A355" i="22"/>
  <c r="A359" i="15"/>
  <c r="R359" i="15" s="1"/>
  <c r="A359" i="21"/>
  <c r="A359" i="22"/>
  <c r="A363" i="15"/>
  <c r="R363" i="15" s="1"/>
  <c r="A363" i="21"/>
  <c r="A363" i="22"/>
  <c r="A367" i="15"/>
  <c r="R367" i="15" s="1"/>
  <c r="A367" i="21"/>
  <c r="A367" i="22"/>
  <c r="A371" i="15"/>
  <c r="R371" i="15" s="1"/>
  <c r="A371" i="21"/>
  <c r="A371" i="22"/>
  <c r="A375" i="15"/>
  <c r="R375" i="15" s="1"/>
  <c r="A375" i="21"/>
  <c r="A375" i="22"/>
  <c r="A379" i="15"/>
  <c r="R379" i="15" s="1"/>
  <c r="A379" i="21"/>
  <c r="A379" i="22"/>
  <c r="A383" i="15"/>
  <c r="R383" i="15" s="1"/>
  <c r="A383" i="21"/>
  <c r="A383" i="22"/>
  <c r="A387" i="15"/>
  <c r="R387" i="15" s="1"/>
  <c r="A387" i="21"/>
  <c r="A387" i="22"/>
  <c r="A391" i="15"/>
  <c r="R391" i="15" s="1"/>
  <c r="A391" i="21"/>
  <c r="A391" i="22"/>
  <c r="A395" i="15"/>
  <c r="R395" i="15" s="1"/>
  <c r="A395" i="21"/>
  <c r="A395" i="22"/>
  <c r="A399" i="15"/>
  <c r="R399" i="15" s="1"/>
  <c r="A399" i="21"/>
  <c r="A399" i="22"/>
  <c r="A403" i="15"/>
  <c r="R403" i="15" s="1"/>
  <c r="A403" i="21"/>
  <c r="A403" i="22"/>
  <c r="A407" i="15"/>
  <c r="R407" i="15" s="1"/>
  <c r="A407" i="21"/>
  <c r="A407" i="22"/>
  <c r="A411" i="15"/>
  <c r="R411" i="15" s="1"/>
  <c r="A411" i="21"/>
  <c r="A411" i="22"/>
  <c r="A415" i="15"/>
  <c r="R415" i="15" s="1"/>
  <c r="A415" i="21"/>
  <c r="A415" i="22"/>
  <c r="A419" i="15"/>
  <c r="R419" i="15" s="1"/>
  <c r="A419" i="21"/>
  <c r="A419" i="22"/>
  <c r="A423" i="15"/>
  <c r="R423" i="15" s="1"/>
  <c r="A423" i="21"/>
  <c r="A423" i="22"/>
  <c r="A427" i="15"/>
  <c r="R427" i="15" s="1"/>
  <c r="A427" i="21"/>
  <c r="A427" i="22"/>
  <c r="A431" i="15"/>
  <c r="R431" i="15" s="1"/>
  <c r="A431" i="21"/>
  <c r="A431" i="22"/>
  <c r="A435" i="15"/>
  <c r="R435" i="15" s="1"/>
  <c r="A435" i="21"/>
  <c r="A435" i="22"/>
  <c r="A439" i="15"/>
  <c r="R439" i="15" s="1"/>
  <c r="A439" i="21"/>
  <c r="A439" i="22"/>
  <c r="B40" i="15"/>
  <c r="B40" i="21"/>
  <c r="B40" i="22"/>
  <c r="B85" i="15"/>
  <c r="B85" i="21"/>
  <c r="B85" i="22"/>
  <c r="A121" i="15"/>
  <c r="R121" i="15" s="1"/>
  <c r="A121" i="21"/>
  <c r="A121" i="22"/>
  <c r="B163" i="15"/>
  <c r="B163" i="21"/>
  <c r="B163" i="22"/>
  <c r="B191" i="15"/>
  <c r="B191" i="22"/>
  <c r="B191" i="21"/>
  <c r="B231" i="15"/>
  <c r="B231" i="21"/>
  <c r="B231" i="22"/>
  <c r="B279" i="15"/>
  <c r="B279" i="21"/>
  <c r="B279" i="22"/>
  <c r="R495" i="15"/>
  <c r="R515" i="15"/>
  <c r="R535" i="15"/>
  <c r="R539" i="15"/>
  <c r="R551" i="15"/>
  <c r="R559" i="15"/>
  <c r="A8" i="15"/>
  <c r="R8" i="15" s="1"/>
  <c r="A8" i="21"/>
  <c r="A8" i="22"/>
  <c r="A12" i="15"/>
  <c r="R12" i="15" s="1"/>
  <c r="A12" i="21"/>
  <c r="A12" i="22"/>
  <c r="A16" i="15"/>
  <c r="R16" i="15" s="1"/>
  <c r="A16" i="21"/>
  <c r="A16" i="22"/>
  <c r="A20" i="15"/>
  <c r="R20" i="15" s="1"/>
  <c r="A20" i="21"/>
  <c r="A20" i="22"/>
  <c r="A33" i="15"/>
  <c r="R33" i="15" s="1"/>
  <c r="A33" i="21"/>
  <c r="A33" i="22"/>
  <c r="A37" i="15"/>
  <c r="R37" i="15" s="1"/>
  <c r="A37" i="21"/>
  <c r="A37" i="22"/>
  <c r="A41" i="15"/>
  <c r="R41" i="15" s="1"/>
  <c r="A41" i="21"/>
  <c r="A41" i="22"/>
  <c r="A45" i="15"/>
  <c r="R45" i="15" s="1"/>
  <c r="A45" i="22"/>
  <c r="A45" i="21"/>
  <c r="A49" i="15"/>
  <c r="R49" i="15" s="1"/>
  <c r="A49" i="21"/>
  <c r="A49" i="22"/>
  <c r="A53" i="15"/>
  <c r="R53" i="15" s="1"/>
  <c r="A53" i="21"/>
  <c r="A53" i="22"/>
  <c r="A57" i="15"/>
  <c r="R57" i="15" s="1"/>
  <c r="A57" i="22"/>
  <c r="A57" i="21"/>
  <c r="A70" i="15"/>
  <c r="R70" i="15" s="1"/>
  <c r="A70" i="22"/>
  <c r="A70" i="21"/>
  <c r="A74" i="15"/>
  <c r="R74" i="15" s="1"/>
  <c r="A74" i="21"/>
  <c r="A74" i="22"/>
  <c r="A78" i="15"/>
  <c r="R78" i="15" s="1"/>
  <c r="A78" i="22"/>
  <c r="A78" i="21"/>
  <c r="A82" i="15"/>
  <c r="R82" i="15" s="1"/>
  <c r="A82" i="22"/>
  <c r="A82" i="21"/>
  <c r="A86" i="15"/>
  <c r="R86" i="15" s="1"/>
  <c r="A86" i="21"/>
  <c r="A86" i="22"/>
  <c r="A90" i="15"/>
  <c r="R90" i="15" s="1"/>
  <c r="A90" i="22"/>
  <c r="A90" i="21"/>
  <c r="A94" i="15"/>
  <c r="R94" i="15" s="1"/>
  <c r="A94" i="22"/>
  <c r="A94" i="21"/>
  <c r="A98" i="15"/>
  <c r="R98" i="15" s="1"/>
  <c r="A98" i="22"/>
  <c r="A98" i="21"/>
  <c r="A102" i="15"/>
  <c r="R102" i="15" s="1"/>
  <c r="A102" i="22"/>
  <c r="A102" i="21"/>
  <c r="A106" i="15"/>
  <c r="R106" i="15" s="1"/>
  <c r="A106" i="22"/>
  <c r="A106" i="21"/>
  <c r="A110" i="15"/>
  <c r="R110" i="15" s="1"/>
  <c r="A110" i="22"/>
  <c r="A110" i="21"/>
  <c r="A114" i="15"/>
  <c r="R114" i="15" s="1"/>
  <c r="A114" i="22"/>
  <c r="A114" i="21"/>
  <c r="A122" i="15"/>
  <c r="R122" i="15" s="1"/>
  <c r="A122" i="22"/>
  <c r="A122" i="21"/>
  <c r="A130" i="15"/>
  <c r="R130" i="15" s="1"/>
  <c r="A130" i="22"/>
  <c r="A130" i="21"/>
  <c r="A138" i="15"/>
  <c r="R138" i="15" s="1"/>
  <c r="A138" i="22"/>
  <c r="A138" i="21"/>
  <c r="A146" i="15"/>
  <c r="R146" i="15" s="1"/>
  <c r="A146" i="22"/>
  <c r="A146" i="21"/>
  <c r="A151" i="15"/>
  <c r="R151" i="15" s="1"/>
  <c r="A151" i="21"/>
  <c r="A151" i="22"/>
  <c r="A156" i="15"/>
  <c r="R156" i="15" s="1"/>
  <c r="A156" i="21"/>
  <c r="A156" i="22"/>
  <c r="A160" i="15"/>
  <c r="R160" i="15" s="1"/>
  <c r="A160" i="21"/>
  <c r="A160" i="22"/>
  <c r="A164" i="15"/>
  <c r="R164" i="15" s="1"/>
  <c r="A164" i="21"/>
  <c r="A164" i="22"/>
  <c r="A168" i="15"/>
  <c r="R168" i="15" s="1"/>
  <c r="A168" i="21"/>
  <c r="A168" i="22"/>
  <c r="A172" i="15"/>
  <c r="R172" i="15" s="1"/>
  <c r="A172" i="21"/>
  <c r="A172" i="22"/>
  <c r="A176" i="15"/>
  <c r="R176" i="15" s="1"/>
  <c r="A176" i="21"/>
  <c r="A176" i="22"/>
  <c r="A180" i="15"/>
  <c r="R180" i="15" s="1"/>
  <c r="A180" i="21"/>
  <c r="A180" i="22"/>
  <c r="A184" i="15"/>
  <c r="R184" i="15" s="1"/>
  <c r="A184" i="21"/>
  <c r="A184" i="22"/>
  <c r="A188" i="15"/>
  <c r="R188" i="15" s="1"/>
  <c r="A188" i="21"/>
  <c r="A188" i="22"/>
  <c r="A192" i="15"/>
  <c r="R192" i="15" s="1"/>
  <c r="A192" i="21"/>
  <c r="A192" i="22"/>
  <c r="A196" i="15"/>
  <c r="R196" i="15" s="1"/>
  <c r="A196" i="21"/>
  <c r="A196" i="22"/>
  <c r="A200" i="15"/>
  <c r="R200" i="15" s="1"/>
  <c r="A200" i="21"/>
  <c r="A200" i="22"/>
  <c r="A204" i="15"/>
  <c r="R204" i="15" s="1"/>
  <c r="A204" i="21"/>
  <c r="A204" i="22"/>
  <c r="A208" i="15"/>
  <c r="R208" i="15" s="1"/>
  <c r="A208" i="21"/>
  <c r="A208" i="22"/>
  <c r="A212" i="15"/>
  <c r="R212" i="15" s="1"/>
  <c r="A212" i="21"/>
  <c r="A212" i="22"/>
  <c r="A216" i="15"/>
  <c r="R216" i="15" s="1"/>
  <c r="A216" i="21"/>
  <c r="A216" i="22"/>
  <c r="A220" i="15"/>
  <c r="R220" i="15" s="1"/>
  <c r="A220" i="21"/>
  <c r="A220" i="22"/>
  <c r="A224" i="15"/>
  <c r="R224" i="15" s="1"/>
  <c r="A224" i="21"/>
  <c r="A224" i="22"/>
  <c r="A228" i="15"/>
  <c r="R228" i="15" s="1"/>
  <c r="A228" i="21"/>
  <c r="A228" i="22"/>
  <c r="A232" i="15"/>
  <c r="R232" i="15" s="1"/>
  <c r="A232" i="21"/>
  <c r="A232" i="22"/>
  <c r="A236" i="15"/>
  <c r="R236" i="15" s="1"/>
  <c r="A236" i="21"/>
  <c r="A236" i="22"/>
  <c r="A240" i="15"/>
  <c r="R240" i="15" s="1"/>
  <c r="A240" i="21"/>
  <c r="A240" i="22"/>
  <c r="A244" i="15"/>
  <c r="R244" i="15" s="1"/>
  <c r="A244" i="21"/>
  <c r="A244" i="22"/>
  <c r="A248" i="15"/>
  <c r="R248" i="15" s="1"/>
  <c r="A248" i="21"/>
  <c r="A248" i="22"/>
  <c r="A252" i="21"/>
  <c r="A252" i="15"/>
  <c r="R252" i="15" s="1"/>
  <c r="A252" i="22"/>
  <c r="A256" i="15"/>
  <c r="R256" i="15" s="1"/>
  <c r="A256" i="21"/>
  <c r="A256" i="22"/>
  <c r="A260" i="15"/>
  <c r="R260" i="15" s="1"/>
  <c r="A260" i="21"/>
  <c r="A260" i="22"/>
  <c r="A264" i="15"/>
  <c r="R264" i="15" s="1"/>
  <c r="A264" i="21"/>
  <c r="A264" i="22"/>
  <c r="A268" i="15"/>
  <c r="R268" i="15" s="1"/>
  <c r="A268" i="22"/>
  <c r="A268" i="21"/>
  <c r="A272" i="15"/>
  <c r="R272" i="15" s="1"/>
  <c r="A272" i="22"/>
  <c r="A272" i="21"/>
  <c r="A276" i="15"/>
  <c r="R276" i="15" s="1"/>
  <c r="A276" i="22"/>
  <c r="A276" i="21"/>
  <c r="A280" i="15"/>
  <c r="R280" i="15" s="1"/>
  <c r="A280" i="22"/>
  <c r="A280" i="21"/>
  <c r="A284" i="15"/>
  <c r="R284" i="15" s="1"/>
  <c r="A284" i="22"/>
  <c r="A284" i="21"/>
  <c r="A288" i="15"/>
  <c r="R288" i="15" s="1"/>
  <c r="A288" i="22"/>
  <c r="A288" i="21"/>
  <c r="A292" i="15"/>
  <c r="R292" i="15" s="1"/>
  <c r="A292" i="22"/>
  <c r="A292" i="21"/>
  <c r="A296" i="15"/>
  <c r="R296" i="15" s="1"/>
  <c r="A296" i="22"/>
  <c r="A296" i="21"/>
  <c r="A300" i="15"/>
  <c r="R300" i="15" s="1"/>
  <c r="A300" i="22"/>
  <c r="A300" i="21"/>
  <c r="A304" i="15"/>
  <c r="R304" i="15" s="1"/>
  <c r="A304" i="22"/>
  <c r="A304" i="21"/>
  <c r="A308" i="15"/>
  <c r="R308" i="15" s="1"/>
  <c r="A308" i="22"/>
  <c r="A308" i="21"/>
  <c r="A312" i="15"/>
  <c r="R312" i="15" s="1"/>
  <c r="A312" i="22"/>
  <c r="A312" i="21"/>
  <c r="A316" i="15"/>
  <c r="R316" i="15" s="1"/>
  <c r="A316" i="22"/>
  <c r="A316" i="21"/>
  <c r="A320" i="15"/>
  <c r="R320" i="15" s="1"/>
  <c r="A320" i="22"/>
  <c r="A320" i="21"/>
  <c r="A324" i="15"/>
  <c r="R324" i="15" s="1"/>
  <c r="A324" i="22"/>
  <c r="A324" i="21"/>
  <c r="A328" i="15"/>
  <c r="R328" i="15" s="1"/>
  <c r="A328" i="22"/>
  <c r="A328" i="21"/>
  <c r="A332" i="15"/>
  <c r="R332" i="15" s="1"/>
  <c r="A332" i="22"/>
  <c r="A332" i="21"/>
  <c r="A336" i="15"/>
  <c r="R336" i="15" s="1"/>
  <c r="A336" i="22"/>
  <c r="A336" i="21"/>
  <c r="A340" i="15"/>
  <c r="R340" i="15" s="1"/>
  <c r="A340" i="22"/>
  <c r="A340" i="21"/>
  <c r="A344" i="15"/>
  <c r="R344" i="15" s="1"/>
  <c r="A344" i="22"/>
  <c r="A344" i="21"/>
  <c r="A348" i="15"/>
  <c r="R348" i="15" s="1"/>
  <c r="A348" i="22"/>
  <c r="A348" i="21"/>
  <c r="A352" i="15"/>
  <c r="R352" i="15" s="1"/>
  <c r="A352" i="22"/>
  <c r="A352" i="21"/>
  <c r="A356" i="15"/>
  <c r="R356" i="15" s="1"/>
  <c r="A356" i="22"/>
  <c r="A356" i="21"/>
  <c r="A360" i="15"/>
  <c r="R360" i="15" s="1"/>
  <c r="A360" i="22"/>
  <c r="A360" i="21"/>
  <c r="A364" i="15"/>
  <c r="R364" i="15" s="1"/>
  <c r="A364" i="22"/>
  <c r="A364" i="21"/>
  <c r="A368" i="15"/>
  <c r="R368" i="15" s="1"/>
  <c r="A368" i="22"/>
  <c r="A368" i="21"/>
  <c r="A372" i="15"/>
  <c r="R372" i="15" s="1"/>
  <c r="A372" i="22"/>
  <c r="A372" i="21"/>
  <c r="A376" i="15"/>
  <c r="R376" i="15" s="1"/>
  <c r="A376" i="22"/>
  <c r="A376" i="21"/>
  <c r="A380" i="15"/>
  <c r="R380" i="15" s="1"/>
  <c r="A380" i="22"/>
  <c r="A380" i="21"/>
  <c r="A384" i="15"/>
  <c r="R384" i="15" s="1"/>
  <c r="A384" i="22"/>
  <c r="A384" i="21"/>
  <c r="A388" i="15"/>
  <c r="R388" i="15" s="1"/>
  <c r="A388" i="22"/>
  <c r="A388" i="21"/>
  <c r="A392" i="15"/>
  <c r="R392" i="15" s="1"/>
  <c r="A392" i="22"/>
  <c r="A392" i="21"/>
  <c r="A396" i="15"/>
  <c r="R396" i="15" s="1"/>
  <c r="A396" i="22"/>
  <c r="A396" i="21"/>
  <c r="A400" i="15"/>
  <c r="R400" i="15" s="1"/>
  <c r="A400" i="22"/>
  <c r="A400" i="21"/>
  <c r="A404" i="15"/>
  <c r="R404" i="15" s="1"/>
  <c r="A404" i="22"/>
  <c r="A404" i="21"/>
  <c r="A408" i="15"/>
  <c r="R408" i="15" s="1"/>
  <c r="A408" i="22"/>
  <c r="A408" i="21"/>
  <c r="A412" i="15"/>
  <c r="R412" i="15" s="1"/>
  <c r="A412" i="22"/>
  <c r="A412" i="21"/>
  <c r="A416" i="15"/>
  <c r="R416" i="15" s="1"/>
  <c r="A416" i="22"/>
  <c r="A416" i="21"/>
  <c r="A420" i="15"/>
  <c r="R420" i="15" s="1"/>
  <c r="A420" i="21"/>
  <c r="A420" i="22"/>
  <c r="A424" i="15"/>
  <c r="R424" i="15" s="1"/>
  <c r="A424" i="21"/>
  <c r="A424" i="22"/>
  <c r="A428" i="15"/>
  <c r="R428" i="15" s="1"/>
  <c r="A428" i="21"/>
  <c r="A428" i="22"/>
  <c r="A432" i="15"/>
  <c r="R432" i="15" s="1"/>
  <c r="A432" i="21"/>
  <c r="A432" i="22"/>
  <c r="A436" i="15"/>
  <c r="R436" i="15" s="1"/>
  <c r="A436" i="21"/>
  <c r="A436" i="22"/>
  <c r="A440" i="15"/>
  <c r="R440" i="15" s="1"/>
  <c r="A440" i="21"/>
  <c r="A440" i="22"/>
  <c r="B11" i="15"/>
  <c r="B11" i="21"/>
  <c r="B11" i="22"/>
  <c r="B36" i="15"/>
  <c r="B36" i="22"/>
  <c r="B36" i="21"/>
  <c r="B69" i="15"/>
  <c r="B69" i="21"/>
  <c r="B69" i="22"/>
  <c r="B97" i="15"/>
  <c r="B97" i="22"/>
  <c r="B97" i="21"/>
  <c r="B113" i="15"/>
  <c r="B113" i="22"/>
  <c r="B113" i="21"/>
  <c r="B155" i="15"/>
  <c r="B155" i="21"/>
  <c r="B155" i="22"/>
  <c r="B187" i="15"/>
  <c r="B187" i="21"/>
  <c r="B187" i="22"/>
  <c r="B207" i="15"/>
  <c r="B207" i="22"/>
  <c r="B207" i="21"/>
  <c r="B235" i="15"/>
  <c r="B235" i="21"/>
  <c r="B235" i="22"/>
  <c r="B259" i="15"/>
  <c r="B259" i="21"/>
  <c r="B259" i="22"/>
  <c r="B291" i="15"/>
  <c r="B291" i="21"/>
  <c r="B291" i="22"/>
  <c r="B319" i="15"/>
  <c r="B319" i="21"/>
  <c r="B319" i="22"/>
  <c r="B347" i="15"/>
  <c r="B347" i="21"/>
  <c r="B347" i="22"/>
  <c r="B367" i="15"/>
  <c r="B367" i="21"/>
  <c r="B367" i="22"/>
  <c r="B395" i="15"/>
  <c r="B395" i="21"/>
  <c r="B395" i="22"/>
  <c r="B431" i="15"/>
  <c r="B431" i="21"/>
  <c r="B431" i="22"/>
  <c r="R467" i="15"/>
  <c r="R491" i="15"/>
  <c r="R507" i="15"/>
  <c r="R523" i="15"/>
  <c r="R567" i="15"/>
  <c r="B8" i="15"/>
  <c r="B8" i="21"/>
  <c r="B8" i="22"/>
  <c r="B12" i="15"/>
  <c r="B12" i="21"/>
  <c r="B12" i="22"/>
  <c r="B16" i="15"/>
  <c r="B16" i="21"/>
  <c r="B16" i="22"/>
  <c r="B20" i="15"/>
  <c r="B20" i="21"/>
  <c r="B20" i="22"/>
  <c r="B33" i="15"/>
  <c r="B33" i="21"/>
  <c r="B33" i="22"/>
  <c r="B37" i="15"/>
  <c r="B37" i="21"/>
  <c r="B37" i="22"/>
  <c r="B41" i="15"/>
  <c r="B41" i="21"/>
  <c r="B41" i="22"/>
  <c r="B45" i="15"/>
  <c r="B45" i="22"/>
  <c r="B45" i="21"/>
  <c r="B49" i="15"/>
  <c r="B49" i="21"/>
  <c r="B49" i="22"/>
  <c r="B53" i="15"/>
  <c r="B53" i="21"/>
  <c r="B53" i="22"/>
  <c r="B57" i="15"/>
  <c r="B57" i="22"/>
  <c r="B57" i="21"/>
  <c r="B70" i="15"/>
  <c r="B70" i="21"/>
  <c r="B70" i="22"/>
  <c r="B74" i="15"/>
  <c r="B74" i="21"/>
  <c r="B74" i="22"/>
  <c r="B78" i="15"/>
  <c r="B78" i="21"/>
  <c r="B78" i="22"/>
  <c r="B82" i="15"/>
  <c r="B82" i="21"/>
  <c r="B82" i="22"/>
  <c r="B86" i="15"/>
  <c r="B86" i="21"/>
  <c r="B86" i="22"/>
  <c r="B90" i="15"/>
  <c r="B90" i="21"/>
  <c r="B90" i="22"/>
  <c r="B94" i="15"/>
  <c r="B94" i="21"/>
  <c r="B94" i="22"/>
  <c r="B98" i="15"/>
  <c r="B98" i="21"/>
  <c r="B98" i="22"/>
  <c r="B102" i="15"/>
  <c r="B102" i="21"/>
  <c r="B102" i="22"/>
  <c r="B106" i="15"/>
  <c r="B106" i="21"/>
  <c r="B106" i="22"/>
  <c r="B110" i="15"/>
  <c r="B110" i="21"/>
  <c r="B110" i="22"/>
  <c r="B114" i="15"/>
  <c r="B114" i="21"/>
  <c r="B114" i="22"/>
  <c r="A123" i="15"/>
  <c r="R123" i="15" s="1"/>
  <c r="A123" i="21"/>
  <c r="A123" i="22"/>
  <c r="A131" i="15"/>
  <c r="R131" i="15" s="1"/>
  <c r="A131" i="21"/>
  <c r="A131" i="22"/>
  <c r="A139" i="15"/>
  <c r="R139" i="15" s="1"/>
  <c r="A139" i="21"/>
  <c r="A139" i="22"/>
  <c r="A147" i="15"/>
  <c r="R147" i="15" s="1"/>
  <c r="A147" i="21"/>
  <c r="A147" i="22"/>
  <c r="B151" i="15"/>
  <c r="B151" i="22"/>
  <c r="B151" i="21"/>
  <c r="B156" i="15"/>
  <c r="B156" i="21"/>
  <c r="B156" i="22"/>
  <c r="B160" i="15"/>
  <c r="B160" i="21"/>
  <c r="B160" i="22"/>
  <c r="B164" i="15"/>
  <c r="B164" i="21"/>
  <c r="B164" i="22"/>
  <c r="B168" i="15"/>
  <c r="B168" i="21"/>
  <c r="B168" i="22"/>
  <c r="B172" i="15"/>
  <c r="B172" i="21"/>
  <c r="B172" i="22"/>
  <c r="B176" i="15"/>
  <c r="B176" i="21"/>
  <c r="B176" i="22"/>
  <c r="B180" i="15"/>
  <c r="B180" i="21"/>
  <c r="B180" i="22"/>
  <c r="B184" i="15"/>
  <c r="B184" i="21"/>
  <c r="B184" i="22"/>
  <c r="B188" i="15"/>
  <c r="B188" i="21"/>
  <c r="B188" i="22"/>
  <c r="B192" i="15"/>
  <c r="B192" i="21"/>
  <c r="B192" i="22"/>
  <c r="B196" i="15"/>
  <c r="B196" i="21"/>
  <c r="B196" i="22"/>
  <c r="B200" i="15"/>
  <c r="B200" i="21"/>
  <c r="B200" i="22"/>
  <c r="B204" i="15"/>
  <c r="B204" i="21"/>
  <c r="B204" i="22"/>
  <c r="B208" i="15"/>
  <c r="B208" i="21"/>
  <c r="B208" i="22"/>
  <c r="B212" i="15"/>
  <c r="B212" i="21"/>
  <c r="B212" i="22"/>
  <c r="B216" i="15"/>
  <c r="B216" i="21"/>
  <c r="B216" i="22"/>
  <c r="B220" i="15"/>
  <c r="B220" i="21"/>
  <c r="B220" i="22"/>
  <c r="B224" i="15"/>
  <c r="B224" i="21"/>
  <c r="B224" i="22"/>
  <c r="B228" i="15"/>
  <c r="B228" i="21"/>
  <c r="B228" i="22"/>
  <c r="B232" i="15"/>
  <c r="B232" i="21"/>
  <c r="B232" i="22"/>
  <c r="B236" i="15"/>
  <c r="B236" i="21"/>
  <c r="B236" i="22"/>
  <c r="B240" i="15"/>
  <c r="B240" i="21"/>
  <c r="B240" i="22"/>
  <c r="B244" i="15"/>
  <c r="B244" i="21"/>
  <c r="B244" i="22"/>
  <c r="B248" i="15"/>
  <c r="B248" i="21"/>
  <c r="B248" i="22"/>
  <c r="B252" i="15"/>
  <c r="B252" i="21"/>
  <c r="B252" i="22"/>
  <c r="B256" i="15"/>
  <c r="B256" i="21"/>
  <c r="B256" i="22"/>
  <c r="B260" i="15"/>
  <c r="B260" i="21"/>
  <c r="B260" i="22"/>
  <c r="B264" i="15"/>
  <c r="B264" i="21"/>
  <c r="B264" i="22"/>
  <c r="B268" i="15"/>
  <c r="B268" i="22"/>
  <c r="B268" i="21"/>
  <c r="B272" i="15"/>
  <c r="B272" i="21"/>
  <c r="B272" i="22"/>
  <c r="B276" i="15"/>
  <c r="B276" i="22"/>
  <c r="B276" i="21"/>
  <c r="B280" i="15"/>
  <c r="B280" i="22"/>
  <c r="B280" i="21"/>
  <c r="B284" i="15"/>
  <c r="B284" i="22"/>
  <c r="B284" i="21"/>
  <c r="B288" i="15"/>
  <c r="B288" i="21"/>
  <c r="B288" i="22"/>
  <c r="B292" i="15"/>
  <c r="B292" i="22"/>
  <c r="B292" i="21"/>
  <c r="B296" i="15"/>
  <c r="B296" i="22"/>
  <c r="B296" i="21"/>
  <c r="B300" i="15"/>
  <c r="B300" i="22"/>
  <c r="B300" i="21"/>
  <c r="B304" i="15"/>
  <c r="B304" i="21"/>
  <c r="B304" i="22"/>
  <c r="B308" i="15"/>
  <c r="B308" i="22"/>
  <c r="B308" i="21"/>
  <c r="B312" i="15"/>
  <c r="B312" i="22"/>
  <c r="B312" i="21"/>
  <c r="B316" i="15"/>
  <c r="B316" i="22"/>
  <c r="B316" i="21"/>
  <c r="B320" i="15"/>
  <c r="B320" i="21"/>
  <c r="B320" i="22"/>
  <c r="B324" i="15"/>
  <c r="B324" i="22"/>
  <c r="B324" i="21"/>
  <c r="B328" i="15"/>
  <c r="B328" i="22"/>
  <c r="B328" i="21"/>
  <c r="B332" i="15"/>
  <c r="B332" i="22"/>
  <c r="B332" i="21"/>
  <c r="B336" i="15"/>
  <c r="B336" i="21"/>
  <c r="B336" i="22"/>
  <c r="B340" i="15"/>
  <c r="B340" i="22"/>
  <c r="B340" i="21"/>
  <c r="B344" i="15"/>
  <c r="B344" i="22"/>
  <c r="B344" i="21"/>
  <c r="B348" i="15"/>
  <c r="B348" i="22"/>
  <c r="B348" i="21"/>
  <c r="B352" i="15"/>
  <c r="B352" i="21"/>
  <c r="B352" i="22"/>
  <c r="B356" i="15"/>
  <c r="B356" i="22"/>
  <c r="B356" i="21"/>
  <c r="B360" i="15"/>
  <c r="B360" i="22"/>
  <c r="B360" i="21"/>
  <c r="B364" i="15"/>
  <c r="B364" i="22"/>
  <c r="B364" i="21"/>
  <c r="B368" i="15"/>
  <c r="B368" i="21"/>
  <c r="B368" i="22"/>
  <c r="B372" i="15"/>
  <c r="B372" i="22"/>
  <c r="B372" i="21"/>
  <c r="B376" i="15"/>
  <c r="B376" i="22"/>
  <c r="B376" i="21"/>
  <c r="B380" i="15"/>
  <c r="B380" i="22"/>
  <c r="B380" i="21"/>
  <c r="B384" i="15"/>
  <c r="B384" i="21"/>
  <c r="B384" i="22"/>
  <c r="B388" i="15"/>
  <c r="B388" i="22"/>
  <c r="B388" i="21"/>
  <c r="B392" i="15"/>
  <c r="B392" i="22"/>
  <c r="B392" i="21"/>
  <c r="B396" i="15"/>
  <c r="B396" i="22"/>
  <c r="B396" i="21"/>
  <c r="B400" i="15"/>
  <c r="B400" i="21"/>
  <c r="B400" i="22"/>
  <c r="B404" i="15"/>
  <c r="B404" i="22"/>
  <c r="B404" i="21"/>
  <c r="B408" i="15"/>
  <c r="B408" i="22"/>
  <c r="B408" i="21"/>
  <c r="B412" i="15"/>
  <c r="B412" i="22"/>
  <c r="B412" i="21"/>
  <c r="B416" i="21"/>
  <c r="B416" i="22"/>
  <c r="B416" i="15"/>
  <c r="B420" i="15"/>
  <c r="B420" i="21"/>
  <c r="B420" i="22"/>
  <c r="B424" i="15"/>
  <c r="B424" i="21"/>
  <c r="B424" i="22"/>
  <c r="B428" i="15"/>
  <c r="B428" i="21"/>
  <c r="B428" i="22"/>
  <c r="B432" i="15"/>
  <c r="B432" i="21"/>
  <c r="B432" i="22"/>
  <c r="B436" i="15"/>
  <c r="B436" i="21"/>
  <c r="B436" i="22"/>
  <c r="A441" i="15"/>
  <c r="R441" i="15" s="1"/>
  <c r="A441" i="21"/>
  <c r="A441" i="22"/>
  <c r="R456" i="15"/>
  <c r="R460" i="15"/>
  <c r="R464" i="15"/>
  <c r="R468" i="15"/>
  <c r="R472" i="15"/>
  <c r="R476" i="15"/>
  <c r="R480" i="15"/>
  <c r="R484" i="15"/>
  <c r="R488" i="15"/>
  <c r="R492" i="15"/>
  <c r="R496" i="15"/>
  <c r="R500" i="15"/>
  <c r="R504" i="15"/>
  <c r="R508" i="15"/>
  <c r="R512" i="15"/>
  <c r="R516" i="15"/>
  <c r="R520" i="15"/>
  <c r="R524" i="15"/>
  <c r="R528" i="15"/>
  <c r="R532" i="15"/>
  <c r="R536" i="15"/>
  <c r="R540" i="15"/>
  <c r="R544" i="15"/>
  <c r="R548" i="15"/>
  <c r="R552" i="15"/>
  <c r="R556" i="15"/>
  <c r="R560" i="15"/>
  <c r="R564" i="15"/>
  <c r="R568" i="15"/>
  <c r="B7" i="22"/>
  <c r="B7" i="15"/>
  <c r="B7" i="21"/>
  <c r="B44" i="15"/>
  <c r="B44" i="21"/>
  <c r="B44" i="22"/>
  <c r="B73" i="15"/>
  <c r="B73" i="21"/>
  <c r="B73" i="22"/>
  <c r="B101" i="15"/>
  <c r="B101" i="21"/>
  <c r="B101" i="22"/>
  <c r="A145" i="15"/>
  <c r="R145" i="15" s="1"/>
  <c r="A145" i="22"/>
  <c r="A145" i="21"/>
  <c r="B171" i="15"/>
  <c r="B171" i="21"/>
  <c r="B171" i="22"/>
  <c r="B199" i="15"/>
  <c r="B199" i="22"/>
  <c r="B199" i="21"/>
  <c r="B215" i="15"/>
  <c r="B215" i="22"/>
  <c r="B215" i="21"/>
  <c r="B239" i="15"/>
  <c r="B239" i="21"/>
  <c r="B239" i="22"/>
  <c r="B255" i="15"/>
  <c r="B255" i="21"/>
  <c r="B255" i="22"/>
  <c r="B283" i="15"/>
  <c r="B283" i="21"/>
  <c r="B283" i="22"/>
  <c r="B311" i="15"/>
  <c r="B311" i="21"/>
  <c r="B311" i="22"/>
  <c r="B339" i="15"/>
  <c r="B339" i="21"/>
  <c r="B339" i="22"/>
  <c r="B355" i="15"/>
  <c r="B355" i="21"/>
  <c r="B355" i="22"/>
  <c r="B387" i="15"/>
  <c r="B387" i="21"/>
  <c r="B387" i="22"/>
  <c r="B415" i="15"/>
  <c r="B415" i="21"/>
  <c r="B415" i="22"/>
  <c r="B439" i="15"/>
  <c r="B439" i="21"/>
  <c r="B439" i="22"/>
  <c r="R483" i="15"/>
  <c r="R511" i="15"/>
  <c r="R571" i="15"/>
  <c r="A5" i="15"/>
  <c r="R5" i="15" s="1"/>
  <c r="A5" i="21"/>
  <c r="A5" i="22"/>
  <c r="A17" i="15"/>
  <c r="R17" i="15" s="1"/>
  <c r="A17" i="21"/>
  <c r="A17" i="22"/>
  <c r="A21" i="15"/>
  <c r="R21" i="15" s="1"/>
  <c r="A21" i="21"/>
  <c r="A21" i="22"/>
  <c r="A34" i="15"/>
  <c r="R34" i="15" s="1"/>
  <c r="A34" i="21"/>
  <c r="A34" i="22"/>
  <c r="A38" i="15"/>
  <c r="R38" i="15" s="1"/>
  <c r="A38" i="21"/>
  <c r="A38" i="22"/>
  <c r="A42" i="15"/>
  <c r="R42" i="15" s="1"/>
  <c r="A42" i="21"/>
  <c r="A42" i="22"/>
  <c r="A46" i="15"/>
  <c r="R46" i="15" s="1"/>
  <c r="A46" i="22"/>
  <c r="A46" i="21"/>
  <c r="A50" i="15"/>
  <c r="R50" i="15" s="1"/>
  <c r="A50" i="22"/>
  <c r="A50" i="21"/>
  <c r="A54" i="15"/>
  <c r="R54" i="15" s="1"/>
  <c r="A54" i="21"/>
  <c r="A54" i="22"/>
  <c r="A67" i="15"/>
  <c r="R67" i="15" s="1"/>
  <c r="A67" i="21"/>
  <c r="A67" i="22"/>
  <c r="A71" i="15"/>
  <c r="R71" i="15" s="1"/>
  <c r="A71" i="21"/>
  <c r="A71" i="22"/>
  <c r="A75" i="15"/>
  <c r="R75" i="15" s="1"/>
  <c r="A75" i="21"/>
  <c r="A75" i="22"/>
  <c r="A79" i="15"/>
  <c r="R79" i="15" s="1"/>
  <c r="A79" i="21"/>
  <c r="A79" i="22"/>
  <c r="A83" i="15"/>
  <c r="R83" i="15" s="1"/>
  <c r="A83" i="21"/>
  <c r="A83" i="22"/>
  <c r="A87" i="15"/>
  <c r="R87" i="15" s="1"/>
  <c r="A87" i="21"/>
  <c r="A87" i="22"/>
  <c r="A91" i="15"/>
  <c r="R91" i="15" s="1"/>
  <c r="A91" i="21"/>
  <c r="A91" i="22"/>
  <c r="A95" i="15"/>
  <c r="R95" i="15" s="1"/>
  <c r="A95" i="21"/>
  <c r="A95" i="22"/>
  <c r="A99" i="15"/>
  <c r="R99" i="15" s="1"/>
  <c r="A99" i="21"/>
  <c r="A99" i="22"/>
  <c r="A103" i="15"/>
  <c r="R103" i="15" s="1"/>
  <c r="A103" i="21"/>
  <c r="A103" i="22"/>
  <c r="A107" i="15"/>
  <c r="R107" i="15" s="1"/>
  <c r="A107" i="21"/>
  <c r="A107" i="22"/>
  <c r="A111" i="15"/>
  <c r="R111" i="15" s="1"/>
  <c r="A111" i="21"/>
  <c r="A111" i="22"/>
  <c r="A115" i="15"/>
  <c r="R115" i="15" s="1"/>
  <c r="A115" i="21"/>
  <c r="A115" i="22"/>
  <c r="A124" i="15"/>
  <c r="R124" i="15" s="1"/>
  <c r="A124" i="21"/>
  <c r="A124" i="22"/>
  <c r="A132" i="15"/>
  <c r="R132" i="15" s="1"/>
  <c r="A132" i="21"/>
  <c r="A132" i="22"/>
  <c r="A140" i="15"/>
  <c r="R140" i="15" s="1"/>
  <c r="A140" i="21"/>
  <c r="A140" i="22"/>
  <c r="A148" i="15"/>
  <c r="R148" i="15" s="1"/>
  <c r="A148" i="21"/>
  <c r="A148" i="22"/>
  <c r="A153" i="15"/>
  <c r="R153" i="15" s="1"/>
  <c r="A153" i="22"/>
  <c r="A153" i="21"/>
  <c r="A157" i="15"/>
  <c r="R157" i="15" s="1"/>
  <c r="A157" i="21"/>
  <c r="A157" i="22"/>
  <c r="A161" i="15"/>
  <c r="R161" i="15" s="1"/>
  <c r="A161" i="22"/>
  <c r="A161" i="21"/>
  <c r="A165" i="15"/>
  <c r="R165" i="15" s="1"/>
  <c r="A165" i="21"/>
  <c r="A165" i="22"/>
  <c r="A169" i="15"/>
  <c r="R169" i="15" s="1"/>
  <c r="A169" i="22"/>
  <c r="A169" i="21"/>
  <c r="A173" i="15"/>
  <c r="R173" i="15" s="1"/>
  <c r="A173" i="21"/>
  <c r="A173" i="22"/>
  <c r="A177" i="15"/>
  <c r="R177" i="15" s="1"/>
  <c r="A177" i="22"/>
  <c r="A177" i="21"/>
  <c r="A181" i="15"/>
  <c r="R181" i="15" s="1"/>
  <c r="A181" i="21"/>
  <c r="A181" i="22"/>
  <c r="A185" i="15"/>
  <c r="R185" i="15" s="1"/>
  <c r="A185" i="22"/>
  <c r="A185" i="21"/>
  <c r="A189" i="21"/>
  <c r="A189" i="15"/>
  <c r="R189" i="15" s="1"/>
  <c r="A189" i="22"/>
  <c r="A193" i="15"/>
  <c r="R193" i="15" s="1"/>
  <c r="A193" i="22"/>
  <c r="A193" i="21"/>
  <c r="A197" i="15"/>
  <c r="R197" i="15" s="1"/>
  <c r="A197" i="21"/>
  <c r="A197" i="22"/>
  <c r="A201" i="15"/>
  <c r="R201" i="15" s="1"/>
  <c r="A201" i="22"/>
  <c r="A201" i="21"/>
  <c r="A205" i="15"/>
  <c r="R205" i="15" s="1"/>
  <c r="A205" i="21"/>
  <c r="A205" i="22"/>
  <c r="A209" i="15"/>
  <c r="R209" i="15" s="1"/>
  <c r="A209" i="21"/>
  <c r="A209" i="22"/>
  <c r="A213" i="15"/>
  <c r="R213" i="15" s="1"/>
  <c r="A213" i="21"/>
  <c r="A213" i="22"/>
  <c r="A217" i="15"/>
  <c r="R217" i="15" s="1"/>
  <c r="A217" i="22"/>
  <c r="A217" i="21"/>
  <c r="A221" i="15"/>
  <c r="R221" i="15" s="1"/>
  <c r="A221" i="21"/>
  <c r="A221" i="22"/>
  <c r="A225" i="15"/>
  <c r="R225" i="15" s="1"/>
  <c r="A225" i="22"/>
  <c r="A225" i="21"/>
  <c r="A229" i="15"/>
  <c r="R229" i="15" s="1"/>
  <c r="A229" i="21"/>
  <c r="A229" i="22"/>
  <c r="A233" i="15"/>
  <c r="R233" i="15" s="1"/>
  <c r="A233" i="22"/>
  <c r="A233" i="21"/>
  <c r="A237" i="15"/>
  <c r="R237" i="15" s="1"/>
  <c r="A237" i="21"/>
  <c r="A237" i="22"/>
  <c r="A241" i="15"/>
  <c r="R241" i="15" s="1"/>
  <c r="A241" i="21"/>
  <c r="A241" i="22"/>
  <c r="A245" i="15"/>
  <c r="R245" i="15" s="1"/>
  <c r="A245" i="21"/>
  <c r="A245" i="22"/>
  <c r="A249" i="15"/>
  <c r="R249" i="15" s="1"/>
  <c r="A249" i="21"/>
  <c r="A249" i="22"/>
  <c r="A253" i="15"/>
  <c r="R253" i="15" s="1"/>
  <c r="A253" i="21"/>
  <c r="A253" i="22"/>
  <c r="A257" i="15"/>
  <c r="R257" i="15" s="1"/>
  <c r="A257" i="22"/>
  <c r="A257" i="21"/>
  <c r="A261" i="15"/>
  <c r="R261" i="15" s="1"/>
  <c r="A261" i="21"/>
  <c r="A261" i="22"/>
  <c r="A265" i="15"/>
  <c r="R265" i="15" s="1"/>
  <c r="A265" i="21"/>
  <c r="A265" i="22"/>
  <c r="A269" i="15"/>
  <c r="R269" i="15" s="1"/>
  <c r="A269" i="21"/>
  <c r="A269" i="22"/>
  <c r="A273" i="15"/>
  <c r="R273" i="15" s="1"/>
  <c r="A273" i="21"/>
  <c r="A273" i="22"/>
  <c r="A277" i="15"/>
  <c r="R277" i="15" s="1"/>
  <c r="A277" i="21"/>
  <c r="A277" i="22"/>
  <c r="A281" i="15"/>
  <c r="R281" i="15" s="1"/>
  <c r="A281" i="21"/>
  <c r="A281" i="22"/>
  <c r="A285" i="15"/>
  <c r="R285" i="15" s="1"/>
  <c r="A285" i="21"/>
  <c r="A285" i="22"/>
  <c r="A289" i="15"/>
  <c r="R289" i="15" s="1"/>
  <c r="A289" i="21"/>
  <c r="A289" i="22"/>
  <c r="A293" i="15"/>
  <c r="R293" i="15" s="1"/>
  <c r="A293" i="21"/>
  <c r="A293" i="22"/>
  <c r="A297" i="15"/>
  <c r="R297" i="15" s="1"/>
  <c r="A297" i="21"/>
  <c r="A297" i="22"/>
  <c r="A301" i="15"/>
  <c r="R301" i="15" s="1"/>
  <c r="A301" i="21"/>
  <c r="A301" i="22"/>
  <c r="A305" i="15"/>
  <c r="R305" i="15" s="1"/>
  <c r="A305" i="21"/>
  <c r="A305" i="22"/>
  <c r="A309" i="15"/>
  <c r="R309" i="15" s="1"/>
  <c r="A309" i="21"/>
  <c r="A309" i="22"/>
  <c r="A313" i="15"/>
  <c r="R313" i="15" s="1"/>
  <c r="A313" i="21"/>
  <c r="A313" i="22"/>
  <c r="A317" i="15"/>
  <c r="R317" i="15" s="1"/>
  <c r="A317" i="21"/>
  <c r="A317" i="22"/>
  <c r="A321" i="15"/>
  <c r="R321" i="15" s="1"/>
  <c r="A321" i="21"/>
  <c r="A321" i="22"/>
  <c r="A325" i="15"/>
  <c r="R325" i="15" s="1"/>
  <c r="A325" i="21"/>
  <c r="A325" i="22"/>
  <c r="A329" i="15"/>
  <c r="R329" i="15" s="1"/>
  <c r="A329" i="21"/>
  <c r="A329" i="22"/>
  <c r="A333" i="15"/>
  <c r="R333" i="15" s="1"/>
  <c r="A333" i="21"/>
  <c r="A333" i="22"/>
  <c r="A337" i="15"/>
  <c r="R337" i="15" s="1"/>
  <c r="A337" i="21"/>
  <c r="A337" i="22"/>
  <c r="A341" i="15"/>
  <c r="R341" i="15" s="1"/>
  <c r="A341" i="21"/>
  <c r="A341" i="22"/>
  <c r="A345" i="15"/>
  <c r="R345" i="15" s="1"/>
  <c r="A345" i="21"/>
  <c r="A345" i="22"/>
  <c r="A349" i="15"/>
  <c r="R349" i="15" s="1"/>
  <c r="A349" i="21"/>
  <c r="A349" i="22"/>
  <c r="A353" i="15"/>
  <c r="R353" i="15" s="1"/>
  <c r="A353" i="21"/>
  <c r="A353" i="22"/>
  <c r="A357" i="15"/>
  <c r="R357" i="15" s="1"/>
  <c r="A357" i="21"/>
  <c r="A357" i="22"/>
  <c r="A361" i="15"/>
  <c r="R361" i="15" s="1"/>
  <c r="A361" i="21"/>
  <c r="A361" i="22"/>
  <c r="A365" i="21"/>
  <c r="A365" i="15"/>
  <c r="R365" i="15" s="1"/>
  <c r="A365" i="22"/>
  <c r="A369" i="15"/>
  <c r="R369" i="15" s="1"/>
  <c r="A369" i="21"/>
  <c r="A369" i="22"/>
  <c r="A373" i="15"/>
  <c r="R373" i="15" s="1"/>
  <c r="A373" i="21"/>
  <c r="A373" i="22"/>
  <c r="A377" i="15"/>
  <c r="R377" i="15" s="1"/>
  <c r="A377" i="21"/>
  <c r="A377" i="22"/>
  <c r="A381" i="15"/>
  <c r="R381" i="15" s="1"/>
  <c r="A381" i="21"/>
  <c r="A381" i="22"/>
  <c r="A385" i="15"/>
  <c r="R385" i="15" s="1"/>
  <c r="A385" i="21"/>
  <c r="A385" i="22"/>
  <c r="A389" i="15"/>
  <c r="R389" i="15" s="1"/>
  <c r="A389" i="21"/>
  <c r="A389" i="22"/>
  <c r="A393" i="15"/>
  <c r="R393" i="15" s="1"/>
  <c r="A393" i="21"/>
  <c r="A393" i="22"/>
  <c r="A397" i="15"/>
  <c r="R397" i="15" s="1"/>
  <c r="A397" i="21"/>
  <c r="A397" i="22"/>
  <c r="A401" i="15"/>
  <c r="R401" i="15" s="1"/>
  <c r="A401" i="21"/>
  <c r="A401" i="22"/>
  <c r="A405" i="15"/>
  <c r="R405" i="15" s="1"/>
  <c r="A405" i="21"/>
  <c r="A405" i="22"/>
  <c r="A409" i="15"/>
  <c r="R409" i="15" s="1"/>
  <c r="A409" i="21"/>
  <c r="A409" i="22"/>
  <c r="A413" i="15"/>
  <c r="R413" i="15" s="1"/>
  <c r="A413" i="21"/>
  <c r="A413" i="22"/>
  <c r="A417" i="15"/>
  <c r="R417" i="15" s="1"/>
  <c r="A417" i="21"/>
  <c r="A417" i="22"/>
  <c r="A421" i="15"/>
  <c r="R421" i="15" s="1"/>
  <c r="A421" i="21"/>
  <c r="A421" i="22"/>
  <c r="A425" i="15"/>
  <c r="R425" i="15" s="1"/>
  <c r="A425" i="21"/>
  <c r="A425" i="22"/>
  <c r="A429" i="15"/>
  <c r="R429" i="15" s="1"/>
  <c r="A429" i="21"/>
  <c r="A429" i="22"/>
  <c r="A433" i="15"/>
  <c r="R433" i="15" s="1"/>
  <c r="A433" i="21"/>
  <c r="A433" i="22"/>
  <c r="A437" i="15"/>
  <c r="R437" i="15" s="1"/>
  <c r="A437" i="21"/>
  <c r="A437" i="22"/>
  <c r="A442" i="15"/>
  <c r="R442" i="15" s="1"/>
  <c r="A442" i="21"/>
  <c r="A442" i="22"/>
  <c r="B32" i="15"/>
  <c r="B32" i="21"/>
  <c r="B32" i="22"/>
  <c r="B81" i="15"/>
  <c r="B81" i="21"/>
  <c r="B81" i="22"/>
  <c r="A137" i="15"/>
  <c r="R137" i="15" s="1"/>
  <c r="A137" i="21"/>
  <c r="A137" i="22"/>
  <c r="B175" i="15"/>
  <c r="B175" i="22"/>
  <c r="B175" i="21"/>
  <c r="B227" i="15"/>
  <c r="B227" i="21"/>
  <c r="B227" i="22"/>
  <c r="B267" i="15"/>
  <c r="B267" i="21"/>
  <c r="B267" i="22"/>
  <c r="B303" i="15"/>
  <c r="B303" i="21"/>
  <c r="B303" i="22"/>
  <c r="B323" i="15"/>
  <c r="B323" i="21"/>
  <c r="B323" i="22"/>
  <c r="B343" i="15"/>
  <c r="B343" i="21"/>
  <c r="B343" i="22"/>
  <c r="B359" i="15"/>
  <c r="B359" i="21"/>
  <c r="B359" i="22"/>
  <c r="B379" i="15"/>
  <c r="B379" i="21"/>
  <c r="B379" i="22"/>
  <c r="B399" i="15"/>
  <c r="B399" i="21"/>
  <c r="B399" i="22"/>
  <c r="B419" i="15"/>
  <c r="B419" i="21"/>
  <c r="B419" i="22"/>
  <c r="R459" i="15"/>
  <c r="R479" i="15"/>
  <c r="R499" i="15"/>
  <c r="R527" i="15"/>
  <c r="R543" i="15"/>
  <c r="A9" i="15"/>
  <c r="R9" i="15" s="1"/>
  <c r="A9" i="21"/>
  <c r="A9" i="22"/>
  <c r="B5" i="15"/>
  <c r="B5" i="21"/>
  <c r="B5" i="22"/>
  <c r="B13" i="15"/>
  <c r="B13" i="21"/>
  <c r="B13" i="22"/>
  <c r="B21" i="15"/>
  <c r="B21" i="21"/>
  <c r="B21" i="22"/>
  <c r="B42" i="15"/>
  <c r="B42" i="21"/>
  <c r="B42" i="22"/>
  <c r="B50" i="15"/>
  <c r="B50" i="21"/>
  <c r="B50" i="22"/>
  <c r="B67" i="15"/>
  <c r="B67" i="21"/>
  <c r="B67" i="22"/>
  <c r="B71" i="15"/>
  <c r="B71" i="21"/>
  <c r="B71" i="22"/>
  <c r="B79" i="15"/>
  <c r="B79" i="21"/>
  <c r="B79" i="22"/>
  <c r="B83" i="15"/>
  <c r="B83" i="21"/>
  <c r="B83" i="22"/>
  <c r="B87" i="15"/>
  <c r="B87" i="21"/>
  <c r="B87" i="22"/>
  <c r="B95" i="15"/>
  <c r="B95" i="22"/>
  <c r="B95" i="21"/>
  <c r="B99" i="15"/>
  <c r="B99" i="21"/>
  <c r="B99" i="22"/>
  <c r="B103" i="15"/>
  <c r="B103" i="22"/>
  <c r="B103" i="21"/>
  <c r="B107" i="15"/>
  <c r="B107" i="21"/>
  <c r="B107" i="22"/>
  <c r="B111" i="15"/>
  <c r="B111" i="22"/>
  <c r="B111" i="21"/>
  <c r="A117" i="15"/>
  <c r="R117" i="15" s="1"/>
  <c r="A117" i="21"/>
  <c r="A117" i="22"/>
  <c r="A125" i="15"/>
  <c r="R125" i="15" s="1"/>
  <c r="A125" i="22"/>
  <c r="A125" i="21"/>
  <c r="A133" i="15"/>
  <c r="R133" i="15" s="1"/>
  <c r="A133" i="21"/>
  <c r="A133" i="22"/>
  <c r="A141" i="15"/>
  <c r="R141" i="15" s="1"/>
  <c r="A141" i="22"/>
  <c r="A141" i="21"/>
  <c r="B148" i="15"/>
  <c r="B148" i="21"/>
  <c r="B148" i="22"/>
  <c r="B153" i="15"/>
  <c r="B153" i="22"/>
  <c r="B153" i="21"/>
  <c r="B157" i="15"/>
  <c r="B157" i="21"/>
  <c r="B157" i="22"/>
  <c r="B161" i="15"/>
  <c r="B161" i="22"/>
  <c r="B161" i="21"/>
  <c r="B165" i="15"/>
  <c r="B165" i="21"/>
  <c r="B165" i="22"/>
  <c r="B169" i="15"/>
  <c r="B169" i="22"/>
  <c r="B169" i="21"/>
  <c r="B173" i="15"/>
  <c r="B173" i="21"/>
  <c r="B173" i="22"/>
  <c r="B177" i="15"/>
  <c r="B177" i="22"/>
  <c r="B177" i="21"/>
  <c r="B181" i="15"/>
  <c r="B181" i="21"/>
  <c r="B181" i="22"/>
  <c r="B185" i="15"/>
  <c r="B185" i="22"/>
  <c r="B185" i="21"/>
  <c r="B189" i="15"/>
  <c r="B189" i="21"/>
  <c r="B189" i="22"/>
  <c r="B193" i="15"/>
  <c r="B193" i="22"/>
  <c r="B193" i="21"/>
  <c r="B197" i="15"/>
  <c r="B197" i="21"/>
  <c r="B197" i="22"/>
  <c r="B201" i="15"/>
  <c r="B201" i="22"/>
  <c r="B201" i="21"/>
  <c r="B205" i="15"/>
  <c r="B205" i="21"/>
  <c r="B205" i="22"/>
  <c r="B209" i="15"/>
  <c r="B209" i="22"/>
  <c r="B209" i="21"/>
  <c r="B213" i="15"/>
  <c r="B213" i="21"/>
  <c r="B213" i="22"/>
  <c r="B217" i="15"/>
  <c r="B217" i="22"/>
  <c r="B217" i="21"/>
  <c r="B221" i="15"/>
  <c r="B221" i="21"/>
  <c r="B221" i="22"/>
  <c r="B225" i="15"/>
  <c r="B225" i="22"/>
  <c r="B225" i="21"/>
  <c r="B229" i="15"/>
  <c r="B229" i="21"/>
  <c r="B229" i="22"/>
  <c r="B233" i="15"/>
  <c r="B233" i="22"/>
  <c r="B233" i="21"/>
  <c r="B237" i="15"/>
  <c r="B237" i="21"/>
  <c r="B237" i="22"/>
  <c r="B241" i="15"/>
  <c r="B241" i="22"/>
  <c r="B241" i="21"/>
  <c r="B245" i="15"/>
  <c r="B245" i="21"/>
  <c r="B245" i="22"/>
  <c r="B249" i="15"/>
  <c r="B249" i="22"/>
  <c r="B249" i="21"/>
  <c r="B253" i="15"/>
  <c r="B253" i="21"/>
  <c r="B253" i="22"/>
  <c r="B257" i="15"/>
  <c r="B257" i="22"/>
  <c r="B257" i="21"/>
  <c r="B261" i="15"/>
  <c r="B261" i="21"/>
  <c r="B261" i="22"/>
  <c r="B265" i="15"/>
  <c r="B265" i="21"/>
  <c r="B265" i="22"/>
  <c r="B269" i="15"/>
  <c r="B269" i="21"/>
  <c r="B269" i="22"/>
  <c r="B273" i="15"/>
  <c r="B273" i="21"/>
  <c r="B273" i="22"/>
  <c r="B277" i="15"/>
  <c r="B277" i="21"/>
  <c r="B277" i="22"/>
  <c r="B281" i="15"/>
  <c r="B281" i="21"/>
  <c r="B281" i="22"/>
  <c r="B285" i="15"/>
  <c r="B285" i="21"/>
  <c r="B285" i="22"/>
  <c r="B289" i="15"/>
  <c r="B289" i="21"/>
  <c r="B289" i="22"/>
  <c r="B293" i="15"/>
  <c r="B293" i="21"/>
  <c r="B293" i="22"/>
  <c r="B297" i="15"/>
  <c r="B297" i="21"/>
  <c r="B297" i="22"/>
  <c r="B301" i="15"/>
  <c r="B301" i="21"/>
  <c r="B301" i="22"/>
  <c r="B305" i="15"/>
  <c r="B305" i="21"/>
  <c r="B305" i="22"/>
  <c r="B309" i="15"/>
  <c r="B309" i="21"/>
  <c r="B309" i="22"/>
  <c r="B313" i="15"/>
  <c r="B313" i="21"/>
  <c r="B313" i="22"/>
  <c r="B317" i="15"/>
  <c r="B317" i="21"/>
  <c r="B317" i="22"/>
  <c r="B321" i="15"/>
  <c r="B321" i="21"/>
  <c r="B321" i="22"/>
  <c r="B325" i="15"/>
  <c r="B325" i="21"/>
  <c r="B325" i="22"/>
  <c r="B329" i="15"/>
  <c r="B329" i="21"/>
  <c r="B329" i="22"/>
  <c r="B333" i="15"/>
  <c r="B333" i="21"/>
  <c r="B333" i="22"/>
  <c r="B337" i="15"/>
  <c r="B337" i="21"/>
  <c r="B337" i="22"/>
  <c r="B341" i="15"/>
  <c r="B341" i="21"/>
  <c r="B341" i="22"/>
  <c r="B345" i="15"/>
  <c r="B345" i="21"/>
  <c r="B345" i="22"/>
  <c r="B349" i="15"/>
  <c r="B349" i="21"/>
  <c r="B349" i="22"/>
  <c r="B353" i="15"/>
  <c r="B353" i="21"/>
  <c r="B353" i="22"/>
  <c r="B357" i="15"/>
  <c r="B357" i="21"/>
  <c r="B357" i="22"/>
  <c r="B361" i="15"/>
  <c r="B361" i="21"/>
  <c r="B361" i="22"/>
  <c r="B365" i="15"/>
  <c r="B365" i="21"/>
  <c r="B365" i="22"/>
  <c r="B369" i="15"/>
  <c r="B369" i="21"/>
  <c r="B369" i="22"/>
  <c r="B373" i="15"/>
  <c r="B373" i="21"/>
  <c r="B373" i="22"/>
  <c r="B377" i="15"/>
  <c r="B377" i="21"/>
  <c r="B377" i="22"/>
  <c r="B381" i="21"/>
  <c r="B381" i="15"/>
  <c r="B381" i="22"/>
  <c r="B385" i="15"/>
  <c r="B385" i="21"/>
  <c r="B385" i="22"/>
  <c r="B389" i="15"/>
  <c r="B389" i="21"/>
  <c r="B389" i="22"/>
  <c r="B393" i="15"/>
  <c r="B393" i="21"/>
  <c r="B393" i="22"/>
  <c r="B397" i="15"/>
  <c r="B397" i="21"/>
  <c r="B397" i="22"/>
  <c r="B401" i="15"/>
  <c r="B401" i="21"/>
  <c r="B401" i="22"/>
  <c r="B405" i="15"/>
  <c r="B405" i="21"/>
  <c r="B405" i="22"/>
  <c r="B409" i="15"/>
  <c r="B409" i="21"/>
  <c r="B409" i="22"/>
  <c r="B413" i="15"/>
  <c r="B413" i="21"/>
  <c r="B413" i="22"/>
  <c r="B417" i="15"/>
  <c r="B417" i="21"/>
  <c r="B417" i="22"/>
  <c r="B421" i="15"/>
  <c r="B421" i="21"/>
  <c r="B421" i="22"/>
  <c r="B425" i="15"/>
  <c r="B425" i="21"/>
  <c r="B425" i="22"/>
  <c r="B429" i="15"/>
  <c r="B429" i="21"/>
  <c r="B429" i="22"/>
  <c r="B433" i="15"/>
  <c r="B433" i="21"/>
  <c r="B433" i="22"/>
  <c r="B437" i="15"/>
  <c r="B437" i="21"/>
  <c r="B437" i="22"/>
  <c r="R453" i="15"/>
  <c r="R457" i="15"/>
  <c r="R461" i="15"/>
  <c r="R465" i="15"/>
  <c r="R469" i="15"/>
  <c r="R473" i="15"/>
  <c r="R477" i="15"/>
  <c r="R481" i="15"/>
  <c r="R485" i="15"/>
  <c r="R489" i="15"/>
  <c r="R493" i="15"/>
  <c r="R497" i="15"/>
  <c r="R501" i="15"/>
  <c r="R505" i="15"/>
  <c r="R509" i="15"/>
  <c r="R513" i="15"/>
  <c r="R517" i="15"/>
  <c r="R521" i="15"/>
  <c r="R525" i="15"/>
  <c r="R529" i="15"/>
  <c r="R533" i="15"/>
  <c r="R537" i="15"/>
  <c r="R541" i="15"/>
  <c r="R545" i="15"/>
  <c r="R549" i="15"/>
  <c r="R553" i="15"/>
  <c r="R557" i="15"/>
  <c r="R561" i="15"/>
  <c r="R565" i="15"/>
  <c r="R569" i="15"/>
  <c r="B19" i="15"/>
  <c r="B19" i="21"/>
  <c r="B19" i="22"/>
  <c r="B56" i="15"/>
  <c r="B56" i="21"/>
  <c r="B56" i="22"/>
  <c r="B89" i="15"/>
  <c r="B89" i="22"/>
  <c r="B89" i="21"/>
  <c r="B109" i="15"/>
  <c r="B109" i="21"/>
  <c r="B109" i="22"/>
  <c r="B159" i="15"/>
  <c r="B159" i="22"/>
  <c r="B159" i="21"/>
  <c r="B183" i="15"/>
  <c r="B183" i="22"/>
  <c r="B183" i="21"/>
  <c r="B203" i="15"/>
  <c r="B203" i="21"/>
  <c r="B203" i="22"/>
  <c r="B223" i="15"/>
  <c r="B223" i="22"/>
  <c r="B223" i="21"/>
  <c r="B243" i="15"/>
  <c r="B243" i="21"/>
  <c r="B243" i="22"/>
  <c r="B263" i="15"/>
  <c r="B263" i="21"/>
  <c r="B263" i="22"/>
  <c r="B287" i="15"/>
  <c r="B287" i="21"/>
  <c r="B287" i="22"/>
  <c r="B307" i="15"/>
  <c r="B307" i="21"/>
  <c r="B307" i="22"/>
  <c r="B327" i="15"/>
  <c r="B327" i="21"/>
  <c r="B327" i="22"/>
  <c r="B351" i="15"/>
  <c r="B351" i="21"/>
  <c r="B351" i="22"/>
  <c r="B371" i="15"/>
  <c r="B371" i="21"/>
  <c r="B371" i="22"/>
  <c r="B391" i="15"/>
  <c r="B391" i="21"/>
  <c r="B391" i="22"/>
  <c r="B411" i="15"/>
  <c r="B411" i="21"/>
  <c r="B411" i="22"/>
  <c r="B435" i="15"/>
  <c r="B435" i="21"/>
  <c r="B435" i="22"/>
  <c r="R463" i="15"/>
  <c r="R487" i="15"/>
  <c r="R503" i="15"/>
  <c r="R519" i="15"/>
  <c r="R531" i="15"/>
  <c r="R547" i="15"/>
  <c r="A13" i="15"/>
  <c r="R13" i="15" s="1"/>
  <c r="A13" i="21"/>
  <c r="A13" i="22"/>
  <c r="B9" i="15"/>
  <c r="B9" i="21"/>
  <c r="B9" i="22"/>
  <c r="B17" i="15"/>
  <c r="B17" i="21"/>
  <c r="B17" i="22"/>
  <c r="B34" i="15"/>
  <c r="B34" i="21"/>
  <c r="B34" i="22"/>
  <c r="B38" i="21"/>
  <c r="B38" i="15"/>
  <c r="B38" i="22"/>
  <c r="B46" i="15"/>
  <c r="B46" i="21"/>
  <c r="B46" i="22"/>
  <c r="B54" i="15"/>
  <c r="B54" i="21"/>
  <c r="B54" i="22"/>
  <c r="B75" i="21"/>
  <c r="B75" i="15"/>
  <c r="B75" i="22"/>
  <c r="B91" i="15"/>
  <c r="B91" i="21"/>
  <c r="B91" i="22"/>
  <c r="A6" i="15"/>
  <c r="R6" i="15" s="1"/>
  <c r="A6" i="21"/>
  <c r="A6" i="22"/>
  <c r="A10" i="15"/>
  <c r="R10" i="15" s="1"/>
  <c r="A10" i="21"/>
  <c r="A10" i="22"/>
  <c r="A14" i="15"/>
  <c r="R14" i="15" s="1"/>
  <c r="A14" i="21"/>
  <c r="A14" i="22"/>
  <c r="A18" i="15"/>
  <c r="R18" i="15" s="1"/>
  <c r="A18" i="21"/>
  <c r="A18" i="22"/>
  <c r="A31" i="15"/>
  <c r="R31" i="15" s="1"/>
  <c r="A31" i="21"/>
  <c r="A31" i="22"/>
  <c r="A35" i="15"/>
  <c r="R35" i="15" s="1"/>
  <c r="A35" i="21"/>
  <c r="A35" i="22"/>
  <c r="A39" i="15"/>
  <c r="R39" i="15" s="1"/>
  <c r="A39" i="21"/>
  <c r="A39" i="22"/>
  <c r="A43" i="15"/>
  <c r="R43" i="15" s="1"/>
  <c r="A43" i="21"/>
  <c r="A43" i="22"/>
  <c r="A47" i="15"/>
  <c r="R47" i="15" s="1"/>
  <c r="A47" i="21"/>
  <c r="A47" i="22"/>
  <c r="A51" i="15"/>
  <c r="R51" i="15" s="1"/>
  <c r="A51" i="21"/>
  <c r="A51" i="22"/>
  <c r="A55" i="15"/>
  <c r="R55" i="15" s="1"/>
  <c r="A55" i="21"/>
  <c r="A55" i="22"/>
  <c r="A68" i="15"/>
  <c r="R68" i="15" s="1"/>
  <c r="A68" i="21"/>
  <c r="A68" i="22"/>
  <c r="A72" i="15"/>
  <c r="R72" i="15" s="1"/>
  <c r="A72" i="21"/>
  <c r="A72" i="22"/>
  <c r="A76" i="15"/>
  <c r="R76" i="15" s="1"/>
  <c r="A76" i="21"/>
  <c r="A76" i="22"/>
  <c r="A80" i="15"/>
  <c r="R80" i="15" s="1"/>
  <c r="A80" i="21"/>
  <c r="A80" i="22"/>
  <c r="A84" i="15"/>
  <c r="R84" i="15" s="1"/>
  <c r="A84" i="21"/>
  <c r="A84" i="22"/>
  <c r="A88" i="15"/>
  <c r="R88" i="15" s="1"/>
  <c r="A88" i="21"/>
  <c r="A88" i="22"/>
  <c r="A92" i="15"/>
  <c r="R92" i="15" s="1"/>
  <c r="A92" i="21"/>
  <c r="A92" i="22"/>
  <c r="A96" i="15"/>
  <c r="R96" i="15" s="1"/>
  <c r="A96" i="21"/>
  <c r="A96" i="22"/>
  <c r="A100" i="15"/>
  <c r="R100" i="15" s="1"/>
  <c r="A100" i="21"/>
  <c r="A100" i="22"/>
  <c r="A104" i="15"/>
  <c r="R104" i="15" s="1"/>
  <c r="A104" i="21"/>
  <c r="A104" i="22"/>
  <c r="A108" i="21"/>
  <c r="A108" i="15"/>
  <c r="R108" i="15" s="1"/>
  <c r="A108" i="22"/>
  <c r="A112" i="15"/>
  <c r="R112" i="15" s="1"/>
  <c r="A112" i="21"/>
  <c r="A112" i="22"/>
  <c r="A118" i="15"/>
  <c r="R118" i="15" s="1"/>
  <c r="A118" i="21"/>
  <c r="A118" i="22"/>
  <c r="A126" i="22"/>
  <c r="A126" i="21"/>
  <c r="A126" i="15"/>
  <c r="R126" i="15" s="1"/>
  <c r="A134" i="15"/>
  <c r="R134" i="15" s="1"/>
  <c r="A134" i="21"/>
  <c r="A134" i="22"/>
  <c r="A142" i="15"/>
  <c r="R142" i="15" s="1"/>
  <c r="A142" i="22"/>
  <c r="A142" i="21"/>
  <c r="A149" i="15"/>
  <c r="R149" i="15" s="1"/>
  <c r="A149" i="21"/>
  <c r="A149" i="22"/>
  <c r="A154" i="22"/>
  <c r="A154" i="21"/>
  <c r="A154" i="15"/>
  <c r="R154" i="15" s="1"/>
  <c r="A158" i="15"/>
  <c r="R158" i="15" s="1"/>
  <c r="A158" i="22"/>
  <c r="A158" i="21"/>
  <c r="A162" i="15"/>
  <c r="R162" i="15" s="1"/>
  <c r="A162" i="22"/>
  <c r="A162" i="21"/>
  <c r="A166" i="15"/>
  <c r="R166" i="15" s="1"/>
  <c r="A166" i="22"/>
  <c r="A166" i="21"/>
  <c r="A170" i="15"/>
  <c r="R170" i="15" s="1"/>
  <c r="A170" i="22"/>
  <c r="A170" i="21"/>
  <c r="A174" i="15"/>
  <c r="R174" i="15" s="1"/>
  <c r="A174" i="22"/>
  <c r="A174" i="21"/>
  <c r="A178" i="15"/>
  <c r="R178" i="15" s="1"/>
  <c r="A178" i="22"/>
  <c r="A178" i="21"/>
  <c r="A182" i="15"/>
  <c r="R182" i="15" s="1"/>
  <c r="A182" i="22"/>
  <c r="A182" i="21"/>
  <c r="A186" i="15"/>
  <c r="R186" i="15" s="1"/>
  <c r="A186" i="22"/>
  <c r="A186" i="21"/>
  <c r="A190" i="15"/>
  <c r="R190" i="15" s="1"/>
  <c r="A190" i="22"/>
  <c r="A190" i="21"/>
  <c r="A194" i="15"/>
  <c r="R194" i="15" s="1"/>
  <c r="A194" i="22"/>
  <c r="A194" i="21"/>
  <c r="A198" i="15"/>
  <c r="R198" i="15" s="1"/>
  <c r="A198" i="22"/>
  <c r="A198" i="21"/>
  <c r="A202" i="15"/>
  <c r="R202" i="15" s="1"/>
  <c r="A202" i="22"/>
  <c r="A202" i="21"/>
  <c r="A206" i="15"/>
  <c r="R206" i="15" s="1"/>
  <c r="A206" i="22"/>
  <c r="A206" i="21"/>
  <c r="A210" i="15"/>
  <c r="R210" i="15" s="1"/>
  <c r="A210" i="22"/>
  <c r="A210" i="21"/>
  <c r="A214" i="15"/>
  <c r="R214" i="15" s="1"/>
  <c r="A214" i="22"/>
  <c r="A214" i="21"/>
  <c r="A218" i="15"/>
  <c r="R218" i="15" s="1"/>
  <c r="A218" i="22"/>
  <c r="A218" i="21"/>
  <c r="A222" i="15"/>
  <c r="R222" i="15" s="1"/>
  <c r="A222" i="22"/>
  <c r="A222" i="21"/>
  <c r="A226" i="15"/>
  <c r="R226" i="15" s="1"/>
  <c r="A226" i="22"/>
  <c r="A226" i="21"/>
  <c r="A230" i="15"/>
  <c r="R230" i="15" s="1"/>
  <c r="A230" i="22"/>
  <c r="A230" i="21"/>
  <c r="A234" i="15"/>
  <c r="R234" i="15" s="1"/>
  <c r="A234" i="22"/>
  <c r="A234" i="21"/>
  <c r="A238" i="15"/>
  <c r="R238" i="15" s="1"/>
  <c r="A238" i="22"/>
  <c r="A238" i="21"/>
  <c r="A242" i="15"/>
  <c r="R242" i="15" s="1"/>
  <c r="A242" i="22"/>
  <c r="A242" i="21"/>
  <c r="A246" i="15"/>
  <c r="R246" i="15" s="1"/>
  <c r="A246" i="22"/>
  <c r="A246" i="21"/>
  <c r="A250" i="15"/>
  <c r="R250" i="15" s="1"/>
  <c r="A250" i="22"/>
  <c r="A250" i="21"/>
  <c r="A254" i="15"/>
  <c r="R254" i="15" s="1"/>
  <c r="A254" i="22"/>
  <c r="A254" i="21"/>
  <c r="A258" i="15"/>
  <c r="R258" i="15" s="1"/>
  <c r="A258" i="22"/>
  <c r="A258" i="21"/>
  <c r="A262" i="15"/>
  <c r="R262" i="15" s="1"/>
  <c r="A262" i="21"/>
  <c r="A262" i="22"/>
  <c r="A266" i="15"/>
  <c r="R266" i="15" s="1"/>
  <c r="A266" i="21"/>
  <c r="A266" i="22"/>
  <c r="A270" i="15"/>
  <c r="R270" i="15" s="1"/>
  <c r="A270" i="21"/>
  <c r="A270" i="22"/>
  <c r="A274" i="15"/>
  <c r="R274" i="15" s="1"/>
  <c r="A274" i="21"/>
  <c r="A274" i="22"/>
  <c r="A278" i="15"/>
  <c r="R278" i="15" s="1"/>
  <c r="A278" i="21"/>
  <c r="A278" i="22"/>
  <c r="A282" i="15"/>
  <c r="R282" i="15" s="1"/>
  <c r="A282" i="21"/>
  <c r="A282" i="22"/>
  <c r="A286" i="15"/>
  <c r="R286" i="15" s="1"/>
  <c r="A286" i="21"/>
  <c r="A286" i="22"/>
  <c r="A290" i="15"/>
  <c r="R290" i="15" s="1"/>
  <c r="A290" i="21"/>
  <c r="A290" i="22"/>
  <c r="A294" i="15"/>
  <c r="R294" i="15" s="1"/>
  <c r="A294" i="21"/>
  <c r="A294" i="22"/>
  <c r="A298" i="15"/>
  <c r="R298" i="15" s="1"/>
  <c r="A298" i="21"/>
  <c r="A298" i="22"/>
  <c r="A302" i="15"/>
  <c r="R302" i="15" s="1"/>
  <c r="A302" i="21"/>
  <c r="A302" i="22"/>
  <c r="A306" i="15"/>
  <c r="R306" i="15" s="1"/>
  <c r="A306" i="21"/>
  <c r="A306" i="22"/>
  <c r="A310" i="15"/>
  <c r="R310" i="15" s="1"/>
  <c r="A310" i="21"/>
  <c r="A310" i="22"/>
  <c r="A314" i="15"/>
  <c r="R314" i="15" s="1"/>
  <c r="A314" i="21"/>
  <c r="A314" i="22"/>
  <c r="A318" i="15"/>
  <c r="R318" i="15" s="1"/>
  <c r="A318" i="21"/>
  <c r="A318" i="22"/>
  <c r="A322" i="15"/>
  <c r="R322" i="15" s="1"/>
  <c r="A322" i="21"/>
  <c r="A322" i="22"/>
  <c r="A326" i="15"/>
  <c r="R326" i="15" s="1"/>
  <c r="A326" i="21"/>
  <c r="A326" i="22"/>
  <c r="A330" i="15"/>
  <c r="R330" i="15" s="1"/>
  <c r="A330" i="21"/>
  <c r="A330" i="22"/>
  <c r="A334" i="15"/>
  <c r="R334" i="15" s="1"/>
  <c r="A334" i="21"/>
  <c r="A334" i="22"/>
  <c r="A338" i="15"/>
  <c r="R338" i="15" s="1"/>
  <c r="A338" i="21"/>
  <c r="A338" i="22"/>
  <c r="A342" i="15"/>
  <c r="R342" i="15" s="1"/>
  <c r="A342" i="21"/>
  <c r="A342" i="22"/>
  <c r="A346" i="15"/>
  <c r="R346" i="15" s="1"/>
  <c r="A346" i="21"/>
  <c r="A346" i="22"/>
  <c r="A350" i="15"/>
  <c r="R350" i="15" s="1"/>
  <c r="A350" i="21"/>
  <c r="A350" i="22"/>
  <c r="A354" i="15"/>
  <c r="R354" i="15" s="1"/>
  <c r="A354" i="21"/>
  <c r="A354" i="22"/>
  <c r="A358" i="15"/>
  <c r="R358" i="15" s="1"/>
  <c r="A358" i="21"/>
  <c r="A358" i="22"/>
  <c r="A362" i="15"/>
  <c r="R362" i="15" s="1"/>
  <c r="A362" i="21"/>
  <c r="A362" i="22"/>
  <c r="A366" i="15"/>
  <c r="R366" i="15" s="1"/>
  <c r="A366" i="21"/>
  <c r="A366" i="22"/>
  <c r="A370" i="15"/>
  <c r="R370" i="15" s="1"/>
  <c r="A370" i="21"/>
  <c r="A370" i="22"/>
  <c r="A374" i="15"/>
  <c r="R374" i="15" s="1"/>
  <c r="A374" i="21"/>
  <c r="A374" i="22"/>
  <c r="A378" i="15"/>
  <c r="R378" i="15" s="1"/>
  <c r="A378" i="21"/>
  <c r="A378" i="22"/>
  <c r="A382" i="15"/>
  <c r="R382" i="15" s="1"/>
  <c r="A382" i="21"/>
  <c r="A382" i="22"/>
  <c r="A386" i="15"/>
  <c r="R386" i="15" s="1"/>
  <c r="A386" i="21"/>
  <c r="A386" i="22"/>
  <c r="A390" i="15"/>
  <c r="R390" i="15" s="1"/>
  <c r="A390" i="21"/>
  <c r="A390" i="22"/>
  <c r="A394" i="15"/>
  <c r="R394" i="15" s="1"/>
  <c r="A394" i="21"/>
  <c r="A394" i="22"/>
  <c r="A398" i="15"/>
  <c r="R398" i="15" s="1"/>
  <c r="A398" i="21"/>
  <c r="A398" i="22"/>
  <c r="A402" i="15"/>
  <c r="R402" i="15" s="1"/>
  <c r="A402" i="21"/>
  <c r="A402" i="22"/>
  <c r="A406" i="15"/>
  <c r="R406" i="15" s="1"/>
  <c r="A406" i="21"/>
  <c r="A406" i="22"/>
  <c r="A410" i="15"/>
  <c r="R410" i="15" s="1"/>
  <c r="A410" i="21"/>
  <c r="A410" i="22"/>
  <c r="A414" i="15"/>
  <c r="R414" i="15" s="1"/>
  <c r="A414" i="21"/>
  <c r="A414" i="22"/>
  <c r="A418" i="15"/>
  <c r="R418" i="15" s="1"/>
  <c r="A418" i="21"/>
  <c r="A418" i="22"/>
  <c r="A422" i="15"/>
  <c r="R422" i="15" s="1"/>
  <c r="A422" i="21"/>
  <c r="A422" i="22"/>
  <c r="A426" i="15"/>
  <c r="R426" i="15" s="1"/>
  <c r="A426" i="21"/>
  <c r="A426" i="22"/>
  <c r="A430" i="15"/>
  <c r="R430" i="15" s="1"/>
  <c r="A430" i="21"/>
  <c r="A430" i="22"/>
  <c r="A434" i="15"/>
  <c r="R434" i="15" s="1"/>
  <c r="A434" i="21"/>
  <c r="A434" i="22"/>
  <c r="A438" i="15"/>
  <c r="R438" i="15" s="1"/>
  <c r="A438" i="21"/>
  <c r="A438" i="22"/>
  <c r="B48" i="15"/>
  <c r="B48" i="21"/>
  <c r="B48" i="22"/>
  <c r="B93" i="15"/>
  <c r="B93" i="21"/>
  <c r="B93" i="22"/>
  <c r="A129" i="15"/>
  <c r="R129" i="15" s="1"/>
  <c r="A129" i="22"/>
  <c r="A129" i="21"/>
  <c r="B167" i="15"/>
  <c r="B167" i="22"/>
  <c r="B167" i="21"/>
  <c r="B195" i="15"/>
  <c r="B195" i="21"/>
  <c r="B195" i="22"/>
  <c r="B211" i="15"/>
  <c r="B211" i="21"/>
  <c r="B211" i="22"/>
  <c r="B247" i="15"/>
  <c r="B247" i="21"/>
  <c r="B247" i="22"/>
  <c r="B271" i="15"/>
  <c r="B271" i="21"/>
  <c r="B271" i="22"/>
  <c r="B299" i="15"/>
  <c r="B299" i="21"/>
  <c r="B299" i="22"/>
  <c r="B331" i="15"/>
  <c r="B331" i="21"/>
  <c r="B331" i="22"/>
  <c r="B375" i="15"/>
  <c r="B375" i="21"/>
  <c r="B375" i="22"/>
  <c r="B407" i="15"/>
  <c r="B407" i="21"/>
  <c r="B407" i="22"/>
  <c r="B427" i="15"/>
  <c r="B427" i="21"/>
  <c r="B427" i="22"/>
  <c r="R471" i="15"/>
  <c r="R555" i="15"/>
  <c r="B6" i="15"/>
  <c r="B6" i="21"/>
  <c r="B6" i="22"/>
  <c r="B14" i="15"/>
  <c r="B14" i="21"/>
  <c r="B14" i="22"/>
  <c r="B31" i="15"/>
  <c r="B31" i="22"/>
  <c r="B31" i="21"/>
  <c r="B39" i="15"/>
  <c r="B39" i="22"/>
  <c r="B39" i="21"/>
  <c r="B47" i="15"/>
  <c r="B47" i="21"/>
  <c r="B47" i="22"/>
  <c r="B51" i="15"/>
  <c r="B51" i="21"/>
  <c r="B51" i="22"/>
  <c r="B68" i="15"/>
  <c r="B68" i="21"/>
  <c r="B68" i="22"/>
  <c r="B72" i="15"/>
  <c r="B72" i="21"/>
  <c r="B72" i="22"/>
  <c r="B76" i="15"/>
  <c r="B76" i="21"/>
  <c r="B76" i="22"/>
  <c r="B80" i="15"/>
  <c r="B80" i="21"/>
  <c r="B80" i="22"/>
  <c r="B84" i="15"/>
  <c r="B84" i="21"/>
  <c r="B84" i="22"/>
  <c r="B88" i="15"/>
  <c r="B88" i="21"/>
  <c r="B88" i="22"/>
  <c r="B92" i="15"/>
  <c r="B92" i="21"/>
  <c r="B92" i="22"/>
  <c r="B96" i="15"/>
  <c r="B96" i="21"/>
  <c r="B96" i="22"/>
  <c r="B100" i="15"/>
  <c r="B100" i="21"/>
  <c r="B100" i="22"/>
  <c r="B104" i="15"/>
  <c r="B104" i="21"/>
  <c r="B104" i="22"/>
  <c r="B108" i="15"/>
  <c r="B108" i="21"/>
  <c r="B108" i="22"/>
  <c r="B112" i="15"/>
  <c r="B112" i="21"/>
  <c r="B112" i="22"/>
  <c r="A119" i="15"/>
  <c r="R119" i="15" s="1"/>
  <c r="A119" i="21"/>
  <c r="A119" i="22"/>
  <c r="A127" i="15"/>
  <c r="R127" i="15" s="1"/>
  <c r="A127" i="21"/>
  <c r="A127" i="22"/>
  <c r="A135" i="15"/>
  <c r="R135" i="15" s="1"/>
  <c r="A135" i="21"/>
  <c r="A135" i="22"/>
  <c r="A143" i="15"/>
  <c r="R143" i="15" s="1"/>
  <c r="A143" i="21"/>
  <c r="A143" i="22"/>
  <c r="B149" i="15"/>
  <c r="B149" i="21"/>
  <c r="B149" i="22"/>
  <c r="B154" i="15"/>
  <c r="B154" i="21"/>
  <c r="B154" i="22"/>
  <c r="B158" i="15"/>
  <c r="B158" i="21"/>
  <c r="B158" i="22"/>
  <c r="B162" i="15"/>
  <c r="B162" i="21"/>
  <c r="B162" i="22"/>
  <c r="B166" i="15"/>
  <c r="B166" i="21"/>
  <c r="B166" i="22"/>
  <c r="B170" i="15"/>
  <c r="B170" i="21"/>
  <c r="B170" i="22"/>
  <c r="B174" i="15"/>
  <c r="B174" i="21"/>
  <c r="B174" i="22"/>
  <c r="B178" i="15"/>
  <c r="B178" i="21"/>
  <c r="B178" i="22"/>
  <c r="B182" i="15"/>
  <c r="B182" i="21"/>
  <c r="B182" i="22"/>
  <c r="B186" i="15"/>
  <c r="B186" i="21"/>
  <c r="B186" i="22"/>
  <c r="B190" i="15"/>
  <c r="B190" i="21"/>
  <c r="B190" i="22"/>
  <c r="B194" i="15"/>
  <c r="B194" i="21"/>
  <c r="B194" i="22"/>
  <c r="B198" i="15"/>
  <c r="B198" i="21"/>
  <c r="B198" i="22"/>
  <c r="B202" i="15"/>
  <c r="B202" i="21"/>
  <c r="B202" i="22"/>
  <c r="B206" i="15"/>
  <c r="B206" i="21"/>
  <c r="B206" i="22"/>
  <c r="B210" i="15"/>
  <c r="B210" i="21"/>
  <c r="B210" i="22"/>
  <c r="B214" i="21"/>
  <c r="B214" i="22"/>
  <c r="B214" i="15"/>
  <c r="B218" i="15"/>
  <c r="B218" i="21"/>
  <c r="B218" i="22"/>
  <c r="B222" i="15"/>
  <c r="B222" i="21"/>
  <c r="B222" i="22"/>
  <c r="B226" i="15"/>
  <c r="B226" i="21"/>
  <c r="B226" i="22"/>
  <c r="B230" i="15"/>
  <c r="B230" i="21"/>
  <c r="B230" i="22"/>
  <c r="B234" i="15"/>
  <c r="B234" i="21"/>
  <c r="B234" i="22"/>
  <c r="B238" i="15"/>
  <c r="B238" i="21"/>
  <c r="B238" i="22"/>
  <c r="B242" i="15"/>
  <c r="B242" i="21"/>
  <c r="B242" i="22"/>
  <c r="B246" i="15"/>
  <c r="B246" i="21"/>
  <c r="B246" i="22"/>
  <c r="B250" i="15"/>
  <c r="B250" i="21"/>
  <c r="B250" i="22"/>
  <c r="B254" i="15"/>
  <c r="B254" i="21"/>
  <c r="B254" i="22"/>
  <c r="B258" i="15"/>
  <c r="B258" i="21"/>
  <c r="B258" i="22"/>
  <c r="B262" i="21"/>
  <c r="B262" i="15"/>
  <c r="B262" i="22"/>
  <c r="B266" i="15"/>
  <c r="B266" i="21"/>
  <c r="B266" i="22"/>
  <c r="B270" i="15"/>
  <c r="B270" i="21"/>
  <c r="B270" i="22"/>
  <c r="B274" i="15"/>
  <c r="B274" i="21"/>
  <c r="B274" i="22"/>
  <c r="B278" i="15"/>
  <c r="B278" i="21"/>
  <c r="B278" i="22"/>
  <c r="B282" i="15"/>
  <c r="B282" i="21"/>
  <c r="B282" i="22"/>
  <c r="B286" i="15"/>
  <c r="B286" i="21"/>
  <c r="B286" i="22"/>
  <c r="B290" i="15"/>
  <c r="B290" i="21"/>
  <c r="B290" i="22"/>
  <c r="B294" i="15"/>
  <c r="B294" i="21"/>
  <c r="B294" i="22"/>
  <c r="B298" i="15"/>
  <c r="B298" i="21"/>
  <c r="B298" i="22"/>
  <c r="B302" i="21"/>
  <c r="B302" i="15"/>
  <c r="B302" i="22"/>
  <c r="B306" i="15"/>
  <c r="B306" i="21"/>
  <c r="B306" i="22"/>
  <c r="B310" i="15"/>
  <c r="B310" i="21"/>
  <c r="B310" i="22"/>
  <c r="B314" i="15"/>
  <c r="B314" i="21"/>
  <c r="B314" i="22"/>
  <c r="B318" i="15"/>
  <c r="B318" i="21"/>
  <c r="B318" i="22"/>
  <c r="B322" i="15"/>
  <c r="B322" i="21"/>
  <c r="B322" i="22"/>
  <c r="B326" i="15"/>
  <c r="B326" i="21"/>
  <c r="B326" i="22"/>
  <c r="B330" i="21"/>
  <c r="B330" i="15"/>
  <c r="B330" i="22"/>
  <c r="B334" i="15"/>
  <c r="B334" i="21"/>
  <c r="B334" i="22"/>
  <c r="B338" i="15"/>
  <c r="B338" i="21"/>
  <c r="B338" i="22"/>
  <c r="B342" i="15"/>
  <c r="B342" i="21"/>
  <c r="B342" i="22"/>
  <c r="B346" i="15"/>
  <c r="B346" i="21"/>
  <c r="B346" i="22"/>
  <c r="B350" i="15"/>
  <c r="B350" i="21"/>
  <c r="B350" i="22"/>
  <c r="B354" i="15"/>
  <c r="B354" i="21"/>
  <c r="B354" i="22"/>
  <c r="B358" i="15"/>
  <c r="B358" i="21"/>
  <c r="B358" i="22"/>
  <c r="B362" i="15"/>
  <c r="B362" i="21"/>
  <c r="B362" i="22"/>
  <c r="B366" i="15"/>
  <c r="B366" i="21"/>
  <c r="B366" i="22"/>
  <c r="B370" i="15"/>
  <c r="B370" i="21"/>
  <c r="B370" i="22"/>
  <c r="B374" i="15"/>
  <c r="B374" i="21"/>
  <c r="B374" i="22"/>
  <c r="B378" i="15"/>
  <c r="B378" i="21"/>
  <c r="B378" i="22"/>
  <c r="B382" i="15"/>
  <c r="B382" i="21"/>
  <c r="B382" i="22"/>
  <c r="B386" i="15"/>
  <c r="B386" i="21"/>
  <c r="B386" i="22"/>
  <c r="B390" i="15"/>
  <c r="B390" i="21"/>
  <c r="B390" i="22"/>
  <c r="B394" i="21"/>
  <c r="B394" i="15"/>
  <c r="B394" i="22"/>
  <c r="B398" i="15"/>
  <c r="B398" i="21"/>
  <c r="B398" i="22"/>
  <c r="B402" i="15"/>
  <c r="B402" i="21"/>
  <c r="B402" i="22"/>
  <c r="B406" i="15"/>
  <c r="B406" i="21"/>
  <c r="B406" i="22"/>
  <c r="B410" i="15"/>
  <c r="B410" i="21"/>
  <c r="B410" i="22"/>
  <c r="B414" i="15"/>
  <c r="B414" i="21"/>
  <c r="B414" i="22"/>
  <c r="B418" i="15"/>
  <c r="B418" i="21"/>
  <c r="B418" i="22"/>
  <c r="B422" i="15"/>
  <c r="B422" i="21"/>
  <c r="B422" i="22"/>
  <c r="B426" i="15"/>
  <c r="B426" i="21"/>
  <c r="B426" i="22"/>
  <c r="B430" i="15"/>
  <c r="B430" i="21"/>
  <c r="B430" i="22"/>
  <c r="B434" i="15"/>
  <c r="B434" i="21"/>
  <c r="B434" i="22"/>
  <c r="B438" i="15"/>
  <c r="B438" i="21"/>
  <c r="B438" i="22"/>
  <c r="R454" i="15"/>
  <c r="R458" i="15"/>
  <c r="R462" i="15"/>
  <c r="R466" i="15"/>
  <c r="R470" i="15"/>
  <c r="R474" i="15"/>
  <c r="R478" i="15"/>
  <c r="R482" i="15"/>
  <c r="R486" i="15"/>
  <c r="R490" i="15"/>
  <c r="R494" i="15"/>
  <c r="R498" i="15"/>
  <c r="R502" i="15"/>
  <c r="R506" i="15"/>
  <c r="R510" i="15"/>
  <c r="R514" i="15"/>
  <c r="R518" i="15"/>
  <c r="R522" i="15"/>
  <c r="R526" i="15"/>
  <c r="R530" i="15"/>
  <c r="R534" i="15"/>
  <c r="R538" i="15"/>
  <c r="R542" i="15"/>
  <c r="R546" i="15"/>
  <c r="R550" i="15"/>
  <c r="R554" i="15"/>
  <c r="R558" i="15"/>
  <c r="R562" i="15"/>
  <c r="R566" i="15"/>
  <c r="R570" i="15"/>
  <c r="A4" i="15"/>
  <c r="R4" i="15" s="1"/>
  <c r="M4" i="15"/>
  <c r="B4" i="15"/>
  <c r="A4" i="22"/>
  <c r="B4" i="22"/>
  <c r="S542" i="15" l="1"/>
  <c r="T542" i="15"/>
  <c r="S510" i="15"/>
  <c r="T510" i="15"/>
  <c r="S143" i="15"/>
  <c r="T143" i="15"/>
  <c r="S418" i="15"/>
  <c r="T418" i="15"/>
  <c r="S386" i="15"/>
  <c r="T386" i="15"/>
  <c r="S354" i="15"/>
  <c r="T354" i="15"/>
  <c r="S322" i="15"/>
  <c r="T322" i="15"/>
  <c r="T290" i="15"/>
  <c r="S290" i="15"/>
  <c r="S258" i="15"/>
  <c r="T258" i="15"/>
  <c r="S226" i="15"/>
  <c r="T226" i="15"/>
  <c r="S194" i="15"/>
  <c r="T194" i="15"/>
  <c r="S162" i="15"/>
  <c r="T162" i="15"/>
  <c r="S126" i="15"/>
  <c r="T126" i="15"/>
  <c r="S112" i="15"/>
  <c r="T112" i="15"/>
  <c r="S80" i="15"/>
  <c r="T80" i="15"/>
  <c r="T39" i="15"/>
  <c r="S39" i="15"/>
  <c r="T547" i="15"/>
  <c r="S547" i="15"/>
  <c r="S505" i="15"/>
  <c r="T505" i="15"/>
  <c r="S493" i="15"/>
  <c r="T493" i="15"/>
  <c r="T473" i="15"/>
  <c r="S473" i="15"/>
  <c r="S461" i="15"/>
  <c r="T461" i="15"/>
  <c r="S133" i="15"/>
  <c r="T133" i="15"/>
  <c r="T417" i="15"/>
  <c r="S417" i="15"/>
  <c r="S385" i="15"/>
  <c r="T385" i="15"/>
  <c r="T353" i="15"/>
  <c r="S353" i="15"/>
  <c r="S321" i="15"/>
  <c r="T321" i="15"/>
  <c r="S289" i="15"/>
  <c r="T289" i="15"/>
  <c r="S257" i="15"/>
  <c r="T257" i="15"/>
  <c r="S225" i="15"/>
  <c r="T225" i="15"/>
  <c r="S193" i="15"/>
  <c r="T193" i="15"/>
  <c r="S161" i="15"/>
  <c r="T161" i="15"/>
  <c r="T111" i="15"/>
  <c r="S111" i="15"/>
  <c r="T79" i="15"/>
  <c r="S79" i="15"/>
  <c r="S38" i="15"/>
  <c r="T38" i="15"/>
  <c r="T540" i="15"/>
  <c r="S540" i="15"/>
  <c r="S508" i="15"/>
  <c r="T508" i="15"/>
  <c r="T476" i="15"/>
  <c r="S476" i="15"/>
  <c r="T139" i="15"/>
  <c r="S139" i="15"/>
  <c r="S428" i="15"/>
  <c r="T428" i="15"/>
  <c r="T396" i="15"/>
  <c r="S396" i="15"/>
  <c r="T364" i="15"/>
  <c r="S364" i="15"/>
  <c r="S332" i="15"/>
  <c r="T332" i="15"/>
  <c r="T300" i="15"/>
  <c r="S300" i="15"/>
  <c r="T268" i="15"/>
  <c r="S268" i="15"/>
  <c r="T236" i="15"/>
  <c r="S236" i="15"/>
  <c r="T204" i="15"/>
  <c r="S204" i="15"/>
  <c r="T172" i="15"/>
  <c r="S172" i="15"/>
  <c r="T130" i="15"/>
  <c r="S130" i="15"/>
  <c r="T90" i="15"/>
  <c r="S90" i="15"/>
  <c r="T49" i="15"/>
  <c r="S49" i="15"/>
  <c r="S8" i="15"/>
  <c r="T8" i="15"/>
  <c r="S423" i="15"/>
  <c r="T423" i="15"/>
  <c r="S391" i="15"/>
  <c r="T391" i="15"/>
  <c r="S359" i="15"/>
  <c r="T359" i="15"/>
  <c r="S327" i="15"/>
  <c r="T327" i="15"/>
  <c r="T295" i="15"/>
  <c r="S295" i="15"/>
  <c r="T263" i="15"/>
  <c r="S263" i="15"/>
  <c r="S231" i="15"/>
  <c r="T231" i="15"/>
  <c r="S199" i="15"/>
  <c r="T199" i="15"/>
  <c r="S167" i="15"/>
  <c r="T167" i="15"/>
  <c r="S120" i="15"/>
  <c r="T120" i="15"/>
  <c r="S85" i="15"/>
  <c r="T85" i="15"/>
  <c r="T44" i="15"/>
  <c r="S44" i="15"/>
  <c r="S534" i="15"/>
  <c r="T534" i="15"/>
  <c r="S562" i="15"/>
  <c r="T562" i="15"/>
  <c r="S530" i="15"/>
  <c r="T530" i="15"/>
  <c r="S498" i="15"/>
  <c r="T498" i="15"/>
  <c r="S466" i="15"/>
  <c r="T466" i="15"/>
  <c r="T119" i="15"/>
  <c r="S119" i="15"/>
  <c r="S438" i="15"/>
  <c r="T438" i="15"/>
  <c r="S406" i="15"/>
  <c r="T406" i="15"/>
  <c r="S374" i="15"/>
  <c r="T374" i="15"/>
  <c r="T342" i="15"/>
  <c r="S342" i="15"/>
  <c r="T310" i="15"/>
  <c r="S310" i="15"/>
  <c r="T278" i="15"/>
  <c r="S278" i="15"/>
  <c r="T246" i="15"/>
  <c r="S246" i="15"/>
  <c r="S214" i="15"/>
  <c r="T214" i="15"/>
  <c r="S182" i="15"/>
  <c r="T182" i="15"/>
  <c r="S149" i="15"/>
  <c r="T149" i="15"/>
  <c r="T100" i="15"/>
  <c r="S100" i="15"/>
  <c r="T68" i="15"/>
  <c r="S68" i="15"/>
  <c r="S18" i="15"/>
  <c r="T18" i="15"/>
  <c r="T503" i="15"/>
  <c r="S503" i="15"/>
  <c r="S557" i="15"/>
  <c r="T557" i="15"/>
  <c r="S525" i="15"/>
  <c r="T525" i="15"/>
  <c r="T543" i="15"/>
  <c r="S543" i="15"/>
  <c r="S437" i="15"/>
  <c r="T437" i="15"/>
  <c r="T405" i="15"/>
  <c r="S405" i="15"/>
  <c r="T373" i="15"/>
  <c r="S373" i="15"/>
  <c r="T341" i="15"/>
  <c r="S341" i="15"/>
  <c r="T309" i="15"/>
  <c r="S309" i="15"/>
  <c r="T277" i="15"/>
  <c r="S277" i="15"/>
  <c r="T245" i="15"/>
  <c r="S245" i="15"/>
  <c r="T213" i="15"/>
  <c r="S213" i="15"/>
  <c r="T181" i="15"/>
  <c r="S181" i="15"/>
  <c r="T148" i="15"/>
  <c r="S148" i="15"/>
  <c r="T99" i="15"/>
  <c r="S99" i="15"/>
  <c r="T67" i="15"/>
  <c r="S67" i="15"/>
  <c r="T17" i="15"/>
  <c r="S17" i="15"/>
  <c r="T560" i="15"/>
  <c r="S560" i="15"/>
  <c r="S528" i="15"/>
  <c r="T528" i="15"/>
  <c r="T496" i="15"/>
  <c r="S496" i="15"/>
  <c r="T464" i="15"/>
  <c r="S464" i="15"/>
  <c r="T523" i="15"/>
  <c r="S523" i="15"/>
  <c r="S416" i="15"/>
  <c r="T416" i="15"/>
  <c r="S384" i="15"/>
  <c r="T384" i="15"/>
  <c r="T352" i="15"/>
  <c r="S352" i="15"/>
  <c r="S320" i="15"/>
  <c r="T320" i="15"/>
  <c r="S288" i="15"/>
  <c r="T288" i="15"/>
  <c r="S256" i="15"/>
  <c r="T256" i="15"/>
  <c r="S224" i="15"/>
  <c r="T224" i="15"/>
  <c r="S192" i="15"/>
  <c r="T192" i="15"/>
  <c r="S160" i="15"/>
  <c r="T160" i="15"/>
  <c r="S110" i="15"/>
  <c r="T110" i="15"/>
  <c r="S78" i="15"/>
  <c r="T78" i="15"/>
  <c r="S37" i="15"/>
  <c r="T37" i="15"/>
  <c r="T539" i="15"/>
  <c r="S539" i="15"/>
  <c r="S121" i="15"/>
  <c r="T121" i="15"/>
  <c r="T411" i="15"/>
  <c r="S411" i="15"/>
  <c r="T379" i="15"/>
  <c r="S379" i="15"/>
  <c r="T347" i="15"/>
  <c r="S347" i="15"/>
  <c r="T315" i="15"/>
  <c r="S315" i="15"/>
  <c r="T283" i="15"/>
  <c r="S283" i="15"/>
  <c r="S251" i="15"/>
  <c r="T251" i="15"/>
  <c r="S219" i="15"/>
  <c r="T219" i="15"/>
  <c r="S187" i="15"/>
  <c r="T187" i="15"/>
  <c r="S155" i="15"/>
  <c r="T155" i="15"/>
  <c r="S105" i="15"/>
  <c r="T105" i="15"/>
  <c r="S73" i="15"/>
  <c r="T73" i="15"/>
  <c r="S32" i="15"/>
  <c r="T32" i="15"/>
  <c r="S550" i="15"/>
  <c r="T550" i="15"/>
  <c r="T518" i="15"/>
  <c r="S518" i="15"/>
  <c r="S486" i="15"/>
  <c r="T486" i="15"/>
  <c r="S454" i="15"/>
  <c r="T454" i="15"/>
  <c r="T555" i="15"/>
  <c r="S555" i="15"/>
  <c r="S426" i="15"/>
  <c r="T426" i="15"/>
  <c r="S394" i="15"/>
  <c r="T394" i="15"/>
  <c r="S362" i="15"/>
  <c r="T362" i="15"/>
  <c r="T330" i="15"/>
  <c r="S330" i="15"/>
  <c r="T298" i="15"/>
  <c r="S298" i="15"/>
  <c r="T266" i="15"/>
  <c r="S266" i="15"/>
  <c r="S234" i="15"/>
  <c r="T234" i="15"/>
  <c r="S202" i="15"/>
  <c r="T202" i="15"/>
  <c r="S170" i="15"/>
  <c r="T170" i="15"/>
  <c r="T108" i="15"/>
  <c r="S108" i="15"/>
  <c r="S88" i="15"/>
  <c r="T88" i="15"/>
  <c r="T47" i="15"/>
  <c r="S47" i="15"/>
  <c r="S6" i="15"/>
  <c r="T6" i="15"/>
  <c r="T545" i="15"/>
  <c r="S545" i="15"/>
  <c r="S513" i="15"/>
  <c r="T513" i="15"/>
  <c r="T481" i="15"/>
  <c r="S481" i="15"/>
  <c r="T479" i="15"/>
  <c r="S479" i="15"/>
  <c r="T425" i="15"/>
  <c r="S425" i="15"/>
  <c r="T393" i="15"/>
  <c r="S393" i="15"/>
  <c r="S361" i="15"/>
  <c r="T361" i="15"/>
  <c r="S329" i="15"/>
  <c r="T329" i="15"/>
  <c r="S297" i="15"/>
  <c r="T297" i="15"/>
  <c r="S265" i="15"/>
  <c r="T265" i="15"/>
  <c r="S233" i="15"/>
  <c r="T233" i="15"/>
  <c r="S201" i="15"/>
  <c r="T201" i="15"/>
  <c r="T189" i="15"/>
  <c r="S189" i="15"/>
  <c r="S169" i="15"/>
  <c r="T169" i="15"/>
  <c r="T124" i="15"/>
  <c r="S124" i="15"/>
  <c r="S87" i="15"/>
  <c r="T87" i="15"/>
  <c r="S46" i="15"/>
  <c r="T46" i="15"/>
  <c r="T511" i="15"/>
  <c r="S511" i="15"/>
  <c r="T548" i="15"/>
  <c r="S548" i="15"/>
  <c r="S516" i="15"/>
  <c r="T516" i="15"/>
  <c r="T484" i="15"/>
  <c r="S484" i="15"/>
  <c r="S441" i="15"/>
  <c r="T441" i="15"/>
  <c r="T467" i="15"/>
  <c r="S467" i="15"/>
  <c r="T436" i="15"/>
  <c r="S436" i="15"/>
  <c r="S404" i="15"/>
  <c r="T404" i="15"/>
  <c r="S372" i="15"/>
  <c r="T372" i="15"/>
  <c r="S340" i="15"/>
  <c r="T340" i="15"/>
  <c r="T308" i="15"/>
  <c r="S308" i="15"/>
  <c r="T276" i="15"/>
  <c r="S276" i="15"/>
  <c r="T244" i="15"/>
  <c r="S244" i="15"/>
  <c r="T212" i="15"/>
  <c r="S212" i="15"/>
  <c r="T180" i="15"/>
  <c r="S180" i="15"/>
  <c r="T146" i="15"/>
  <c r="S146" i="15"/>
  <c r="T98" i="15"/>
  <c r="S98" i="15"/>
  <c r="S57" i="15"/>
  <c r="T57" i="15"/>
  <c r="S16" i="15"/>
  <c r="T16" i="15"/>
  <c r="T495" i="15"/>
  <c r="S495" i="15"/>
  <c r="S431" i="15"/>
  <c r="T431" i="15"/>
  <c r="S399" i="15"/>
  <c r="T399" i="15"/>
  <c r="S367" i="15"/>
  <c r="T367" i="15"/>
  <c r="T335" i="15"/>
  <c r="S335" i="15"/>
  <c r="T303" i="15"/>
  <c r="S303" i="15"/>
  <c r="T271" i="15"/>
  <c r="S271" i="15"/>
  <c r="S247" i="15"/>
  <c r="T247" i="15"/>
  <c r="T239" i="15"/>
  <c r="S239" i="15"/>
  <c r="T207" i="15"/>
  <c r="S207" i="15"/>
  <c r="T175" i="15"/>
  <c r="S175" i="15"/>
  <c r="S136" i="15"/>
  <c r="T136" i="15"/>
  <c r="S101" i="15"/>
  <c r="T101" i="15"/>
  <c r="S93" i="15"/>
  <c r="T93" i="15"/>
  <c r="T52" i="15"/>
  <c r="S52" i="15"/>
  <c r="S11" i="15"/>
  <c r="T11" i="15"/>
  <c r="T475" i="15"/>
  <c r="S475" i="15"/>
  <c r="S570" i="15"/>
  <c r="T570" i="15"/>
  <c r="S538" i="15"/>
  <c r="T538" i="15"/>
  <c r="S506" i="15"/>
  <c r="T506" i="15"/>
  <c r="S474" i="15"/>
  <c r="T474" i="15"/>
  <c r="T135" i="15"/>
  <c r="S135" i="15"/>
  <c r="S414" i="15"/>
  <c r="T414" i="15"/>
  <c r="S382" i="15"/>
  <c r="T382" i="15"/>
  <c r="S350" i="15"/>
  <c r="T350" i="15"/>
  <c r="T318" i="15"/>
  <c r="S318" i="15"/>
  <c r="T286" i="15"/>
  <c r="S286" i="15"/>
  <c r="T254" i="15"/>
  <c r="S254" i="15"/>
  <c r="S222" i="15"/>
  <c r="T222" i="15"/>
  <c r="S190" i="15"/>
  <c r="T190" i="15"/>
  <c r="S158" i="15"/>
  <c r="T158" i="15"/>
  <c r="T76" i="15"/>
  <c r="S76" i="15"/>
  <c r="T35" i="15"/>
  <c r="S35" i="15"/>
  <c r="T531" i="15"/>
  <c r="S531" i="15"/>
  <c r="S565" i="15"/>
  <c r="T565" i="15"/>
  <c r="S533" i="15"/>
  <c r="T533" i="15"/>
  <c r="S501" i="15"/>
  <c r="T501" i="15"/>
  <c r="S469" i="15"/>
  <c r="T469" i="15"/>
  <c r="S125" i="15"/>
  <c r="T125" i="15"/>
  <c r="S413" i="15"/>
  <c r="T413" i="15"/>
  <c r="S381" i="15"/>
  <c r="T381" i="15"/>
  <c r="S349" i="15"/>
  <c r="T349" i="15"/>
  <c r="T317" i="15"/>
  <c r="S317" i="15"/>
  <c r="T285" i="15"/>
  <c r="S285" i="15"/>
  <c r="T253" i="15"/>
  <c r="S253" i="15"/>
  <c r="T221" i="15"/>
  <c r="S221" i="15"/>
  <c r="T157" i="15"/>
  <c r="S157" i="15"/>
  <c r="T107" i="15"/>
  <c r="S107" i="15"/>
  <c r="T75" i="15"/>
  <c r="S75" i="15"/>
  <c r="S34" i="15"/>
  <c r="T34" i="15"/>
  <c r="T568" i="15"/>
  <c r="S568" i="15"/>
  <c r="T536" i="15"/>
  <c r="S536" i="15"/>
  <c r="T504" i="15"/>
  <c r="S504" i="15"/>
  <c r="S472" i="15"/>
  <c r="T472" i="15"/>
  <c r="T131" i="15"/>
  <c r="S131" i="15"/>
  <c r="S424" i="15"/>
  <c r="T424" i="15"/>
  <c r="S392" i="15"/>
  <c r="T392" i="15"/>
  <c r="S360" i="15"/>
  <c r="T360" i="15"/>
  <c r="S328" i="15"/>
  <c r="T328" i="15"/>
  <c r="S296" i="15"/>
  <c r="T296" i="15"/>
  <c r="S264" i="15"/>
  <c r="T264" i="15"/>
  <c r="T252" i="15"/>
  <c r="S252" i="15"/>
  <c r="S232" i="15"/>
  <c r="T232" i="15"/>
  <c r="S200" i="15"/>
  <c r="T200" i="15"/>
  <c r="S168" i="15"/>
  <c r="T168" i="15"/>
  <c r="T122" i="15"/>
  <c r="S122" i="15"/>
  <c r="S86" i="15"/>
  <c r="T86" i="15"/>
  <c r="S45" i="15"/>
  <c r="T45" i="15"/>
  <c r="T559" i="15"/>
  <c r="S559" i="15"/>
  <c r="T419" i="15"/>
  <c r="S419" i="15"/>
  <c r="T387" i="15"/>
  <c r="S387" i="15"/>
  <c r="T355" i="15"/>
  <c r="S355" i="15"/>
  <c r="S323" i="15"/>
  <c r="T323" i="15"/>
  <c r="T291" i="15"/>
  <c r="S291" i="15"/>
  <c r="S259" i="15"/>
  <c r="T259" i="15"/>
  <c r="T227" i="15"/>
  <c r="S227" i="15"/>
  <c r="S195" i="15"/>
  <c r="T195" i="15"/>
  <c r="T163" i="15"/>
  <c r="S163" i="15"/>
  <c r="S113" i="15"/>
  <c r="T113" i="15"/>
  <c r="S81" i="15"/>
  <c r="T81" i="15"/>
  <c r="S40" i="15"/>
  <c r="T40" i="15"/>
  <c r="T19" i="15"/>
  <c r="S19" i="15"/>
  <c r="S558" i="15"/>
  <c r="T558" i="15"/>
  <c r="S526" i="15"/>
  <c r="T526" i="15"/>
  <c r="T494" i="15"/>
  <c r="S494" i="15"/>
  <c r="S462" i="15"/>
  <c r="T462" i="15"/>
  <c r="S434" i="15"/>
  <c r="T434" i="15"/>
  <c r="S402" i="15"/>
  <c r="T402" i="15"/>
  <c r="S370" i="15"/>
  <c r="T370" i="15"/>
  <c r="S338" i="15"/>
  <c r="T338" i="15"/>
  <c r="T306" i="15"/>
  <c r="S306" i="15"/>
  <c r="S274" i="15"/>
  <c r="T274" i="15"/>
  <c r="S242" i="15"/>
  <c r="T242" i="15"/>
  <c r="S210" i="15"/>
  <c r="T210" i="15"/>
  <c r="S178" i="15"/>
  <c r="T178" i="15"/>
  <c r="S154" i="15"/>
  <c r="T154" i="15"/>
  <c r="S142" i="15"/>
  <c r="T142" i="15"/>
  <c r="S96" i="15"/>
  <c r="T96" i="15"/>
  <c r="T55" i="15"/>
  <c r="S55" i="15"/>
  <c r="S14" i="15"/>
  <c r="T14" i="15"/>
  <c r="T487" i="15"/>
  <c r="S487" i="15"/>
  <c r="S553" i="15"/>
  <c r="T553" i="15"/>
  <c r="S521" i="15"/>
  <c r="T521" i="15"/>
  <c r="S489" i="15"/>
  <c r="T489" i="15"/>
  <c r="S457" i="15"/>
  <c r="T457" i="15"/>
  <c r="T527" i="15"/>
  <c r="S527" i="15"/>
  <c r="T433" i="15"/>
  <c r="S433" i="15"/>
  <c r="S401" i="15"/>
  <c r="T401" i="15"/>
  <c r="T369" i="15"/>
  <c r="S369" i="15"/>
  <c r="S337" i="15"/>
  <c r="T337" i="15"/>
  <c r="S305" i="15"/>
  <c r="T305" i="15"/>
  <c r="S273" i="15"/>
  <c r="T273" i="15"/>
  <c r="S241" i="15"/>
  <c r="T241" i="15"/>
  <c r="S209" i="15"/>
  <c r="T209" i="15"/>
  <c r="S177" i="15"/>
  <c r="T177" i="15"/>
  <c r="T140" i="15"/>
  <c r="S140" i="15"/>
  <c r="T95" i="15"/>
  <c r="S95" i="15"/>
  <c r="S54" i="15"/>
  <c r="T54" i="15"/>
  <c r="S5" i="15"/>
  <c r="T5" i="15"/>
  <c r="S145" i="15"/>
  <c r="T145" i="15"/>
  <c r="T556" i="15"/>
  <c r="S556" i="15"/>
  <c r="T524" i="15"/>
  <c r="S524" i="15"/>
  <c r="S492" i="15"/>
  <c r="T492" i="15"/>
  <c r="S460" i="15"/>
  <c r="T460" i="15"/>
  <c r="T507" i="15"/>
  <c r="S507" i="15"/>
  <c r="S412" i="15"/>
  <c r="T412" i="15"/>
  <c r="S380" i="15"/>
  <c r="T380" i="15"/>
  <c r="T348" i="15"/>
  <c r="S348" i="15"/>
  <c r="T316" i="15"/>
  <c r="S316" i="15"/>
  <c r="T284" i="15"/>
  <c r="S284" i="15"/>
  <c r="T220" i="15"/>
  <c r="S220" i="15"/>
  <c r="T188" i="15"/>
  <c r="S188" i="15"/>
  <c r="T156" i="15"/>
  <c r="S156" i="15"/>
  <c r="T106" i="15"/>
  <c r="S106" i="15"/>
  <c r="S74" i="15"/>
  <c r="T74" i="15"/>
  <c r="S33" i="15"/>
  <c r="T33" i="15"/>
  <c r="T535" i="15"/>
  <c r="S535" i="15"/>
  <c r="T439" i="15"/>
  <c r="S439" i="15"/>
  <c r="S407" i="15"/>
  <c r="T407" i="15"/>
  <c r="S375" i="15"/>
  <c r="T375" i="15"/>
  <c r="S343" i="15"/>
  <c r="T343" i="15"/>
  <c r="T311" i="15"/>
  <c r="S311" i="15"/>
  <c r="S279" i="15"/>
  <c r="T279" i="15"/>
  <c r="T215" i="15"/>
  <c r="S215" i="15"/>
  <c r="T183" i="15"/>
  <c r="S183" i="15"/>
  <c r="S150" i="15"/>
  <c r="T150" i="15"/>
  <c r="S69" i="15"/>
  <c r="T69" i="15"/>
  <c r="S7" i="15"/>
  <c r="T7" i="15"/>
  <c r="S546" i="15"/>
  <c r="T546" i="15"/>
  <c r="S514" i="15"/>
  <c r="T514" i="15"/>
  <c r="S482" i="15"/>
  <c r="T482" i="15"/>
  <c r="T471" i="15"/>
  <c r="S471" i="15"/>
  <c r="S422" i="15"/>
  <c r="T422" i="15"/>
  <c r="S390" i="15"/>
  <c r="T390" i="15"/>
  <c r="S358" i="15"/>
  <c r="T358" i="15"/>
  <c r="T326" i="15"/>
  <c r="S326" i="15"/>
  <c r="T294" i="15"/>
  <c r="S294" i="15"/>
  <c r="T262" i="15"/>
  <c r="S262" i="15"/>
  <c r="T230" i="15"/>
  <c r="S230" i="15"/>
  <c r="S198" i="15"/>
  <c r="T198" i="15"/>
  <c r="S166" i="15"/>
  <c r="T166" i="15"/>
  <c r="S118" i="15"/>
  <c r="T118" i="15"/>
  <c r="T84" i="15"/>
  <c r="S84" i="15"/>
  <c r="S43" i="15"/>
  <c r="T43" i="15"/>
  <c r="S13" i="15"/>
  <c r="T13" i="15"/>
  <c r="S561" i="15"/>
  <c r="T561" i="15"/>
  <c r="S541" i="15"/>
  <c r="T541" i="15"/>
  <c r="T529" i="15"/>
  <c r="S529" i="15"/>
  <c r="S509" i="15"/>
  <c r="T509" i="15"/>
  <c r="S477" i="15"/>
  <c r="T477" i="15"/>
  <c r="S141" i="15"/>
  <c r="T141" i="15"/>
  <c r="T459" i="15"/>
  <c r="S459" i="15"/>
  <c r="S421" i="15"/>
  <c r="T421" i="15"/>
  <c r="T389" i="15"/>
  <c r="S389" i="15"/>
  <c r="T357" i="15"/>
  <c r="S357" i="15"/>
  <c r="T325" i="15"/>
  <c r="S325" i="15"/>
  <c r="T293" i="15"/>
  <c r="S293" i="15"/>
  <c r="T261" i="15"/>
  <c r="S261" i="15"/>
  <c r="T229" i="15"/>
  <c r="S229" i="15"/>
  <c r="T197" i="15"/>
  <c r="S197" i="15"/>
  <c r="T165" i="15"/>
  <c r="S165" i="15"/>
  <c r="S115" i="15"/>
  <c r="T115" i="15"/>
  <c r="S83" i="15"/>
  <c r="T83" i="15"/>
  <c r="S42" i="15"/>
  <c r="T42" i="15"/>
  <c r="T483" i="15"/>
  <c r="S483" i="15"/>
  <c r="S544" i="15"/>
  <c r="T544" i="15"/>
  <c r="T512" i="15"/>
  <c r="S512" i="15"/>
  <c r="S480" i="15"/>
  <c r="T480" i="15"/>
  <c r="T147" i="15"/>
  <c r="S147" i="15"/>
  <c r="S432" i="15"/>
  <c r="T432" i="15"/>
  <c r="T400" i="15"/>
  <c r="S400" i="15"/>
  <c r="T368" i="15"/>
  <c r="S368" i="15"/>
  <c r="S336" i="15"/>
  <c r="T336" i="15"/>
  <c r="S304" i="15"/>
  <c r="T304" i="15"/>
  <c r="S272" i="15"/>
  <c r="T272" i="15"/>
  <c r="S240" i="15"/>
  <c r="T240" i="15"/>
  <c r="S208" i="15"/>
  <c r="T208" i="15"/>
  <c r="S176" i="15"/>
  <c r="T176" i="15"/>
  <c r="T138" i="15"/>
  <c r="S138" i="15"/>
  <c r="S94" i="15"/>
  <c r="T94" i="15"/>
  <c r="S53" i="15"/>
  <c r="T53" i="15"/>
  <c r="T12" i="15"/>
  <c r="S12" i="15"/>
  <c r="T427" i="15"/>
  <c r="S427" i="15"/>
  <c r="T395" i="15"/>
  <c r="S395" i="15"/>
  <c r="T363" i="15"/>
  <c r="S363" i="15"/>
  <c r="T331" i="15"/>
  <c r="S331" i="15"/>
  <c r="T299" i="15"/>
  <c r="S299" i="15"/>
  <c r="T267" i="15"/>
  <c r="S267" i="15"/>
  <c r="S235" i="15"/>
  <c r="T235" i="15"/>
  <c r="T203" i="15"/>
  <c r="S203" i="15"/>
  <c r="S171" i="15"/>
  <c r="T171" i="15"/>
  <c r="S128" i="15"/>
  <c r="T128" i="15"/>
  <c r="S89" i="15"/>
  <c r="T89" i="15"/>
  <c r="S48" i="15"/>
  <c r="T48" i="15"/>
  <c r="T455" i="15"/>
  <c r="S455" i="15"/>
  <c r="S502" i="15"/>
  <c r="T502" i="15"/>
  <c r="T470" i="15"/>
  <c r="S470" i="15"/>
  <c r="T127" i="15"/>
  <c r="S127" i="15"/>
  <c r="S129" i="15"/>
  <c r="T129" i="15"/>
  <c r="S410" i="15"/>
  <c r="T410" i="15"/>
  <c r="S378" i="15"/>
  <c r="T378" i="15"/>
  <c r="S346" i="15"/>
  <c r="T346" i="15"/>
  <c r="T314" i="15"/>
  <c r="S314" i="15"/>
  <c r="T282" i="15"/>
  <c r="S282" i="15"/>
  <c r="S250" i="15"/>
  <c r="T250" i="15"/>
  <c r="S218" i="15"/>
  <c r="T218" i="15"/>
  <c r="S186" i="15"/>
  <c r="T186" i="15"/>
  <c r="S104" i="15"/>
  <c r="T104" i="15"/>
  <c r="S72" i="15"/>
  <c r="T72" i="15"/>
  <c r="T31" i="15"/>
  <c r="S31" i="15"/>
  <c r="T519" i="15"/>
  <c r="S519" i="15"/>
  <c r="S497" i="15"/>
  <c r="T497" i="15"/>
  <c r="S465" i="15"/>
  <c r="T465" i="15"/>
  <c r="S117" i="15"/>
  <c r="T117" i="15"/>
  <c r="S9" i="15"/>
  <c r="T9" i="15"/>
  <c r="S137" i="15"/>
  <c r="T137" i="15"/>
  <c r="S442" i="15"/>
  <c r="T442" i="15"/>
  <c r="T409" i="15"/>
  <c r="S409" i="15"/>
  <c r="T377" i="15"/>
  <c r="S377" i="15"/>
  <c r="T365" i="15"/>
  <c r="S365" i="15"/>
  <c r="S345" i="15"/>
  <c r="T345" i="15"/>
  <c r="S313" i="15"/>
  <c r="T313" i="15"/>
  <c r="S281" i="15"/>
  <c r="T281" i="15"/>
  <c r="S249" i="15"/>
  <c r="T249" i="15"/>
  <c r="S217" i="15"/>
  <c r="T217" i="15"/>
  <c r="S185" i="15"/>
  <c r="T185" i="15"/>
  <c r="S153" i="15"/>
  <c r="T153" i="15"/>
  <c r="T103" i="15"/>
  <c r="S103" i="15"/>
  <c r="T71" i="15"/>
  <c r="S71" i="15"/>
  <c r="S21" i="15"/>
  <c r="T21" i="15"/>
  <c r="S564" i="15"/>
  <c r="T564" i="15"/>
  <c r="T532" i="15"/>
  <c r="S532" i="15"/>
  <c r="S500" i="15"/>
  <c r="T500" i="15"/>
  <c r="S468" i="15"/>
  <c r="T468" i="15"/>
  <c r="T123" i="15"/>
  <c r="S123" i="15"/>
  <c r="T567" i="15"/>
  <c r="S567" i="15"/>
  <c r="T420" i="15"/>
  <c r="S420" i="15"/>
  <c r="T388" i="15"/>
  <c r="S388" i="15"/>
  <c r="S356" i="15"/>
  <c r="T356" i="15"/>
  <c r="S324" i="15"/>
  <c r="T324" i="15"/>
  <c r="T292" i="15"/>
  <c r="S292" i="15"/>
  <c r="T260" i="15"/>
  <c r="S260" i="15"/>
  <c r="T228" i="15"/>
  <c r="S228" i="15"/>
  <c r="T196" i="15"/>
  <c r="S196" i="15"/>
  <c r="T164" i="15"/>
  <c r="S164" i="15"/>
  <c r="T114" i="15"/>
  <c r="S114" i="15"/>
  <c r="T82" i="15"/>
  <c r="S82" i="15"/>
  <c r="S41" i="15"/>
  <c r="T41" i="15"/>
  <c r="T551" i="15"/>
  <c r="S551" i="15"/>
  <c r="S415" i="15"/>
  <c r="T415" i="15"/>
  <c r="S383" i="15"/>
  <c r="T383" i="15"/>
  <c r="S351" i="15"/>
  <c r="T351" i="15"/>
  <c r="T319" i="15"/>
  <c r="S319" i="15"/>
  <c r="T287" i="15"/>
  <c r="S287" i="15"/>
  <c r="T255" i="15"/>
  <c r="S255" i="15"/>
  <c r="T223" i="15"/>
  <c r="S223" i="15"/>
  <c r="T191" i="15"/>
  <c r="S191" i="15"/>
  <c r="T179" i="15"/>
  <c r="S179" i="15"/>
  <c r="T159" i="15"/>
  <c r="S159" i="15"/>
  <c r="S109" i="15"/>
  <c r="T109" i="15"/>
  <c r="S77" i="15"/>
  <c r="T77" i="15"/>
  <c r="T36" i="15"/>
  <c r="S36" i="15"/>
  <c r="S566" i="15"/>
  <c r="T566" i="15"/>
  <c r="S554" i="15"/>
  <c r="T554" i="15"/>
  <c r="S522" i="15"/>
  <c r="T522" i="15"/>
  <c r="S490" i="15"/>
  <c r="T490" i="15"/>
  <c r="S478" i="15"/>
  <c r="T478" i="15"/>
  <c r="S458" i="15"/>
  <c r="T458" i="15"/>
  <c r="S430" i="15"/>
  <c r="T430" i="15"/>
  <c r="S398" i="15"/>
  <c r="T398" i="15"/>
  <c r="S366" i="15"/>
  <c r="T366" i="15"/>
  <c r="T334" i="15"/>
  <c r="S334" i="15"/>
  <c r="T302" i="15"/>
  <c r="S302" i="15"/>
  <c r="T270" i="15"/>
  <c r="S270" i="15"/>
  <c r="T238" i="15"/>
  <c r="S238" i="15"/>
  <c r="S206" i="15"/>
  <c r="T206" i="15"/>
  <c r="S174" i="15"/>
  <c r="T174" i="15"/>
  <c r="S134" i="15"/>
  <c r="T134" i="15"/>
  <c r="T92" i="15"/>
  <c r="S92" i="15"/>
  <c r="T51" i="15"/>
  <c r="S51" i="15"/>
  <c r="S10" i="15"/>
  <c r="T10" i="15"/>
  <c r="T463" i="15"/>
  <c r="S463" i="15"/>
  <c r="S569" i="15"/>
  <c r="T569" i="15"/>
  <c r="S549" i="15"/>
  <c r="T549" i="15"/>
  <c r="S537" i="15"/>
  <c r="T537" i="15"/>
  <c r="S517" i="15"/>
  <c r="T517" i="15"/>
  <c r="S485" i="15"/>
  <c r="T485" i="15"/>
  <c r="S453" i="15"/>
  <c r="T453" i="15"/>
  <c r="T499" i="15"/>
  <c r="S499" i="15"/>
  <c r="S429" i="15"/>
  <c r="T429" i="15"/>
  <c r="T397" i="15"/>
  <c r="S397" i="15"/>
  <c r="T333" i="15"/>
  <c r="S333" i="15"/>
  <c r="T301" i="15"/>
  <c r="S301" i="15"/>
  <c r="T269" i="15"/>
  <c r="S269" i="15"/>
  <c r="T237" i="15"/>
  <c r="S237" i="15"/>
  <c r="T205" i="15"/>
  <c r="S205" i="15"/>
  <c r="T173" i="15"/>
  <c r="S173" i="15"/>
  <c r="T132" i="15"/>
  <c r="S132" i="15"/>
  <c r="T91" i="15"/>
  <c r="S91" i="15"/>
  <c r="S50" i="15"/>
  <c r="T50" i="15"/>
  <c r="T571" i="15"/>
  <c r="S571" i="15"/>
  <c r="T552" i="15"/>
  <c r="S552" i="15"/>
  <c r="T520" i="15"/>
  <c r="S520" i="15"/>
  <c r="T488" i="15"/>
  <c r="S488" i="15"/>
  <c r="T456" i="15"/>
  <c r="S456" i="15"/>
  <c r="T491" i="15"/>
  <c r="S491" i="15"/>
  <c r="S440" i="15"/>
  <c r="T440" i="15"/>
  <c r="S408" i="15"/>
  <c r="T408" i="15"/>
  <c r="S376" i="15"/>
  <c r="T376" i="15"/>
  <c r="S344" i="15"/>
  <c r="T344" i="15"/>
  <c r="S312" i="15"/>
  <c r="T312" i="15"/>
  <c r="S280" i="15"/>
  <c r="T280" i="15"/>
  <c r="S248" i="15"/>
  <c r="T248" i="15"/>
  <c r="S216" i="15"/>
  <c r="T216" i="15"/>
  <c r="S184" i="15"/>
  <c r="T184" i="15"/>
  <c r="T151" i="15"/>
  <c r="S151" i="15"/>
  <c r="S102" i="15"/>
  <c r="T102" i="15"/>
  <c r="S70" i="15"/>
  <c r="T70" i="15"/>
  <c r="T20" i="15"/>
  <c r="S20" i="15"/>
  <c r="T515" i="15"/>
  <c r="S515" i="15"/>
  <c r="T435" i="15"/>
  <c r="S435" i="15"/>
  <c r="T403" i="15"/>
  <c r="S403" i="15"/>
  <c r="T371" i="15"/>
  <c r="S371" i="15"/>
  <c r="T339" i="15"/>
  <c r="S339" i="15"/>
  <c r="T307" i="15"/>
  <c r="S307" i="15"/>
  <c r="T275" i="15"/>
  <c r="S275" i="15"/>
  <c r="T243" i="15"/>
  <c r="S243" i="15"/>
  <c r="T211" i="15"/>
  <c r="S211" i="15"/>
  <c r="S144" i="15"/>
  <c r="T144" i="15"/>
  <c r="S97" i="15"/>
  <c r="T97" i="15"/>
  <c r="S56" i="15"/>
  <c r="T56" i="15"/>
  <c r="T15" i="15"/>
  <c r="S15" i="15"/>
  <c r="T563" i="15"/>
  <c r="S563" i="15"/>
  <c r="T4" i="15"/>
  <c r="S4" i="15"/>
</calcChain>
</file>

<file path=xl/sharedStrings.xml><?xml version="1.0" encoding="utf-8"?>
<sst xmlns="http://schemas.openxmlformats.org/spreadsheetml/2006/main" count="1643" uniqueCount="1099">
  <si>
    <t>Date</t>
  </si>
  <si>
    <t>U</t>
  </si>
  <si>
    <t>Famille</t>
  </si>
  <si>
    <t>Sous Famille</t>
  </si>
  <si>
    <t>Description (Français)</t>
  </si>
  <si>
    <t>Description (English)</t>
  </si>
  <si>
    <t>3 m</t>
  </si>
  <si>
    <t>1 pcs</t>
  </si>
  <si>
    <t>LISTE DE PRIX France VALIDE 31/12/2014</t>
  </si>
  <si>
    <t>Marque</t>
  </si>
  <si>
    <t>Collection</t>
  </si>
  <si>
    <t>Structure et finition</t>
  </si>
  <si>
    <t>Format en mm</t>
  </si>
  <si>
    <t>Epaisseur en mm</t>
  </si>
  <si>
    <t>Prix 
m2 / face</t>
  </si>
  <si>
    <t>Polyrey HPL</t>
  </si>
  <si>
    <t>Color Papago</t>
  </si>
  <si>
    <t>FA</t>
  </si>
  <si>
    <t>3070 x 1240</t>
  </si>
  <si>
    <t>Formica</t>
  </si>
  <si>
    <t>Color</t>
  </si>
  <si>
    <t>MAT (Matte 58)</t>
  </si>
  <si>
    <t>3050 x 1300</t>
  </si>
  <si>
    <t>Resopal</t>
  </si>
  <si>
    <t>Plain Colors</t>
  </si>
  <si>
    <t>60 (Matt)</t>
  </si>
  <si>
    <t>Getalit</t>
  </si>
  <si>
    <t>Uni-Dekore</t>
  </si>
  <si>
    <t>PE (Pergament)</t>
  </si>
  <si>
    <t>Uni-Dekore - Intensiv</t>
  </si>
  <si>
    <t>Uni-Dekore-Brilliantglanz</t>
  </si>
  <si>
    <t>BG</t>
  </si>
  <si>
    <t>Holz-Repro</t>
  </si>
  <si>
    <t>POF (Holzpore)</t>
  </si>
  <si>
    <t>Abet</t>
  </si>
  <si>
    <t>Colours (Uni)</t>
  </si>
  <si>
    <t>Sei (Standard)</t>
  </si>
  <si>
    <t>Sareco</t>
  </si>
  <si>
    <t>Collection classic</t>
  </si>
  <si>
    <t>RM</t>
  </si>
  <si>
    <t>Egger</t>
  </si>
  <si>
    <t>Unifarben Normal</t>
  </si>
  <si>
    <t>ST15 ( weiss ST2)</t>
  </si>
  <si>
    <t>Unifarben - Intensiv</t>
  </si>
  <si>
    <t>ST15</t>
  </si>
  <si>
    <t>Fantasie</t>
  </si>
  <si>
    <t>ST9</t>
  </si>
  <si>
    <t>Holzdekor</t>
  </si>
  <si>
    <t>ST 15</t>
  </si>
  <si>
    <t>REKTON</t>
  </si>
  <si>
    <t>6 Standard de panneaux perforés en finition HPL</t>
  </si>
  <si>
    <t>m2</t>
  </si>
  <si>
    <t>Prêt à Peindre</t>
  </si>
  <si>
    <t>Joint en T</t>
  </si>
  <si>
    <t>Intérieur et extérieur</t>
  </si>
  <si>
    <t>1000 mm</t>
  </si>
  <si>
    <t>-</t>
  </si>
  <si>
    <t xml:space="preserve">Classification M1 du parement: €8/m2 de côté et non de mur </t>
  </si>
  <si>
    <t>Verrouillage panneau Intersection: €15/par unité</t>
  </si>
  <si>
    <t>Rail R à ailettes</t>
  </si>
  <si>
    <t xml:space="preserve">Rail R </t>
  </si>
  <si>
    <t>Rail K</t>
  </si>
  <si>
    <t>Fixation Dorma</t>
  </si>
  <si>
    <t>Quincaillerie</t>
  </si>
  <si>
    <t>Sous famille</t>
  </si>
  <si>
    <t>RAL 9010</t>
  </si>
  <si>
    <t>RAL XXXX</t>
  </si>
  <si>
    <t>BRUT</t>
  </si>
  <si>
    <t xml:space="preserve">2.960 x 1.300 4.100 x 1.300        </t>
  </si>
  <si>
    <t>PRODUITS</t>
  </si>
  <si>
    <t>Qté</t>
  </si>
  <si>
    <t>Entrées</t>
  </si>
  <si>
    <t>Sorties</t>
  </si>
  <si>
    <t>Stock Min</t>
  </si>
  <si>
    <t>Sotck Max</t>
  </si>
  <si>
    <t>Stock Final</t>
  </si>
  <si>
    <t>Stock Initial</t>
  </si>
  <si>
    <t>Etat</t>
  </si>
  <si>
    <t>PU HT</t>
  </si>
  <si>
    <t>Référence Chantier</t>
  </si>
  <si>
    <t>ARCHIVES SORTIES</t>
  </si>
  <si>
    <t>ARCHIVES ENTREES</t>
  </si>
  <si>
    <t>Référence Commande</t>
  </si>
  <si>
    <t>Zone de recherche</t>
  </si>
  <si>
    <t>3050 x 1320 3650 x 1320</t>
  </si>
  <si>
    <t xml:space="preserve">2960 x 1300 4100 x 1300        </t>
  </si>
  <si>
    <t xml:space="preserve"> 3050 x 1250</t>
  </si>
  <si>
    <t xml:space="preserve"> 4000 x 1250</t>
  </si>
  <si>
    <t>2800 x 1310</t>
  </si>
  <si>
    <t/>
  </si>
  <si>
    <t>Référence / Fournisseur</t>
  </si>
  <si>
    <t>AFDB</t>
  </si>
  <si>
    <t>WURTH</t>
  </si>
  <si>
    <t>DUBOS</t>
  </si>
  <si>
    <t>HILTI</t>
  </si>
  <si>
    <t>HALFEN</t>
  </si>
  <si>
    <t>En Stock</t>
  </si>
  <si>
    <t>Surstockage</t>
  </si>
  <si>
    <t>Montant</t>
  </si>
  <si>
    <t>TABLEAU DE BORD</t>
  </si>
  <si>
    <t>FAMILLE</t>
  </si>
  <si>
    <t>Référence</t>
  </si>
  <si>
    <t>ORDERS</t>
  </si>
  <si>
    <t>F.</t>
  </si>
  <si>
    <t>DD.</t>
  </si>
  <si>
    <t>OC.</t>
  </si>
  <si>
    <t>Date de commande</t>
  </si>
  <si>
    <t>Montant (€)</t>
  </si>
  <si>
    <t>Verifié</t>
  </si>
  <si>
    <t>Refusé</t>
  </si>
  <si>
    <t>Oui</t>
  </si>
  <si>
    <t>En attente</t>
  </si>
  <si>
    <t>8021.30.0041</t>
  </si>
  <si>
    <t>8070.53.0120</t>
  </si>
  <si>
    <t>8070.52.0120</t>
  </si>
  <si>
    <t>8070.74.0120</t>
  </si>
  <si>
    <t>8070.75.0120</t>
  </si>
  <si>
    <t>8070.54.0120</t>
  </si>
  <si>
    <t>8070.73.0120</t>
  </si>
  <si>
    <t>8070.55.0120</t>
  </si>
  <si>
    <t>8070.56.0120</t>
  </si>
  <si>
    <t>8021.30.0098</t>
  </si>
  <si>
    <t>Galets</t>
  </si>
  <si>
    <t>Moveo</t>
  </si>
  <si>
    <t>Variflex</t>
  </si>
  <si>
    <t>ComfortDrive</t>
  </si>
  <si>
    <t>Varitrans</t>
  </si>
  <si>
    <t>Général</t>
  </si>
  <si>
    <t>Contacts / Circuits</t>
  </si>
  <si>
    <t>ComforTronic</t>
  </si>
  <si>
    <t>Contrôle</t>
  </si>
  <si>
    <t>Accessoires</t>
  </si>
  <si>
    <t>Cache vis</t>
  </si>
  <si>
    <t>Ceiling Track</t>
  </si>
  <si>
    <t>Element</t>
  </si>
  <si>
    <t>Câble</t>
  </si>
  <si>
    <t>Outils</t>
  </si>
  <si>
    <t>VE</t>
  </si>
  <si>
    <t>TE</t>
  </si>
  <si>
    <t>TE Semi-auto</t>
  </si>
  <si>
    <t>TEF</t>
  </si>
  <si>
    <t>DT/DTZ</t>
  </si>
  <si>
    <t>Semi-auto Execution</t>
  </si>
  <si>
    <t>Divers</t>
  </si>
  <si>
    <t>CD</t>
  </si>
  <si>
    <t>VARIFLEX</t>
  </si>
  <si>
    <t>MOVEO</t>
  </si>
  <si>
    <t>GALET</t>
  </si>
  <si>
    <t>DT</t>
  </si>
  <si>
    <t>Corner Element</t>
  </si>
  <si>
    <t>Swing Door</t>
  </si>
  <si>
    <t>Profile Cylinder</t>
  </si>
  <si>
    <t>VARITRANS</t>
  </si>
  <si>
    <t>QUINCAILLERIE</t>
  </si>
  <si>
    <t>RAIL</t>
  </si>
  <si>
    <t>6 pcs</t>
  </si>
  <si>
    <t>12 pcs</t>
  </si>
  <si>
    <t>Porte</t>
  </si>
  <si>
    <t>Cdt</t>
  </si>
  <si>
    <t>R-Track with rack RAL 9010</t>
  </si>
  <si>
    <t>T-junction with rack RAL 9010</t>
  </si>
  <si>
    <t>Angle junction with rack RAL 9010</t>
  </si>
  <si>
    <t>Blind angle junction right with rack RAL 9010</t>
  </si>
  <si>
    <t>Blind angle junction left with rack RAL 9010</t>
  </si>
  <si>
    <t>X junction with rack RAL 9010</t>
  </si>
  <si>
    <t>Blind T-junction with rack RAL 9010</t>
  </si>
  <si>
    <t>Angle 120° with rack RAL 9010</t>
  </si>
  <si>
    <t>Angle 135° with rack RAL 9010</t>
  </si>
  <si>
    <t>R-Track with rack RAL XXXX</t>
  </si>
  <si>
    <t>R-Track with rack BRUT</t>
  </si>
  <si>
    <t xml:space="preserve">Rail R à ailettes RAL 9010 </t>
  </si>
  <si>
    <t>T Jonction à ailettes RAL 9010</t>
  </si>
  <si>
    <t>L Jonction à ailettes RAL 9010</t>
  </si>
  <si>
    <t>L borgne droite à ailettes RAL 9010</t>
  </si>
  <si>
    <t>L borgne gauche à ailettes RAL 9010</t>
  </si>
  <si>
    <t>Croix à ailettes RAL 9010</t>
  </si>
  <si>
    <t>T borgne à ailettes RAL 9010</t>
  </si>
  <si>
    <t>Angle 120° à ailettes RAL 9010</t>
  </si>
  <si>
    <t>Angle 135° à ailettes RAL 9010</t>
  </si>
  <si>
    <t>Rail R à ailettes RAL XXXX</t>
  </si>
  <si>
    <t>Rail R à ailettes BRUT</t>
  </si>
  <si>
    <t>Contact</t>
  </si>
  <si>
    <t>Grellard Axel</t>
  </si>
  <si>
    <t>Petit Catherine</t>
  </si>
  <si>
    <t xml:space="preserve">Idec David </t>
  </si>
  <si>
    <t xml:space="preserve">Petit Laurent </t>
  </si>
  <si>
    <t>Vanryckeghem Lewis</t>
  </si>
  <si>
    <t>Dufour Philippe</t>
  </si>
  <si>
    <t>Moyon Véronique</t>
  </si>
  <si>
    <t>Montant Achat</t>
  </si>
  <si>
    <t>Capot</t>
  </si>
  <si>
    <t>CAPOT</t>
  </si>
  <si>
    <t>RAL 9003</t>
  </si>
  <si>
    <t>Sur commande</t>
  </si>
  <si>
    <t>Rail R à ailettes RAL 9003</t>
  </si>
  <si>
    <t>R-Track with rack RAL 9003</t>
  </si>
  <si>
    <t>A commander</t>
  </si>
  <si>
    <t>Anodisé</t>
  </si>
  <si>
    <t>30/08/2017</t>
  </si>
  <si>
    <t>test</t>
  </si>
  <si>
    <t>test1</t>
  </si>
  <si>
    <t>1000,00,0001</t>
  </si>
  <si>
    <t>1000,00,0002</t>
  </si>
  <si>
    <t>1000,00,0003</t>
  </si>
  <si>
    <t>1000,00,0004</t>
  </si>
  <si>
    <t>1000,00,0005</t>
  </si>
  <si>
    <t>1000,00,0006</t>
  </si>
  <si>
    <t>1000,00,0007</t>
  </si>
  <si>
    <t>1000,00,0008</t>
  </si>
  <si>
    <t>1000,00,0009</t>
  </si>
  <si>
    <t>1000,00,0010</t>
  </si>
  <si>
    <t>1000,00,0011</t>
  </si>
  <si>
    <t>1000,00,0012</t>
  </si>
  <si>
    <t>1000,00,0013</t>
  </si>
  <si>
    <t>1000,00,0014</t>
  </si>
  <si>
    <t>1000,00,0015</t>
  </si>
  <si>
    <t>1000,00,0016</t>
  </si>
  <si>
    <t>1000,00,0017</t>
  </si>
  <si>
    <t>1000,00,0018</t>
  </si>
  <si>
    <t>1000,00,0019</t>
  </si>
  <si>
    <t>1000,00,0020</t>
  </si>
  <si>
    <t>1000,00,0021</t>
  </si>
  <si>
    <t>1000,00,0022</t>
  </si>
  <si>
    <t>1000,00,0023</t>
  </si>
  <si>
    <t>1000,00,0024</t>
  </si>
  <si>
    <t>1000,00,0025</t>
  </si>
  <si>
    <t>1000,00,0026</t>
  </si>
  <si>
    <t>1000,00,0027</t>
  </si>
  <si>
    <t>1000,00,0028</t>
  </si>
  <si>
    <t>1000,00,0029</t>
  </si>
  <si>
    <t>1000,00,0030</t>
  </si>
  <si>
    <t>1000,00,0031</t>
  </si>
  <si>
    <t>1000,00,0032</t>
  </si>
  <si>
    <t>1000,00,0033</t>
  </si>
  <si>
    <t>1000,00,0034</t>
  </si>
  <si>
    <t>1000,00,0035</t>
  </si>
  <si>
    <t>1000,00,0036</t>
  </si>
  <si>
    <t>1000,00,0037</t>
  </si>
  <si>
    <t>1000,00,0038</t>
  </si>
  <si>
    <t>1000,00,0039</t>
  </si>
  <si>
    <t>1000,00,0040</t>
  </si>
  <si>
    <t>1000,00,0041</t>
  </si>
  <si>
    <t>1000,00,0042</t>
  </si>
  <si>
    <t>1000,00,0043</t>
  </si>
  <si>
    <t>1000,00,0044</t>
  </si>
  <si>
    <t>1000,00,0045</t>
  </si>
  <si>
    <t>1000,00,0046</t>
  </si>
  <si>
    <t>1000,00,0047</t>
  </si>
  <si>
    <t>1000,00,0048</t>
  </si>
  <si>
    <t>1000,00,0049</t>
  </si>
  <si>
    <t>1000,00,0050</t>
  </si>
  <si>
    <t>1000,00,0051</t>
  </si>
  <si>
    <t>1000,00,0052</t>
  </si>
  <si>
    <t>1000,00,0053</t>
  </si>
  <si>
    <t>1000,00,0054</t>
  </si>
  <si>
    <t>1000,00,0055</t>
  </si>
  <si>
    <t>1000,00,0056</t>
  </si>
  <si>
    <t>1000,00,0057</t>
  </si>
  <si>
    <t>1000,00,0058</t>
  </si>
  <si>
    <t>1000,00,0059</t>
  </si>
  <si>
    <t>1000,00,0060</t>
  </si>
  <si>
    <t>1000,00,0061</t>
  </si>
  <si>
    <t>1000,00,0062</t>
  </si>
  <si>
    <t>1000,00,0063</t>
  </si>
  <si>
    <t>1000,00,0064</t>
  </si>
  <si>
    <t>1000,00,0065</t>
  </si>
  <si>
    <t>1000,00,0066</t>
  </si>
  <si>
    <t>1000,00,0067</t>
  </si>
  <si>
    <t>1000,00,0068</t>
  </si>
  <si>
    <t>1000,00,0069</t>
  </si>
  <si>
    <t>1000,00,0070</t>
  </si>
  <si>
    <t>1000,00,0071</t>
  </si>
  <si>
    <t>1000,00,0072</t>
  </si>
  <si>
    <t>1000,00,0073</t>
  </si>
  <si>
    <t>1000,00,0074</t>
  </si>
  <si>
    <t>1000,00,0075</t>
  </si>
  <si>
    <t>1000,00,0076</t>
  </si>
  <si>
    <t>1000,00,0077</t>
  </si>
  <si>
    <t>1000,00,0078</t>
  </si>
  <si>
    <t>1000,00,0079</t>
  </si>
  <si>
    <t>1000,00,0080</t>
  </si>
  <si>
    <t>1000,00,0081</t>
  </si>
  <si>
    <t>1000,00,0082</t>
  </si>
  <si>
    <t>1000,00,0083</t>
  </si>
  <si>
    <t>1000,00,0084</t>
  </si>
  <si>
    <t>1000,00,0085</t>
  </si>
  <si>
    <t>1000,00,0086</t>
  </si>
  <si>
    <t>1000,00,0087</t>
  </si>
  <si>
    <t>1000,00,0088</t>
  </si>
  <si>
    <t>1000,00,0089</t>
  </si>
  <si>
    <t>1000,00,0090</t>
  </si>
  <si>
    <t>1000,00,0091</t>
  </si>
  <si>
    <t>1000,00,0092</t>
  </si>
  <si>
    <t>1000,00,0093</t>
  </si>
  <si>
    <t>1000,00,0094</t>
  </si>
  <si>
    <t>1000,00,0095</t>
  </si>
  <si>
    <t>1000,00,0096</t>
  </si>
  <si>
    <t>1000,00,0097</t>
  </si>
  <si>
    <t>1000,00,0098</t>
  </si>
  <si>
    <t>1000,00,0099</t>
  </si>
  <si>
    <t>1000,00,0100</t>
  </si>
  <si>
    <t>1000,00,0101</t>
  </si>
  <si>
    <t>1000,00,0102</t>
  </si>
  <si>
    <t>1000,00,0103</t>
  </si>
  <si>
    <t>1000,00,0104</t>
  </si>
  <si>
    <t>1000,00,0105</t>
  </si>
  <si>
    <t>1000,00,0106</t>
  </si>
  <si>
    <t>1000,00,0107</t>
  </si>
  <si>
    <t>1000,00,0108</t>
  </si>
  <si>
    <t>1000,00,0109</t>
  </si>
  <si>
    <t>1000,00,0110</t>
  </si>
  <si>
    <t>1000,00,0111</t>
  </si>
  <si>
    <t>1000,00,0112</t>
  </si>
  <si>
    <t>1000,00,0113</t>
  </si>
  <si>
    <t>1000,00,0114</t>
  </si>
  <si>
    <t>1000,00,0115</t>
  </si>
  <si>
    <t>1000,00,0116</t>
  </si>
  <si>
    <t>1000,00,0117</t>
  </si>
  <si>
    <t>1000,00,0118</t>
  </si>
  <si>
    <t>1000,00,0119</t>
  </si>
  <si>
    <t>1000,00,0120</t>
  </si>
  <si>
    <t>1000,00,0121</t>
  </si>
  <si>
    <t>1000,00,0122</t>
  </si>
  <si>
    <t>1000,00,0123</t>
  </si>
  <si>
    <t>1000,00,0124</t>
  </si>
  <si>
    <t>1000,00,0125</t>
  </si>
  <si>
    <t>1000,00,0126</t>
  </si>
  <si>
    <t>1000,00,0127</t>
  </si>
  <si>
    <t>1000,00,0128</t>
  </si>
  <si>
    <t>1000,00,0129</t>
  </si>
  <si>
    <t>1000,00,0130</t>
  </si>
  <si>
    <t>1000,00,0131</t>
  </si>
  <si>
    <t>1000,00,0132</t>
  </si>
  <si>
    <t>1000,00,0133</t>
  </si>
  <si>
    <t>1000,00,0134</t>
  </si>
  <si>
    <t>1000,00,0135</t>
  </si>
  <si>
    <t>1000,00,0136</t>
  </si>
  <si>
    <t>1000,00,0137</t>
  </si>
  <si>
    <t>1000,00,0138</t>
  </si>
  <si>
    <t>1000,00,0139</t>
  </si>
  <si>
    <t>1000,00,0140</t>
  </si>
  <si>
    <t>1000,00,0141</t>
  </si>
  <si>
    <t>1000,00,0142</t>
  </si>
  <si>
    <t>1000,00,0143</t>
  </si>
  <si>
    <t>1000,00,0144</t>
  </si>
  <si>
    <t>1000,00,0145</t>
  </si>
  <si>
    <t>1000,00,0146</t>
  </si>
  <si>
    <t>1000,00,0147</t>
  </si>
  <si>
    <t>1000,00,0148</t>
  </si>
  <si>
    <t>1000,00,0149</t>
  </si>
  <si>
    <t>1000,00,0150</t>
  </si>
  <si>
    <t>1000,00,0151</t>
  </si>
  <si>
    <t>1000,00,0152</t>
  </si>
  <si>
    <t>1000,00,0153</t>
  </si>
  <si>
    <t>1000,00,0154</t>
  </si>
  <si>
    <t>1000,00,0155</t>
  </si>
  <si>
    <t>1000,00,0156</t>
  </si>
  <si>
    <t>1000,00,0157</t>
  </si>
  <si>
    <t>1000,00,0158</t>
  </si>
  <si>
    <t>1000,00,0159</t>
  </si>
  <si>
    <t>1000,00,0160</t>
  </si>
  <si>
    <t>1000,00,0161</t>
  </si>
  <si>
    <t>1000,00,0162</t>
  </si>
  <si>
    <t>1000,00,0163</t>
  </si>
  <si>
    <t>1000,00,0164</t>
  </si>
  <si>
    <t>1000,00,0165</t>
  </si>
  <si>
    <t>1000,00,0166</t>
  </si>
  <si>
    <t>1000,00,0167</t>
  </si>
  <si>
    <t>1000,00,0168</t>
  </si>
  <si>
    <t>1000,00,0169</t>
  </si>
  <si>
    <t>1000,00,0170</t>
  </si>
  <si>
    <t>1000,00,0171</t>
  </si>
  <si>
    <t>1000,00,0172</t>
  </si>
  <si>
    <t>1000,00,0173</t>
  </si>
  <si>
    <t>1000,00,0174</t>
  </si>
  <si>
    <t>1000,00,0175</t>
  </si>
  <si>
    <t>1000,00,0176</t>
  </si>
  <si>
    <t>1000,00,0177</t>
  </si>
  <si>
    <t>1000,00,0178</t>
  </si>
  <si>
    <t>1000,00,0179</t>
  </si>
  <si>
    <t>1000,00,0180</t>
  </si>
  <si>
    <t>1000,00,0181</t>
  </si>
  <si>
    <t>1000,00,0182</t>
  </si>
  <si>
    <t>1000,00,0183</t>
  </si>
  <si>
    <t>1000,00,0184</t>
  </si>
  <si>
    <t>1000,00,0185</t>
  </si>
  <si>
    <t>1000,00,0186</t>
  </si>
  <si>
    <t>1000,00,0187</t>
  </si>
  <si>
    <t>1000,00,0188</t>
  </si>
  <si>
    <t>1000,00,0189</t>
  </si>
  <si>
    <t>1000,00,0190</t>
  </si>
  <si>
    <t>1000,00,0191</t>
  </si>
  <si>
    <t>1000,00,0192</t>
  </si>
  <si>
    <t>1000,00,0193</t>
  </si>
  <si>
    <t>1000,00,0194</t>
  </si>
  <si>
    <t>1000,00,0195</t>
  </si>
  <si>
    <t>1000,00,0196</t>
  </si>
  <si>
    <t>1000,00,0197</t>
  </si>
  <si>
    <t>1000,00,0198</t>
  </si>
  <si>
    <t>1000,00,0199</t>
  </si>
  <si>
    <t>1000,00,0200</t>
  </si>
  <si>
    <t>1000,00,0201</t>
  </si>
  <si>
    <t>1000,00,0202</t>
  </si>
  <si>
    <t>1000,00,0203</t>
  </si>
  <si>
    <t>1000,00,0204</t>
  </si>
  <si>
    <t>1000,00,0205</t>
  </si>
  <si>
    <t>1000,00,0206</t>
  </si>
  <si>
    <t>1000,00,0207</t>
  </si>
  <si>
    <t>1000,00,0208</t>
  </si>
  <si>
    <t>1000,00,0209</t>
  </si>
  <si>
    <t>1000,00,0210</t>
  </si>
  <si>
    <t>1000,00,0211</t>
  </si>
  <si>
    <t>1000,00,0212</t>
  </si>
  <si>
    <t>1000,00,0213</t>
  </si>
  <si>
    <t>1000,00,0214</t>
  </si>
  <si>
    <t>1000,00,0215</t>
  </si>
  <si>
    <t>1000,00,0216</t>
  </si>
  <si>
    <t>1000,00,0217</t>
  </si>
  <si>
    <t>1000,00,0218</t>
  </si>
  <si>
    <t>1000,00,0219</t>
  </si>
  <si>
    <t>1000,00,0220</t>
  </si>
  <si>
    <t>1000,00,0221</t>
  </si>
  <si>
    <t>1000,00,0222</t>
  </si>
  <si>
    <t>1000,00,0223</t>
  </si>
  <si>
    <t>1000,00,0224</t>
  </si>
  <si>
    <t>1000,00,0225</t>
  </si>
  <si>
    <t>1000,00,0226</t>
  </si>
  <si>
    <t>1000,00,0227</t>
  </si>
  <si>
    <t>1000,00,0228</t>
  </si>
  <si>
    <t>1000,00,0229</t>
  </si>
  <si>
    <t>1000,00,0230</t>
  </si>
  <si>
    <t>1000,00,0231</t>
  </si>
  <si>
    <t>1000,00,0232</t>
  </si>
  <si>
    <t>1000,00,0233</t>
  </si>
  <si>
    <t>1000,00,0234</t>
  </si>
  <si>
    <t>1000,00,0235</t>
  </si>
  <si>
    <t>1000,00,0236</t>
  </si>
  <si>
    <t>1000,00,0237</t>
  </si>
  <si>
    <t>1000,00,0238</t>
  </si>
  <si>
    <t>1000,00,0239</t>
  </si>
  <si>
    <t>1000,00,0240</t>
  </si>
  <si>
    <t>1000,00,0241</t>
  </si>
  <si>
    <t>1000,00,0242</t>
  </si>
  <si>
    <t>1000,00,0243</t>
  </si>
  <si>
    <t>1000,00,0244</t>
  </si>
  <si>
    <t>1000,00,0245</t>
  </si>
  <si>
    <t>1000,00,0246</t>
  </si>
  <si>
    <t>1000,00,0247</t>
  </si>
  <si>
    <t>1000,00,0248</t>
  </si>
  <si>
    <t>1000,00,0249</t>
  </si>
  <si>
    <t>1000,00,0250</t>
  </si>
  <si>
    <t>1000,00,0251</t>
  </si>
  <si>
    <t>1000,00,0252</t>
  </si>
  <si>
    <t>1000,00,0253</t>
  </si>
  <si>
    <t>1000,00,0254</t>
  </si>
  <si>
    <t>1000,00,0255</t>
  </si>
  <si>
    <t>1000,00,0256</t>
  </si>
  <si>
    <t>1000,00,0257</t>
  </si>
  <si>
    <t>1000,00,0258</t>
  </si>
  <si>
    <t>1000,00,0259</t>
  </si>
  <si>
    <t>1000,00,0260</t>
  </si>
  <si>
    <t>1000,00,0261</t>
  </si>
  <si>
    <t>1000,00,0262</t>
  </si>
  <si>
    <t>1000,00,0263</t>
  </si>
  <si>
    <t>1000,00,0264</t>
  </si>
  <si>
    <t>1000,00,0265</t>
  </si>
  <si>
    <t>1000,00,0266</t>
  </si>
  <si>
    <t>1000,00,0267</t>
  </si>
  <si>
    <t>1000,00,0268</t>
  </si>
  <si>
    <t>1000,00,0269</t>
  </si>
  <si>
    <t>1000,00,0270</t>
  </si>
  <si>
    <t>1000,00,0271</t>
  </si>
  <si>
    <t>1000,00,0272</t>
  </si>
  <si>
    <t>1000,00,0273</t>
  </si>
  <si>
    <t>1000,00,0274</t>
  </si>
  <si>
    <t>1000,00,0275</t>
  </si>
  <si>
    <t>1000,00,0276</t>
  </si>
  <si>
    <t>1000,00,0277</t>
  </si>
  <si>
    <t>1000,00,0278</t>
  </si>
  <si>
    <t>1000,00,0279</t>
  </si>
  <si>
    <t>1000,00,0280</t>
  </si>
  <si>
    <t>1000,00,0281</t>
  </si>
  <si>
    <t>1000,00,0282</t>
  </si>
  <si>
    <t>1000,00,0283</t>
  </si>
  <si>
    <t>1000,00,0284</t>
  </si>
  <si>
    <t>1000,00,0285</t>
  </si>
  <si>
    <t>1000,00,0286</t>
  </si>
  <si>
    <t>1000,00,0287</t>
  </si>
  <si>
    <t>1000,00,0288</t>
  </si>
  <si>
    <t>1000,00,0289</t>
  </si>
  <si>
    <t>1000,00,0290</t>
  </si>
  <si>
    <t>1000,00,0291</t>
  </si>
  <si>
    <t>1000,00,0292</t>
  </si>
  <si>
    <t>1000,00,0293</t>
  </si>
  <si>
    <t>1000,00,0294</t>
  </si>
  <si>
    <t>1000,00,0295</t>
  </si>
  <si>
    <t>1000,00,0296</t>
  </si>
  <si>
    <t>1000,00,0297</t>
  </si>
  <si>
    <t>1000,00,0298</t>
  </si>
  <si>
    <t>1000,00,0299</t>
  </si>
  <si>
    <t>1000,00,0300</t>
  </si>
  <si>
    <t>1000,00,0301</t>
  </si>
  <si>
    <t>1000,00,0302</t>
  </si>
  <si>
    <t>1000,00,0303</t>
  </si>
  <si>
    <t>1000,00,0304</t>
  </si>
  <si>
    <t>1000,00,0305</t>
  </si>
  <si>
    <t>1000,00,0306</t>
  </si>
  <si>
    <t>1000,00,0307</t>
  </si>
  <si>
    <t>1000,00,0308</t>
  </si>
  <si>
    <t>1000,00,0309</t>
  </si>
  <si>
    <t>1000,00,0310</t>
  </si>
  <si>
    <t>1000,00,0311</t>
  </si>
  <si>
    <t>1000,00,0312</t>
  </si>
  <si>
    <t>1000,00,0313</t>
  </si>
  <si>
    <t>1000,00,0314</t>
  </si>
  <si>
    <t>1000,00,0315</t>
  </si>
  <si>
    <t>1000,00,0316</t>
  </si>
  <si>
    <t>1000,00,0317</t>
  </si>
  <si>
    <t>1000,00,0318</t>
  </si>
  <si>
    <t>1000,00,0319</t>
  </si>
  <si>
    <t>1000,00,0320</t>
  </si>
  <si>
    <t>1000,00,0321</t>
  </si>
  <si>
    <t>1000,00,0322</t>
  </si>
  <si>
    <t>1000,00,0323</t>
  </si>
  <si>
    <t>1000,00,0324</t>
  </si>
  <si>
    <t>1000,00,0325</t>
  </si>
  <si>
    <t>1000,00,0326</t>
  </si>
  <si>
    <t>1000,00,0327</t>
  </si>
  <si>
    <t>1000,00,0328</t>
  </si>
  <si>
    <t>1000,00,0329</t>
  </si>
  <si>
    <t>1000,00,0330</t>
  </si>
  <si>
    <t>1000,00,0331</t>
  </si>
  <si>
    <t>1000,00,0332</t>
  </si>
  <si>
    <t>1000,00,0333</t>
  </si>
  <si>
    <t>1000,00,0334</t>
  </si>
  <si>
    <t>1000,00,0335</t>
  </si>
  <si>
    <t>1000,00,0336</t>
  </si>
  <si>
    <t>1000,00,0337</t>
  </si>
  <si>
    <t>1000,00,0338</t>
  </si>
  <si>
    <t>1000,00,0339</t>
  </si>
  <si>
    <t>1000,00,0340</t>
  </si>
  <si>
    <t>1000,00,0341</t>
  </si>
  <si>
    <t>1000,00,0342</t>
  </si>
  <si>
    <t>1000,00,0343</t>
  </si>
  <si>
    <t>1000,00,0344</t>
  </si>
  <si>
    <t>1000,00,0345</t>
  </si>
  <si>
    <t>1000,00,0346</t>
  </si>
  <si>
    <t>1000,00,0347</t>
  </si>
  <si>
    <t>1000,00,0348</t>
  </si>
  <si>
    <t>1000,00,0349</t>
  </si>
  <si>
    <t>1000,00,0350</t>
  </si>
  <si>
    <t>1000,00,0351</t>
  </si>
  <si>
    <t>1000,00,0352</t>
  </si>
  <si>
    <t>1000,00,0353</t>
  </si>
  <si>
    <t>1000,00,0354</t>
  </si>
  <si>
    <t>1000,00,0355</t>
  </si>
  <si>
    <t>1000,00,0356</t>
  </si>
  <si>
    <t>1000,00,0357</t>
  </si>
  <si>
    <t>1000,00,0358</t>
  </si>
  <si>
    <t>1000,00,0359</t>
  </si>
  <si>
    <t>1000,00,0360</t>
  </si>
  <si>
    <t>1000,00,0361</t>
  </si>
  <si>
    <t>1000,00,0362</t>
  </si>
  <si>
    <t>1000,00,0363</t>
  </si>
  <si>
    <t>1000,00,0364</t>
  </si>
  <si>
    <t>1000,00,0365</t>
  </si>
  <si>
    <t>1000,00,0366</t>
  </si>
  <si>
    <t>1000,00,0367</t>
  </si>
  <si>
    <t>1000,00,0368</t>
  </si>
  <si>
    <t>1000,00,0369</t>
  </si>
  <si>
    <t>1000,00,0370</t>
  </si>
  <si>
    <t>1000,00,0371</t>
  </si>
  <si>
    <t>1000,00,0372</t>
  </si>
  <si>
    <t>1000,00,0373</t>
  </si>
  <si>
    <t>1000,00,0374</t>
  </si>
  <si>
    <t>1000,00,0375</t>
  </si>
  <si>
    <t>1000,00,0376</t>
  </si>
  <si>
    <t>1000,00,0377</t>
  </si>
  <si>
    <t>1000,00,0378</t>
  </si>
  <si>
    <t>1000,00,0379</t>
  </si>
  <si>
    <t>1000,00,0380</t>
  </si>
  <si>
    <t>1000,00,0381</t>
  </si>
  <si>
    <t>1000,00,0382</t>
  </si>
  <si>
    <t>1000,00,0383</t>
  </si>
  <si>
    <t>1000,00,0384</t>
  </si>
  <si>
    <t>1000,00,0385</t>
  </si>
  <si>
    <t>1000,00,0386</t>
  </si>
  <si>
    <t>1000,00,0387</t>
  </si>
  <si>
    <t>1000,00,0388</t>
  </si>
  <si>
    <t>1000,00,0389</t>
  </si>
  <si>
    <t>1000,00,0390</t>
  </si>
  <si>
    <t>1000,00,0391</t>
  </si>
  <si>
    <t>1000,00,0392</t>
  </si>
  <si>
    <t>1000,00,0393</t>
  </si>
  <si>
    <t>1000,00,0394</t>
  </si>
  <si>
    <t>1000,00,0395</t>
  </si>
  <si>
    <t>1000,00,0396</t>
  </si>
  <si>
    <t>1000,00,0397</t>
  </si>
  <si>
    <t>1000,00,0398</t>
  </si>
  <si>
    <t>1000,00,0399</t>
  </si>
  <si>
    <t>1000,00,0400</t>
  </si>
  <si>
    <t>1000,00,0401</t>
  </si>
  <si>
    <t>1000,00,0402</t>
  </si>
  <si>
    <t>1000,00,0403</t>
  </si>
  <si>
    <t>1000,00,0404</t>
  </si>
  <si>
    <t>1000,00,0405</t>
  </si>
  <si>
    <t>1000,00,0406</t>
  </si>
  <si>
    <t>1000,00,0407</t>
  </si>
  <si>
    <t>1000,00,0408</t>
  </si>
  <si>
    <t>1000,00,0409</t>
  </si>
  <si>
    <t>1000,00,0410</t>
  </si>
  <si>
    <t>1000,00,0411</t>
  </si>
  <si>
    <t>1000,00,0412</t>
  </si>
  <si>
    <t>1000,00,0413</t>
  </si>
  <si>
    <t>1000,00,0414</t>
  </si>
  <si>
    <t>1000,00,0415</t>
  </si>
  <si>
    <t>1000,00,0416</t>
  </si>
  <si>
    <t>1000,00,0417</t>
  </si>
  <si>
    <t>1000,00,0418</t>
  </si>
  <si>
    <t>1000,00,0419</t>
  </si>
  <si>
    <t>1000,00,0420</t>
  </si>
  <si>
    <t>1000,00,0421</t>
  </si>
  <si>
    <t>1000,00,0422</t>
  </si>
  <si>
    <t>1000,00,0423</t>
  </si>
  <si>
    <t>1000,00,0424</t>
  </si>
  <si>
    <t>1000,00,0425</t>
  </si>
  <si>
    <t>1000,00,0426</t>
  </si>
  <si>
    <t>1000,00,0427</t>
  </si>
  <si>
    <t>1000,00,0428</t>
  </si>
  <si>
    <t>1000,00,0429</t>
  </si>
  <si>
    <t>1000,00,0430</t>
  </si>
  <si>
    <t>1000,00,0431</t>
  </si>
  <si>
    <t>1000,00,0432</t>
  </si>
  <si>
    <t>1000,00,0433</t>
  </si>
  <si>
    <t>1000,00,0434</t>
  </si>
  <si>
    <t>1000,00,0435</t>
  </si>
  <si>
    <t>1000,00,0436</t>
  </si>
  <si>
    <t>1000,00,0437</t>
  </si>
  <si>
    <t>1000,00,0438</t>
  </si>
  <si>
    <t>1000,00,0439</t>
  </si>
  <si>
    <t>1000,00,0440</t>
  </si>
  <si>
    <t>1000,00,0441</t>
  </si>
  <si>
    <t>1000,00,0442</t>
  </si>
  <si>
    <t>1000,00,0443</t>
  </si>
  <si>
    <t>1000,00,0444</t>
  </si>
  <si>
    <t>1000,00,0445</t>
  </si>
  <si>
    <t>1000,00,0446</t>
  </si>
  <si>
    <t>1000,00,0447</t>
  </si>
  <si>
    <t>1000,00,0448</t>
  </si>
  <si>
    <t>1000,00,0449</t>
  </si>
  <si>
    <t>AA125</t>
  </si>
  <si>
    <t>AA126</t>
  </si>
  <si>
    <t>AA127</t>
  </si>
  <si>
    <t>AA128</t>
  </si>
  <si>
    <t>AA129</t>
  </si>
  <si>
    <t>AA130</t>
  </si>
  <si>
    <t>AA131</t>
  </si>
  <si>
    <t>AA132</t>
  </si>
  <si>
    <t>AA133</t>
  </si>
  <si>
    <t>AA134</t>
  </si>
  <si>
    <t>AA135</t>
  </si>
  <si>
    <t>AA136</t>
  </si>
  <si>
    <t>AA137</t>
  </si>
  <si>
    <t>AA138</t>
  </si>
  <si>
    <t>AA139</t>
  </si>
  <si>
    <t>AA140</t>
  </si>
  <si>
    <t>AA141</t>
  </si>
  <si>
    <t>AA142</t>
  </si>
  <si>
    <t>AA143</t>
  </si>
  <si>
    <t>AA144</t>
  </si>
  <si>
    <t>AA145</t>
  </si>
  <si>
    <t>AA146</t>
  </si>
  <si>
    <t>AA147</t>
  </si>
  <si>
    <t>AA148</t>
  </si>
  <si>
    <t>AA149</t>
  </si>
  <si>
    <t>AA150</t>
  </si>
  <si>
    <t>AA151</t>
  </si>
  <si>
    <t>AA152</t>
  </si>
  <si>
    <t>AA153</t>
  </si>
  <si>
    <t>AA154</t>
  </si>
  <si>
    <t>AA155</t>
  </si>
  <si>
    <t>AA156</t>
  </si>
  <si>
    <t>AA157</t>
  </si>
  <si>
    <t>AA158</t>
  </si>
  <si>
    <t>AA159</t>
  </si>
  <si>
    <t>AA160</t>
  </si>
  <si>
    <t>AA161</t>
  </si>
  <si>
    <t>AA162</t>
  </si>
  <si>
    <t>AA163</t>
  </si>
  <si>
    <t>AA164</t>
  </si>
  <si>
    <t>AA165</t>
  </si>
  <si>
    <t>AA166</t>
  </si>
  <si>
    <t>AA167</t>
  </si>
  <si>
    <t>AA168</t>
  </si>
  <si>
    <t>AA169</t>
  </si>
  <si>
    <t>AA170</t>
  </si>
  <si>
    <t>AA171</t>
  </si>
  <si>
    <t>AA172</t>
  </si>
  <si>
    <t>AA173</t>
  </si>
  <si>
    <t>AA174</t>
  </si>
  <si>
    <t>AA175</t>
  </si>
  <si>
    <t>AA176</t>
  </si>
  <si>
    <t>AA177</t>
  </si>
  <si>
    <t>AA178</t>
  </si>
  <si>
    <t>AA179</t>
  </si>
  <si>
    <t>AA180</t>
  </si>
  <si>
    <t>AA181</t>
  </si>
  <si>
    <t>AA182</t>
  </si>
  <si>
    <t>AA183</t>
  </si>
  <si>
    <t>AA184</t>
  </si>
  <si>
    <t>AA185</t>
  </si>
  <si>
    <t>AA186</t>
  </si>
  <si>
    <t>AA187</t>
  </si>
  <si>
    <t>AA188</t>
  </si>
  <si>
    <t>AA189</t>
  </si>
  <si>
    <t>AA190</t>
  </si>
  <si>
    <t>AA191</t>
  </si>
  <si>
    <t>AA192</t>
  </si>
  <si>
    <t>AA193</t>
  </si>
  <si>
    <t>AA194</t>
  </si>
  <si>
    <t>AA195</t>
  </si>
  <si>
    <t>AA196</t>
  </si>
  <si>
    <t>AA197</t>
  </si>
  <si>
    <t>AA198</t>
  </si>
  <si>
    <t>AA199</t>
  </si>
  <si>
    <t>AA200</t>
  </si>
  <si>
    <t>AA201</t>
  </si>
  <si>
    <t>AA202</t>
  </si>
  <si>
    <t>AA203</t>
  </si>
  <si>
    <t>AA204</t>
  </si>
  <si>
    <t>AA205</t>
  </si>
  <si>
    <t>AA206</t>
  </si>
  <si>
    <t>AA207</t>
  </si>
  <si>
    <t>AA208</t>
  </si>
  <si>
    <t>AA209</t>
  </si>
  <si>
    <t>AA210</t>
  </si>
  <si>
    <t>AA211</t>
  </si>
  <si>
    <t>AA212</t>
  </si>
  <si>
    <t>AA213</t>
  </si>
  <si>
    <t>AA214</t>
  </si>
  <si>
    <t>AA215</t>
  </si>
  <si>
    <t>AA216</t>
  </si>
  <si>
    <t>AA217</t>
  </si>
  <si>
    <t>AA218</t>
  </si>
  <si>
    <t>AA219</t>
  </si>
  <si>
    <t>AA220</t>
  </si>
  <si>
    <t>AA221</t>
  </si>
  <si>
    <t>AA222</t>
  </si>
  <si>
    <t>AA223</t>
  </si>
  <si>
    <t>AA224</t>
  </si>
  <si>
    <t>AA225</t>
  </si>
  <si>
    <t>AA226</t>
  </si>
  <si>
    <t>AA227</t>
  </si>
  <si>
    <t>AA228</t>
  </si>
  <si>
    <t>AA229</t>
  </si>
  <si>
    <t>AA230</t>
  </si>
  <si>
    <t>AA231</t>
  </si>
  <si>
    <t>AA232</t>
  </si>
  <si>
    <t>AA233</t>
  </si>
  <si>
    <t>AA234</t>
  </si>
  <si>
    <t>AA235</t>
  </si>
  <si>
    <t>AA236</t>
  </si>
  <si>
    <t>AA237</t>
  </si>
  <si>
    <t>AA238</t>
  </si>
  <si>
    <t>AA239</t>
  </si>
  <si>
    <t>AA240</t>
  </si>
  <si>
    <t>AA241</t>
  </si>
  <si>
    <t>AA242</t>
  </si>
  <si>
    <t>AA243</t>
  </si>
  <si>
    <t>AA244</t>
  </si>
  <si>
    <t>AA245</t>
  </si>
  <si>
    <t>AA246</t>
  </si>
  <si>
    <t>AA247</t>
  </si>
  <si>
    <t>AA248</t>
  </si>
  <si>
    <t>AA249</t>
  </si>
  <si>
    <t>AA250</t>
  </si>
  <si>
    <t>AA251</t>
  </si>
  <si>
    <t>AA252</t>
  </si>
  <si>
    <t>AA253</t>
  </si>
  <si>
    <t>AA254</t>
  </si>
  <si>
    <t>AA255</t>
  </si>
  <si>
    <t>AA256</t>
  </si>
  <si>
    <t>AA257</t>
  </si>
  <si>
    <t>AA258</t>
  </si>
  <si>
    <t>AA259</t>
  </si>
  <si>
    <t>AA260</t>
  </si>
  <si>
    <t>AA261</t>
  </si>
  <si>
    <t>AA262</t>
  </si>
  <si>
    <t>AA263</t>
  </si>
  <si>
    <t>AA264</t>
  </si>
  <si>
    <t>AA265</t>
  </si>
  <si>
    <t>AA266</t>
  </si>
  <si>
    <t>AA267</t>
  </si>
  <si>
    <t>AA268</t>
  </si>
  <si>
    <t>AA269</t>
  </si>
  <si>
    <t>AA270</t>
  </si>
  <si>
    <t>AA271</t>
  </si>
  <si>
    <t>AA272</t>
  </si>
  <si>
    <t>AA273</t>
  </si>
  <si>
    <t>AA274</t>
  </si>
  <si>
    <t>AA275</t>
  </si>
  <si>
    <t>AA276</t>
  </si>
  <si>
    <t>AA277</t>
  </si>
  <si>
    <t>AA278</t>
  </si>
  <si>
    <t>AA279</t>
  </si>
  <si>
    <t>AA280</t>
  </si>
  <si>
    <t>AA281</t>
  </si>
  <si>
    <t>AA282</t>
  </si>
  <si>
    <t>AA283</t>
  </si>
  <si>
    <t>AA284</t>
  </si>
  <si>
    <t>AA285</t>
  </si>
  <si>
    <t>AA286</t>
  </si>
  <si>
    <t>AA287</t>
  </si>
  <si>
    <t>AA288</t>
  </si>
  <si>
    <t>AA289</t>
  </si>
  <si>
    <t>AA290</t>
  </si>
  <si>
    <t>AA291</t>
  </si>
  <si>
    <t>AA292</t>
  </si>
  <si>
    <t>AA293</t>
  </si>
  <si>
    <t>AA294</t>
  </si>
  <si>
    <t>AA295</t>
  </si>
  <si>
    <t>AA296</t>
  </si>
  <si>
    <t>AA297</t>
  </si>
  <si>
    <t>AA298</t>
  </si>
  <si>
    <t>AA299</t>
  </si>
  <si>
    <t>AA300</t>
  </si>
  <si>
    <t>AA301</t>
  </si>
  <si>
    <t>AA302</t>
  </si>
  <si>
    <t>AA303</t>
  </si>
  <si>
    <t>AA304</t>
  </si>
  <si>
    <t>AA305</t>
  </si>
  <si>
    <t>AA306</t>
  </si>
  <si>
    <t>AA307</t>
  </si>
  <si>
    <t>AA308</t>
  </si>
  <si>
    <t>AA309</t>
  </si>
  <si>
    <t>AA310</t>
  </si>
  <si>
    <t>AA311</t>
  </si>
  <si>
    <t>AA312</t>
  </si>
  <si>
    <t>AA313</t>
  </si>
  <si>
    <t>AA314</t>
  </si>
  <si>
    <t>AA315</t>
  </si>
  <si>
    <t>AA316</t>
  </si>
  <si>
    <t>AA317</t>
  </si>
  <si>
    <t>AA318</t>
  </si>
  <si>
    <t>AA319</t>
  </si>
  <si>
    <t>AA320</t>
  </si>
  <si>
    <t>AA321</t>
  </si>
  <si>
    <t>AA322</t>
  </si>
  <si>
    <t>AA323</t>
  </si>
  <si>
    <t>AA324</t>
  </si>
  <si>
    <t>AA325</t>
  </si>
  <si>
    <t>AA326</t>
  </si>
  <si>
    <t>AA327</t>
  </si>
  <si>
    <t>AA328</t>
  </si>
  <si>
    <t>AA329</t>
  </si>
  <si>
    <t>AA330</t>
  </si>
  <si>
    <t>AA331</t>
  </si>
  <si>
    <t>AA332</t>
  </si>
  <si>
    <t>AA333</t>
  </si>
  <si>
    <t>AA334</t>
  </si>
  <si>
    <t>AA335</t>
  </si>
  <si>
    <t>AA336</t>
  </si>
  <si>
    <t>AA337</t>
  </si>
  <si>
    <t>AA338</t>
  </si>
  <si>
    <t>AA339</t>
  </si>
  <si>
    <t>AA340</t>
  </si>
  <si>
    <t>AA341</t>
  </si>
  <si>
    <t>AA342</t>
  </si>
  <si>
    <t>AA343</t>
  </si>
  <si>
    <t>AA344</t>
  </si>
  <si>
    <t>AA345</t>
  </si>
  <si>
    <t>AA346</t>
  </si>
  <si>
    <t>AA347</t>
  </si>
  <si>
    <t>AA348</t>
  </si>
  <si>
    <t>AA349</t>
  </si>
  <si>
    <t>AA350</t>
  </si>
  <si>
    <t>AA351</t>
  </si>
  <si>
    <t>AA352</t>
  </si>
  <si>
    <t>AA353</t>
  </si>
  <si>
    <t>AA354</t>
  </si>
  <si>
    <t>AA355</t>
  </si>
  <si>
    <t>AA356</t>
  </si>
  <si>
    <t>AA357</t>
  </si>
  <si>
    <t>AA358</t>
  </si>
  <si>
    <t>AA359</t>
  </si>
  <si>
    <t>AA360</t>
  </si>
  <si>
    <t>AA361</t>
  </si>
  <si>
    <t>AA362</t>
  </si>
  <si>
    <t>AA363</t>
  </si>
  <si>
    <t>AA364</t>
  </si>
  <si>
    <t>AA365</t>
  </si>
  <si>
    <t>AA366</t>
  </si>
  <si>
    <t>AA367</t>
  </si>
  <si>
    <t>AA368</t>
  </si>
  <si>
    <t>AA369</t>
  </si>
  <si>
    <t>AA370</t>
  </si>
  <si>
    <t>AA371</t>
  </si>
  <si>
    <t>AA372</t>
  </si>
  <si>
    <t>AA373</t>
  </si>
  <si>
    <t>AA374</t>
  </si>
  <si>
    <t>AA375</t>
  </si>
  <si>
    <t>AA376</t>
  </si>
  <si>
    <t>AA377</t>
  </si>
  <si>
    <t>AA378</t>
  </si>
  <si>
    <t>AA379</t>
  </si>
  <si>
    <t>AA380</t>
  </si>
  <si>
    <t>AA381</t>
  </si>
  <si>
    <t>AA382</t>
  </si>
  <si>
    <t>AA383</t>
  </si>
  <si>
    <t>AA384</t>
  </si>
  <si>
    <t>AA385</t>
  </si>
  <si>
    <t>AA386</t>
  </si>
  <si>
    <t>AA387</t>
  </si>
  <si>
    <t>AA388</t>
  </si>
  <si>
    <t>AA389</t>
  </si>
  <si>
    <t>AA390</t>
  </si>
  <si>
    <t>AA391</t>
  </si>
  <si>
    <t>AA392</t>
  </si>
  <si>
    <t>AA393</t>
  </si>
  <si>
    <t>AA394</t>
  </si>
  <si>
    <t>AA395</t>
  </si>
  <si>
    <t>AA396</t>
  </si>
  <si>
    <t>AA397</t>
  </si>
  <si>
    <t>AA398</t>
  </si>
  <si>
    <t>AA399</t>
  </si>
  <si>
    <t>AA400</t>
  </si>
  <si>
    <t>AA401</t>
  </si>
  <si>
    <t>AA402</t>
  </si>
  <si>
    <t>AA403</t>
  </si>
  <si>
    <t>AA404</t>
  </si>
  <si>
    <t>AA405</t>
  </si>
  <si>
    <t>AA406</t>
  </si>
  <si>
    <t>AA407</t>
  </si>
  <si>
    <t>AA408</t>
  </si>
  <si>
    <t>AA409</t>
  </si>
  <si>
    <t>AA410</t>
  </si>
  <si>
    <t>AA411</t>
  </si>
  <si>
    <t>AA412</t>
  </si>
  <si>
    <t>AA413</t>
  </si>
  <si>
    <t>AA414</t>
  </si>
  <si>
    <t>AA415</t>
  </si>
  <si>
    <t>AA416</t>
  </si>
  <si>
    <t>AA417</t>
  </si>
  <si>
    <t>AA418</t>
  </si>
  <si>
    <t>AA419</t>
  </si>
  <si>
    <t>AA420</t>
  </si>
  <si>
    <t>AA421</t>
  </si>
  <si>
    <t>AA422</t>
  </si>
  <si>
    <t>AA423</t>
  </si>
  <si>
    <t>AA424</t>
  </si>
  <si>
    <t>AA425</t>
  </si>
  <si>
    <t>AA426</t>
  </si>
  <si>
    <t>AA427</t>
  </si>
  <si>
    <t>AA428</t>
  </si>
  <si>
    <t>AA429</t>
  </si>
  <si>
    <t>AA430</t>
  </si>
  <si>
    <t>AA431</t>
  </si>
  <si>
    <t>AA432</t>
  </si>
  <si>
    <t>AA433</t>
  </si>
  <si>
    <t>AA434</t>
  </si>
  <si>
    <t>AA435</t>
  </si>
  <si>
    <t>AA436</t>
  </si>
  <si>
    <t>AA437</t>
  </si>
  <si>
    <t>AA438</t>
  </si>
  <si>
    <t>AA439</t>
  </si>
  <si>
    <t>AA440</t>
  </si>
  <si>
    <t>AA441</t>
  </si>
  <si>
    <t>AA442</t>
  </si>
  <si>
    <t>AA443</t>
  </si>
  <si>
    <t>AA444</t>
  </si>
  <si>
    <t>AA445</t>
  </si>
  <si>
    <t>AA446</t>
  </si>
  <si>
    <t>AA447</t>
  </si>
  <si>
    <t>AA448</t>
  </si>
  <si>
    <t>AA449</t>
  </si>
  <si>
    <t>AA450</t>
  </si>
  <si>
    <t>AA451</t>
  </si>
  <si>
    <t>AA452</t>
  </si>
  <si>
    <t>AA453</t>
  </si>
  <si>
    <t>AA454</t>
  </si>
  <si>
    <t>AA455</t>
  </si>
  <si>
    <t>AA456</t>
  </si>
  <si>
    <t>AA457</t>
  </si>
  <si>
    <t>AA458</t>
  </si>
  <si>
    <t>AA459</t>
  </si>
  <si>
    <t>AA460</t>
  </si>
  <si>
    <t>AA461</t>
  </si>
  <si>
    <t>AA462</t>
  </si>
  <si>
    <t>AA463</t>
  </si>
  <si>
    <t>AA464</t>
  </si>
  <si>
    <t>AA465</t>
  </si>
  <si>
    <t>AA466</t>
  </si>
  <si>
    <t>AA467</t>
  </si>
  <si>
    <t>AA468</t>
  </si>
  <si>
    <t>AA469</t>
  </si>
  <si>
    <t>AA470</t>
  </si>
  <si>
    <t>AA471</t>
  </si>
  <si>
    <t>AA472</t>
  </si>
  <si>
    <t>AA473</t>
  </si>
  <si>
    <t>AA474</t>
  </si>
  <si>
    <t>AA475</t>
  </si>
  <si>
    <t>AA476</t>
  </si>
  <si>
    <t>AA477</t>
  </si>
  <si>
    <t>AA478</t>
  </si>
  <si>
    <t>AA479</t>
  </si>
  <si>
    <t>AA480</t>
  </si>
  <si>
    <t>AA481</t>
  </si>
  <si>
    <t>AA482</t>
  </si>
  <si>
    <t>AA483</t>
  </si>
  <si>
    <t>AA484</t>
  </si>
  <si>
    <t>AA485</t>
  </si>
  <si>
    <t>AA486</t>
  </si>
  <si>
    <t>AA487</t>
  </si>
  <si>
    <t>AA488</t>
  </si>
  <si>
    <t>AA489</t>
  </si>
  <si>
    <t>AA490</t>
  </si>
  <si>
    <t>AA491</t>
  </si>
  <si>
    <t>AA492</t>
  </si>
  <si>
    <t>AA493</t>
  </si>
  <si>
    <t>AA494</t>
  </si>
  <si>
    <t>AA495</t>
  </si>
  <si>
    <t>AA496</t>
  </si>
  <si>
    <t>AA497</t>
  </si>
  <si>
    <t>AA498</t>
  </si>
  <si>
    <t>AA499</t>
  </si>
  <si>
    <t>AA500</t>
  </si>
  <si>
    <t>AA501</t>
  </si>
  <si>
    <t>AA502</t>
  </si>
  <si>
    <t>AA503</t>
  </si>
  <si>
    <t>AA504</t>
  </si>
  <si>
    <t>AA505</t>
  </si>
  <si>
    <t>AA506</t>
  </si>
  <si>
    <t>AA507</t>
  </si>
  <si>
    <t>AA508</t>
  </si>
  <si>
    <t>AA509</t>
  </si>
  <si>
    <t>AA510</t>
  </si>
  <si>
    <t>AA511</t>
  </si>
  <si>
    <t>AA512</t>
  </si>
  <si>
    <t>AA513</t>
  </si>
  <si>
    <t>AA514</t>
  </si>
  <si>
    <t>AA515</t>
  </si>
  <si>
    <t>AA516</t>
  </si>
  <si>
    <t>AA517</t>
  </si>
  <si>
    <t>AA518</t>
  </si>
  <si>
    <t>AA519</t>
  </si>
  <si>
    <t>AA520</t>
  </si>
  <si>
    <t>AA521</t>
  </si>
  <si>
    <t>AA522</t>
  </si>
  <si>
    <t>AA523</t>
  </si>
  <si>
    <t>AA524</t>
  </si>
  <si>
    <t>AA525</t>
  </si>
  <si>
    <t>AA526</t>
  </si>
  <si>
    <t>AA527</t>
  </si>
  <si>
    <t>AA528</t>
  </si>
  <si>
    <t>AA529</t>
  </si>
  <si>
    <t>AA530</t>
  </si>
  <si>
    <t>AA531</t>
  </si>
  <si>
    <t>AA532</t>
  </si>
  <si>
    <t>AA533</t>
  </si>
  <si>
    <t>AA534</t>
  </si>
  <si>
    <t>AA535</t>
  </si>
  <si>
    <t>AA536</t>
  </si>
  <si>
    <t>AA537</t>
  </si>
  <si>
    <t>AA538</t>
  </si>
  <si>
    <t>AA539</t>
  </si>
  <si>
    <t>AA540</t>
  </si>
  <si>
    <t>AA541</t>
  </si>
  <si>
    <t>AA542</t>
  </si>
  <si>
    <t>AA543</t>
  </si>
  <si>
    <t>AA544</t>
  </si>
  <si>
    <t>AA545</t>
  </si>
  <si>
    <t>AA546</t>
  </si>
  <si>
    <t>AA547</t>
  </si>
  <si>
    <t>AA548</t>
  </si>
  <si>
    <t>AA549</t>
  </si>
  <si>
    <t>AA550</t>
  </si>
  <si>
    <t>AA551</t>
  </si>
  <si>
    <t>AA552</t>
  </si>
  <si>
    <t>AA553</t>
  </si>
  <si>
    <t>AA554</t>
  </si>
  <si>
    <t>AA555</t>
  </si>
  <si>
    <t>AA556</t>
  </si>
  <si>
    <t>AA557</t>
  </si>
  <si>
    <t>AA558</t>
  </si>
  <si>
    <t>AA559</t>
  </si>
  <si>
    <t>AA560</t>
  </si>
  <si>
    <t>AA561</t>
  </si>
  <si>
    <t>AA562</t>
  </si>
  <si>
    <t>AA563</t>
  </si>
  <si>
    <t>AA564</t>
  </si>
  <si>
    <t>AA565</t>
  </si>
  <si>
    <t>AA566</t>
  </si>
  <si>
    <t>AA567</t>
  </si>
  <si>
    <t>AA568</t>
  </si>
  <si>
    <t>AA569</t>
  </si>
  <si>
    <t>AA570</t>
  </si>
  <si>
    <t>AA571</t>
  </si>
  <si>
    <t>AA572</t>
  </si>
  <si>
    <t>AA573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</si>
</sst>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"/>
  </numFmts>
  <fonts count="38" x14ac:knownFonts="1">
    <font>
      <sz val="11"/>
      <color indexed="8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color rgb="FFFF0000"/>
      <name val="Calibri Light"/>
      <family val="2"/>
      <scheme val="major"/>
    </font>
    <font>
      <b/>
      <sz val="10"/>
      <name val="Calibri Light"/>
      <family val="2"/>
      <scheme val="major"/>
    </font>
    <font>
      <sz val="10"/>
      <name val="Calibri Light"/>
      <family val="2"/>
      <scheme val="major"/>
    </font>
    <font>
      <sz val="10"/>
      <name val="Arial"/>
      <family val="2"/>
    </font>
    <font>
      <sz val="10"/>
      <color indexed="8"/>
      <name val="Calibri Light"/>
      <family val="2"/>
      <scheme val="major"/>
    </font>
    <font>
      <b/>
      <sz val="10"/>
      <color indexed="8"/>
      <name val="Calibri Light"/>
      <family val="2"/>
      <scheme val="major"/>
    </font>
    <font>
      <b/>
      <sz val="10"/>
      <color rgb="FFFF0000"/>
      <name val="Calibri Light"/>
      <family val="2"/>
      <scheme val="major"/>
    </font>
    <font>
      <sz val="10"/>
      <color indexed="8"/>
      <name val="Calibri"/>
      <family val="2"/>
    </font>
    <font>
      <sz val="10"/>
      <color theme="0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b/>
      <sz val="10"/>
      <color rgb="FFFF0000"/>
      <name val="Calibri Light"/>
      <family val="2"/>
      <scheme val="major"/>
    </font>
    <font>
      <sz val="10"/>
      <color theme="1"/>
      <name val="Calibri Light"/>
      <family val="2"/>
      <scheme val="major"/>
    </font>
    <font>
      <b/>
      <i/>
      <sz val="10"/>
      <color indexed="8"/>
      <name val="Calibri Light"/>
      <family val="2"/>
      <scheme val="major"/>
    </font>
    <font>
      <sz val="10"/>
      <color theme="1"/>
      <name val="Calibri"/>
      <family val="2"/>
    </font>
    <font>
      <b/>
      <sz val="10"/>
      <color theme="1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ashed">
        <color auto="1"/>
      </right>
      <top style="thin">
        <color indexed="64"/>
      </top>
      <bottom style="thin">
        <color indexed="64"/>
      </bottom>
      <diagonal/>
    </border>
  </borders>
  <cellStyleXfs count="46">
    <xf numFmtId="0" fontId="0" fillId="0" borderId="0"/>
    <xf numFmtId="0" fontId="5" fillId="0" borderId="0" applyNumberFormat="0" applyFill="0" applyBorder="0" applyAlignment="0" applyProtection="0"/>
    <xf numFmtId="0" fontId="6" fillId="0" borderId="1" applyNumberFormat="0" applyFill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8" fillId="0" borderId="0" applyNumberFormat="0" applyFill="0" applyBorder="0" applyAlignment="0" applyProtection="0"/>
    <xf numFmtId="0" fontId="9" fillId="2" borderId="0" applyNumberFormat="0" applyBorder="0" applyAlignment="0" applyProtection="0"/>
    <xf numFmtId="0" fontId="10" fillId="3" borderId="0" applyNumberFormat="0" applyBorder="0" applyAlignment="0" applyProtection="0"/>
    <xf numFmtId="0" fontId="11" fillId="4" borderId="0" applyNumberFormat="0" applyBorder="0" applyAlignment="0" applyProtection="0"/>
    <xf numFmtId="0" fontId="12" fillId="5" borderId="4" applyNumberFormat="0" applyAlignment="0" applyProtection="0"/>
    <xf numFmtId="0" fontId="13" fillId="6" borderId="5" applyNumberFormat="0" applyAlignment="0" applyProtection="0"/>
    <xf numFmtId="0" fontId="14" fillId="6" borderId="4" applyNumberFormat="0" applyAlignment="0" applyProtection="0"/>
    <xf numFmtId="0" fontId="15" fillId="0" borderId="6" applyNumberFormat="0" applyFill="0" applyAlignment="0" applyProtection="0"/>
    <xf numFmtId="0" fontId="16" fillId="7" borderId="7" applyNumberFormat="0" applyAlignment="0" applyProtection="0"/>
    <xf numFmtId="0" fontId="17" fillId="0" borderId="0" applyNumberFormat="0" applyFill="0" applyBorder="0" applyAlignment="0" applyProtection="0"/>
    <xf numFmtId="0" fontId="4" fillId="8" borderId="8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20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20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20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20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8" borderId="0" applyNumberFormat="0" applyBorder="0" applyAlignment="0" applyProtection="0"/>
    <xf numFmtId="0" fontId="20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2" borderId="0" applyNumberFormat="0" applyBorder="0" applyAlignment="0" applyProtection="0"/>
    <xf numFmtId="0" fontId="3" fillId="0" borderId="0"/>
    <xf numFmtId="0" fontId="2" fillId="0" borderId="0"/>
    <xf numFmtId="0" fontId="26" fillId="0" borderId="0"/>
    <xf numFmtId="0" fontId="1" fillId="0" borderId="0"/>
  </cellStyleXfs>
  <cellXfs count="226">
    <xf numFmtId="0" fontId="0" fillId="0" borderId="0" xfId="0"/>
    <xf numFmtId="0" fontId="22" fillId="0" borderId="0" xfId="43" applyFont="1" applyAlignment="1">
      <alignment vertical="center" wrapText="1"/>
    </xf>
    <xf numFmtId="164" fontId="25" fillId="0" borderId="0" xfId="43" applyNumberFormat="1" applyFont="1" applyFill="1" applyBorder="1" applyAlignment="1">
      <alignment horizontal="right"/>
    </xf>
    <xf numFmtId="0" fontId="21" fillId="0" borderId="0" xfId="43" applyFont="1" applyAlignment="1">
      <alignment vertical="center"/>
    </xf>
    <xf numFmtId="0" fontId="21" fillId="0" borderId="0" xfId="43" applyFont="1" applyFill="1" applyBorder="1" applyAlignment="1">
      <alignment horizontal="left" vertical="center"/>
    </xf>
    <xf numFmtId="0" fontId="21" fillId="0" borderId="0" xfId="43" applyFont="1" applyFill="1" applyBorder="1" applyAlignment="1">
      <alignment horizontal="left"/>
    </xf>
    <xf numFmtId="49" fontId="21" fillId="0" borderId="0" xfId="43" applyNumberFormat="1" applyFont="1" applyFill="1" applyBorder="1" applyAlignment="1">
      <alignment horizontal="right" vertical="center"/>
    </xf>
    <xf numFmtId="0" fontId="21" fillId="0" borderId="0" xfId="43" applyFont="1" applyFill="1" applyBorder="1" applyAlignment="1">
      <alignment horizontal="right"/>
    </xf>
    <xf numFmtId="0" fontId="21" fillId="0" borderId="0" xfId="43" applyFont="1" applyAlignment="1">
      <alignment vertical="center" wrapText="1"/>
    </xf>
    <xf numFmtId="0" fontId="21" fillId="0" borderId="0" xfId="43" applyFont="1" applyFill="1" applyAlignment="1">
      <alignment horizontal="left" vertical="center"/>
    </xf>
    <xf numFmtId="0" fontId="25" fillId="0" borderId="0" xfId="43" applyFont="1" applyFill="1" applyBorder="1" applyAlignment="1">
      <alignment horizontal="left"/>
    </xf>
    <xf numFmtId="0" fontId="21" fillId="0" borderId="0" xfId="43" applyFont="1" applyAlignment="1">
      <alignment horizontal="left" vertical="center"/>
    </xf>
    <xf numFmtId="0" fontId="21" fillId="0" borderId="0" xfId="43" applyFont="1" applyAlignment="1">
      <alignment horizontal="right" vertical="center"/>
    </xf>
    <xf numFmtId="164" fontId="21" fillId="0" borderId="0" xfId="43" applyNumberFormat="1" applyFont="1" applyAlignment="1">
      <alignment horizontal="right" vertical="center"/>
    </xf>
    <xf numFmtId="0" fontId="25" fillId="0" borderId="0" xfId="44" applyFont="1" applyAlignment="1">
      <alignment wrapText="1"/>
    </xf>
    <xf numFmtId="0" fontId="24" fillId="34" borderId="10" xfId="44" applyFont="1" applyFill="1" applyBorder="1" applyAlignment="1">
      <alignment horizontal="left" vertical="center" wrapText="1"/>
    </xf>
    <xf numFmtId="3" fontId="24" fillId="34" borderId="10" xfId="44" applyNumberFormat="1" applyFont="1" applyFill="1" applyBorder="1" applyAlignment="1">
      <alignment horizontal="left" vertical="center" wrapText="1"/>
    </xf>
    <xf numFmtId="165" fontId="24" fillId="34" borderId="10" xfId="44" applyNumberFormat="1" applyFont="1" applyFill="1" applyBorder="1" applyAlignment="1">
      <alignment horizontal="center" vertical="center" wrapText="1"/>
    </xf>
    <xf numFmtId="0" fontId="24" fillId="34" borderId="10" xfId="44" applyFont="1" applyFill="1" applyBorder="1" applyAlignment="1">
      <alignment horizontal="center" vertical="center" wrapText="1"/>
    </xf>
    <xf numFmtId="0" fontId="25" fillId="0" borderId="0" xfId="44" applyFont="1" applyAlignment="1">
      <alignment vertical="center" wrapText="1"/>
    </xf>
    <xf numFmtId="0" fontId="25" fillId="0" borderId="0" xfId="44" applyFont="1" applyFill="1" applyBorder="1" applyAlignment="1">
      <alignment horizontal="left" vertical="center" wrapText="1"/>
    </xf>
    <xf numFmtId="3" fontId="25" fillId="0" borderId="0" xfId="44" applyNumberFormat="1" applyFont="1" applyFill="1" applyBorder="1" applyAlignment="1">
      <alignment horizontal="left" vertical="center" wrapText="1"/>
    </xf>
    <xf numFmtId="165" fontId="25" fillId="0" borderId="0" xfId="44" applyNumberFormat="1" applyFont="1" applyFill="1" applyBorder="1" applyAlignment="1">
      <alignment horizontal="center" vertical="center" wrapText="1"/>
    </xf>
    <xf numFmtId="2" fontId="25" fillId="0" borderId="0" xfId="44" applyNumberFormat="1" applyFont="1" applyFill="1" applyBorder="1" applyAlignment="1">
      <alignment horizontal="center" vertical="center" wrapText="1"/>
    </xf>
    <xf numFmtId="0" fontId="25" fillId="0" borderId="0" xfId="44" applyFont="1" applyAlignment="1">
      <alignment horizontal="left" vertical="center" wrapText="1"/>
    </xf>
    <xf numFmtId="3" fontId="25" fillId="0" borderId="0" xfId="44" applyNumberFormat="1" applyFont="1" applyAlignment="1">
      <alignment horizontal="left" vertical="center" wrapText="1"/>
    </xf>
    <xf numFmtId="165" fontId="25" fillId="0" borderId="0" xfId="44" applyNumberFormat="1" applyFont="1" applyAlignment="1">
      <alignment horizontal="center" vertical="center" wrapText="1"/>
    </xf>
    <xf numFmtId="0" fontId="25" fillId="0" borderId="0" xfId="44" applyFont="1" applyAlignment="1">
      <alignment horizontal="center" vertical="center" wrapText="1"/>
    </xf>
    <xf numFmtId="0" fontId="25" fillId="0" borderId="0" xfId="44" applyFont="1" applyAlignment="1">
      <alignment horizontal="left" wrapText="1"/>
    </xf>
    <xf numFmtId="3" fontId="25" fillId="0" borderId="0" xfId="44" applyNumberFormat="1" applyFont="1" applyAlignment="1">
      <alignment horizontal="left" wrapText="1"/>
    </xf>
    <xf numFmtId="165" fontId="25" fillId="0" borderId="0" xfId="44" applyNumberFormat="1" applyFont="1" applyAlignment="1">
      <alignment horizontal="center" wrapText="1"/>
    </xf>
    <xf numFmtId="0" fontId="25" fillId="0" borderId="0" xfId="44" applyFont="1" applyAlignment="1">
      <alignment horizontal="center" wrapText="1"/>
    </xf>
    <xf numFmtId="0" fontId="21" fillId="0" borderId="0" xfId="43" applyFont="1" applyFill="1" applyBorder="1" applyAlignment="1">
      <alignment vertical="center" wrapText="1"/>
    </xf>
    <xf numFmtId="0" fontId="21" fillId="0" borderId="0" xfId="43" applyFont="1" applyBorder="1" applyAlignment="1">
      <alignment vertical="center" wrapText="1"/>
    </xf>
    <xf numFmtId="0" fontId="22" fillId="33" borderId="12" xfId="43" applyFont="1" applyFill="1" applyBorder="1" applyAlignment="1">
      <alignment vertical="center" wrapText="1"/>
    </xf>
    <xf numFmtId="0" fontId="27" fillId="0" borderId="0" xfId="0" applyFont="1"/>
    <xf numFmtId="0" fontId="27" fillId="0" borderId="0" xfId="0" applyFont="1" applyFill="1"/>
    <xf numFmtId="1" fontId="21" fillId="0" borderId="0" xfId="43" applyNumberFormat="1" applyFont="1" applyFill="1" applyBorder="1" applyAlignment="1">
      <alignment horizontal="center" vertical="center"/>
    </xf>
    <xf numFmtId="0" fontId="21" fillId="34" borderId="10" xfId="43" applyFont="1" applyFill="1" applyBorder="1" applyAlignment="1">
      <alignment vertical="center" wrapText="1"/>
    </xf>
    <xf numFmtId="0" fontId="27" fillId="0" borderId="0" xfId="0" applyFont="1" applyAlignment="1">
      <alignment horizontal="center" vertical="center" wrapText="1"/>
    </xf>
    <xf numFmtId="0" fontId="27" fillId="0" borderId="0" xfId="0" applyFont="1" applyFill="1" applyBorder="1" applyAlignment="1">
      <alignment horizontal="center" vertical="center" wrapText="1"/>
    </xf>
    <xf numFmtId="0" fontId="27" fillId="0" borderId="0" xfId="0" applyFont="1" applyFill="1" applyAlignment="1">
      <alignment wrapText="1"/>
    </xf>
    <xf numFmtId="0" fontId="27" fillId="0" borderId="0" xfId="0" applyFont="1" applyFill="1" applyBorder="1" applyAlignment="1">
      <alignment horizontal="left" vertical="center" wrapText="1"/>
    </xf>
    <xf numFmtId="0" fontId="27" fillId="0" borderId="0" xfId="0" applyFont="1" applyAlignment="1">
      <alignment horizontal="left"/>
    </xf>
    <xf numFmtId="0" fontId="28" fillId="0" borderId="0" xfId="0" applyFont="1" applyFill="1" applyBorder="1" applyAlignment="1">
      <alignment horizontal="left"/>
    </xf>
    <xf numFmtId="1" fontId="21" fillId="0" borderId="0" xfId="43" applyNumberFormat="1" applyFont="1" applyFill="1" applyBorder="1" applyAlignment="1">
      <alignment horizontal="left" vertical="center" wrapText="1"/>
    </xf>
    <xf numFmtId="164" fontId="27" fillId="34" borderId="12" xfId="0" applyNumberFormat="1" applyFont="1" applyFill="1" applyBorder="1" applyAlignment="1">
      <alignment horizontal="center" vertical="center" wrapText="1"/>
    </xf>
    <xf numFmtId="0" fontId="22" fillId="33" borderId="10" xfId="43" applyFont="1" applyFill="1" applyBorder="1" applyAlignment="1">
      <alignment horizontal="left" vertical="center"/>
    </xf>
    <xf numFmtId="0" fontId="27" fillId="0" borderId="0" xfId="0" applyFont="1" applyBorder="1" applyAlignment="1">
      <alignment horizontal="center" vertical="center" wrapText="1"/>
    </xf>
    <xf numFmtId="0" fontId="21" fillId="0" borderId="0" xfId="43" applyFont="1" applyFill="1" applyBorder="1" applyAlignment="1">
      <alignment horizontal="right" vertical="center"/>
    </xf>
    <xf numFmtId="164" fontId="21" fillId="0" borderId="0" xfId="43" applyNumberFormat="1" applyFont="1" applyFill="1" applyBorder="1" applyAlignment="1">
      <alignment horizontal="right" vertical="center"/>
    </xf>
    <xf numFmtId="164" fontId="27" fillId="0" borderId="0" xfId="0" applyNumberFormat="1" applyFont="1" applyAlignment="1">
      <alignment horizontal="right"/>
    </xf>
    <xf numFmtId="0" fontId="22" fillId="33" borderId="10" xfId="43" applyFont="1" applyFill="1" applyBorder="1" applyAlignment="1">
      <alignment horizontal="right" vertical="center"/>
    </xf>
    <xf numFmtId="0" fontId="27" fillId="0" borderId="0" xfId="0" applyFont="1" applyAlignment="1">
      <alignment horizontal="right"/>
    </xf>
    <xf numFmtId="1" fontId="22" fillId="0" borderId="0" xfId="43" applyNumberFormat="1" applyFont="1" applyFill="1" applyBorder="1" applyAlignment="1">
      <alignment horizontal="center" vertical="center" wrapText="1"/>
    </xf>
    <xf numFmtId="0" fontId="28" fillId="0" borderId="0" xfId="0" applyFont="1" applyFill="1" applyBorder="1" applyAlignment="1">
      <alignment horizontal="center" wrapText="1"/>
    </xf>
    <xf numFmtId="0" fontId="22" fillId="0" borderId="0" xfId="43" applyFont="1" applyFill="1" applyBorder="1" applyAlignment="1">
      <alignment horizontal="center" vertical="center" wrapText="1"/>
    </xf>
    <xf numFmtId="0" fontId="21" fillId="0" borderId="0" xfId="43" applyFont="1" applyFill="1" applyBorder="1" applyAlignment="1">
      <alignment vertical="center"/>
    </xf>
    <xf numFmtId="0" fontId="21" fillId="0" borderId="0" xfId="43" applyFont="1" applyBorder="1" applyAlignment="1">
      <alignment vertical="center"/>
    </xf>
    <xf numFmtId="0" fontId="22" fillId="0" borderId="0" xfId="43" applyFont="1" applyBorder="1" applyAlignment="1">
      <alignment vertical="center" wrapText="1"/>
    </xf>
    <xf numFmtId="0" fontId="22" fillId="0" borderId="0" xfId="43" applyFont="1" applyFill="1" applyBorder="1" applyAlignment="1">
      <alignment vertical="center" wrapText="1"/>
    </xf>
    <xf numFmtId="0" fontId="21" fillId="0" borderId="0" xfId="43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vertical="center" wrapText="1"/>
    </xf>
    <xf numFmtId="14" fontId="21" fillId="0" borderId="0" xfId="43" applyNumberFormat="1" applyFont="1" applyBorder="1" applyAlignment="1">
      <alignment vertical="center" wrapText="1"/>
    </xf>
    <xf numFmtId="14" fontId="21" fillId="0" borderId="0" xfId="43" applyNumberFormat="1" applyFont="1" applyAlignment="1">
      <alignment vertical="center" wrapText="1"/>
    </xf>
    <xf numFmtId="0" fontId="22" fillId="33" borderId="10" xfId="43" applyFont="1" applyFill="1" applyBorder="1" applyAlignment="1">
      <alignment vertical="center"/>
    </xf>
    <xf numFmtId="0" fontId="29" fillId="33" borderId="10" xfId="43" applyFont="1" applyFill="1" applyBorder="1" applyAlignment="1">
      <alignment horizontal="left" vertical="center"/>
    </xf>
    <xf numFmtId="1" fontId="22" fillId="33" borderId="10" xfId="43" applyNumberFormat="1" applyFont="1" applyFill="1" applyBorder="1" applyAlignment="1">
      <alignment horizontal="left" vertical="center"/>
    </xf>
    <xf numFmtId="1" fontId="27" fillId="34" borderId="10" xfId="0" applyNumberFormat="1" applyFont="1" applyFill="1" applyBorder="1" applyAlignment="1">
      <alignment horizontal="center" vertical="center" wrapText="1"/>
    </xf>
    <xf numFmtId="1" fontId="27" fillId="0" borderId="0" xfId="0" applyNumberFormat="1" applyFont="1" applyAlignment="1">
      <alignment horizontal="right"/>
    </xf>
    <xf numFmtId="1" fontId="27" fillId="34" borderId="12" xfId="0" applyNumberFormat="1" applyFont="1" applyFill="1" applyBorder="1" applyAlignment="1">
      <alignment horizontal="center" vertical="center" wrapText="1"/>
    </xf>
    <xf numFmtId="1" fontId="22" fillId="34" borderId="12" xfId="43" applyNumberFormat="1" applyFont="1" applyFill="1" applyBorder="1" applyAlignment="1">
      <alignment horizontal="center" vertical="center" wrapText="1"/>
    </xf>
    <xf numFmtId="1" fontId="27" fillId="0" borderId="0" xfId="0" applyNumberFormat="1" applyFont="1" applyAlignment="1">
      <alignment horizontal="center"/>
    </xf>
    <xf numFmtId="1" fontId="22" fillId="34" borderId="11" xfId="43" applyNumberFormat="1" applyFont="1" applyFill="1" applyBorder="1" applyAlignment="1">
      <alignment horizontal="center" vertical="center" wrapText="1"/>
    </xf>
    <xf numFmtId="1" fontId="27" fillId="34" borderId="11" xfId="0" applyNumberFormat="1" applyFont="1" applyFill="1" applyBorder="1" applyAlignment="1">
      <alignment horizontal="center" vertical="center" wrapText="1"/>
    </xf>
    <xf numFmtId="1" fontId="28" fillId="0" borderId="0" xfId="0" applyNumberFormat="1" applyFont="1" applyAlignment="1">
      <alignment horizontal="center"/>
    </xf>
    <xf numFmtId="1" fontId="22" fillId="33" borderId="10" xfId="43" applyNumberFormat="1" applyFont="1" applyFill="1" applyBorder="1" applyAlignment="1">
      <alignment horizontal="center" vertical="center"/>
    </xf>
    <xf numFmtId="164" fontId="22" fillId="33" borderId="10" xfId="43" applyNumberFormat="1" applyFont="1" applyFill="1" applyBorder="1" applyAlignment="1">
      <alignment horizontal="left" vertical="center"/>
    </xf>
    <xf numFmtId="49" fontId="22" fillId="33" borderId="10" xfId="43" applyNumberFormat="1" applyFont="1" applyFill="1" applyBorder="1" applyAlignment="1">
      <alignment vertical="center"/>
    </xf>
    <xf numFmtId="49" fontId="29" fillId="33" borderId="10" xfId="43" applyNumberFormat="1" applyFont="1" applyFill="1" applyBorder="1" applyAlignment="1">
      <alignment vertical="center"/>
    </xf>
    <xf numFmtId="0" fontId="29" fillId="33" borderId="10" xfId="43" applyFont="1" applyFill="1" applyBorder="1" applyAlignment="1"/>
    <xf numFmtId="0" fontId="30" fillId="0" borderId="0" xfId="0" applyFont="1"/>
    <xf numFmtId="0" fontId="22" fillId="34" borderId="13" xfId="43" applyFont="1" applyFill="1" applyBorder="1" applyAlignment="1">
      <alignment horizontal="center" vertical="center" wrapText="1"/>
    </xf>
    <xf numFmtId="0" fontId="22" fillId="34" borderId="10" xfId="43" applyFont="1" applyFill="1" applyBorder="1" applyAlignment="1">
      <alignment horizontal="center" vertical="center" wrapText="1"/>
    </xf>
    <xf numFmtId="0" fontId="22" fillId="0" borderId="0" xfId="43" applyFont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0" fontId="27" fillId="0" borderId="0" xfId="0" applyFont="1" applyAlignment="1">
      <alignment horizontal="center" vertical="center"/>
    </xf>
    <xf numFmtId="0" fontId="29" fillId="33" borderId="10" xfId="43" applyFont="1" applyFill="1" applyBorder="1" applyAlignment="1">
      <alignment horizontal="right" vertical="center"/>
    </xf>
    <xf numFmtId="0" fontId="21" fillId="0" borderId="0" xfId="43" applyNumberFormat="1" applyFont="1" applyFill="1" applyBorder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14" fontId="27" fillId="0" borderId="12" xfId="0" applyNumberFormat="1" applyFont="1" applyBorder="1" applyAlignment="1">
      <alignment horizontal="center" vertical="center"/>
    </xf>
    <xf numFmtId="0" fontId="27" fillId="0" borderId="12" xfId="0" applyFont="1" applyBorder="1" applyAlignment="1">
      <alignment horizontal="center" vertical="center"/>
    </xf>
    <xf numFmtId="14" fontId="27" fillId="0" borderId="0" xfId="0" applyNumberFormat="1" applyFont="1" applyBorder="1" applyAlignment="1">
      <alignment horizontal="center" vertical="center"/>
    </xf>
    <xf numFmtId="14" fontId="27" fillId="0" borderId="11" xfId="0" applyNumberFormat="1" applyFont="1" applyBorder="1" applyAlignment="1">
      <alignment horizontal="center" vertical="center"/>
    </xf>
    <xf numFmtId="164" fontId="27" fillId="0" borderId="0" xfId="0" applyNumberFormat="1" applyFont="1" applyBorder="1" applyAlignment="1">
      <alignment horizontal="right" vertical="center"/>
    </xf>
    <xf numFmtId="164" fontId="27" fillId="0" borderId="14" xfId="0" applyNumberFormat="1" applyFont="1" applyBorder="1" applyAlignment="1">
      <alignment horizontal="right" vertical="center"/>
    </xf>
    <xf numFmtId="164" fontId="27" fillId="0" borderId="0" xfId="0" applyNumberFormat="1" applyFont="1" applyAlignment="1">
      <alignment horizontal="right" vertical="center"/>
    </xf>
    <xf numFmtId="164" fontId="23" fillId="0" borderId="0" xfId="43" applyNumberFormat="1" applyFont="1" applyFill="1" applyBorder="1" applyAlignment="1">
      <alignment horizontal="right"/>
    </xf>
    <xf numFmtId="164" fontId="22" fillId="33" borderId="10" xfId="43" applyNumberFormat="1" applyFont="1" applyFill="1" applyBorder="1" applyAlignment="1">
      <alignment vertical="center"/>
    </xf>
    <xf numFmtId="164" fontId="22" fillId="34" borderId="13" xfId="43" applyNumberFormat="1" applyFont="1" applyFill="1" applyBorder="1" applyAlignment="1">
      <alignment horizontal="center" vertical="center" wrapText="1"/>
    </xf>
    <xf numFmtId="164" fontId="22" fillId="34" borderId="10" xfId="43" applyNumberFormat="1" applyFont="1" applyFill="1" applyBorder="1" applyAlignment="1">
      <alignment horizontal="center" vertical="center" wrapText="1"/>
    </xf>
    <xf numFmtId="0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0" fontId="31" fillId="0" borderId="0" xfId="43" applyFont="1" applyFill="1" applyBorder="1" applyAlignment="1">
      <alignment horizontal="center" vertical="center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49" fontId="22" fillId="33" borderId="0" xfId="43" applyNumberFormat="1" applyFont="1" applyFill="1" applyBorder="1" applyAlignment="1">
      <alignment horizontal="center" vertical="center" wrapText="1"/>
    </xf>
    <xf numFmtId="0" fontId="21" fillId="0" borderId="0" xfId="0" applyFont="1" applyFill="1" applyAlignment="1">
      <alignment horizontal="left" vertical="center"/>
    </xf>
    <xf numFmtId="0" fontId="21" fillId="0" borderId="0" xfId="0" applyFont="1" applyFill="1" applyAlignment="1">
      <alignment vertical="center"/>
    </xf>
    <xf numFmtId="0" fontId="23" fillId="0" borderId="0" xfId="0" applyFont="1" applyFill="1" applyAlignment="1">
      <alignment vertical="center"/>
    </xf>
    <xf numFmtId="14" fontId="21" fillId="0" borderId="0" xfId="43" applyNumberFormat="1" applyFont="1" applyFill="1" applyBorder="1" applyAlignment="1">
      <alignment horizontal="center" vertical="center" wrapText="1"/>
    </xf>
    <xf numFmtId="1" fontId="22" fillId="33" borderId="10" xfId="43" applyNumberFormat="1" applyFont="1" applyFill="1" applyBorder="1" applyAlignment="1">
      <alignment vertical="center"/>
    </xf>
    <xf numFmtId="1" fontId="22" fillId="34" borderId="13" xfId="43" applyNumberFormat="1" applyFont="1" applyFill="1" applyBorder="1" applyAlignment="1">
      <alignment horizontal="center" vertical="center" wrapText="1"/>
    </xf>
    <xf numFmtId="1" fontId="22" fillId="34" borderId="10" xfId="43" applyNumberFormat="1" applyFont="1" applyFill="1" applyBorder="1" applyAlignment="1">
      <alignment horizontal="center" vertical="center" wrapText="1"/>
    </xf>
    <xf numFmtId="1" fontId="21" fillId="0" borderId="0" xfId="43" applyNumberFormat="1" applyFont="1" applyFill="1" applyBorder="1" applyAlignment="1">
      <alignment horizontal="right" vertical="center"/>
    </xf>
    <xf numFmtId="1" fontId="21" fillId="0" borderId="0" xfId="43" applyNumberFormat="1" applyFont="1" applyFill="1" applyBorder="1" applyAlignment="1">
      <alignment horizontal="right"/>
    </xf>
    <xf numFmtId="1" fontId="21" fillId="0" borderId="0" xfId="43" applyNumberFormat="1" applyFont="1" applyAlignment="1">
      <alignment horizontal="right" vertical="center"/>
    </xf>
    <xf numFmtId="49" fontId="32" fillId="33" borderId="10" xfId="43" applyNumberFormat="1" applyFont="1" applyFill="1" applyBorder="1" applyAlignment="1">
      <alignment vertical="center"/>
    </xf>
    <xf numFmtId="49" fontId="33" fillId="33" borderId="10" xfId="43" applyNumberFormat="1" applyFont="1" applyFill="1" applyBorder="1" applyAlignment="1">
      <alignment vertical="center"/>
    </xf>
    <xf numFmtId="49" fontId="34" fillId="0" borderId="0" xfId="43" applyNumberFormat="1" applyFont="1" applyFill="1" applyBorder="1" applyAlignment="1">
      <alignment vertical="center"/>
    </xf>
    <xf numFmtId="49" fontId="34" fillId="0" borderId="0" xfId="43" applyNumberFormat="1" applyFont="1" applyFill="1" applyBorder="1" applyAlignment="1">
      <alignment vertical="center" wrapText="1"/>
    </xf>
    <xf numFmtId="49" fontId="34" fillId="0" borderId="0" xfId="43" applyNumberFormat="1" applyFont="1" applyFill="1" applyBorder="1" applyAlignment="1">
      <alignment horizontal="center" vertical="center" wrapText="1"/>
    </xf>
    <xf numFmtId="0" fontId="34" fillId="0" borderId="0" xfId="43" applyNumberFormat="1" applyFont="1" applyFill="1" applyBorder="1" applyAlignment="1">
      <alignment horizontal="center" vertical="center" wrapText="1"/>
    </xf>
    <xf numFmtId="14" fontId="34" fillId="0" borderId="0" xfId="43" applyNumberFormat="1" applyFont="1" applyFill="1" applyBorder="1" applyAlignment="1">
      <alignment vertical="center" wrapText="1"/>
    </xf>
    <xf numFmtId="14" fontId="34" fillId="0" borderId="0" xfId="43" applyNumberFormat="1" applyFont="1" applyFill="1" applyBorder="1" applyAlignment="1">
      <alignment horizontal="center" vertical="center" wrapText="1"/>
    </xf>
    <xf numFmtId="14" fontId="34" fillId="0" borderId="0" xfId="43" applyNumberFormat="1" applyFont="1" applyAlignment="1">
      <alignment vertical="center" wrapText="1"/>
    </xf>
    <xf numFmtId="0" fontId="34" fillId="0" borderId="0" xfId="43" applyFont="1" applyFill="1" applyBorder="1" applyAlignment="1">
      <alignment horizontal="left" vertical="center"/>
    </xf>
    <xf numFmtId="0" fontId="34" fillId="0" borderId="0" xfId="43" applyFont="1" applyFill="1" applyBorder="1" applyAlignment="1">
      <alignment horizontal="right" vertical="center"/>
    </xf>
    <xf numFmtId="0" fontId="32" fillId="0" borderId="0" xfId="43" applyFont="1" applyFill="1" applyBorder="1" applyAlignment="1">
      <alignment vertical="center" wrapText="1"/>
    </xf>
    <xf numFmtId="1" fontId="32" fillId="0" borderId="0" xfId="43" applyNumberFormat="1" applyFont="1" applyFill="1" applyBorder="1" applyAlignment="1">
      <alignment vertical="center" wrapText="1"/>
    </xf>
    <xf numFmtId="1" fontId="34" fillId="0" borderId="0" xfId="43" applyNumberFormat="1" applyFont="1" applyFill="1" applyBorder="1" applyAlignment="1">
      <alignment vertical="center" wrapText="1"/>
    </xf>
    <xf numFmtId="0" fontId="32" fillId="0" borderId="0" xfId="43" applyFont="1" applyAlignment="1">
      <alignment vertical="center" wrapText="1"/>
    </xf>
    <xf numFmtId="0" fontId="34" fillId="0" borderId="0" xfId="43" applyFont="1" applyFill="1" applyBorder="1" applyAlignment="1">
      <alignment vertical="center" wrapText="1"/>
    </xf>
    <xf numFmtId="0" fontId="34" fillId="0" borderId="0" xfId="43" applyFont="1" applyAlignment="1">
      <alignment vertical="center" wrapText="1"/>
    </xf>
    <xf numFmtId="0" fontId="34" fillId="0" borderId="0" xfId="43" applyFont="1" applyFill="1" applyBorder="1" applyAlignment="1">
      <alignment horizontal="center" vertical="center" wrapText="1"/>
    </xf>
    <xf numFmtId="1" fontId="34" fillId="0" borderId="0" xfId="43" applyNumberFormat="1" applyFont="1" applyAlignment="1">
      <alignment vertical="center" wrapText="1"/>
    </xf>
    <xf numFmtId="1" fontId="34" fillId="0" borderId="0" xfId="43" applyNumberFormat="1" applyFont="1" applyFill="1" applyBorder="1" applyAlignment="1">
      <alignment vertical="center"/>
    </xf>
    <xf numFmtId="0" fontId="34" fillId="0" borderId="0" xfId="43" applyFont="1" applyFill="1" applyBorder="1" applyAlignment="1">
      <alignment vertical="center"/>
    </xf>
    <xf numFmtId="0" fontId="34" fillId="0" borderId="0" xfId="43" applyFont="1" applyAlignment="1">
      <alignment vertical="center"/>
    </xf>
    <xf numFmtId="0" fontId="34" fillId="0" borderId="0" xfId="43" applyNumberFormat="1" applyFont="1" applyFill="1" applyBorder="1" applyAlignment="1">
      <alignment horizontal="center" vertical="center"/>
    </xf>
    <xf numFmtId="0" fontId="34" fillId="0" borderId="0" xfId="43" applyFont="1" applyFill="1" applyAlignment="1">
      <alignment horizontal="left" vertical="center"/>
    </xf>
    <xf numFmtId="0" fontId="34" fillId="0" borderId="0" xfId="43" applyFont="1" applyAlignment="1">
      <alignment horizontal="left" vertical="center"/>
    </xf>
    <xf numFmtId="0" fontId="34" fillId="0" borderId="0" xfId="43" applyFont="1" applyAlignment="1">
      <alignment horizontal="right" vertical="center"/>
    </xf>
    <xf numFmtId="1" fontId="21" fillId="0" borderId="0" xfId="43" applyNumberFormat="1" applyFont="1" applyFill="1" applyBorder="1" applyAlignment="1">
      <alignment vertical="center" wrapText="1"/>
    </xf>
    <xf numFmtId="1" fontId="21" fillId="0" borderId="0" xfId="43" applyNumberFormat="1" applyFont="1" applyFill="1" applyBorder="1" applyAlignment="1">
      <alignment vertical="center"/>
    </xf>
    <xf numFmtId="49" fontId="21" fillId="0" borderId="0" xfId="43" applyNumberFormat="1" applyFont="1" applyFill="1" applyBorder="1" applyAlignment="1">
      <alignment horizontal="center" vertical="center" wrapText="1"/>
    </xf>
    <xf numFmtId="1" fontId="23" fillId="0" borderId="0" xfId="43" applyNumberFormat="1" applyFont="1" applyFill="1" applyBorder="1" applyAlignment="1">
      <alignment horizontal="right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64" fontId="34" fillId="0" borderId="0" xfId="43" applyNumberFormat="1" applyFont="1" applyFill="1" applyBorder="1" applyAlignment="1">
      <alignment vertical="center" wrapText="1"/>
    </xf>
    <xf numFmtId="164" fontId="34" fillId="0" borderId="0" xfId="43" applyNumberFormat="1" applyFont="1" applyBorder="1" applyAlignment="1">
      <alignment vertical="center" wrapText="1"/>
    </xf>
    <xf numFmtId="164" fontId="21" fillId="0" borderId="0" xfId="43" applyNumberFormat="1" applyFont="1" applyFill="1" applyBorder="1" applyAlignment="1">
      <alignment horizontal="center" vertical="center" wrapText="1"/>
    </xf>
    <xf numFmtId="164" fontId="34" fillId="0" borderId="0" xfId="43" applyNumberFormat="1" applyFont="1" applyFill="1" applyBorder="1" applyAlignment="1">
      <alignment horizontal="center" vertical="center" wrapText="1"/>
    </xf>
    <xf numFmtId="164" fontId="34" fillId="0" borderId="0" xfId="43" applyNumberFormat="1" applyFont="1" applyAlignment="1">
      <alignment vertical="center" wrapText="1"/>
    </xf>
    <xf numFmtId="49" fontId="32" fillId="33" borderId="10" xfId="43" applyNumberFormat="1" applyFont="1" applyFill="1" applyBorder="1" applyAlignment="1">
      <alignment horizontal="center" vertical="center" wrapText="1"/>
    </xf>
    <xf numFmtId="0" fontId="34" fillId="34" borderId="10" xfId="43" applyNumberFormat="1" applyFont="1" applyFill="1" applyBorder="1" applyAlignment="1">
      <alignment horizontal="center" vertical="center"/>
    </xf>
    <xf numFmtId="164" fontId="32" fillId="33" borderId="12" xfId="43" applyNumberFormat="1" applyFont="1" applyFill="1" applyBorder="1" applyAlignment="1">
      <alignment horizontal="center" vertical="center" wrapText="1"/>
    </xf>
    <xf numFmtId="164" fontId="34" fillId="34" borderId="12" xfId="43" applyNumberFormat="1" applyFont="1" applyFill="1" applyBorder="1" applyAlignment="1">
      <alignment horizontal="center" vertical="center" wrapText="1"/>
    </xf>
    <xf numFmtId="164" fontId="22" fillId="33" borderId="12" xfId="43" applyNumberFormat="1" applyFont="1" applyFill="1" applyBorder="1" applyAlignment="1">
      <alignment horizontal="center" vertical="center" wrapText="1"/>
    </xf>
    <xf numFmtId="164" fontId="22" fillId="33" borderId="10" xfId="43" applyNumberFormat="1" applyFont="1" applyFill="1" applyBorder="1" applyAlignment="1">
      <alignment horizontal="center" vertical="center" wrapText="1"/>
    </xf>
    <xf numFmtId="14" fontId="32" fillId="33" borderId="12" xfId="43" applyNumberFormat="1" applyFont="1" applyFill="1" applyBorder="1" applyAlignment="1">
      <alignment horizontal="center" vertical="center" wrapText="1"/>
    </xf>
    <xf numFmtId="49" fontId="22" fillId="33" borderId="10" xfId="43" applyNumberFormat="1" applyFont="1" applyFill="1" applyBorder="1" applyAlignment="1">
      <alignment horizontal="center" vertical="center" wrapText="1"/>
    </xf>
    <xf numFmtId="14" fontId="34" fillId="34" borderId="12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0" fontId="30" fillId="0" borderId="0" xfId="0" applyFont="1" applyAlignment="1">
      <alignment horizontal="left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0" fontId="28" fillId="0" borderId="16" xfId="0" applyFont="1" applyFill="1" applyBorder="1" applyAlignment="1">
      <alignment horizontal="center" vertical="center"/>
    </xf>
    <xf numFmtId="14" fontId="27" fillId="0" borderId="16" xfId="0" applyNumberFormat="1" applyFont="1" applyFill="1" applyBorder="1" applyAlignment="1">
      <alignment horizontal="center" vertical="center"/>
    </xf>
    <xf numFmtId="0" fontId="35" fillId="0" borderId="16" xfId="0" applyFont="1" applyFill="1" applyBorder="1" applyAlignment="1">
      <alignment horizontal="center" vertical="center"/>
    </xf>
    <xf numFmtId="0" fontId="28" fillId="33" borderId="12" xfId="0" applyFont="1" applyFill="1" applyBorder="1" applyAlignment="1">
      <alignment horizontal="center" vertical="center" wrapText="1"/>
    </xf>
    <xf numFmtId="49" fontId="22" fillId="34" borderId="10" xfId="43" applyNumberFormat="1" applyFont="1" applyFill="1" applyBorder="1" applyAlignment="1">
      <alignment vertical="center"/>
    </xf>
    <xf numFmtId="0" fontId="28" fillId="34" borderId="0" xfId="0" applyFont="1" applyFill="1" applyBorder="1" applyAlignment="1">
      <alignment vertical="center"/>
    </xf>
    <xf numFmtId="0" fontId="28" fillId="33" borderId="11" xfId="0" applyFont="1" applyFill="1" applyBorder="1" applyAlignment="1">
      <alignment horizontal="center" vertical="center" wrapText="1"/>
    </xf>
    <xf numFmtId="164" fontId="28" fillId="33" borderId="14" xfId="0" applyNumberFormat="1" applyFont="1" applyFill="1" applyBorder="1" applyAlignment="1">
      <alignment horizontal="right" vertical="center" wrapText="1"/>
    </xf>
    <xf numFmtId="0" fontId="27" fillId="0" borderId="0" xfId="0" applyFont="1" applyAlignment="1">
      <alignment horizontal="center"/>
    </xf>
    <xf numFmtId="164" fontId="28" fillId="33" borderId="16" xfId="0" applyNumberFormat="1" applyFont="1" applyFill="1" applyBorder="1" applyAlignment="1">
      <alignment horizontal="center" vertical="center"/>
    </xf>
    <xf numFmtId="164" fontId="28" fillId="0" borderId="16" xfId="0" applyNumberFormat="1" applyFont="1" applyFill="1" applyBorder="1" applyAlignment="1">
      <alignment horizontal="center" vertical="center"/>
    </xf>
    <xf numFmtId="0" fontId="27" fillId="0" borderId="0" xfId="0" applyFont="1" applyFill="1" applyAlignment="1">
      <alignment horizontal="center" vertical="center" wrapText="1"/>
    </xf>
    <xf numFmtId="1" fontId="28" fillId="0" borderId="0" xfId="0" applyNumberFormat="1" applyFont="1" applyFill="1" applyAlignment="1">
      <alignment horizontal="center"/>
    </xf>
    <xf numFmtId="0" fontId="21" fillId="0" borderId="0" xfId="0" applyFont="1" applyFill="1" applyAlignment="1">
      <alignment horizontal="center"/>
    </xf>
    <xf numFmtId="0" fontId="21" fillId="0" borderId="0" xfId="0" applyFont="1" applyFill="1" applyAlignment="1"/>
    <xf numFmtId="0" fontId="31" fillId="0" borderId="0" xfId="0" applyFont="1" applyAlignment="1"/>
    <xf numFmtId="0" fontId="21" fillId="0" borderId="16" xfId="43" applyFont="1" applyFill="1" applyBorder="1" applyAlignment="1">
      <alignment horizontal="left" vertical="center" wrapText="1"/>
    </xf>
    <xf numFmtId="0" fontId="21" fillId="0" borderId="0" xfId="43" applyFont="1" applyFill="1" applyBorder="1" applyAlignment="1">
      <alignment horizontal="left" vertical="center" wrapText="1"/>
    </xf>
    <xf numFmtId="0" fontId="22" fillId="0" borderId="0" xfId="43" applyFont="1" applyFill="1" applyBorder="1" applyAlignment="1">
      <alignment horizontal="left" vertical="center" wrapText="1"/>
    </xf>
    <xf numFmtId="0" fontId="36" fillId="0" borderId="0" xfId="0" applyFont="1" applyFill="1" applyBorder="1"/>
    <xf numFmtId="49" fontId="22" fillId="33" borderId="16" xfId="43" applyNumberFormat="1" applyFont="1" applyFill="1" applyBorder="1" applyAlignment="1">
      <alignment horizontal="center" vertical="center"/>
    </xf>
    <xf numFmtId="0" fontId="30" fillId="0" borderId="0" xfId="0" applyFont="1" applyFill="1"/>
    <xf numFmtId="0" fontId="27" fillId="0" borderId="0" xfId="0" applyFont="1" applyFill="1" applyAlignment="1">
      <alignment horizontal="center" vertical="center"/>
    </xf>
    <xf numFmtId="0" fontId="21" fillId="0" borderId="15" xfId="43" applyFont="1" applyFill="1" applyBorder="1" applyAlignment="1">
      <alignment horizontal="left" vertical="center" wrapText="1"/>
    </xf>
    <xf numFmtId="0" fontId="21" fillId="34" borderId="16" xfId="43" applyFont="1" applyFill="1" applyBorder="1" applyAlignment="1">
      <alignment vertical="center" wrapText="1"/>
    </xf>
    <xf numFmtId="0" fontId="21" fillId="34" borderId="15" xfId="43" applyFont="1" applyFill="1" applyBorder="1" applyAlignment="1">
      <alignment vertical="center" wrapText="1"/>
    </xf>
    <xf numFmtId="0" fontId="37" fillId="33" borderId="16" xfId="0" applyFont="1" applyFill="1" applyBorder="1" applyAlignment="1">
      <alignment horizontal="center"/>
    </xf>
    <xf numFmtId="0" fontId="22" fillId="33" borderId="16" xfId="43" applyFont="1" applyFill="1" applyBorder="1" applyAlignment="1">
      <alignment horizontal="center" vertical="center" wrapText="1"/>
    </xf>
    <xf numFmtId="0" fontId="22" fillId="33" borderId="10" xfId="43" applyFont="1" applyFill="1" applyBorder="1" applyAlignment="1">
      <alignment horizontal="center" vertical="center"/>
    </xf>
    <xf numFmtId="0" fontId="22" fillId="0" borderId="0" xfId="0" applyFont="1" applyAlignment="1">
      <alignment horizontal="center"/>
    </xf>
    <xf numFmtId="14" fontId="21" fillId="0" borderId="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0" fontId="27" fillId="0" borderId="20" xfId="0" applyFont="1" applyBorder="1" applyAlignment="1">
      <alignment horizontal="center" vertical="center"/>
    </xf>
    <xf numFmtId="164" fontId="28" fillId="34" borderId="13" xfId="0" applyNumberFormat="1" applyFont="1" applyFill="1" applyBorder="1" applyAlignment="1">
      <alignment horizontal="right" vertical="center" wrapText="1"/>
    </xf>
    <xf numFmtId="164" fontId="28" fillId="34" borderId="10" xfId="0" applyNumberFormat="1" applyFont="1" applyFill="1" applyBorder="1" applyAlignment="1">
      <alignment horizontal="right" vertical="center" wrapText="1"/>
    </xf>
    <xf numFmtId="164" fontId="28" fillId="34" borderId="13" xfId="0" applyNumberFormat="1" applyFont="1" applyFill="1" applyBorder="1" applyAlignment="1">
      <alignment horizontal="center" vertical="center" wrapText="1"/>
    </xf>
    <xf numFmtId="164" fontId="28" fillId="34" borderId="10" xfId="0" applyNumberFormat="1" applyFont="1" applyFill="1" applyBorder="1" applyAlignment="1">
      <alignment horizontal="center" vertical="center" wrapText="1"/>
    </xf>
    <xf numFmtId="0" fontId="22" fillId="34" borderId="12" xfId="43" applyFont="1" applyFill="1" applyBorder="1" applyAlignment="1">
      <alignment horizontal="center" vertical="center" wrapText="1"/>
    </xf>
    <xf numFmtId="0" fontId="21" fillId="34" borderId="19" xfId="0" applyFont="1" applyFill="1" applyBorder="1" applyAlignment="1">
      <alignment vertical="center" wrapText="1"/>
    </xf>
    <xf numFmtId="0" fontId="21" fillId="34" borderId="13" xfId="0" applyFont="1" applyFill="1" applyBorder="1" applyAlignment="1">
      <alignment vertical="center" wrapText="1"/>
    </xf>
    <xf numFmtId="0" fontId="27" fillId="0" borderId="17" xfId="0" applyFont="1" applyFill="1" applyBorder="1" applyAlignment="1">
      <alignment horizontal="center" vertical="center"/>
    </xf>
    <xf numFmtId="0" fontId="27" fillId="0" borderId="15" xfId="0" applyFont="1" applyFill="1" applyBorder="1" applyAlignment="1">
      <alignment horizontal="center" vertical="center"/>
    </xf>
    <xf numFmtId="0" fontId="27" fillId="0" borderId="18" xfId="0" applyFont="1" applyFill="1" applyBorder="1" applyAlignment="1">
      <alignment horizontal="center" vertical="center"/>
    </xf>
    <xf numFmtId="0" fontId="24" fillId="33" borderId="10" xfId="44" applyFont="1" applyFill="1" applyBorder="1" applyAlignment="1">
      <alignment horizontal="center" vertical="center" wrapText="1"/>
    </xf>
    <xf numFmtId="0" fontId="32" fillId="0" borderId="0" xfId="43" applyNumberFormat="1" applyFont="1" applyFill="1" applyBorder="1" applyAlignment="1">
      <alignment horizontal="center" vertical="center" wrapText="1"/>
    </xf>
    <xf numFmtId="49" fontId="32" fillId="0" borderId="0" xfId="43" applyNumberFormat="1" applyFont="1" applyFill="1" applyBorder="1" applyAlignment="1">
      <alignment horizontal="center" vertical="center" wrapText="1"/>
    </xf>
    <xf numFmtId="49" fontId="32" fillId="34" borderId="13" xfId="43" applyNumberFormat="1" applyFont="1" applyFill="1" applyBorder="1" applyAlignment="1">
      <alignment horizontal="center" vertical="center" wrapText="1"/>
    </xf>
    <xf numFmtId="49" fontId="32" fillId="34" borderId="10" xfId="43" applyNumberFormat="1" applyFont="1" applyFill="1" applyBorder="1" applyAlignment="1">
      <alignment horizontal="center" vertical="center" wrapText="1"/>
    </xf>
    <xf numFmtId="14" fontId="32" fillId="34" borderId="13" xfId="43" applyNumberFormat="1" applyFont="1" applyFill="1" applyBorder="1" applyAlignment="1">
      <alignment horizontal="center" vertical="center" wrapText="1"/>
    </xf>
    <xf numFmtId="14" fontId="32" fillId="34" borderId="10" xfId="43" applyNumberFormat="1" applyFont="1" applyFill="1" applyBorder="1" applyAlignment="1">
      <alignment horizontal="center" vertical="center" wrapText="1"/>
    </xf>
    <xf numFmtId="14" fontId="21" fillId="0" borderId="0" xfId="43" applyNumberFormat="1" applyFont="1" applyFill="1" applyBorder="1" applyAlignment="1">
      <alignment horizontal="center" vertical="center" wrapText="1"/>
    </xf>
    <xf numFmtId="14" fontId="22" fillId="34" borderId="13" xfId="43" applyNumberFormat="1" applyFont="1" applyFill="1" applyBorder="1" applyAlignment="1">
      <alignment horizontal="center" vertical="center" wrapText="1"/>
    </xf>
    <xf numFmtId="14" fontId="22" fillId="34" borderId="10" xfId="43" applyNumberFormat="1" applyFont="1" applyFill="1" applyBorder="1" applyAlignment="1">
      <alignment horizontal="center" vertical="center" wrapText="1"/>
    </xf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 xr:uid="{00000000-0005-0000-0000-00001F000000}"/>
    <cellStyle name="Normal 2 2" xfId="44" xr:uid="{00000000-0005-0000-0000-000020000000}"/>
    <cellStyle name="Normal 3" xfId="43" xr:uid="{00000000-0005-0000-0000-000021000000}"/>
    <cellStyle name="Normal 3 2" xfId="45" xr:uid="{00000000-0005-0000-0000-000022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9">
    <dxf>
      <font>
        <color theme="0"/>
      </font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rgb="FFC00000"/>
      </font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9999"/>
      <color rgb="FFFF7C80"/>
      <color rgb="FFFF5050"/>
      <color rgb="FF008080"/>
      <color rgb="FF006666"/>
      <color rgb="FF009999"/>
      <color rgb="FFFFA7A7"/>
      <color rgb="FFFF7575"/>
      <color rgb="FFC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file:///\\NAS_SBI\gestion%20stock%20dorma\Pi&#232;ces%20d&#233;tach&#233;es\Biblioth&#232;que%20Photos\0_Ensemble\0129.40.0017.jpg" TargetMode="External"/><Relationship Id="rId1" Type="http://schemas.openxmlformats.org/officeDocument/2006/relationships/image" Target="../media/image7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9.emf"/><Relationship Id="rId1" Type="http://schemas.openxmlformats.org/officeDocument/2006/relationships/image" Target="../media/image8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9.emf"/><Relationship Id="rId1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0</xdr:row>
      <xdr:rowOff>47626</xdr:rowOff>
    </xdr:from>
    <xdr:to>
      <xdr:col>0</xdr:col>
      <xdr:colOff>638175</xdr:colOff>
      <xdr:row>0</xdr:row>
      <xdr:rowOff>333376</xdr:rowOff>
    </xdr:to>
    <xdr:sp macro="[0]!Lance_UF_Mouv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71475" y="47626"/>
          <a:ext cx="266700" cy="28575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3810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304800</xdr:colOff>
          <xdr:row>571</xdr:row>
          <xdr:rowOff>0</xdr:rowOff>
        </xdr:from>
        <xdr:to>
          <xdr:col>28</xdr:col>
          <xdr:colOff>142875</xdr:colOff>
          <xdr:row>593</xdr:row>
          <xdr:rowOff>114300</xdr:rowOff>
        </xdr:to>
        <xdr:sp macro="" textlink="">
          <xdr:nvSpPr>
            <xdr:cNvPr id="1025" name="Lis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127000</xdr:colOff>
          <xdr:row>459</xdr:row>
          <xdr:rowOff>0</xdr:rowOff>
        </xdr:from>
        <xdr:to>
          <xdr:col>22</xdr:col>
          <xdr:colOff>508000</xdr:colOff>
          <xdr:row>471</xdr:row>
          <xdr:rowOff>76200</xdr:rowOff>
        </xdr:to>
        <xdr:sp macro="" textlink="">
          <xdr:nvSpPr>
            <xdr:cNvPr id="1026" name="Image3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438150</xdr:colOff>
      <xdr:row>2</xdr:row>
      <xdr:rowOff>76199</xdr:rowOff>
    </xdr:from>
    <xdr:to>
      <xdr:col>0</xdr:col>
      <xdr:colOff>672150</xdr:colOff>
      <xdr:row>2</xdr:row>
      <xdr:rowOff>310199</xdr:rowOff>
    </xdr:to>
    <xdr:sp macro="[0]!SupprOrd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438150" y="838199"/>
          <a:ext cx="234000" cy="234000"/>
        </a:xfrm>
        <a:prstGeom prst="round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276224</xdr:colOff>
      <xdr:row>0</xdr:row>
      <xdr:rowOff>76200</xdr:rowOff>
    </xdr:from>
    <xdr:to>
      <xdr:col>0</xdr:col>
      <xdr:colOff>521024</xdr:colOff>
      <xdr:row>0</xdr:row>
      <xdr:rowOff>321000</xdr:rowOff>
    </xdr:to>
    <xdr:sp macro="[0]!tableau_de_bord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276224" y="76200"/>
          <a:ext cx="244800" cy="244800"/>
        </a:xfrm>
        <a:prstGeom prst="roundRect">
          <a:avLst/>
        </a:prstGeom>
        <a:blipFill dpi="0" rotWithShape="1"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104775</xdr:colOff>
      <xdr:row>2</xdr:row>
      <xdr:rowOff>76200</xdr:rowOff>
    </xdr:from>
    <xdr:to>
      <xdr:col>0</xdr:col>
      <xdr:colOff>338775</xdr:colOff>
      <xdr:row>2</xdr:row>
      <xdr:rowOff>310200</xdr:rowOff>
    </xdr:to>
    <xdr:sp macro="[0]!NouvOrd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04775" y="838200"/>
          <a:ext cx="234000" cy="234000"/>
        </a:xfrm>
        <a:prstGeom prst="roundRect">
          <a:avLst/>
        </a:prstGeom>
        <a:blipFill dpi="0"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276224</xdr:colOff>
      <xdr:row>0</xdr:row>
      <xdr:rowOff>76200</xdr:rowOff>
    </xdr:from>
    <xdr:to>
      <xdr:col>0</xdr:col>
      <xdr:colOff>521024</xdr:colOff>
      <xdr:row>0</xdr:row>
      <xdr:rowOff>321000</xdr:rowOff>
    </xdr:to>
    <xdr:sp macro="[0]!tableau_de_bord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276224" y="76200"/>
          <a:ext cx="244800" cy="244800"/>
        </a:xfrm>
        <a:prstGeom prst="roundRect">
          <a:avLst/>
        </a:prstGeom>
        <a:blipFill dpi="0"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127000</xdr:colOff>
          <xdr:row>0</xdr:row>
          <xdr:rowOff>0</xdr:rowOff>
        </xdr:from>
        <xdr:to>
          <xdr:col>10</xdr:col>
          <xdr:colOff>555625</xdr:colOff>
          <xdr:row>9</xdr:row>
          <xdr:rowOff>114300</xdr:rowOff>
        </xdr:to>
        <xdr:sp macro="" textlink="">
          <xdr:nvSpPr>
            <xdr:cNvPr id="4097" name="Image2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4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276224</xdr:colOff>
      <xdr:row>0</xdr:row>
      <xdr:rowOff>76200</xdr:rowOff>
    </xdr:from>
    <xdr:to>
      <xdr:col>0</xdr:col>
      <xdr:colOff>521024</xdr:colOff>
      <xdr:row>0</xdr:row>
      <xdr:rowOff>321000</xdr:rowOff>
    </xdr:to>
    <xdr:sp macro="[0]!tableau_de_bord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276224" y="76200"/>
          <a:ext cx="244800" cy="244800"/>
        </a:xfrm>
        <a:prstGeom prst="roundRect">
          <a:avLst/>
        </a:prstGeom>
        <a:blipFill dpi="0"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28575</xdr:colOff>
      <xdr:row>0</xdr:row>
      <xdr:rowOff>0</xdr:rowOff>
    </xdr:from>
    <xdr:to>
      <xdr:col>15</xdr:col>
      <xdr:colOff>28575</xdr:colOff>
      <xdr:row>2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96575" y="0"/>
          <a:ext cx="762000" cy="3810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276224</xdr:colOff>
      <xdr:row>0</xdr:row>
      <xdr:rowOff>76200</xdr:rowOff>
    </xdr:from>
    <xdr:to>
      <xdr:col>0</xdr:col>
      <xdr:colOff>521024</xdr:colOff>
      <xdr:row>0</xdr:row>
      <xdr:rowOff>321000</xdr:rowOff>
    </xdr:to>
    <xdr:sp macro="[0]!tableau_de_bord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276224" y="76200"/>
          <a:ext cx="244800" cy="244800"/>
        </a:xfrm>
        <a:prstGeom prst="roundRect">
          <a:avLst/>
        </a:prstGeom>
        <a:blipFill dpi="0"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8</xdr:col>
          <xdr:colOff>19050</xdr:colOff>
          <xdr:row>3</xdr:row>
          <xdr:rowOff>9525</xdr:rowOff>
        </xdr:to>
        <xdr:sp macro="" textlink="">
          <xdr:nvSpPr>
            <xdr:cNvPr id="18433" name="TextBox1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8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</xdr:row>
          <xdr:rowOff>57150</xdr:rowOff>
        </xdr:from>
        <xdr:to>
          <xdr:col>8</xdr:col>
          <xdr:colOff>19050</xdr:colOff>
          <xdr:row>9</xdr:row>
          <xdr:rowOff>0</xdr:rowOff>
        </xdr:to>
        <xdr:sp macro="" textlink="">
          <xdr:nvSpPr>
            <xdr:cNvPr id="18434" name="ListBox1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08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276224</xdr:colOff>
      <xdr:row>0</xdr:row>
      <xdr:rowOff>76200</xdr:rowOff>
    </xdr:from>
    <xdr:to>
      <xdr:col>0</xdr:col>
      <xdr:colOff>521024</xdr:colOff>
      <xdr:row>0</xdr:row>
      <xdr:rowOff>321000</xdr:rowOff>
    </xdr:to>
    <xdr:sp macro="[0]!tableau_de_bord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276224" y="76200"/>
          <a:ext cx="244800" cy="244800"/>
        </a:xfrm>
        <a:prstGeom prst="roundRect">
          <a:avLst/>
        </a:prstGeom>
        <a:blipFill dpi="0"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8</xdr:col>
          <xdr:colOff>19050</xdr:colOff>
          <xdr:row>3</xdr:row>
          <xdr:rowOff>9525</xdr:rowOff>
        </xdr:to>
        <xdr:sp macro="" textlink="">
          <xdr:nvSpPr>
            <xdr:cNvPr id="10245" name="TextBox1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9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3</xdr:row>
          <xdr:rowOff>57150</xdr:rowOff>
        </xdr:from>
        <xdr:to>
          <xdr:col>8</xdr:col>
          <xdr:colOff>19050</xdr:colOff>
          <xdr:row>9</xdr:row>
          <xdr:rowOff>0</xdr:rowOff>
        </xdr:to>
        <xdr:sp macro="" textlink="">
          <xdr:nvSpPr>
            <xdr:cNvPr id="10246" name="ListBox1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9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276224</xdr:colOff>
      <xdr:row>0</xdr:row>
      <xdr:rowOff>76200</xdr:rowOff>
    </xdr:from>
    <xdr:to>
      <xdr:col>0</xdr:col>
      <xdr:colOff>521024</xdr:colOff>
      <xdr:row>0</xdr:row>
      <xdr:rowOff>321000</xdr:rowOff>
    </xdr:to>
    <xdr:sp macro="[0]!tableau_de_bord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276224" y="76200"/>
          <a:ext cx="244800" cy="244800"/>
        </a:xfrm>
        <a:prstGeom prst="roundRect">
          <a:avLst/>
        </a:prstGeom>
        <a:blipFill dpi="0" rotWithShape="1"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2.emf"/><Relationship Id="rId4" Type="http://schemas.openxmlformats.org/officeDocument/2006/relationships/control" Target="../activeX/activeX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9.emf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5.xml"/><Relationship Id="rId5" Type="http://schemas.openxmlformats.org/officeDocument/2006/relationships/image" Target="../media/image8.emf"/><Relationship Id="rId4" Type="http://schemas.openxmlformats.org/officeDocument/2006/relationships/control" Target="../activeX/activeX4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8.emf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7.xml"/><Relationship Id="rId5" Type="http://schemas.openxmlformats.org/officeDocument/2006/relationships/image" Target="../media/image9.emf"/><Relationship Id="rId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>
    <tabColor theme="9" tint="0.39997558519241921"/>
  </sheetPr>
  <dimension ref="A1:U1000"/>
  <sheetViews>
    <sheetView zoomScaleNormal="100" workbookViewId="0">
      <pane ySplit="3" topLeftCell="A4" activePane="bottomLeft" state="frozen"/>
      <selection pane="bottomLeft" activeCell="O460" sqref="O460"/>
    </sheetView>
  </sheetViews>
  <sheetFormatPr baseColWidth="10" defaultRowHeight="12" customHeight="1" x14ac:dyDescent="0.2"/>
  <cols>
    <col min="1" max="1" width="14.7109375" style="43" customWidth="1"/>
    <col min="2" max="2" width="12.7109375" style="43" customWidth="1"/>
    <col min="3" max="3" width="14.7109375" style="43" customWidth="1"/>
    <col min="4" max="4" width="41.7109375" style="43" customWidth="1"/>
    <col min="5" max="5" width="6.7109375" style="53" customWidth="1"/>
    <col min="6" max="6" width="10.7109375" style="51" customWidth="1"/>
    <col min="7" max="7" width="4.7109375" style="43" customWidth="1"/>
    <col min="8" max="8" width="6.7109375" style="72" customWidth="1"/>
    <col min="9" max="9" width="4.7109375" style="43" customWidth="1"/>
    <col min="10" max="10" width="6.7109375" style="69" customWidth="1"/>
    <col min="11" max="11" width="12.7109375" style="51" customWidth="1"/>
    <col min="12" max="12" width="6.7109375" style="69" customWidth="1"/>
    <col min="13" max="13" width="12.7109375" style="51" customWidth="1"/>
    <col min="14" max="14" width="4.7109375" style="43" customWidth="1"/>
    <col min="15" max="15" width="8.7109375" style="72" customWidth="1"/>
    <col min="16" max="16" width="8.7109375" style="75" customWidth="1"/>
    <col min="17" max="17" width="4.7109375" style="44" customWidth="1"/>
    <col min="18" max="18" width="8.7109375" style="75" customWidth="1"/>
    <col min="19" max="19" width="2.7109375" style="202" customWidth="1"/>
    <col min="20" max="20" width="12.7109375" style="188" customWidth="1"/>
    <col min="21" max="16384" width="11.42578125" style="35"/>
  </cols>
  <sheetData>
    <row r="1" spans="1:21" ht="30" customHeight="1" x14ac:dyDescent="0.2">
      <c r="A1" s="47"/>
      <c r="B1" s="78" t="s">
        <v>99</v>
      </c>
      <c r="C1" s="80"/>
      <c r="D1" s="66"/>
      <c r="E1" s="87"/>
      <c r="F1" s="52"/>
      <c r="G1" s="47"/>
      <c r="H1" s="76"/>
      <c r="I1" s="47"/>
      <c r="J1" s="67"/>
      <c r="K1" s="77"/>
      <c r="L1" s="67"/>
      <c r="M1" s="77"/>
      <c r="N1" s="47"/>
      <c r="O1" s="67"/>
      <c r="P1" s="67"/>
      <c r="Q1" s="47"/>
      <c r="R1" s="76"/>
      <c r="S1" s="201"/>
      <c r="T1" s="65"/>
    </row>
    <row r="2" spans="1:21" s="41" customFormat="1" ht="24.95" customHeight="1" x14ac:dyDescent="0.2">
      <c r="A2" s="208" t="str">
        <f>Produits!A2</f>
        <v>Famille</v>
      </c>
      <c r="B2" s="208" t="str">
        <f>Produits!B2</f>
        <v>Sous Famille</v>
      </c>
      <c r="C2" s="208" t="str">
        <f>Produits!C2</f>
        <v>Référence / Fournisseur</v>
      </c>
      <c r="D2" s="208" t="str">
        <f>Produits!D2</f>
        <v>Description (Français)</v>
      </c>
      <c r="E2" s="206" t="str">
        <f>Produits!F2</f>
        <v>U</v>
      </c>
      <c r="F2" s="208" t="str">
        <f>Produits!H2</f>
        <v>PU HT</v>
      </c>
      <c r="G2" s="45"/>
      <c r="H2" s="71" t="s">
        <v>76</v>
      </c>
      <c r="I2" s="54"/>
      <c r="J2" s="210" t="s">
        <v>71</v>
      </c>
      <c r="K2" s="210"/>
      <c r="L2" s="210" t="s">
        <v>72</v>
      </c>
      <c r="M2" s="210"/>
      <c r="N2" s="55"/>
      <c r="O2" s="71" t="s">
        <v>73</v>
      </c>
      <c r="P2" s="73" t="s">
        <v>74</v>
      </c>
      <c r="Q2" s="56"/>
      <c r="R2" s="210" t="s">
        <v>75</v>
      </c>
      <c r="S2" s="210"/>
      <c r="T2" s="210"/>
    </row>
    <row r="3" spans="1:21" s="39" customFormat="1" ht="15" customHeight="1" x14ac:dyDescent="0.25">
      <c r="A3" s="209"/>
      <c r="B3" s="209"/>
      <c r="C3" s="209"/>
      <c r="D3" s="209"/>
      <c r="E3" s="207"/>
      <c r="F3" s="209"/>
      <c r="G3" s="42"/>
      <c r="H3" s="70" t="s">
        <v>70</v>
      </c>
      <c r="I3" s="40"/>
      <c r="J3" s="68" t="s">
        <v>70</v>
      </c>
      <c r="K3" s="46" t="s">
        <v>98</v>
      </c>
      <c r="L3" s="70" t="s">
        <v>70</v>
      </c>
      <c r="M3" s="46" t="s">
        <v>98</v>
      </c>
      <c r="N3" s="48"/>
      <c r="O3" s="70" t="s">
        <v>70</v>
      </c>
      <c r="P3" s="74" t="s">
        <v>70</v>
      </c>
      <c r="Q3" s="40"/>
      <c r="R3" s="68" t="s">
        <v>70</v>
      </c>
      <c r="S3" s="211" t="s">
        <v>77</v>
      </c>
      <c r="T3" s="212"/>
      <c r="U3" s="184"/>
    </row>
    <row r="4" spans="1:21" ht="12" customHeight="1" x14ac:dyDescent="0.2">
      <c r="A4" s="4" t="str">
        <f>IF(Produits!A4="","",Produits!A4)</f>
        <v>Rail R à ailettes</v>
      </c>
      <c r="B4" s="4" t="str">
        <f>IF(Produits!B4="","",Produits!B4)</f>
        <v>RAL 9010</v>
      </c>
      <c r="C4" s="4" t="str">
        <f>IF(Produits!C4="","",Produits!C4)</f>
        <v>1000,00,0001</v>
      </c>
      <c r="D4" s="4" t="str">
        <f>IF(Produits!D4="","",Produits!D4)</f>
        <v>AA125</v>
      </c>
      <c r="E4" s="49" t="str">
        <f>IF(Produits!F4="","",Produits!F4)</f>
        <v>3 m</v>
      </c>
      <c r="F4" s="50">
        <f>IF(Produits!H4="","",Produits!H4)</f>
        <v>10</v>
      </c>
      <c r="G4" s="4"/>
      <c r="H4" s="37">
        <v>30</v>
      </c>
      <c r="I4" s="2"/>
      <c r="J4" s="69">
        <f>SUM('Archives Entrées'!$N4:$AAV4)</f>
        <v>54</v>
      </c>
      <c r="K4" s="51">
        <f t="shared" ref="K4" si="0">IF(J4=0,"0,00€",J4*F4)</f>
        <v>540</v>
      </c>
      <c r="L4" s="69">
        <f>SUM('Archives Sorties'!$M4:$AAY4)</f>
        <v>0</v>
      </c>
      <c r="M4" s="51" t="str">
        <f>IF(L4=0,"0,00€",L4*F4)</f>
        <v>0,00€</v>
      </c>
      <c r="O4" s="72">
        <v>27</v>
      </c>
      <c r="P4" s="72">
        <v>54</v>
      </c>
      <c r="R4" s="185">
        <f>IF(A4="","",((J4+H4)-L4))</f>
        <v>84</v>
      </c>
      <c r="S4" s="186">
        <f>IF(R4="","",IF(R4=0,0,IF(R4&lt;O4,0,IF(R4&lt;=P4,1,2))))</f>
        <v>2</v>
      </c>
      <c r="T4" s="187" t="str">
        <f>IF(R4="","",IF(O4=0,Famille!$D$5,IF(R4&lt;O4,Famille!$D$2,IF(R4&lt;=P4,Famille!$D$3,Famille!$D$4))))</f>
        <v>Surstockage</v>
      </c>
      <c r="U4" s="36"/>
    </row>
    <row r="5" spans="1:21" ht="12" customHeight="1" x14ac:dyDescent="0.2">
      <c r="A5" s="4" t="str">
        <f>IF(Produits!A5="","",Produits!A5)</f>
        <v>Rail R à ailettes</v>
      </c>
      <c r="B5" s="4" t="str">
        <f>IF(Produits!B5="","",Produits!B5)</f>
        <v>RAL 9010</v>
      </c>
      <c r="C5" s="4" t="str">
        <f>IF(Produits!C5="","",Produits!C5)</f>
        <v>1000,00,0002</v>
      </c>
      <c r="D5" s="4" t="str">
        <f>IF(Produits!D5="","",Produits!D5)</f>
        <v>AA126</v>
      </c>
      <c r="E5" s="49" t="str">
        <f>IF(Produits!F5="","",Produits!F5)</f>
        <v>1 pcs</v>
      </c>
      <c r="F5" s="50">
        <f>IF(Produits!H5="","",Produits!H5)</f>
        <v>11</v>
      </c>
      <c r="G5" s="4"/>
      <c r="H5" s="37">
        <v>28</v>
      </c>
      <c r="I5" s="2"/>
      <c r="J5" s="69">
        <f>SUM('Archives Entrées'!$N5:$AAV5)</f>
        <v>54</v>
      </c>
      <c r="K5" s="51">
        <f t="shared" ref="K5:K68" si="1">IF(J5=0,"0,00€",J5*F5)</f>
        <v>594</v>
      </c>
      <c r="L5" s="69">
        <f>SUM('Archives Sorties'!$M5:$AAY5)</f>
        <v>0</v>
      </c>
      <c r="M5" s="51" t="str">
        <f t="shared" ref="M5:M68" si="2">IF(L5=0,"0,00€",L5*F5)</f>
        <v>0,00€</v>
      </c>
      <c r="O5" s="72">
        <v>12</v>
      </c>
      <c r="P5" s="72">
        <v>24</v>
      </c>
      <c r="R5" s="185">
        <f t="shared" ref="R5:R68" si="3">IF(A5="","",((J5+H5)-L5))</f>
        <v>82</v>
      </c>
      <c r="S5" s="186">
        <f t="shared" ref="S5:S68" si="4">IF(R5="","",IF(R5=0,0,IF(R5&lt;O5,0,IF(R5&lt;=P5,1,2))))</f>
        <v>2</v>
      </c>
      <c r="T5" s="187" t="str">
        <f>IF(R5="","",IF(O5=0,Famille!$D$5,IF(R5&lt;O5,Famille!$D$2,IF(R5&lt;=P5,Famille!$D$3,Famille!$D$4))))</f>
        <v>Surstockage</v>
      </c>
      <c r="U5" s="36"/>
    </row>
    <row r="6" spans="1:21" ht="12" customHeight="1" x14ac:dyDescent="0.2">
      <c r="A6" s="4" t="str">
        <f>IF(Produits!A6="","",Produits!A6)</f>
        <v>Rail R à ailettes</v>
      </c>
      <c r="B6" s="4" t="str">
        <f>IF(Produits!B6="","",Produits!B6)</f>
        <v>RAL 9010</v>
      </c>
      <c r="C6" s="4" t="str">
        <f>IF(Produits!C6="","",Produits!C6)</f>
        <v>1000,00,0003</v>
      </c>
      <c r="D6" s="4" t="str">
        <f>IF(Produits!D6="","",Produits!D6)</f>
        <v>AA127</v>
      </c>
      <c r="E6" s="49" t="str">
        <f>IF(Produits!F6="","",Produits!F6)</f>
        <v>1 pcs</v>
      </c>
      <c r="F6" s="50">
        <f>IF(Produits!H6="","",Produits!H6)</f>
        <v>12</v>
      </c>
      <c r="G6" s="4"/>
      <c r="H6" s="37">
        <v>32</v>
      </c>
      <c r="I6" s="2"/>
      <c r="J6" s="69">
        <f>SUM('Archives Entrées'!$N6:$AAV6)</f>
        <v>54</v>
      </c>
      <c r="K6" s="51">
        <f t="shared" si="1"/>
        <v>648</v>
      </c>
      <c r="L6" s="69">
        <f>SUM('Archives Sorties'!$M6:$AAY6)</f>
        <v>0</v>
      </c>
      <c r="M6" s="51" t="str">
        <f t="shared" si="2"/>
        <v>0,00€</v>
      </c>
      <c r="O6" s="72">
        <v>12</v>
      </c>
      <c r="P6" s="72">
        <v>24</v>
      </c>
      <c r="R6" s="185">
        <f t="shared" si="3"/>
        <v>86</v>
      </c>
      <c r="S6" s="186">
        <f t="shared" si="4"/>
        <v>2</v>
      </c>
      <c r="T6" s="187" t="str">
        <f>IF(R6="","",IF(O6=0,Famille!$D$5,IF(R6&lt;O6,Famille!$D$2,IF(R6&lt;=P6,Famille!$D$3,Famille!$D$4))))</f>
        <v>Surstockage</v>
      </c>
      <c r="U6" s="36"/>
    </row>
    <row r="7" spans="1:21" ht="12" customHeight="1" x14ac:dyDescent="0.2">
      <c r="A7" s="4" t="str">
        <f>IF(Produits!A7="","",Produits!A7)</f>
        <v>Rail R à ailettes</v>
      </c>
      <c r="B7" s="4" t="str">
        <f>IF(Produits!B7="","",Produits!B7)</f>
        <v>RAL 9010</v>
      </c>
      <c r="C7" s="4" t="str">
        <f>IF(Produits!C7="","",Produits!C7)</f>
        <v>1000,00,0004</v>
      </c>
      <c r="D7" s="4" t="str">
        <f>IF(Produits!D7="","",Produits!D7)</f>
        <v>AA128</v>
      </c>
      <c r="E7" s="49" t="str">
        <f>IF(Produits!F7="","",Produits!F7)</f>
        <v>1 pcs</v>
      </c>
      <c r="F7" s="50">
        <f>IF(Produits!H7="","",Produits!H7)</f>
        <v>13</v>
      </c>
      <c r="G7" s="4"/>
      <c r="H7" s="37">
        <v>12</v>
      </c>
      <c r="I7" s="2"/>
      <c r="J7" s="69">
        <f>SUM('Archives Entrées'!$N7:$AAV7)</f>
        <v>0</v>
      </c>
      <c r="K7" s="51" t="str">
        <f t="shared" si="1"/>
        <v>0,00€</v>
      </c>
      <c r="L7" s="69">
        <f>SUM('Archives Sorties'!$M7:$AAY7)</f>
        <v>0</v>
      </c>
      <c r="M7" s="51" t="str">
        <f t="shared" si="2"/>
        <v>0,00€</v>
      </c>
      <c r="O7" s="72">
        <v>5</v>
      </c>
      <c r="P7" s="72">
        <v>15</v>
      </c>
      <c r="R7" s="185">
        <f t="shared" si="3"/>
        <v>12</v>
      </c>
      <c r="S7" s="186">
        <f t="shared" si="4"/>
        <v>1</v>
      </c>
      <c r="T7" s="187" t="str">
        <f>IF(R7="","",IF(O7=0,Famille!$D$5,IF(R7&lt;O7,Famille!$D$2,IF(R7&lt;=P7,Famille!$D$3,Famille!$D$4))))</f>
        <v>En Stock</v>
      </c>
      <c r="U7" s="36"/>
    </row>
    <row r="8" spans="1:21" ht="12" customHeight="1" x14ac:dyDescent="0.2">
      <c r="A8" s="4" t="str">
        <f>IF(Produits!A8="","",Produits!A8)</f>
        <v>Rail R à ailettes</v>
      </c>
      <c r="B8" s="4" t="str">
        <f>IF(Produits!B8="","",Produits!B8)</f>
        <v>RAL 9010</v>
      </c>
      <c r="C8" s="4" t="str">
        <f>IF(Produits!C8="","",Produits!C8)</f>
        <v>1000,00,0005</v>
      </c>
      <c r="D8" s="4" t="str">
        <f>IF(Produits!D8="","",Produits!D8)</f>
        <v>AA129</v>
      </c>
      <c r="E8" s="49" t="str">
        <f>IF(Produits!F8="","",Produits!F8)</f>
        <v>1 pcs</v>
      </c>
      <c r="F8" s="50">
        <f>IF(Produits!H8="","",Produits!H8)</f>
        <v>14</v>
      </c>
      <c r="G8" s="4"/>
      <c r="H8" s="37">
        <v>13</v>
      </c>
      <c r="I8" s="2"/>
      <c r="J8" s="69">
        <f>SUM('Archives Entrées'!$N8:$AAV8)</f>
        <v>0</v>
      </c>
      <c r="K8" s="51" t="str">
        <f t="shared" si="1"/>
        <v>0,00€</v>
      </c>
      <c r="L8" s="69">
        <f>SUM('Archives Sorties'!$M8:$AAY8)</f>
        <v>0</v>
      </c>
      <c r="M8" s="51" t="str">
        <f t="shared" si="2"/>
        <v>0,00€</v>
      </c>
      <c r="O8" s="72">
        <v>5</v>
      </c>
      <c r="P8" s="72">
        <v>15</v>
      </c>
      <c r="R8" s="185">
        <f t="shared" si="3"/>
        <v>13</v>
      </c>
      <c r="S8" s="186">
        <f t="shared" si="4"/>
        <v>1</v>
      </c>
      <c r="T8" s="187" t="str">
        <f>IF(R8="","",IF(O8=0,Famille!$D$5,IF(R8&lt;O8,Famille!$D$2,IF(R8&lt;=P8,Famille!$D$3,Famille!$D$4))))</f>
        <v>En Stock</v>
      </c>
      <c r="U8" s="36"/>
    </row>
    <row r="9" spans="1:21" ht="12" customHeight="1" x14ac:dyDescent="0.2">
      <c r="A9" s="4" t="str">
        <f>IF(Produits!A9="","",Produits!A9)</f>
        <v>Rail R à ailettes</v>
      </c>
      <c r="B9" s="4" t="str">
        <f>IF(Produits!B9="","",Produits!B9)</f>
        <v>RAL 9010</v>
      </c>
      <c r="C9" s="4" t="str">
        <f>IF(Produits!C9="","",Produits!C9)</f>
        <v>1000,00,0006</v>
      </c>
      <c r="D9" s="4" t="str">
        <f>IF(Produits!D9="","",Produits!D9)</f>
        <v>AA130</v>
      </c>
      <c r="E9" s="49" t="str">
        <f>IF(Produits!F9="","",Produits!F9)</f>
        <v>1 pcs</v>
      </c>
      <c r="F9" s="50">
        <f>IF(Produits!H9="","",Produits!H9)</f>
        <v>15</v>
      </c>
      <c r="G9" s="4"/>
      <c r="H9" s="37">
        <v>5</v>
      </c>
      <c r="I9" s="2"/>
      <c r="J9" s="69">
        <f>SUM('Archives Entrées'!$N9:$AAV9)</f>
        <v>0</v>
      </c>
      <c r="K9" s="51" t="str">
        <f t="shared" si="1"/>
        <v>0,00€</v>
      </c>
      <c r="L9" s="69">
        <f>SUM('Archives Sorties'!$M9:$AAY9)</f>
        <v>0</v>
      </c>
      <c r="M9" s="51" t="str">
        <f t="shared" si="2"/>
        <v>0,00€</v>
      </c>
      <c r="O9" s="72">
        <v>2</v>
      </c>
      <c r="P9" s="72">
        <v>5</v>
      </c>
      <c r="R9" s="185">
        <f t="shared" si="3"/>
        <v>5</v>
      </c>
      <c r="S9" s="186">
        <f t="shared" si="4"/>
        <v>1</v>
      </c>
      <c r="T9" s="187" t="str">
        <f>IF(R9="","",IF(O9=0,Famille!$D$5,IF(R9&lt;O9,Famille!$D$2,IF(R9&lt;=P9,Famille!$D$3,Famille!$D$4))))</f>
        <v>En Stock</v>
      </c>
      <c r="U9" s="36"/>
    </row>
    <row r="10" spans="1:21" ht="12" customHeight="1" x14ac:dyDescent="0.2">
      <c r="A10" s="4" t="str">
        <f>IF(Produits!A10="","",Produits!A10)</f>
        <v>Rail R à ailettes</v>
      </c>
      <c r="B10" s="4" t="str">
        <f>IF(Produits!B10="","",Produits!B10)</f>
        <v>RAL 9010</v>
      </c>
      <c r="C10" s="4" t="str">
        <f>IF(Produits!C10="","",Produits!C10)</f>
        <v>1000,00,0007</v>
      </c>
      <c r="D10" s="4" t="str">
        <f>IF(Produits!D10="","",Produits!D10)</f>
        <v>AA131</v>
      </c>
      <c r="E10" s="49" t="str">
        <f>IF(Produits!F10="","",Produits!F10)</f>
        <v>1 pcs</v>
      </c>
      <c r="F10" s="50">
        <f>IF(Produits!H10="","",Produits!H10)</f>
        <v>16</v>
      </c>
      <c r="G10" s="4"/>
      <c r="H10" s="37">
        <v>5</v>
      </c>
      <c r="I10" s="2"/>
      <c r="J10" s="69">
        <f>SUM('Archives Entrées'!$N10:$AAV10)</f>
        <v>0</v>
      </c>
      <c r="K10" s="51" t="str">
        <f t="shared" si="1"/>
        <v>0,00€</v>
      </c>
      <c r="L10" s="69">
        <f>SUM('Archives Sorties'!$M10:$AAY10)</f>
        <v>0</v>
      </c>
      <c r="M10" s="51" t="str">
        <f t="shared" si="2"/>
        <v>0,00€</v>
      </c>
      <c r="O10" s="72">
        <v>2</v>
      </c>
      <c r="P10" s="72">
        <v>5</v>
      </c>
      <c r="R10" s="185">
        <f t="shared" si="3"/>
        <v>5</v>
      </c>
      <c r="S10" s="186">
        <f t="shared" si="4"/>
        <v>1</v>
      </c>
      <c r="T10" s="187" t="str">
        <f>IF(R10="","",IF(O10=0,Famille!$D$5,IF(R10&lt;O10,Famille!$D$2,IF(R10&lt;=P10,Famille!$D$3,Famille!$D$4))))</f>
        <v>En Stock</v>
      </c>
      <c r="U10" s="36"/>
    </row>
    <row r="11" spans="1:21" ht="12" customHeight="1" x14ac:dyDescent="0.2">
      <c r="A11" s="4" t="str">
        <f>IF(Produits!A11="","",Produits!A11)</f>
        <v>Rail R à ailettes</v>
      </c>
      <c r="B11" s="4" t="str">
        <f>IF(Produits!B11="","",Produits!B11)</f>
        <v>RAL 9010</v>
      </c>
      <c r="C11" s="4" t="str">
        <f>IF(Produits!C11="","",Produits!C11)</f>
        <v>1000,00,0008</v>
      </c>
      <c r="D11" s="4" t="str">
        <f>IF(Produits!D11="","",Produits!D11)</f>
        <v>AA132</v>
      </c>
      <c r="E11" s="49" t="str">
        <f>IF(Produits!F11="","",Produits!F11)</f>
        <v>1 pcs</v>
      </c>
      <c r="F11" s="50">
        <f>IF(Produits!H11="","",Produits!H11)</f>
        <v>17</v>
      </c>
      <c r="G11" s="5"/>
      <c r="H11" s="37">
        <v>0</v>
      </c>
      <c r="I11" s="2"/>
      <c r="J11" s="69">
        <f>SUM('Archives Entrées'!$N11:$AAV11)</f>
        <v>0</v>
      </c>
      <c r="K11" s="51" t="str">
        <f t="shared" si="1"/>
        <v>0,00€</v>
      </c>
      <c r="L11" s="69">
        <f>SUM('Archives Sorties'!$M11:$AAY11)</f>
        <v>0</v>
      </c>
      <c r="M11" s="51" t="str">
        <f t="shared" si="2"/>
        <v>0,00€</v>
      </c>
      <c r="O11" s="72">
        <v>0</v>
      </c>
      <c r="P11" s="72">
        <v>4</v>
      </c>
      <c r="R11" s="185">
        <f t="shared" si="3"/>
        <v>0</v>
      </c>
      <c r="S11" s="186">
        <f t="shared" si="4"/>
        <v>0</v>
      </c>
      <c r="T11" s="187" t="str">
        <f>IF(R11="","",IF(O11=0,Famille!$D$5,IF(R11&lt;O11,Famille!$D$2,IF(R11&lt;=P11,Famille!$D$3,Famille!$D$4))))</f>
        <v>Sur commande</v>
      </c>
      <c r="U11" s="36"/>
    </row>
    <row r="12" spans="1:21" ht="12" customHeight="1" x14ac:dyDescent="0.2">
      <c r="A12" s="4" t="str">
        <f>IF(Produits!A12="","",Produits!A12)</f>
        <v>Rail R à ailettes</v>
      </c>
      <c r="B12" s="4" t="str">
        <f>IF(Produits!B12="","",Produits!B12)</f>
        <v>RAL 9010</v>
      </c>
      <c r="C12" s="4" t="str">
        <f>IF(Produits!C12="","",Produits!C12)</f>
        <v>1000,00,0009</v>
      </c>
      <c r="D12" s="4" t="str">
        <f>IF(Produits!D12="","",Produits!D12)</f>
        <v>AA133</v>
      </c>
      <c r="E12" s="49" t="str">
        <f>IF(Produits!F12="","",Produits!F12)</f>
        <v>1 pcs</v>
      </c>
      <c r="F12" s="50">
        <f>IF(Produits!H12="","",Produits!H12)</f>
        <v>18</v>
      </c>
      <c r="G12" s="5"/>
      <c r="H12" s="37">
        <v>0</v>
      </c>
      <c r="I12" s="2"/>
      <c r="J12" s="69">
        <f>SUM('Archives Entrées'!$N12:$AAV12)</f>
        <v>0</v>
      </c>
      <c r="K12" s="51" t="str">
        <f t="shared" si="1"/>
        <v>0,00€</v>
      </c>
      <c r="L12" s="69">
        <f>SUM('Archives Sorties'!$M12:$AAY12)</f>
        <v>0</v>
      </c>
      <c r="M12" s="51" t="str">
        <f t="shared" si="2"/>
        <v>0,00€</v>
      </c>
      <c r="O12" s="72">
        <v>0</v>
      </c>
      <c r="P12" s="72">
        <v>4</v>
      </c>
      <c r="R12" s="185">
        <f t="shared" si="3"/>
        <v>0</v>
      </c>
      <c r="S12" s="186">
        <f t="shared" si="4"/>
        <v>0</v>
      </c>
      <c r="T12" s="187" t="str">
        <f>IF(R12="","",IF(O12=0,Famille!$D$5,IF(R12&lt;O12,Famille!$D$2,IF(R12&lt;=P12,Famille!$D$3,Famille!$D$4))))</f>
        <v>Sur commande</v>
      </c>
      <c r="U12" s="36"/>
    </row>
    <row r="13" spans="1:21" ht="12" customHeight="1" x14ac:dyDescent="0.2">
      <c r="A13" s="4" t="str">
        <f>IF(Produits!A13="","",Produits!A13)</f>
        <v>Rail R à ailettes</v>
      </c>
      <c r="B13" s="4" t="str">
        <f>IF(Produits!B13="","",Produits!B13)</f>
        <v>RAL 9003</v>
      </c>
      <c r="C13" s="4" t="str">
        <f>IF(Produits!C13="","",Produits!C13)</f>
        <v>1000,00,0010</v>
      </c>
      <c r="D13" s="4" t="str">
        <f>IF(Produits!D13="","",Produits!D13)</f>
        <v>AA134</v>
      </c>
      <c r="E13" s="49" t="str">
        <f>IF(Produits!F13="","",Produits!F13)</f>
        <v>3 m</v>
      </c>
      <c r="F13" s="50">
        <f>IF(Produits!H13="","",Produits!H13)</f>
        <v>19</v>
      </c>
      <c r="G13" s="4"/>
      <c r="H13" s="37">
        <v>9</v>
      </c>
      <c r="I13" s="2"/>
      <c r="J13" s="69">
        <f>SUM('Archives Entrées'!$N13:$AAV13)</f>
        <v>0</v>
      </c>
      <c r="K13" s="51" t="str">
        <f t="shared" si="1"/>
        <v>0,00€</v>
      </c>
      <c r="L13" s="69">
        <f>SUM('Archives Sorties'!$M13:$AAY13)</f>
        <v>0</v>
      </c>
      <c r="M13" s="51" t="str">
        <f t="shared" si="2"/>
        <v>0,00€</v>
      </c>
      <c r="O13" s="72">
        <v>9</v>
      </c>
      <c r="P13" s="72">
        <v>18</v>
      </c>
      <c r="R13" s="185">
        <f t="shared" si="3"/>
        <v>9</v>
      </c>
      <c r="S13" s="186">
        <f t="shared" si="4"/>
        <v>1</v>
      </c>
      <c r="T13" s="187" t="str">
        <f>IF(R13="","",IF(O13=0,Famille!$D$5,IF(R13&lt;O13,Famille!$D$2,IF(R13&lt;=P13,Famille!$D$3,Famille!$D$4))))</f>
        <v>En Stock</v>
      </c>
    </row>
    <row r="14" spans="1:21" ht="12" customHeight="1" x14ac:dyDescent="0.2">
      <c r="A14" s="4" t="str">
        <f>IF(Produits!A14="","",Produits!A14)</f>
        <v>Rail R à ailettes</v>
      </c>
      <c r="B14" s="4" t="str">
        <f>IF(Produits!B14="","",Produits!B14)</f>
        <v>RAL 9003</v>
      </c>
      <c r="C14" s="4" t="str">
        <f>IF(Produits!C14="","",Produits!C14)</f>
        <v>1000,00,0011</v>
      </c>
      <c r="D14" s="4" t="str">
        <f>IF(Produits!D14="","",Produits!D14)</f>
        <v>AA135</v>
      </c>
      <c r="E14" s="49" t="str">
        <f>IF(Produits!F14="","",Produits!F14)</f>
        <v>1 pcs</v>
      </c>
      <c r="F14" s="50">
        <f>IF(Produits!H14="","",Produits!H14)</f>
        <v>20</v>
      </c>
      <c r="G14" s="4"/>
      <c r="H14" s="37">
        <v>6</v>
      </c>
      <c r="I14" s="2"/>
      <c r="J14" s="69">
        <f>SUM('Archives Entrées'!$N14:$AAV14)</f>
        <v>0</v>
      </c>
      <c r="K14" s="51" t="str">
        <f t="shared" si="1"/>
        <v>0,00€</v>
      </c>
      <c r="L14" s="69">
        <f>SUM('Archives Sorties'!$M14:$AAY14)</f>
        <v>0</v>
      </c>
      <c r="M14" s="51" t="str">
        <f t="shared" si="2"/>
        <v>0,00€</v>
      </c>
      <c r="O14" s="72">
        <v>4</v>
      </c>
      <c r="P14" s="72">
        <v>8</v>
      </c>
      <c r="R14" s="185">
        <f t="shared" si="3"/>
        <v>6</v>
      </c>
      <c r="S14" s="186">
        <f t="shared" si="4"/>
        <v>1</v>
      </c>
      <c r="T14" s="187" t="str">
        <f>IF(R14="","",IF(O14=0,Famille!$D$5,IF(R14&lt;O14,Famille!$D$2,IF(R14&lt;=P14,Famille!$D$3,Famille!$D$4))))</f>
        <v>En Stock</v>
      </c>
    </row>
    <row r="15" spans="1:21" ht="12" customHeight="1" x14ac:dyDescent="0.2">
      <c r="A15" s="4" t="str">
        <f>IF(Produits!A15="","",Produits!A15)</f>
        <v>Rail R à ailettes</v>
      </c>
      <c r="B15" s="4" t="str">
        <f>IF(Produits!B15="","",Produits!B15)</f>
        <v>RAL 9003</v>
      </c>
      <c r="C15" s="4" t="str">
        <f>IF(Produits!C15="","",Produits!C15)</f>
        <v>1000,00,0012</v>
      </c>
      <c r="D15" s="4" t="str">
        <f>IF(Produits!D15="","",Produits!D15)</f>
        <v>AA136</v>
      </c>
      <c r="E15" s="49" t="str">
        <f>IF(Produits!F15="","",Produits!F15)</f>
        <v>1 pcs</v>
      </c>
      <c r="F15" s="50">
        <f>IF(Produits!H15="","",Produits!H15)</f>
        <v>21</v>
      </c>
      <c r="G15" s="4"/>
      <c r="H15" s="37">
        <v>5</v>
      </c>
      <c r="I15" s="2"/>
      <c r="J15" s="69">
        <f>SUM('Archives Entrées'!$N15:$AAV15)</f>
        <v>0</v>
      </c>
      <c r="K15" s="51" t="str">
        <f t="shared" si="1"/>
        <v>0,00€</v>
      </c>
      <c r="L15" s="69">
        <f>SUM('Archives Sorties'!$M15:$AAY15)</f>
        <v>0</v>
      </c>
      <c r="M15" s="51" t="str">
        <f t="shared" si="2"/>
        <v>0,00€</v>
      </c>
      <c r="O15" s="72">
        <v>4</v>
      </c>
      <c r="P15" s="72">
        <v>8</v>
      </c>
      <c r="R15" s="185">
        <f t="shared" si="3"/>
        <v>5</v>
      </c>
      <c r="S15" s="186">
        <f t="shared" si="4"/>
        <v>1</v>
      </c>
      <c r="T15" s="187" t="str">
        <f>IF(R15="","",IF(O15=0,Famille!$D$5,IF(R15&lt;O15,Famille!$D$2,IF(R15&lt;=P15,Famille!$D$3,Famille!$D$4))))</f>
        <v>En Stock</v>
      </c>
    </row>
    <row r="16" spans="1:21" ht="12" customHeight="1" x14ac:dyDescent="0.2">
      <c r="A16" s="4" t="str">
        <f>IF(Produits!A16="","",Produits!A16)</f>
        <v>Rail R à ailettes</v>
      </c>
      <c r="B16" s="4" t="str">
        <f>IF(Produits!B16="","",Produits!B16)</f>
        <v>RAL 9003</v>
      </c>
      <c r="C16" s="4" t="str">
        <f>IF(Produits!C16="","",Produits!C16)</f>
        <v>1000,00,0013</v>
      </c>
      <c r="D16" s="4" t="str">
        <f>IF(Produits!D16="","",Produits!D16)</f>
        <v>AA137</v>
      </c>
      <c r="E16" s="49" t="str">
        <f>IF(Produits!F16="","",Produits!F16)</f>
        <v>1 pcs</v>
      </c>
      <c r="F16" s="50">
        <f>IF(Produits!H16="","",Produits!H16)</f>
        <v>22</v>
      </c>
      <c r="G16" s="4"/>
      <c r="H16" s="37">
        <v>2</v>
      </c>
      <c r="I16" s="2"/>
      <c r="J16" s="69">
        <f>SUM('Archives Entrées'!$N16:$AAV16)</f>
        <v>0</v>
      </c>
      <c r="K16" s="51" t="str">
        <f t="shared" si="1"/>
        <v>0,00€</v>
      </c>
      <c r="L16" s="69">
        <f>SUM('Archives Sorties'!$M16:$AAY16)</f>
        <v>0</v>
      </c>
      <c r="M16" s="51" t="str">
        <f t="shared" si="2"/>
        <v>0,00€</v>
      </c>
      <c r="O16" s="72">
        <v>2</v>
      </c>
      <c r="P16" s="72">
        <v>4</v>
      </c>
      <c r="R16" s="185">
        <f t="shared" si="3"/>
        <v>2</v>
      </c>
      <c r="S16" s="186">
        <f t="shared" si="4"/>
        <v>1</v>
      </c>
      <c r="T16" s="187" t="str">
        <f>IF(R16="","",IF(O16=0,Famille!$D$5,IF(R16&lt;O16,Famille!$D$2,IF(R16&lt;=P16,Famille!$D$3,Famille!$D$4))))</f>
        <v>En Stock</v>
      </c>
    </row>
    <row r="17" spans="1:20" ht="12" customHeight="1" x14ac:dyDescent="0.2">
      <c r="A17" s="4" t="str">
        <f>IF(Produits!A17="","",Produits!A17)</f>
        <v>Rail R à ailettes</v>
      </c>
      <c r="B17" s="4" t="str">
        <f>IF(Produits!B17="","",Produits!B17)</f>
        <v>RAL 9003</v>
      </c>
      <c r="C17" s="4" t="str">
        <f>IF(Produits!C17="","",Produits!C17)</f>
        <v>1000,00,0014</v>
      </c>
      <c r="D17" s="4" t="str">
        <f>IF(Produits!D17="","",Produits!D17)</f>
        <v>AA138</v>
      </c>
      <c r="E17" s="49" t="str">
        <f>IF(Produits!F17="","",Produits!F17)</f>
        <v>1 pcs</v>
      </c>
      <c r="F17" s="50">
        <f>IF(Produits!H17="","",Produits!H17)</f>
        <v>23</v>
      </c>
      <c r="G17" s="4"/>
      <c r="H17" s="37">
        <v>3</v>
      </c>
      <c r="I17" s="2"/>
      <c r="J17" s="69">
        <f>SUM('Archives Entrées'!$N17:$AAV17)</f>
        <v>0</v>
      </c>
      <c r="K17" s="51" t="str">
        <f t="shared" si="1"/>
        <v>0,00€</v>
      </c>
      <c r="L17" s="69">
        <f>SUM('Archives Sorties'!$M17:$AAY17)</f>
        <v>0</v>
      </c>
      <c r="M17" s="51" t="str">
        <f t="shared" si="2"/>
        <v>0,00€</v>
      </c>
      <c r="O17" s="72">
        <v>2</v>
      </c>
      <c r="P17" s="72">
        <v>4</v>
      </c>
      <c r="R17" s="185">
        <f t="shared" si="3"/>
        <v>3</v>
      </c>
      <c r="S17" s="186">
        <f t="shared" si="4"/>
        <v>1</v>
      </c>
      <c r="T17" s="187" t="str">
        <f>IF(R17="","",IF(O17=0,Famille!$D$5,IF(R17&lt;O17,Famille!$D$2,IF(R17&lt;=P17,Famille!$D$3,Famille!$D$4))))</f>
        <v>En Stock</v>
      </c>
    </row>
    <row r="18" spans="1:20" ht="12" customHeight="1" x14ac:dyDescent="0.2">
      <c r="A18" s="4" t="str">
        <f>IF(Produits!A18="","",Produits!A18)</f>
        <v>Rail R à ailettes</v>
      </c>
      <c r="B18" s="4" t="str">
        <f>IF(Produits!B18="","",Produits!B18)</f>
        <v>RAL 9003</v>
      </c>
      <c r="C18" s="4" t="str">
        <f>IF(Produits!C18="","",Produits!C18)</f>
        <v>1000,00,0015</v>
      </c>
      <c r="D18" s="4" t="str">
        <f>IF(Produits!D18="","",Produits!D18)</f>
        <v>AA139</v>
      </c>
      <c r="E18" s="49" t="str">
        <f>IF(Produits!F18="","",Produits!F18)</f>
        <v>1 pcs</v>
      </c>
      <c r="F18" s="50">
        <f>IF(Produits!H18="","",Produits!H18)</f>
        <v>24</v>
      </c>
      <c r="G18" s="4"/>
      <c r="H18" s="37">
        <v>1</v>
      </c>
      <c r="I18" s="2"/>
      <c r="J18" s="69">
        <f>SUM('Archives Entrées'!$N18:$AAV18)</f>
        <v>0</v>
      </c>
      <c r="K18" s="51" t="str">
        <f t="shared" si="1"/>
        <v>0,00€</v>
      </c>
      <c r="L18" s="69">
        <f>SUM('Archives Sorties'!$M18:$AAY18)</f>
        <v>0</v>
      </c>
      <c r="M18" s="51" t="str">
        <f t="shared" si="2"/>
        <v>0,00€</v>
      </c>
      <c r="O18" s="72">
        <v>1</v>
      </c>
      <c r="P18" s="72">
        <v>2</v>
      </c>
      <c r="R18" s="185">
        <f t="shared" si="3"/>
        <v>1</v>
      </c>
      <c r="S18" s="186">
        <f t="shared" si="4"/>
        <v>1</v>
      </c>
      <c r="T18" s="187" t="str">
        <f>IF(R18="","",IF(O18=0,Famille!$D$5,IF(R18&lt;O18,Famille!$D$2,IF(R18&lt;=P18,Famille!$D$3,Famille!$D$4))))</f>
        <v>En Stock</v>
      </c>
    </row>
    <row r="19" spans="1:20" ht="12" customHeight="1" x14ac:dyDescent="0.2">
      <c r="A19" s="4" t="str">
        <f>IF(Produits!A19="","",Produits!A19)</f>
        <v>Rail R à ailettes</v>
      </c>
      <c r="B19" s="4" t="str">
        <f>IF(Produits!B19="","",Produits!B19)</f>
        <v>RAL 9003</v>
      </c>
      <c r="C19" s="4" t="str">
        <f>IF(Produits!C19="","",Produits!C19)</f>
        <v>1000,00,0016</v>
      </c>
      <c r="D19" s="4" t="str">
        <f>IF(Produits!D19="","",Produits!D19)</f>
        <v>AA140</v>
      </c>
      <c r="E19" s="49" t="str">
        <f>IF(Produits!F19="","",Produits!F19)</f>
        <v>1 pcs</v>
      </c>
      <c r="F19" s="50">
        <f>IF(Produits!H19="","",Produits!H19)</f>
        <v>25</v>
      </c>
      <c r="G19" s="4"/>
      <c r="H19" s="37">
        <v>0</v>
      </c>
      <c r="I19" s="2"/>
      <c r="J19" s="69">
        <f>SUM('Archives Entrées'!$N19:$AAV19)</f>
        <v>0</v>
      </c>
      <c r="K19" s="51" t="str">
        <f t="shared" si="1"/>
        <v>0,00€</v>
      </c>
      <c r="L19" s="69">
        <f>SUM('Archives Sorties'!$M19:$AAY19)</f>
        <v>0</v>
      </c>
      <c r="M19" s="51" t="str">
        <f t="shared" si="2"/>
        <v>0,00€</v>
      </c>
      <c r="O19" s="72">
        <v>1</v>
      </c>
      <c r="P19" s="72">
        <v>2</v>
      </c>
      <c r="R19" s="185">
        <f t="shared" si="3"/>
        <v>0</v>
      </c>
      <c r="S19" s="186">
        <f t="shared" si="4"/>
        <v>0</v>
      </c>
      <c r="T19" s="187" t="str">
        <f>IF(R19="","",IF(O19=0,Famille!$D$5,IF(R19&lt;O19,Famille!$D$2,IF(R19&lt;=P19,Famille!$D$3,Famille!$D$4))))</f>
        <v>A commander</v>
      </c>
    </row>
    <row r="20" spans="1:20" ht="12" customHeight="1" x14ac:dyDescent="0.2">
      <c r="A20" s="4" t="str">
        <f>IF(Produits!A20="","",Produits!A20)</f>
        <v>Rail R à ailettes</v>
      </c>
      <c r="B20" s="4" t="str">
        <f>IF(Produits!B20="","",Produits!B20)</f>
        <v>RAL 9003</v>
      </c>
      <c r="C20" s="4" t="str">
        <f>IF(Produits!C20="","",Produits!C20)</f>
        <v>1000,00,0017</v>
      </c>
      <c r="D20" s="4" t="str">
        <f>IF(Produits!D20="","",Produits!D20)</f>
        <v>AA141</v>
      </c>
      <c r="E20" s="49" t="str">
        <f>IF(Produits!F20="","",Produits!F20)</f>
        <v>1 pcs</v>
      </c>
      <c r="F20" s="50">
        <f>IF(Produits!H20="","",Produits!H20)</f>
        <v>26</v>
      </c>
      <c r="G20" s="5"/>
      <c r="H20" s="37">
        <v>0</v>
      </c>
      <c r="I20" s="2"/>
      <c r="J20" s="69">
        <f>SUM('Archives Entrées'!$N20:$AAV20)</f>
        <v>0</v>
      </c>
      <c r="K20" s="51" t="str">
        <f t="shared" si="1"/>
        <v>0,00€</v>
      </c>
      <c r="L20" s="69">
        <f>SUM('Archives Sorties'!$M20:$AAY20)</f>
        <v>0</v>
      </c>
      <c r="M20" s="51" t="str">
        <f t="shared" si="2"/>
        <v>0,00€</v>
      </c>
      <c r="O20" s="72">
        <v>0</v>
      </c>
      <c r="P20" s="72">
        <v>1</v>
      </c>
      <c r="R20" s="185">
        <f t="shared" si="3"/>
        <v>0</v>
      </c>
      <c r="S20" s="186">
        <f t="shared" si="4"/>
        <v>0</v>
      </c>
      <c r="T20" s="187" t="str">
        <f>IF(R20="","",IF(O20=0,Famille!$D$5,IF(R20&lt;O20,Famille!$D$2,IF(R20&lt;=P20,Famille!$D$3,Famille!$D$4))))</f>
        <v>Sur commande</v>
      </c>
    </row>
    <row r="21" spans="1:20" ht="12" customHeight="1" x14ac:dyDescent="0.2">
      <c r="A21" s="4" t="str">
        <f>IF(Produits!A21="","",Produits!A21)</f>
        <v>Rail R à ailettes</v>
      </c>
      <c r="B21" s="4" t="str">
        <f>IF(Produits!B21="","",Produits!B21)</f>
        <v>RAL 9003</v>
      </c>
      <c r="C21" s="4" t="str">
        <f>IF(Produits!C21="","",Produits!C21)</f>
        <v>1000,00,0018</v>
      </c>
      <c r="D21" s="4" t="str">
        <f>IF(Produits!D21="","",Produits!D21)</f>
        <v>AA142</v>
      </c>
      <c r="E21" s="49" t="str">
        <f>IF(Produits!F21="","",Produits!F21)</f>
        <v>1 pcs</v>
      </c>
      <c r="F21" s="50">
        <f>IF(Produits!H21="","",Produits!H21)</f>
        <v>27</v>
      </c>
      <c r="G21" s="5"/>
      <c r="H21" s="37">
        <v>0</v>
      </c>
      <c r="I21" s="2"/>
      <c r="J21" s="69">
        <f>SUM('Archives Entrées'!$N21:$AAV21)</f>
        <v>0</v>
      </c>
      <c r="K21" s="51" t="str">
        <f t="shared" si="1"/>
        <v>0,00€</v>
      </c>
      <c r="L21" s="69">
        <f>SUM('Archives Sorties'!$M21:$AAY21)</f>
        <v>0</v>
      </c>
      <c r="M21" s="51" t="str">
        <f t="shared" si="2"/>
        <v>0,00€</v>
      </c>
      <c r="O21" s="72">
        <v>0</v>
      </c>
      <c r="P21" s="72">
        <v>1</v>
      </c>
      <c r="R21" s="185">
        <f t="shared" si="3"/>
        <v>0</v>
      </c>
      <c r="S21" s="186">
        <f t="shared" si="4"/>
        <v>0</v>
      </c>
      <c r="T21" s="187" t="str">
        <f>IF(R21="","",IF(O21=0,Famille!$D$5,IF(R21&lt;O21,Famille!$D$2,IF(R21&lt;=P21,Famille!$D$3,Famille!$D$4))))</f>
        <v>Sur commande</v>
      </c>
    </row>
    <row r="22" spans="1:20" ht="12" customHeight="1" x14ac:dyDescent="0.2">
      <c r="A22" s="4" t="str">
        <f>IF(Produits!A22="","",Produits!A22)</f>
        <v>Rail R à ailettes</v>
      </c>
      <c r="B22" s="4" t="str">
        <f>Famille!$A$18</f>
        <v>Anodisé</v>
      </c>
      <c r="C22" s="4" t="str">
        <f>IF(Produits!C22="","",Produits!C22)</f>
        <v>1000,00,0019</v>
      </c>
      <c r="D22" s="4" t="str">
        <f>IF(Produits!D22="","",Produits!D22)</f>
        <v>AA143</v>
      </c>
      <c r="E22" s="49" t="str">
        <f>IF(Produits!F22="","",Produits!F22)</f>
        <v>3 m</v>
      </c>
      <c r="F22" s="50">
        <f>IF(Produits!H22="","",Produits!H22)</f>
        <v>28</v>
      </c>
      <c r="G22" s="4"/>
      <c r="H22" s="37">
        <v>4</v>
      </c>
      <c r="I22" s="2"/>
      <c r="J22" s="69">
        <f>SUM('Archives Entrées'!$N22:$AAV22)</f>
        <v>0</v>
      </c>
      <c r="K22" s="51" t="str">
        <f t="shared" si="1"/>
        <v>0,00€</v>
      </c>
      <c r="L22" s="69">
        <f>SUM('Archives Sorties'!$M22:$AAY22)</f>
        <v>0</v>
      </c>
      <c r="M22" s="51" t="str">
        <f t="shared" si="2"/>
        <v>0,00€</v>
      </c>
      <c r="O22" s="72">
        <v>0</v>
      </c>
      <c r="P22" s="72">
        <v>1</v>
      </c>
      <c r="R22" s="185">
        <f t="shared" si="3"/>
        <v>4</v>
      </c>
      <c r="S22" s="186">
        <f t="shared" si="4"/>
        <v>2</v>
      </c>
      <c r="T22" s="187" t="str">
        <f>IF(R22="","",IF(O22=0,Famille!$D$5,IF(R22&lt;O22,Famille!$D$2,IF(R22&lt;=P22,Famille!$D$3,Famille!$D$4))))</f>
        <v>Sur commande</v>
      </c>
    </row>
    <row r="23" spans="1:20" ht="12" customHeight="1" x14ac:dyDescent="0.2">
      <c r="A23" s="4" t="str">
        <f>IF(Produits!A23="","",Produits!A23)</f>
        <v>Rail R à ailettes</v>
      </c>
      <c r="B23" s="4" t="str">
        <f>Famille!$A$18</f>
        <v>Anodisé</v>
      </c>
      <c r="C23" s="4" t="str">
        <f>IF(Produits!C23="","",Produits!C23)</f>
        <v>1000,00,0020</v>
      </c>
      <c r="D23" s="4" t="str">
        <f>IF(Produits!D23="","",Produits!D23)</f>
        <v>AA144</v>
      </c>
      <c r="E23" s="49" t="str">
        <f>IF(Produits!F23="","",Produits!F23)</f>
        <v>1 pcs</v>
      </c>
      <c r="F23" s="50">
        <f>IF(Produits!H23="","",Produits!H23)</f>
        <v>29</v>
      </c>
      <c r="G23" s="4"/>
      <c r="H23" s="37">
        <v>2</v>
      </c>
      <c r="I23" s="2"/>
      <c r="J23" s="69">
        <f>SUM('Archives Entrées'!$N23:$AAV23)</f>
        <v>0</v>
      </c>
      <c r="K23" s="51" t="str">
        <f t="shared" si="1"/>
        <v>0,00€</v>
      </c>
      <c r="L23" s="69">
        <f>SUM('Archives Sorties'!$M23:$AAY23)</f>
        <v>0</v>
      </c>
      <c r="M23" s="51" t="str">
        <f t="shared" si="2"/>
        <v>0,00€</v>
      </c>
      <c r="O23" s="72">
        <v>0</v>
      </c>
      <c r="P23" s="72">
        <v>1</v>
      </c>
      <c r="R23" s="185">
        <f t="shared" si="3"/>
        <v>2</v>
      </c>
      <c r="S23" s="186">
        <f t="shared" si="4"/>
        <v>2</v>
      </c>
      <c r="T23" s="187" t="str">
        <f>IF(R23="","",IF(O23=0,Famille!$D$5,IF(R23&lt;O23,Famille!$D$2,IF(R23&lt;=P23,Famille!$D$3,Famille!$D$4))))</f>
        <v>Sur commande</v>
      </c>
    </row>
    <row r="24" spans="1:20" ht="12" customHeight="1" x14ac:dyDescent="0.2">
      <c r="A24" s="4" t="str">
        <f>IF(Produits!A24="","",Produits!A24)</f>
        <v>Rail R à ailettes</v>
      </c>
      <c r="B24" s="4" t="str">
        <f>Famille!$A$18</f>
        <v>Anodisé</v>
      </c>
      <c r="C24" s="4" t="str">
        <f>IF(Produits!C24="","",Produits!C24)</f>
        <v>1000,00,0021</v>
      </c>
      <c r="D24" s="4" t="str">
        <f>IF(Produits!D24="","",Produits!D24)</f>
        <v>AA145</v>
      </c>
      <c r="E24" s="49" t="str">
        <f>IF(Produits!F24="","",Produits!F24)</f>
        <v>1 pcs</v>
      </c>
      <c r="F24" s="50">
        <f>IF(Produits!H24="","",Produits!H24)</f>
        <v>30</v>
      </c>
      <c r="G24" s="4"/>
      <c r="H24" s="37">
        <v>0</v>
      </c>
      <c r="I24" s="2"/>
      <c r="J24" s="69">
        <f>SUM('Archives Entrées'!$N24:$AAV24)</f>
        <v>0</v>
      </c>
      <c r="K24" s="51" t="str">
        <f t="shared" si="1"/>
        <v>0,00€</v>
      </c>
      <c r="L24" s="69">
        <f>SUM('Archives Sorties'!$M24:$AAY24)</f>
        <v>0</v>
      </c>
      <c r="M24" s="51" t="str">
        <f t="shared" si="2"/>
        <v>0,00€</v>
      </c>
      <c r="O24" s="72">
        <v>0</v>
      </c>
      <c r="P24" s="72">
        <v>1</v>
      </c>
      <c r="R24" s="185">
        <f t="shared" si="3"/>
        <v>0</v>
      </c>
      <c r="S24" s="186">
        <f t="shared" si="4"/>
        <v>0</v>
      </c>
      <c r="T24" s="187" t="str">
        <f>IF(R24="","",IF(O24=0,Famille!$D$5,IF(R24&lt;O24,Famille!$D$2,IF(R24&lt;=P24,Famille!$D$3,Famille!$D$4))))</f>
        <v>Sur commande</v>
      </c>
    </row>
    <row r="25" spans="1:20" ht="12" customHeight="1" x14ac:dyDescent="0.2">
      <c r="A25" s="4" t="str">
        <f>IF(Produits!A25="","",Produits!A25)</f>
        <v>Rail R à ailettes</v>
      </c>
      <c r="B25" s="4" t="str">
        <f>Famille!$A$18</f>
        <v>Anodisé</v>
      </c>
      <c r="C25" s="4" t="str">
        <f>IF(Produits!C25="","",Produits!C25)</f>
        <v>1000,00,0022</v>
      </c>
      <c r="D25" s="4" t="str">
        <f>IF(Produits!D25="","",Produits!D25)</f>
        <v>AA146</v>
      </c>
      <c r="E25" s="49" t="str">
        <f>IF(Produits!F25="","",Produits!F25)</f>
        <v>1 pcs</v>
      </c>
      <c r="F25" s="50">
        <f>IF(Produits!H25="","",Produits!H25)</f>
        <v>31</v>
      </c>
      <c r="G25" s="4"/>
      <c r="H25" s="37">
        <v>1</v>
      </c>
      <c r="I25" s="2"/>
      <c r="J25" s="69">
        <f>SUM('Archives Entrées'!$N25:$AAV25)</f>
        <v>0</v>
      </c>
      <c r="K25" s="51" t="str">
        <f t="shared" si="1"/>
        <v>0,00€</v>
      </c>
      <c r="L25" s="69">
        <f>SUM('Archives Sorties'!$M25:$AAY25)</f>
        <v>0</v>
      </c>
      <c r="M25" s="51" t="str">
        <f t="shared" si="2"/>
        <v>0,00€</v>
      </c>
      <c r="O25" s="72">
        <v>0</v>
      </c>
      <c r="P25" s="72">
        <v>1</v>
      </c>
      <c r="R25" s="185">
        <f t="shared" si="3"/>
        <v>1</v>
      </c>
      <c r="S25" s="186">
        <f t="shared" si="4"/>
        <v>1</v>
      </c>
      <c r="T25" s="187" t="str">
        <f>IF(R25="","",IF(O25=0,Famille!$D$5,IF(R25&lt;O25,Famille!$D$2,IF(R25&lt;=P25,Famille!$D$3,Famille!$D$4))))</f>
        <v>Sur commande</v>
      </c>
    </row>
    <row r="26" spans="1:20" ht="12" customHeight="1" x14ac:dyDescent="0.2">
      <c r="A26" s="4" t="str">
        <f>IF(Produits!A26="","",Produits!A26)</f>
        <v>Rail R à ailettes</v>
      </c>
      <c r="B26" s="4" t="str">
        <f>Famille!$A$18</f>
        <v>Anodisé</v>
      </c>
      <c r="C26" s="4" t="str">
        <f>IF(Produits!C26="","",Produits!C26)</f>
        <v>1000,00,0023</v>
      </c>
      <c r="D26" s="4" t="str">
        <f>IF(Produits!D26="","",Produits!D26)</f>
        <v>AA147</v>
      </c>
      <c r="E26" s="49" t="str">
        <f>IF(Produits!F26="","",Produits!F26)</f>
        <v>1 pcs</v>
      </c>
      <c r="F26" s="50">
        <f>IF(Produits!H26="","",Produits!H26)</f>
        <v>32</v>
      </c>
      <c r="G26" s="4"/>
      <c r="H26" s="37">
        <v>0</v>
      </c>
      <c r="I26" s="2"/>
      <c r="J26" s="69">
        <f>SUM('Archives Entrées'!$N26:$AAV26)</f>
        <v>0</v>
      </c>
      <c r="K26" s="51" t="str">
        <f t="shared" si="1"/>
        <v>0,00€</v>
      </c>
      <c r="L26" s="69">
        <f>SUM('Archives Sorties'!$M26:$AAY26)</f>
        <v>0</v>
      </c>
      <c r="M26" s="51" t="str">
        <f t="shared" si="2"/>
        <v>0,00€</v>
      </c>
      <c r="O26" s="72">
        <v>0</v>
      </c>
      <c r="P26" s="72">
        <v>1</v>
      </c>
      <c r="R26" s="185">
        <f t="shared" si="3"/>
        <v>0</v>
      </c>
      <c r="S26" s="186">
        <f t="shared" si="4"/>
        <v>0</v>
      </c>
      <c r="T26" s="187" t="str">
        <f>IF(R26="","",IF(O26=0,Famille!$D$5,IF(R26&lt;O26,Famille!$D$2,IF(R26&lt;=P26,Famille!$D$3,Famille!$D$4))))</f>
        <v>Sur commande</v>
      </c>
    </row>
    <row r="27" spans="1:20" ht="12" customHeight="1" x14ac:dyDescent="0.2">
      <c r="A27" s="4" t="str">
        <f>IF(Produits!A27="","",Produits!A27)</f>
        <v>Rail R à ailettes</v>
      </c>
      <c r="B27" s="4" t="str">
        <f>Famille!$A$18</f>
        <v>Anodisé</v>
      </c>
      <c r="C27" s="4" t="str">
        <f>IF(Produits!C27="","",Produits!C27)</f>
        <v>1000,00,0024</v>
      </c>
      <c r="D27" s="4" t="str">
        <f>IF(Produits!D27="","",Produits!D27)</f>
        <v>AA148</v>
      </c>
      <c r="E27" s="49" t="str">
        <f>IF(Produits!F27="","",Produits!F27)</f>
        <v>1 pcs</v>
      </c>
      <c r="F27" s="50">
        <f>IF(Produits!H27="","",Produits!H27)</f>
        <v>33</v>
      </c>
      <c r="G27" s="4"/>
      <c r="H27" s="37">
        <v>0</v>
      </c>
      <c r="I27" s="2"/>
      <c r="J27" s="69">
        <f>SUM('Archives Entrées'!$N27:$AAV27)</f>
        <v>0</v>
      </c>
      <c r="K27" s="51" t="str">
        <f t="shared" si="1"/>
        <v>0,00€</v>
      </c>
      <c r="L27" s="69">
        <f>SUM('Archives Sorties'!$M27:$AAY27)</f>
        <v>0</v>
      </c>
      <c r="M27" s="51" t="str">
        <f t="shared" si="2"/>
        <v>0,00€</v>
      </c>
      <c r="O27" s="72">
        <v>0</v>
      </c>
      <c r="P27" s="72">
        <v>1</v>
      </c>
      <c r="R27" s="185">
        <f t="shared" si="3"/>
        <v>0</v>
      </c>
      <c r="S27" s="186">
        <f t="shared" si="4"/>
        <v>0</v>
      </c>
      <c r="T27" s="187" t="str">
        <f>IF(R27="","",IF(O27=0,Famille!$D$5,IF(R27&lt;O27,Famille!$D$2,IF(R27&lt;=P27,Famille!$D$3,Famille!$D$4))))</f>
        <v>Sur commande</v>
      </c>
    </row>
    <row r="28" spans="1:20" ht="12" customHeight="1" x14ac:dyDescent="0.2">
      <c r="A28" s="4" t="str">
        <f>IF(Produits!A28="","",Produits!A28)</f>
        <v>Rail R à ailettes</v>
      </c>
      <c r="B28" s="4" t="str">
        <f>Famille!$A$18</f>
        <v>Anodisé</v>
      </c>
      <c r="C28" s="4" t="str">
        <f>IF(Produits!C28="","",Produits!C28)</f>
        <v>1000,00,0025</v>
      </c>
      <c r="D28" s="4" t="str">
        <f>IF(Produits!D28="","",Produits!D28)</f>
        <v>AA149</v>
      </c>
      <c r="E28" s="49" t="str">
        <f>IF(Produits!F28="","",Produits!F28)</f>
        <v>1 pcs</v>
      </c>
      <c r="F28" s="50">
        <f>IF(Produits!H28="","",Produits!H28)</f>
        <v>34</v>
      </c>
      <c r="G28" s="4"/>
      <c r="H28" s="37">
        <v>0</v>
      </c>
      <c r="I28" s="2"/>
      <c r="J28" s="69">
        <f>SUM('Archives Entrées'!$N28:$AAV28)</f>
        <v>0</v>
      </c>
      <c r="K28" s="51" t="str">
        <f t="shared" si="1"/>
        <v>0,00€</v>
      </c>
      <c r="L28" s="69">
        <f>SUM('Archives Sorties'!$M28:$AAY28)</f>
        <v>0</v>
      </c>
      <c r="M28" s="51" t="str">
        <f t="shared" si="2"/>
        <v>0,00€</v>
      </c>
      <c r="O28" s="72">
        <v>0</v>
      </c>
      <c r="P28" s="72">
        <v>1</v>
      </c>
      <c r="R28" s="185">
        <f t="shared" si="3"/>
        <v>0</v>
      </c>
      <c r="S28" s="186">
        <f t="shared" si="4"/>
        <v>0</v>
      </c>
      <c r="T28" s="187" t="str">
        <f>IF(R28="","",IF(O28=0,Famille!$D$5,IF(R28&lt;O28,Famille!$D$2,IF(R28&lt;=P28,Famille!$D$3,Famille!$D$4))))</f>
        <v>Sur commande</v>
      </c>
    </row>
    <row r="29" spans="1:20" ht="12" customHeight="1" x14ac:dyDescent="0.2">
      <c r="A29" s="4" t="str">
        <f>IF(Produits!A29="","",Produits!A29)</f>
        <v>Rail R à ailettes</v>
      </c>
      <c r="B29" s="4" t="str">
        <f>Famille!$A$18</f>
        <v>Anodisé</v>
      </c>
      <c r="C29" s="4" t="str">
        <f>IF(Produits!C29="","",Produits!C29)</f>
        <v>1000,00,0026</v>
      </c>
      <c r="D29" s="4" t="str">
        <f>IF(Produits!D29="","",Produits!D29)</f>
        <v>AA150</v>
      </c>
      <c r="E29" s="49" t="str">
        <f>IF(Produits!F29="","",Produits!F29)</f>
        <v>1 pcs</v>
      </c>
      <c r="F29" s="50">
        <f>IF(Produits!H29="","",Produits!H29)</f>
        <v>35</v>
      </c>
      <c r="G29" s="5"/>
      <c r="H29" s="37">
        <v>0</v>
      </c>
      <c r="I29" s="2"/>
      <c r="J29" s="69">
        <f>SUM('Archives Entrées'!$N29:$AAV29)</f>
        <v>0</v>
      </c>
      <c r="K29" s="51" t="str">
        <f t="shared" si="1"/>
        <v>0,00€</v>
      </c>
      <c r="L29" s="69">
        <f>SUM('Archives Sorties'!$M29:$AAY29)</f>
        <v>0</v>
      </c>
      <c r="M29" s="51" t="str">
        <f t="shared" si="2"/>
        <v>0,00€</v>
      </c>
      <c r="O29" s="72">
        <v>0</v>
      </c>
      <c r="P29" s="72">
        <v>1</v>
      </c>
      <c r="R29" s="185">
        <f t="shared" si="3"/>
        <v>0</v>
      </c>
      <c r="S29" s="186">
        <f t="shared" si="4"/>
        <v>0</v>
      </c>
      <c r="T29" s="187" t="str">
        <f>IF(R29="","",IF(O29=0,Famille!$D$5,IF(R29&lt;O29,Famille!$D$2,IF(R29&lt;=P29,Famille!$D$3,Famille!$D$4))))</f>
        <v>Sur commande</v>
      </c>
    </row>
    <row r="30" spans="1:20" ht="12" customHeight="1" x14ac:dyDescent="0.2">
      <c r="A30" s="4" t="str">
        <f>IF(Produits!A30="","",Produits!A30)</f>
        <v>Rail R à ailettes</v>
      </c>
      <c r="B30" s="4" t="str">
        <f>Famille!$A$18</f>
        <v>Anodisé</v>
      </c>
      <c r="C30" s="4" t="str">
        <f>IF(Produits!C30="","",Produits!C30)</f>
        <v>1000,00,0027</v>
      </c>
      <c r="D30" s="4" t="str">
        <f>IF(Produits!D30="","",Produits!D30)</f>
        <v>AA151</v>
      </c>
      <c r="E30" s="49" t="str">
        <f>IF(Produits!F30="","",Produits!F30)</f>
        <v>1 pcs</v>
      </c>
      <c r="F30" s="50">
        <f>IF(Produits!H30="","",Produits!H30)</f>
        <v>36</v>
      </c>
      <c r="G30" s="5"/>
      <c r="H30" s="37">
        <v>0</v>
      </c>
      <c r="I30" s="2"/>
      <c r="J30" s="69">
        <f>SUM('Archives Entrées'!$N30:$AAV30)</f>
        <v>0</v>
      </c>
      <c r="K30" s="51" t="str">
        <f t="shared" si="1"/>
        <v>0,00€</v>
      </c>
      <c r="L30" s="69">
        <f>SUM('Archives Sorties'!$M30:$AAY30)</f>
        <v>0</v>
      </c>
      <c r="M30" s="51" t="str">
        <f t="shared" si="2"/>
        <v>0,00€</v>
      </c>
      <c r="O30" s="72">
        <v>0</v>
      </c>
      <c r="P30" s="72">
        <v>1</v>
      </c>
      <c r="R30" s="185">
        <f t="shared" si="3"/>
        <v>0</v>
      </c>
      <c r="S30" s="186">
        <f t="shared" si="4"/>
        <v>0</v>
      </c>
      <c r="T30" s="187" t="str">
        <f>IF(R30="","",IF(O30=0,Famille!$D$5,IF(R30&lt;O30,Famille!$D$2,IF(R30&lt;=P30,Famille!$D$3,Famille!$D$4))))</f>
        <v>Sur commande</v>
      </c>
    </row>
    <row r="31" spans="1:20" ht="12" customHeight="1" x14ac:dyDescent="0.2">
      <c r="A31" s="4" t="str">
        <f>IF(Produits!A31="","",Produits!A31)</f>
        <v>Rail R à ailettes</v>
      </c>
      <c r="B31" s="4" t="str">
        <f>IF(Produits!B31="","",Produits!B31)</f>
        <v>BRUT</v>
      </c>
      <c r="C31" s="4" t="str">
        <f>IF(Produits!C31="","",Produits!C31)</f>
        <v>1000,00,0028</v>
      </c>
      <c r="D31" s="4" t="str">
        <f>IF(Produits!D31="","",Produits!D31)</f>
        <v>AA152</v>
      </c>
      <c r="E31" s="49" t="str">
        <f>IF(Produits!F31="","",Produits!F31)</f>
        <v>3 m</v>
      </c>
      <c r="F31" s="50">
        <f>IF(Produits!H31="","",Produits!H31)</f>
        <v>37</v>
      </c>
      <c r="G31" s="4"/>
      <c r="H31" s="37">
        <v>0</v>
      </c>
      <c r="I31" s="2"/>
      <c r="J31" s="69">
        <f>SUM('Archives Entrées'!$N31:$AAV31)</f>
        <v>0</v>
      </c>
      <c r="K31" s="51" t="str">
        <f t="shared" si="1"/>
        <v>0,00€</v>
      </c>
      <c r="L31" s="69">
        <f>SUM('Archives Sorties'!$M31:$AAY31)</f>
        <v>0</v>
      </c>
      <c r="M31" s="51" t="str">
        <f t="shared" si="2"/>
        <v>0,00€</v>
      </c>
      <c r="O31" s="72">
        <v>0</v>
      </c>
      <c r="P31" s="72">
        <v>9</v>
      </c>
      <c r="R31" s="185">
        <f t="shared" si="3"/>
        <v>0</v>
      </c>
      <c r="S31" s="186">
        <f t="shared" si="4"/>
        <v>0</v>
      </c>
      <c r="T31" s="187" t="str">
        <f>IF(R31="","",IF(O31=0,Famille!$D$5,IF(R31&lt;O31,Famille!$D$2,IF(R31&lt;=P31,Famille!$D$3,Famille!$D$4))))</f>
        <v>Sur commande</v>
      </c>
    </row>
    <row r="32" spans="1:20" ht="12" customHeight="1" x14ac:dyDescent="0.2">
      <c r="A32" s="4" t="str">
        <f>IF(Produits!A32="","",Produits!A32)</f>
        <v>Rail R à ailettes</v>
      </c>
      <c r="B32" s="4" t="str">
        <f>IF(Produits!B32="","",Produits!B32)</f>
        <v>BRUT</v>
      </c>
      <c r="C32" s="4" t="str">
        <f>IF(Produits!C32="","",Produits!C32)</f>
        <v>1000,00,0029</v>
      </c>
      <c r="D32" s="4" t="str">
        <f>IF(Produits!D32="","",Produits!D32)</f>
        <v>AA153</v>
      </c>
      <c r="E32" s="49" t="str">
        <f>IF(Produits!F32="","",Produits!F32)</f>
        <v>1 pcs</v>
      </c>
      <c r="F32" s="50">
        <f>IF(Produits!H32="","",Produits!H32)</f>
        <v>38</v>
      </c>
      <c r="G32" s="4"/>
      <c r="H32" s="37">
        <v>0</v>
      </c>
      <c r="I32" s="2"/>
      <c r="J32" s="69">
        <f>SUM('Archives Entrées'!$N32:$AAV32)</f>
        <v>0</v>
      </c>
      <c r="K32" s="51" t="str">
        <f t="shared" si="1"/>
        <v>0,00€</v>
      </c>
      <c r="L32" s="69">
        <f>SUM('Archives Sorties'!$M32:$AAY32)</f>
        <v>0</v>
      </c>
      <c r="M32" s="51" t="str">
        <f t="shared" si="2"/>
        <v>0,00€</v>
      </c>
      <c r="O32" s="72">
        <v>0</v>
      </c>
      <c r="P32" s="72">
        <v>4</v>
      </c>
      <c r="R32" s="185">
        <f t="shared" si="3"/>
        <v>0</v>
      </c>
      <c r="S32" s="186">
        <f t="shared" si="4"/>
        <v>0</v>
      </c>
      <c r="T32" s="187" t="str">
        <f>IF(R32="","",IF(O32=0,Famille!$D$5,IF(R32&lt;O32,Famille!$D$2,IF(R32&lt;=P32,Famille!$D$3,Famille!$D$4))))</f>
        <v>Sur commande</v>
      </c>
    </row>
    <row r="33" spans="1:20" ht="12" customHeight="1" x14ac:dyDescent="0.2">
      <c r="A33" s="4" t="str">
        <f>IF(Produits!A33="","",Produits!A33)</f>
        <v>Rail R à ailettes</v>
      </c>
      <c r="B33" s="4" t="str">
        <f>IF(Produits!B33="","",Produits!B33)</f>
        <v>BRUT</v>
      </c>
      <c r="C33" s="4" t="str">
        <f>IF(Produits!C33="","",Produits!C33)</f>
        <v>1000,00,0030</v>
      </c>
      <c r="D33" s="4" t="str">
        <f>IF(Produits!D33="","",Produits!D33)</f>
        <v>AA154</v>
      </c>
      <c r="E33" s="49" t="str">
        <f>IF(Produits!F33="","",Produits!F33)</f>
        <v>1 pcs</v>
      </c>
      <c r="F33" s="50">
        <f>IF(Produits!H33="","",Produits!H33)</f>
        <v>39</v>
      </c>
      <c r="G33" s="4"/>
      <c r="H33" s="37">
        <v>0</v>
      </c>
      <c r="I33" s="2"/>
      <c r="J33" s="69">
        <f>SUM('Archives Entrées'!$N33:$AAV33)</f>
        <v>0</v>
      </c>
      <c r="K33" s="51" t="str">
        <f t="shared" si="1"/>
        <v>0,00€</v>
      </c>
      <c r="L33" s="69">
        <f>SUM('Archives Sorties'!$M33:$AAY33)</f>
        <v>0</v>
      </c>
      <c r="M33" s="51" t="str">
        <f t="shared" si="2"/>
        <v>0,00€</v>
      </c>
      <c r="O33" s="72">
        <v>0</v>
      </c>
      <c r="P33" s="72">
        <v>4</v>
      </c>
      <c r="R33" s="185">
        <f t="shared" si="3"/>
        <v>0</v>
      </c>
      <c r="S33" s="186">
        <f t="shared" si="4"/>
        <v>0</v>
      </c>
      <c r="T33" s="187" t="str">
        <f>IF(R33="","",IF(O33=0,Famille!$D$5,IF(R33&lt;O33,Famille!$D$2,IF(R33&lt;=P33,Famille!$D$3,Famille!$D$4))))</f>
        <v>Sur commande</v>
      </c>
    </row>
    <row r="34" spans="1:20" ht="12" customHeight="1" x14ac:dyDescent="0.2">
      <c r="A34" s="4" t="str">
        <f>IF(Produits!A34="","",Produits!A34)</f>
        <v>Rail R à ailettes</v>
      </c>
      <c r="B34" s="4" t="str">
        <f>IF(Produits!B34="","",Produits!B34)</f>
        <v>BRUT</v>
      </c>
      <c r="C34" s="4" t="str">
        <f>IF(Produits!C34="","",Produits!C34)</f>
        <v>1000,00,0031</v>
      </c>
      <c r="D34" s="4" t="str">
        <f>IF(Produits!D34="","",Produits!D34)</f>
        <v>AA155</v>
      </c>
      <c r="E34" s="49" t="str">
        <f>IF(Produits!F34="","",Produits!F34)</f>
        <v>1 pcs</v>
      </c>
      <c r="F34" s="50">
        <f>IF(Produits!H34="","",Produits!H34)</f>
        <v>40</v>
      </c>
      <c r="G34" s="4"/>
      <c r="H34" s="37">
        <v>0</v>
      </c>
      <c r="I34" s="2"/>
      <c r="J34" s="69">
        <f>SUM('Archives Entrées'!$N34:$AAV34)</f>
        <v>0</v>
      </c>
      <c r="K34" s="51" t="str">
        <f t="shared" si="1"/>
        <v>0,00€</v>
      </c>
      <c r="L34" s="69">
        <f>SUM('Archives Sorties'!$M34:$AAY34)</f>
        <v>0</v>
      </c>
      <c r="M34" s="51" t="str">
        <f t="shared" si="2"/>
        <v>0,00€</v>
      </c>
      <c r="O34" s="72">
        <v>0</v>
      </c>
      <c r="P34" s="72">
        <v>1</v>
      </c>
      <c r="R34" s="185">
        <f t="shared" si="3"/>
        <v>0</v>
      </c>
      <c r="S34" s="186">
        <f t="shared" si="4"/>
        <v>0</v>
      </c>
      <c r="T34" s="187" t="str">
        <f>IF(R34="","",IF(O34=0,Famille!$D$5,IF(R34&lt;O34,Famille!$D$2,IF(R34&lt;=P34,Famille!$D$3,Famille!$D$4))))</f>
        <v>Sur commande</v>
      </c>
    </row>
    <row r="35" spans="1:20" ht="12" customHeight="1" x14ac:dyDescent="0.2">
      <c r="A35" s="4" t="str">
        <f>IF(Produits!A35="","",Produits!A35)</f>
        <v>Rail R à ailettes</v>
      </c>
      <c r="B35" s="4" t="str">
        <f>IF(Produits!B35="","",Produits!B35)</f>
        <v>BRUT</v>
      </c>
      <c r="C35" s="4" t="str">
        <f>IF(Produits!C35="","",Produits!C35)</f>
        <v>1000,00,0032</v>
      </c>
      <c r="D35" s="4" t="str">
        <f>IF(Produits!D35="","",Produits!D35)</f>
        <v>AA156</v>
      </c>
      <c r="E35" s="49" t="str">
        <f>IF(Produits!F35="","",Produits!F35)</f>
        <v>1 pcs</v>
      </c>
      <c r="F35" s="50">
        <f>IF(Produits!H35="","",Produits!H35)</f>
        <v>41</v>
      </c>
      <c r="G35" s="4"/>
      <c r="H35" s="37">
        <v>0</v>
      </c>
      <c r="I35" s="2"/>
      <c r="J35" s="69">
        <f>SUM('Archives Entrées'!$N35:$AAV35)</f>
        <v>0</v>
      </c>
      <c r="K35" s="51" t="str">
        <f t="shared" si="1"/>
        <v>0,00€</v>
      </c>
      <c r="L35" s="69">
        <f>SUM('Archives Sorties'!$M35:$AAY35)</f>
        <v>0</v>
      </c>
      <c r="M35" s="51" t="str">
        <f t="shared" si="2"/>
        <v>0,00€</v>
      </c>
      <c r="O35" s="72">
        <v>0</v>
      </c>
      <c r="P35" s="72">
        <v>1</v>
      </c>
      <c r="R35" s="185">
        <f t="shared" si="3"/>
        <v>0</v>
      </c>
      <c r="S35" s="186">
        <f t="shared" si="4"/>
        <v>0</v>
      </c>
      <c r="T35" s="187" t="str">
        <f>IF(R35="","",IF(O35=0,Famille!$D$5,IF(R35&lt;O35,Famille!$D$2,IF(R35&lt;=P35,Famille!$D$3,Famille!$D$4))))</f>
        <v>Sur commande</v>
      </c>
    </row>
    <row r="36" spans="1:20" ht="12" customHeight="1" x14ac:dyDescent="0.2">
      <c r="A36" s="4" t="str">
        <f>IF(Produits!A36="","",Produits!A36)</f>
        <v>Rail R à ailettes</v>
      </c>
      <c r="B36" s="4" t="str">
        <f>IF(Produits!B36="","",Produits!B36)</f>
        <v>BRUT</v>
      </c>
      <c r="C36" s="4" t="str">
        <f>IF(Produits!C36="","",Produits!C36)</f>
        <v>1000,00,0033</v>
      </c>
      <c r="D36" s="4" t="str">
        <f>IF(Produits!D36="","",Produits!D36)</f>
        <v>AA157</v>
      </c>
      <c r="E36" s="49" t="str">
        <f>IF(Produits!F36="","",Produits!F36)</f>
        <v>1 pcs</v>
      </c>
      <c r="F36" s="50">
        <f>IF(Produits!H36="","",Produits!H36)</f>
        <v>42</v>
      </c>
      <c r="G36" s="4"/>
      <c r="H36" s="37">
        <v>0</v>
      </c>
      <c r="I36" s="2"/>
      <c r="J36" s="69">
        <f>SUM('Archives Entrées'!$N36:$AAV36)</f>
        <v>0</v>
      </c>
      <c r="K36" s="51" t="str">
        <f t="shared" si="1"/>
        <v>0,00€</v>
      </c>
      <c r="L36" s="69">
        <f>SUM('Archives Sorties'!$M36:$AAY36)</f>
        <v>0</v>
      </c>
      <c r="M36" s="51" t="str">
        <f t="shared" si="2"/>
        <v>0,00€</v>
      </c>
      <c r="O36" s="72">
        <v>0</v>
      </c>
      <c r="P36" s="72">
        <v>1</v>
      </c>
      <c r="R36" s="185">
        <f t="shared" si="3"/>
        <v>0</v>
      </c>
      <c r="S36" s="186">
        <f t="shared" si="4"/>
        <v>0</v>
      </c>
      <c r="T36" s="187" t="str">
        <f>IF(R36="","",IF(O36=0,Famille!$D$5,IF(R36&lt;O36,Famille!$D$2,IF(R36&lt;=P36,Famille!$D$3,Famille!$D$4))))</f>
        <v>Sur commande</v>
      </c>
    </row>
    <row r="37" spans="1:20" ht="12" customHeight="1" x14ac:dyDescent="0.2">
      <c r="A37" s="4" t="str">
        <f>IF(Produits!A37="","",Produits!A37)</f>
        <v>Rail R à ailettes</v>
      </c>
      <c r="B37" s="4" t="str">
        <f>IF(Produits!B37="","",Produits!B37)</f>
        <v>BRUT</v>
      </c>
      <c r="C37" s="4" t="str">
        <f>IF(Produits!C37="","",Produits!C37)</f>
        <v>1000,00,0034</v>
      </c>
      <c r="D37" s="4" t="str">
        <f>IF(Produits!D37="","",Produits!D37)</f>
        <v>AA158</v>
      </c>
      <c r="E37" s="49" t="str">
        <f>IF(Produits!F37="","",Produits!F37)</f>
        <v>1 pcs</v>
      </c>
      <c r="F37" s="50">
        <f>IF(Produits!H37="","",Produits!H37)</f>
        <v>43</v>
      </c>
      <c r="G37" s="4"/>
      <c r="H37" s="37">
        <v>0</v>
      </c>
      <c r="I37" s="2"/>
      <c r="J37" s="69">
        <f>SUM('Archives Entrées'!$N37:$AAV37)</f>
        <v>0</v>
      </c>
      <c r="K37" s="51" t="str">
        <f t="shared" si="1"/>
        <v>0,00€</v>
      </c>
      <c r="L37" s="69">
        <f>SUM('Archives Sorties'!$M37:$AAY37)</f>
        <v>0</v>
      </c>
      <c r="M37" s="51" t="str">
        <f t="shared" si="2"/>
        <v>0,00€</v>
      </c>
      <c r="O37" s="72">
        <v>0</v>
      </c>
      <c r="P37" s="72">
        <v>1</v>
      </c>
      <c r="R37" s="185">
        <f t="shared" si="3"/>
        <v>0</v>
      </c>
      <c r="S37" s="186">
        <f t="shared" si="4"/>
        <v>0</v>
      </c>
      <c r="T37" s="187" t="str">
        <f>IF(R37="","",IF(O37=0,Famille!$D$5,IF(R37&lt;O37,Famille!$D$2,IF(R37&lt;=P37,Famille!$D$3,Famille!$D$4))))</f>
        <v>Sur commande</v>
      </c>
    </row>
    <row r="38" spans="1:20" ht="12" customHeight="1" x14ac:dyDescent="0.2">
      <c r="A38" s="4" t="str">
        <f>IF(Produits!A38="","",Produits!A38)</f>
        <v>Rail R à ailettes</v>
      </c>
      <c r="B38" s="4" t="str">
        <f>IF(Produits!B38="","",Produits!B38)</f>
        <v>BRUT</v>
      </c>
      <c r="C38" s="4" t="str">
        <f>IF(Produits!C38="","",Produits!C38)</f>
        <v>1000,00,0035</v>
      </c>
      <c r="D38" s="4" t="str">
        <f>IF(Produits!D38="","",Produits!D38)</f>
        <v>AA159</v>
      </c>
      <c r="E38" s="49" t="str">
        <f>IF(Produits!F38="","",Produits!F38)</f>
        <v>1 pcs</v>
      </c>
      <c r="F38" s="50">
        <f>IF(Produits!H38="","",Produits!H38)</f>
        <v>44</v>
      </c>
      <c r="G38" s="5"/>
      <c r="H38" s="37">
        <v>0</v>
      </c>
      <c r="I38" s="2"/>
      <c r="J38" s="69">
        <f>SUM('Archives Entrées'!$N38:$AAV38)</f>
        <v>0</v>
      </c>
      <c r="K38" s="51" t="str">
        <f t="shared" si="1"/>
        <v>0,00€</v>
      </c>
      <c r="L38" s="69">
        <f>SUM('Archives Sorties'!$M38:$AAY38)</f>
        <v>0</v>
      </c>
      <c r="M38" s="51" t="str">
        <f t="shared" si="2"/>
        <v>0,00€</v>
      </c>
      <c r="O38" s="72">
        <v>0</v>
      </c>
      <c r="P38" s="72">
        <v>0</v>
      </c>
      <c r="R38" s="185">
        <f t="shared" si="3"/>
        <v>0</v>
      </c>
      <c r="S38" s="186">
        <f t="shared" si="4"/>
        <v>0</v>
      </c>
      <c r="T38" s="187" t="str">
        <f>IF(R38="","",IF(O38=0,Famille!$D$5,IF(R38&lt;O38,Famille!$D$2,IF(R38&lt;=P38,Famille!$D$3,Famille!$D$4))))</f>
        <v>Sur commande</v>
      </c>
    </row>
    <row r="39" spans="1:20" ht="12" customHeight="1" x14ac:dyDescent="0.2">
      <c r="A39" s="4" t="str">
        <f>IF(Produits!A39="","",Produits!A39)</f>
        <v>Rail R à ailettes</v>
      </c>
      <c r="B39" s="4" t="str">
        <f>IF(Produits!B39="","",Produits!B39)</f>
        <v>BRUT</v>
      </c>
      <c r="C39" s="4" t="str">
        <f>IF(Produits!C39="","",Produits!C39)</f>
        <v>1000,00,0036</v>
      </c>
      <c r="D39" s="4" t="str">
        <f>IF(Produits!D39="","",Produits!D39)</f>
        <v>AA160</v>
      </c>
      <c r="E39" s="49" t="str">
        <f>IF(Produits!F39="","",Produits!F39)</f>
        <v>1 pcs</v>
      </c>
      <c r="F39" s="50">
        <f>IF(Produits!H39="","",Produits!H39)</f>
        <v>45</v>
      </c>
      <c r="G39" s="5"/>
      <c r="H39" s="37">
        <v>0</v>
      </c>
      <c r="I39" s="2"/>
      <c r="J39" s="69">
        <f>SUM('Archives Entrées'!$N39:$AAV39)</f>
        <v>0</v>
      </c>
      <c r="K39" s="51" t="str">
        <f t="shared" si="1"/>
        <v>0,00€</v>
      </c>
      <c r="L39" s="69">
        <f>SUM('Archives Sorties'!$M39:$AAY39)</f>
        <v>0</v>
      </c>
      <c r="M39" s="51" t="str">
        <f t="shared" si="2"/>
        <v>0,00€</v>
      </c>
      <c r="O39" s="72">
        <v>0</v>
      </c>
      <c r="P39" s="72">
        <v>0</v>
      </c>
      <c r="R39" s="185">
        <f t="shared" si="3"/>
        <v>0</v>
      </c>
      <c r="S39" s="186">
        <f t="shared" si="4"/>
        <v>0</v>
      </c>
      <c r="T39" s="187" t="str">
        <f>IF(R39="","",IF(O39=0,Famille!$D$5,IF(R39&lt;O39,Famille!$D$2,IF(R39&lt;=P39,Famille!$D$3,Famille!$D$4))))</f>
        <v>Sur commande</v>
      </c>
    </row>
    <row r="40" spans="1:20" ht="12" customHeight="1" x14ac:dyDescent="0.2">
      <c r="A40" s="4" t="str">
        <f>IF(Produits!A40="","",Produits!A40)</f>
        <v xml:space="preserve">Rail R </v>
      </c>
      <c r="B40" s="4" t="str">
        <f>IF(Produits!B40="","",Produits!B40)</f>
        <v>RAL 9010</v>
      </c>
      <c r="C40" s="4" t="str">
        <f>IF(Produits!C40="","",Produits!C40)</f>
        <v>1000,00,0037</v>
      </c>
      <c r="D40" s="4" t="str">
        <f>IF(Produits!D40="","",Produits!D40)</f>
        <v>AA161</v>
      </c>
      <c r="E40" s="49" t="str">
        <f>IF(Produits!F40="","",Produits!F40)</f>
        <v>3 m</v>
      </c>
      <c r="F40" s="50">
        <f>IF(Produits!H40="","",Produits!H40)</f>
        <v>46</v>
      </c>
      <c r="G40" s="4"/>
      <c r="H40" s="37">
        <v>7</v>
      </c>
      <c r="I40" s="2"/>
      <c r="J40" s="69">
        <f>SUM('Archives Entrées'!$N40:$AAV40)</f>
        <v>0</v>
      </c>
      <c r="K40" s="51" t="str">
        <f t="shared" si="1"/>
        <v>0,00€</v>
      </c>
      <c r="L40" s="69">
        <f>SUM('Archives Sorties'!$M40:$AAY40)</f>
        <v>0</v>
      </c>
      <c r="M40" s="51" t="str">
        <f t="shared" si="2"/>
        <v>0,00€</v>
      </c>
      <c r="O40" s="72">
        <v>12</v>
      </c>
      <c r="P40" s="72">
        <v>24</v>
      </c>
      <c r="R40" s="185">
        <f t="shared" si="3"/>
        <v>7</v>
      </c>
      <c r="S40" s="186">
        <f t="shared" si="4"/>
        <v>0</v>
      </c>
      <c r="T40" s="187" t="str">
        <f>IF(R40="","",IF(O40=0,Famille!$D$5,IF(R40&lt;O40,Famille!$D$2,IF(R40&lt;=P40,Famille!$D$3,Famille!$D$4))))</f>
        <v>A commander</v>
      </c>
    </row>
    <row r="41" spans="1:20" ht="12" customHeight="1" x14ac:dyDescent="0.2">
      <c r="A41" s="4" t="str">
        <f>IF(Produits!A41="","",Produits!A41)</f>
        <v xml:space="preserve">Rail R </v>
      </c>
      <c r="B41" s="4" t="str">
        <f>IF(Produits!B41="","",Produits!B41)</f>
        <v>RAL 9010</v>
      </c>
      <c r="C41" s="4" t="str">
        <f>IF(Produits!C41="","",Produits!C41)</f>
        <v>1000,00,0038</v>
      </c>
      <c r="D41" s="4" t="str">
        <f>IF(Produits!D41="","",Produits!D41)</f>
        <v>AA162</v>
      </c>
      <c r="E41" s="49" t="str">
        <f>IF(Produits!F41="","",Produits!F41)</f>
        <v>1 pcs</v>
      </c>
      <c r="F41" s="50">
        <f>IF(Produits!H41="","",Produits!H41)</f>
        <v>47</v>
      </c>
      <c r="G41" s="4"/>
      <c r="H41" s="37">
        <v>15</v>
      </c>
      <c r="I41" s="2"/>
      <c r="J41" s="69">
        <f>SUM('Archives Entrées'!$N41:$AAV41)</f>
        <v>0</v>
      </c>
      <c r="K41" s="51" t="str">
        <f t="shared" si="1"/>
        <v>0,00€</v>
      </c>
      <c r="L41" s="69">
        <f>SUM('Archives Sorties'!$M41:$AAY41)</f>
        <v>0</v>
      </c>
      <c r="M41" s="51" t="str">
        <f t="shared" si="2"/>
        <v>0,00€</v>
      </c>
      <c r="O41" s="72">
        <v>8</v>
      </c>
      <c r="P41" s="72">
        <v>15</v>
      </c>
      <c r="R41" s="185">
        <f t="shared" si="3"/>
        <v>15</v>
      </c>
      <c r="S41" s="186">
        <f t="shared" si="4"/>
        <v>1</v>
      </c>
      <c r="T41" s="187" t="str">
        <f>IF(R41="","",IF(O41=0,Famille!$D$5,IF(R41&lt;O41,Famille!$D$2,IF(R41&lt;=P41,Famille!$D$3,Famille!$D$4))))</f>
        <v>En Stock</v>
      </c>
    </row>
    <row r="42" spans="1:20" ht="12" customHeight="1" x14ac:dyDescent="0.2">
      <c r="A42" s="4" t="str">
        <f>IF(Produits!A42="","",Produits!A42)</f>
        <v xml:space="preserve">Rail R </v>
      </c>
      <c r="B42" s="4" t="str">
        <f>IF(Produits!B42="","",Produits!B42)</f>
        <v>RAL 9010</v>
      </c>
      <c r="C42" s="4" t="str">
        <f>IF(Produits!C42="","",Produits!C42)</f>
        <v>1000,00,0039</v>
      </c>
      <c r="D42" s="4" t="str">
        <f>IF(Produits!D42="","",Produits!D42)</f>
        <v>AA163</v>
      </c>
      <c r="E42" s="49" t="str">
        <f>IF(Produits!F42="","",Produits!F42)</f>
        <v>1 pcs</v>
      </c>
      <c r="F42" s="50">
        <f>IF(Produits!H42="","",Produits!H42)</f>
        <v>48</v>
      </c>
      <c r="G42" s="4"/>
      <c r="H42" s="37">
        <v>12</v>
      </c>
      <c r="I42" s="2"/>
      <c r="J42" s="69">
        <f>SUM('Archives Entrées'!$N42:$AAV42)</f>
        <v>0</v>
      </c>
      <c r="K42" s="51" t="str">
        <f t="shared" si="1"/>
        <v>0,00€</v>
      </c>
      <c r="L42" s="69">
        <f>SUM('Archives Sorties'!$M42:$AAY42)</f>
        <v>0</v>
      </c>
      <c r="M42" s="51" t="str">
        <f t="shared" si="2"/>
        <v>0,00€</v>
      </c>
      <c r="O42" s="72">
        <v>8</v>
      </c>
      <c r="P42" s="72">
        <v>15</v>
      </c>
      <c r="R42" s="185">
        <f t="shared" si="3"/>
        <v>12</v>
      </c>
      <c r="S42" s="186">
        <f t="shared" si="4"/>
        <v>1</v>
      </c>
      <c r="T42" s="187" t="str">
        <f>IF(R42="","",IF(O42=0,Famille!$D$5,IF(R42&lt;O42,Famille!$D$2,IF(R42&lt;=P42,Famille!$D$3,Famille!$D$4))))</f>
        <v>En Stock</v>
      </c>
    </row>
    <row r="43" spans="1:20" ht="12" customHeight="1" x14ac:dyDescent="0.2">
      <c r="A43" s="4" t="str">
        <f>IF(Produits!A43="","",Produits!A43)</f>
        <v xml:space="preserve">Rail R </v>
      </c>
      <c r="B43" s="4" t="str">
        <f>IF(Produits!B43="","",Produits!B43)</f>
        <v>RAL 9010</v>
      </c>
      <c r="C43" s="4" t="str">
        <f>IF(Produits!C43="","",Produits!C43)</f>
        <v>1000,00,0040</v>
      </c>
      <c r="D43" s="4" t="str">
        <f>IF(Produits!D43="","",Produits!D43)</f>
        <v>AA164</v>
      </c>
      <c r="E43" s="49" t="str">
        <f>IF(Produits!F43="","",Produits!F43)</f>
        <v>1 pcs</v>
      </c>
      <c r="F43" s="50">
        <f>IF(Produits!H43="","",Produits!H43)</f>
        <v>49</v>
      </c>
      <c r="G43" s="4"/>
      <c r="H43" s="37">
        <v>2</v>
      </c>
      <c r="I43" s="2"/>
      <c r="J43" s="69">
        <f>SUM('Archives Entrées'!$N43:$AAV43)</f>
        <v>0</v>
      </c>
      <c r="K43" s="51" t="str">
        <f t="shared" si="1"/>
        <v>0,00€</v>
      </c>
      <c r="L43" s="69">
        <f>SUM('Archives Sorties'!$M43:$AAY43)</f>
        <v>0</v>
      </c>
      <c r="M43" s="51" t="str">
        <f t="shared" si="2"/>
        <v>0,00€</v>
      </c>
      <c r="O43" s="72">
        <v>2</v>
      </c>
      <c r="P43" s="72">
        <v>4</v>
      </c>
      <c r="R43" s="185">
        <f t="shared" si="3"/>
        <v>2</v>
      </c>
      <c r="S43" s="186">
        <f t="shared" si="4"/>
        <v>1</v>
      </c>
      <c r="T43" s="187" t="str">
        <f>IF(R43="","",IF(O43=0,Famille!$D$5,IF(R43&lt;O43,Famille!$D$2,IF(R43&lt;=P43,Famille!$D$3,Famille!$D$4))))</f>
        <v>En Stock</v>
      </c>
    </row>
    <row r="44" spans="1:20" ht="12" customHeight="1" x14ac:dyDescent="0.2">
      <c r="A44" s="4" t="str">
        <f>IF(Produits!A44="","",Produits!A44)</f>
        <v xml:space="preserve">Rail R </v>
      </c>
      <c r="B44" s="4" t="str">
        <f>IF(Produits!B44="","",Produits!B44)</f>
        <v>RAL 9010</v>
      </c>
      <c r="C44" s="4" t="str">
        <f>IF(Produits!C44="","",Produits!C44)</f>
        <v>1000,00,0041</v>
      </c>
      <c r="D44" s="4" t="str">
        <f>IF(Produits!D44="","",Produits!D44)</f>
        <v>AA165</v>
      </c>
      <c r="E44" s="49" t="str">
        <f>IF(Produits!F44="","",Produits!F44)</f>
        <v>1 pcs</v>
      </c>
      <c r="F44" s="50">
        <f>IF(Produits!H44="","",Produits!H44)</f>
        <v>50</v>
      </c>
      <c r="G44" s="4"/>
      <c r="H44" s="37">
        <v>4</v>
      </c>
      <c r="I44" s="2"/>
      <c r="J44" s="69">
        <f>SUM('Archives Entrées'!$N44:$AAV44)</f>
        <v>0</v>
      </c>
      <c r="K44" s="51" t="str">
        <f t="shared" si="1"/>
        <v>0,00€</v>
      </c>
      <c r="L44" s="69">
        <f>SUM('Archives Sorties'!$M44:$AAY44)</f>
        <v>0</v>
      </c>
      <c r="M44" s="51" t="str">
        <f t="shared" si="2"/>
        <v>0,00€</v>
      </c>
      <c r="O44" s="72">
        <v>2</v>
      </c>
      <c r="P44" s="72">
        <v>4</v>
      </c>
      <c r="R44" s="185">
        <f t="shared" si="3"/>
        <v>4</v>
      </c>
      <c r="S44" s="186">
        <f t="shared" si="4"/>
        <v>1</v>
      </c>
      <c r="T44" s="187" t="str">
        <f>IF(R44="","",IF(O44=0,Famille!$D$5,IF(R44&lt;O44,Famille!$D$2,IF(R44&lt;=P44,Famille!$D$3,Famille!$D$4))))</f>
        <v>En Stock</v>
      </c>
    </row>
    <row r="45" spans="1:20" ht="12" customHeight="1" x14ac:dyDescent="0.2">
      <c r="A45" s="4" t="str">
        <f>IF(Produits!A45="","",Produits!A45)</f>
        <v xml:space="preserve">Rail R </v>
      </c>
      <c r="B45" s="4" t="str">
        <f>IF(Produits!B45="","",Produits!B45)</f>
        <v>RAL 9010</v>
      </c>
      <c r="C45" s="4" t="str">
        <f>IF(Produits!C45="","",Produits!C45)</f>
        <v>1000,00,0042</v>
      </c>
      <c r="D45" s="4" t="str">
        <f>IF(Produits!D45="","",Produits!D45)</f>
        <v>AA166</v>
      </c>
      <c r="E45" s="49" t="str">
        <f>IF(Produits!F45="","",Produits!F45)</f>
        <v>1 pcs</v>
      </c>
      <c r="F45" s="50">
        <f>IF(Produits!H45="","",Produits!H45)</f>
        <v>51</v>
      </c>
      <c r="G45" s="4"/>
      <c r="H45" s="37">
        <v>2</v>
      </c>
      <c r="I45" s="2"/>
      <c r="J45" s="69">
        <f>SUM('Archives Entrées'!$N45:$AAV45)</f>
        <v>0</v>
      </c>
      <c r="K45" s="51" t="str">
        <f t="shared" si="1"/>
        <v>0,00€</v>
      </c>
      <c r="L45" s="69">
        <f>SUM('Archives Sorties'!$M45:$AAY45)</f>
        <v>0</v>
      </c>
      <c r="M45" s="51" t="str">
        <f t="shared" si="2"/>
        <v>0,00€</v>
      </c>
      <c r="O45" s="72">
        <v>1</v>
      </c>
      <c r="P45" s="72">
        <v>2</v>
      </c>
      <c r="R45" s="185">
        <f t="shared" si="3"/>
        <v>2</v>
      </c>
      <c r="S45" s="186">
        <f t="shared" si="4"/>
        <v>1</v>
      </c>
      <c r="T45" s="187" t="str">
        <f>IF(R45="","",IF(O45=0,Famille!$D$5,IF(R45&lt;O45,Famille!$D$2,IF(R45&lt;=P45,Famille!$D$3,Famille!$D$4))))</f>
        <v>En Stock</v>
      </c>
    </row>
    <row r="46" spans="1:20" ht="12" customHeight="1" x14ac:dyDescent="0.2">
      <c r="A46" s="4" t="str">
        <f>IF(Produits!A46="","",Produits!A46)</f>
        <v xml:space="preserve">Rail R </v>
      </c>
      <c r="B46" s="4" t="str">
        <f>IF(Produits!B46="","",Produits!B46)</f>
        <v>RAL 9010</v>
      </c>
      <c r="C46" s="4" t="str">
        <f>IF(Produits!C46="","",Produits!C46)</f>
        <v>1000,00,0043</v>
      </c>
      <c r="D46" s="4" t="str">
        <f>IF(Produits!D46="","",Produits!D46)</f>
        <v>AA167</v>
      </c>
      <c r="E46" s="49" t="str">
        <f>IF(Produits!F46="","",Produits!F46)</f>
        <v>1 pcs</v>
      </c>
      <c r="F46" s="50">
        <f>IF(Produits!H46="","",Produits!H46)</f>
        <v>52</v>
      </c>
      <c r="G46" s="4"/>
      <c r="H46" s="37">
        <v>0</v>
      </c>
      <c r="I46" s="2"/>
      <c r="J46" s="69">
        <f>SUM('Archives Entrées'!$N46:$AAV46)</f>
        <v>0</v>
      </c>
      <c r="K46" s="51" t="str">
        <f t="shared" si="1"/>
        <v>0,00€</v>
      </c>
      <c r="L46" s="69">
        <f>SUM('Archives Sorties'!$M46:$AAY46)</f>
        <v>0</v>
      </c>
      <c r="M46" s="51" t="str">
        <f t="shared" si="2"/>
        <v>0,00€</v>
      </c>
      <c r="O46" s="72">
        <v>1</v>
      </c>
      <c r="P46" s="72">
        <v>2</v>
      </c>
      <c r="R46" s="185">
        <f t="shared" si="3"/>
        <v>0</v>
      </c>
      <c r="S46" s="186">
        <f t="shared" si="4"/>
        <v>0</v>
      </c>
      <c r="T46" s="187" t="str">
        <f>IF(R46="","",IF(O46=0,Famille!$D$5,IF(R46&lt;O46,Famille!$D$2,IF(R46&lt;=P46,Famille!$D$3,Famille!$D$4))))</f>
        <v>A commander</v>
      </c>
    </row>
    <row r="47" spans="1:20" ht="12" customHeight="1" x14ac:dyDescent="0.2">
      <c r="A47" s="4" t="str">
        <f>IF(Produits!A47="","",Produits!A47)</f>
        <v xml:space="preserve">Rail R </v>
      </c>
      <c r="B47" s="4" t="str">
        <f>IF(Produits!B47="","",Produits!B47)</f>
        <v>RAL 9010</v>
      </c>
      <c r="C47" s="4" t="str">
        <f>IF(Produits!C47="","",Produits!C47)</f>
        <v>1000,00,0044</v>
      </c>
      <c r="D47" s="4" t="str">
        <f>IF(Produits!D47="","",Produits!D47)</f>
        <v>AA168</v>
      </c>
      <c r="E47" s="49" t="str">
        <f>IF(Produits!F47="","",Produits!F47)</f>
        <v>1 pcs</v>
      </c>
      <c r="F47" s="50">
        <f>IF(Produits!H47="","",Produits!H47)</f>
        <v>53</v>
      </c>
      <c r="G47" s="5"/>
      <c r="H47" s="37">
        <v>0</v>
      </c>
      <c r="I47" s="2"/>
      <c r="J47" s="69">
        <f>SUM('Archives Entrées'!$N47:$AAV47)</f>
        <v>0</v>
      </c>
      <c r="K47" s="51" t="str">
        <f t="shared" si="1"/>
        <v>0,00€</v>
      </c>
      <c r="L47" s="69">
        <f>SUM('Archives Sorties'!$M47:$AAY47)</f>
        <v>0</v>
      </c>
      <c r="M47" s="51" t="str">
        <f t="shared" si="2"/>
        <v>0,00€</v>
      </c>
      <c r="O47" s="72">
        <v>0</v>
      </c>
      <c r="P47" s="72">
        <v>1</v>
      </c>
      <c r="R47" s="185">
        <f t="shared" si="3"/>
        <v>0</v>
      </c>
      <c r="S47" s="186">
        <f t="shared" si="4"/>
        <v>0</v>
      </c>
      <c r="T47" s="187" t="str">
        <f>IF(R47="","",IF(O47=0,Famille!$D$5,IF(R47&lt;O47,Famille!$D$2,IF(R47&lt;=P47,Famille!$D$3,Famille!$D$4))))</f>
        <v>Sur commande</v>
      </c>
    </row>
    <row r="48" spans="1:20" ht="12" customHeight="1" x14ac:dyDescent="0.2">
      <c r="A48" s="4" t="str">
        <f>IF(Produits!A48="","",Produits!A48)</f>
        <v xml:space="preserve">Rail R </v>
      </c>
      <c r="B48" s="4" t="str">
        <f>IF(Produits!B48="","",Produits!B48)</f>
        <v>RAL 9010</v>
      </c>
      <c r="C48" s="4" t="str">
        <f>IF(Produits!C48="","",Produits!C48)</f>
        <v>1000,00,0045</v>
      </c>
      <c r="D48" s="4" t="str">
        <f>IF(Produits!D48="","",Produits!D48)</f>
        <v>AA169</v>
      </c>
      <c r="E48" s="49" t="str">
        <f>IF(Produits!F48="","",Produits!F48)</f>
        <v>1 pcs</v>
      </c>
      <c r="F48" s="50">
        <f>IF(Produits!H48="","",Produits!H48)</f>
        <v>54</v>
      </c>
      <c r="G48" s="5"/>
      <c r="H48" s="37">
        <v>0</v>
      </c>
      <c r="I48" s="2"/>
      <c r="J48" s="69">
        <f>SUM('Archives Entrées'!$N48:$AAV48)</f>
        <v>0</v>
      </c>
      <c r="K48" s="51" t="str">
        <f t="shared" si="1"/>
        <v>0,00€</v>
      </c>
      <c r="L48" s="69">
        <f>SUM('Archives Sorties'!$M48:$AAY48)</f>
        <v>0</v>
      </c>
      <c r="M48" s="51" t="str">
        <f t="shared" si="2"/>
        <v>0,00€</v>
      </c>
      <c r="O48" s="72">
        <v>0</v>
      </c>
      <c r="P48" s="72">
        <v>1</v>
      </c>
      <c r="R48" s="185">
        <f t="shared" si="3"/>
        <v>0</v>
      </c>
      <c r="S48" s="186">
        <f t="shared" si="4"/>
        <v>0</v>
      </c>
      <c r="T48" s="187" t="str">
        <f>IF(R48="","",IF(O48=0,Famille!$D$5,IF(R48&lt;O48,Famille!$D$2,IF(R48&lt;=P48,Famille!$D$3,Famille!$D$4))))</f>
        <v>Sur commande</v>
      </c>
    </row>
    <row r="49" spans="1:20" ht="12" customHeight="1" x14ac:dyDescent="0.2">
      <c r="A49" s="4" t="str">
        <f>IF(Produits!A49="","",Produits!A49)</f>
        <v xml:space="preserve">Rail R </v>
      </c>
      <c r="B49" s="4" t="str">
        <f>IF(Produits!B49="","",Produits!B49)</f>
        <v>RAL 9003</v>
      </c>
      <c r="C49" s="4" t="str">
        <f>IF(Produits!C49="","",Produits!C49)</f>
        <v>1000,00,0046</v>
      </c>
      <c r="D49" s="4" t="str">
        <f>IF(Produits!D49="","",Produits!D49)</f>
        <v>AA170</v>
      </c>
      <c r="E49" s="49" t="str">
        <f>IF(Produits!F49="","",Produits!F49)</f>
        <v>3 m</v>
      </c>
      <c r="F49" s="50">
        <f>IF(Produits!H49="","",Produits!H49)</f>
        <v>55</v>
      </c>
      <c r="G49" s="4"/>
      <c r="H49" s="37">
        <v>23</v>
      </c>
      <c r="I49" s="2"/>
      <c r="J49" s="69">
        <f>SUM('Archives Entrées'!$N49:$AAV49)</f>
        <v>0</v>
      </c>
      <c r="K49" s="51" t="str">
        <f t="shared" si="1"/>
        <v>0,00€</v>
      </c>
      <c r="L49" s="69">
        <f>SUM('Archives Sorties'!$M49:$AAY49)</f>
        <v>0</v>
      </c>
      <c r="M49" s="51" t="str">
        <f t="shared" si="2"/>
        <v>0,00€</v>
      </c>
      <c r="O49" s="72">
        <v>0</v>
      </c>
      <c r="P49" s="72">
        <v>12</v>
      </c>
      <c r="R49" s="185">
        <f t="shared" si="3"/>
        <v>23</v>
      </c>
      <c r="S49" s="186">
        <f t="shared" si="4"/>
        <v>2</v>
      </c>
      <c r="T49" s="187" t="str">
        <f>IF(R49="","",IF(O49=0,Famille!$D$5,IF(R49&lt;O49,Famille!$D$2,IF(R49&lt;=P49,Famille!$D$3,Famille!$D$4))))</f>
        <v>Sur commande</v>
      </c>
    </row>
    <row r="50" spans="1:20" ht="12" customHeight="1" x14ac:dyDescent="0.2">
      <c r="A50" s="4" t="str">
        <f>IF(Produits!A50="","",Produits!A50)</f>
        <v xml:space="preserve">Rail R </v>
      </c>
      <c r="B50" s="4" t="str">
        <f>IF(Produits!B50="","",Produits!B50)</f>
        <v>RAL 9003</v>
      </c>
      <c r="C50" s="4" t="str">
        <f>IF(Produits!C50="","",Produits!C50)</f>
        <v>1000,00,0047</v>
      </c>
      <c r="D50" s="4" t="str">
        <f>IF(Produits!D50="","",Produits!D50)</f>
        <v>AA171</v>
      </c>
      <c r="E50" s="49" t="str">
        <f>IF(Produits!F50="","",Produits!F50)</f>
        <v>1 pcs</v>
      </c>
      <c r="F50" s="50">
        <f>IF(Produits!H50="","",Produits!H50)</f>
        <v>56</v>
      </c>
      <c r="G50" s="4"/>
      <c r="H50" s="37">
        <v>3</v>
      </c>
      <c r="I50" s="2"/>
      <c r="J50" s="69">
        <f>SUM('Archives Entrées'!$N50:$AAV50)</f>
        <v>0</v>
      </c>
      <c r="K50" s="51" t="str">
        <f t="shared" si="1"/>
        <v>0,00€</v>
      </c>
      <c r="L50" s="69">
        <f>SUM('Archives Sorties'!$M50:$AAY50)</f>
        <v>0</v>
      </c>
      <c r="M50" s="51" t="str">
        <f t="shared" si="2"/>
        <v>0,00€</v>
      </c>
      <c r="O50" s="72">
        <v>4</v>
      </c>
      <c r="P50" s="72">
        <v>8</v>
      </c>
      <c r="R50" s="185">
        <f t="shared" si="3"/>
        <v>3</v>
      </c>
      <c r="S50" s="186">
        <f t="shared" si="4"/>
        <v>0</v>
      </c>
      <c r="T50" s="187" t="str">
        <f>IF(R50="","",IF(O50=0,Famille!$D$5,IF(R50&lt;O50,Famille!$D$2,IF(R50&lt;=P50,Famille!$D$3,Famille!$D$4))))</f>
        <v>A commander</v>
      </c>
    </row>
    <row r="51" spans="1:20" ht="12" customHeight="1" x14ac:dyDescent="0.2">
      <c r="A51" s="4" t="str">
        <f>IF(Produits!A51="","",Produits!A51)</f>
        <v xml:space="preserve">Rail R </v>
      </c>
      <c r="B51" s="4" t="str">
        <f>IF(Produits!B51="","",Produits!B51)</f>
        <v>RAL 9003</v>
      </c>
      <c r="C51" s="4" t="str">
        <f>IF(Produits!C51="","",Produits!C51)</f>
        <v>1000,00,0048</v>
      </c>
      <c r="D51" s="4" t="str">
        <f>IF(Produits!D51="","",Produits!D51)</f>
        <v>AA172</v>
      </c>
      <c r="E51" s="49" t="str">
        <f>IF(Produits!F51="","",Produits!F51)</f>
        <v>1 pcs</v>
      </c>
      <c r="F51" s="50">
        <f>IF(Produits!H51="","",Produits!H51)</f>
        <v>57</v>
      </c>
      <c r="G51" s="4"/>
      <c r="H51" s="37">
        <v>10</v>
      </c>
      <c r="I51" s="2"/>
      <c r="J51" s="69">
        <f>SUM('Archives Entrées'!$N51:$AAV51)</f>
        <v>0</v>
      </c>
      <c r="K51" s="51" t="str">
        <f t="shared" si="1"/>
        <v>0,00€</v>
      </c>
      <c r="L51" s="69">
        <f>SUM('Archives Sorties'!$M51:$AAY51)</f>
        <v>0</v>
      </c>
      <c r="M51" s="51" t="str">
        <f t="shared" si="2"/>
        <v>0,00€</v>
      </c>
      <c r="O51" s="72">
        <v>4</v>
      </c>
      <c r="P51" s="72">
        <v>8</v>
      </c>
      <c r="R51" s="185">
        <f t="shared" si="3"/>
        <v>10</v>
      </c>
      <c r="S51" s="186">
        <f t="shared" si="4"/>
        <v>2</v>
      </c>
      <c r="T51" s="187" t="str">
        <f>IF(R51="","",IF(O51=0,Famille!$D$5,IF(R51&lt;O51,Famille!$D$2,IF(R51&lt;=P51,Famille!$D$3,Famille!$D$4))))</f>
        <v>Surstockage</v>
      </c>
    </row>
    <row r="52" spans="1:20" ht="12" customHeight="1" x14ac:dyDescent="0.2">
      <c r="A52" s="4" t="str">
        <f>IF(Produits!A52="","",Produits!A52)</f>
        <v xml:space="preserve">Rail R </v>
      </c>
      <c r="B52" s="4" t="str">
        <f>IF(Produits!B52="","",Produits!B52)</f>
        <v>RAL 9003</v>
      </c>
      <c r="C52" s="4" t="str">
        <f>IF(Produits!C52="","",Produits!C52)</f>
        <v>1000,00,0049</v>
      </c>
      <c r="D52" s="4" t="str">
        <f>IF(Produits!D52="","",Produits!D52)</f>
        <v>AA173</v>
      </c>
      <c r="E52" s="49" t="str">
        <f>IF(Produits!F52="","",Produits!F52)</f>
        <v>1 pcs</v>
      </c>
      <c r="F52" s="50">
        <f>IF(Produits!H52="","",Produits!H52)</f>
        <v>58</v>
      </c>
      <c r="G52" s="4"/>
      <c r="H52" s="37">
        <v>1</v>
      </c>
      <c r="I52" s="2"/>
      <c r="J52" s="69">
        <f>SUM('Archives Entrées'!$N52:$AAV52)</f>
        <v>0</v>
      </c>
      <c r="K52" s="51" t="str">
        <f t="shared" si="1"/>
        <v>0,00€</v>
      </c>
      <c r="L52" s="69">
        <f>SUM('Archives Sorties'!$M52:$AAY52)</f>
        <v>0</v>
      </c>
      <c r="M52" s="51" t="str">
        <f t="shared" si="2"/>
        <v>0,00€</v>
      </c>
      <c r="O52" s="72">
        <v>1</v>
      </c>
      <c r="P52" s="72">
        <v>2</v>
      </c>
      <c r="R52" s="185">
        <f t="shared" si="3"/>
        <v>1</v>
      </c>
      <c r="S52" s="186">
        <f t="shared" si="4"/>
        <v>1</v>
      </c>
      <c r="T52" s="187" t="str">
        <f>IF(R52="","",IF(O52=0,Famille!$D$5,IF(R52&lt;O52,Famille!$D$2,IF(R52&lt;=P52,Famille!$D$3,Famille!$D$4))))</f>
        <v>En Stock</v>
      </c>
    </row>
    <row r="53" spans="1:20" ht="12" customHeight="1" x14ac:dyDescent="0.2">
      <c r="A53" s="4" t="str">
        <f>IF(Produits!A53="","",Produits!A53)</f>
        <v xml:space="preserve">Rail R </v>
      </c>
      <c r="B53" s="4" t="str">
        <f>IF(Produits!B53="","",Produits!B53)</f>
        <v>RAL 9003</v>
      </c>
      <c r="C53" s="4" t="str">
        <f>IF(Produits!C53="","",Produits!C53)</f>
        <v>1000,00,0050</v>
      </c>
      <c r="D53" s="4" t="str">
        <f>IF(Produits!D53="","",Produits!D53)</f>
        <v>AA174</v>
      </c>
      <c r="E53" s="49" t="str">
        <f>IF(Produits!F53="","",Produits!F53)</f>
        <v>1 pcs</v>
      </c>
      <c r="F53" s="50">
        <f>IF(Produits!H53="","",Produits!H53)</f>
        <v>59</v>
      </c>
      <c r="G53" s="4"/>
      <c r="H53" s="37">
        <v>1</v>
      </c>
      <c r="I53" s="2"/>
      <c r="J53" s="69">
        <f>SUM('Archives Entrées'!$N53:$AAV53)</f>
        <v>0</v>
      </c>
      <c r="K53" s="51" t="str">
        <f t="shared" si="1"/>
        <v>0,00€</v>
      </c>
      <c r="L53" s="69">
        <f>SUM('Archives Sorties'!$M53:$AAY53)</f>
        <v>0</v>
      </c>
      <c r="M53" s="51" t="str">
        <f t="shared" si="2"/>
        <v>0,00€</v>
      </c>
      <c r="O53" s="72">
        <v>1</v>
      </c>
      <c r="P53" s="72">
        <v>2</v>
      </c>
      <c r="R53" s="185">
        <f t="shared" si="3"/>
        <v>1</v>
      </c>
      <c r="S53" s="186">
        <f t="shared" si="4"/>
        <v>1</v>
      </c>
      <c r="T53" s="187" t="str">
        <f>IF(R53="","",IF(O53=0,Famille!$D$5,IF(R53&lt;O53,Famille!$D$2,IF(R53&lt;=P53,Famille!$D$3,Famille!$D$4))))</f>
        <v>En Stock</v>
      </c>
    </row>
    <row r="54" spans="1:20" ht="12" customHeight="1" x14ac:dyDescent="0.2">
      <c r="A54" s="4" t="str">
        <f>IF(Produits!A54="","",Produits!A54)</f>
        <v xml:space="preserve">Rail R </v>
      </c>
      <c r="B54" s="4" t="str">
        <f>IF(Produits!B54="","",Produits!B54)</f>
        <v>RAL 9003</v>
      </c>
      <c r="C54" s="4" t="str">
        <f>IF(Produits!C54="","",Produits!C54)</f>
        <v>1000,00,0051</v>
      </c>
      <c r="D54" s="4" t="str">
        <f>IF(Produits!D54="","",Produits!D54)</f>
        <v>AA175</v>
      </c>
      <c r="E54" s="49" t="str">
        <f>IF(Produits!F54="","",Produits!F54)</f>
        <v>1 pcs</v>
      </c>
      <c r="F54" s="50">
        <f>IF(Produits!H54="","",Produits!H54)</f>
        <v>60</v>
      </c>
      <c r="G54" s="4"/>
      <c r="H54" s="37">
        <v>0</v>
      </c>
      <c r="I54" s="2"/>
      <c r="J54" s="69">
        <f>SUM('Archives Entrées'!$N54:$AAV54)</f>
        <v>0</v>
      </c>
      <c r="K54" s="51" t="str">
        <f t="shared" si="1"/>
        <v>0,00€</v>
      </c>
      <c r="L54" s="69">
        <f>SUM('Archives Sorties'!$M54:$AAY54)</f>
        <v>0</v>
      </c>
      <c r="M54" s="51" t="str">
        <f t="shared" si="2"/>
        <v>0,00€</v>
      </c>
      <c r="O54" s="72">
        <v>1</v>
      </c>
      <c r="P54" s="72">
        <v>2</v>
      </c>
      <c r="R54" s="185">
        <f t="shared" si="3"/>
        <v>0</v>
      </c>
      <c r="S54" s="186">
        <f t="shared" si="4"/>
        <v>0</v>
      </c>
      <c r="T54" s="187" t="str">
        <f>IF(R54="","",IF(O54=0,Famille!$D$5,IF(R54&lt;O54,Famille!$D$2,IF(R54&lt;=P54,Famille!$D$3,Famille!$D$4))))</f>
        <v>A commander</v>
      </c>
    </row>
    <row r="55" spans="1:20" ht="12" customHeight="1" x14ac:dyDescent="0.2">
      <c r="A55" s="4" t="str">
        <f>IF(Produits!A55="","",Produits!A55)</f>
        <v xml:space="preserve">Rail R </v>
      </c>
      <c r="B55" s="4" t="str">
        <f>IF(Produits!B55="","",Produits!B55)</f>
        <v>RAL 9003</v>
      </c>
      <c r="C55" s="4" t="str">
        <f>IF(Produits!C55="","",Produits!C55)</f>
        <v>1000,00,0052</v>
      </c>
      <c r="D55" s="4" t="str">
        <f>IF(Produits!D55="","",Produits!D55)</f>
        <v>AA176</v>
      </c>
      <c r="E55" s="49" t="str">
        <f>IF(Produits!F55="","",Produits!F55)</f>
        <v>1 pcs</v>
      </c>
      <c r="F55" s="50">
        <f>IF(Produits!H55="","",Produits!H55)</f>
        <v>61</v>
      </c>
      <c r="G55" s="4"/>
      <c r="H55" s="37">
        <v>0</v>
      </c>
      <c r="I55" s="2"/>
      <c r="J55" s="69">
        <f>SUM('Archives Entrées'!$N55:$AAV55)</f>
        <v>0</v>
      </c>
      <c r="K55" s="51" t="str">
        <f t="shared" si="1"/>
        <v>0,00€</v>
      </c>
      <c r="L55" s="69">
        <f>SUM('Archives Sorties'!$M55:$AAY55)</f>
        <v>0</v>
      </c>
      <c r="M55" s="51" t="str">
        <f t="shared" si="2"/>
        <v>0,00€</v>
      </c>
      <c r="O55" s="72">
        <v>1</v>
      </c>
      <c r="P55" s="72">
        <v>2</v>
      </c>
      <c r="R55" s="185">
        <f t="shared" si="3"/>
        <v>0</v>
      </c>
      <c r="S55" s="186">
        <f t="shared" si="4"/>
        <v>0</v>
      </c>
      <c r="T55" s="187" t="str">
        <f>IF(R55="","",IF(O55=0,Famille!$D$5,IF(R55&lt;O55,Famille!$D$2,IF(R55&lt;=P55,Famille!$D$3,Famille!$D$4))))</f>
        <v>A commander</v>
      </c>
    </row>
    <row r="56" spans="1:20" ht="12" customHeight="1" x14ac:dyDescent="0.2">
      <c r="A56" s="4" t="str">
        <f>IF(Produits!A56="","",Produits!A56)</f>
        <v xml:space="preserve">Rail R </v>
      </c>
      <c r="B56" s="4" t="str">
        <f>IF(Produits!B56="","",Produits!B56)</f>
        <v>RAL 9003</v>
      </c>
      <c r="C56" s="4" t="str">
        <f>IF(Produits!C56="","",Produits!C56)</f>
        <v>1000,00,0053</v>
      </c>
      <c r="D56" s="4" t="str">
        <f>IF(Produits!D56="","",Produits!D56)</f>
        <v>AA177</v>
      </c>
      <c r="E56" s="49" t="str">
        <f>IF(Produits!F56="","",Produits!F56)</f>
        <v>1 pcs</v>
      </c>
      <c r="F56" s="50">
        <f>IF(Produits!H56="","",Produits!H56)</f>
        <v>62</v>
      </c>
      <c r="G56" s="5"/>
      <c r="H56" s="37">
        <v>0</v>
      </c>
      <c r="I56" s="2"/>
      <c r="J56" s="69">
        <f>SUM('Archives Entrées'!$N56:$AAV56)</f>
        <v>0</v>
      </c>
      <c r="K56" s="51" t="str">
        <f t="shared" si="1"/>
        <v>0,00€</v>
      </c>
      <c r="L56" s="69">
        <f>SUM('Archives Sorties'!$M56:$AAY56)</f>
        <v>0</v>
      </c>
      <c r="M56" s="51" t="str">
        <f t="shared" si="2"/>
        <v>0,00€</v>
      </c>
      <c r="O56" s="72">
        <v>0</v>
      </c>
      <c r="P56" s="72">
        <v>1</v>
      </c>
      <c r="R56" s="185">
        <f t="shared" si="3"/>
        <v>0</v>
      </c>
      <c r="S56" s="186">
        <f t="shared" si="4"/>
        <v>0</v>
      </c>
      <c r="T56" s="187" t="str">
        <f>IF(R56="","",IF(O56=0,Famille!$D$5,IF(R56&lt;O56,Famille!$D$2,IF(R56&lt;=P56,Famille!$D$3,Famille!$D$4))))</f>
        <v>Sur commande</v>
      </c>
    </row>
    <row r="57" spans="1:20" ht="12" customHeight="1" x14ac:dyDescent="0.2">
      <c r="A57" s="4" t="str">
        <f>IF(Produits!A57="","",Produits!A57)</f>
        <v xml:space="preserve">Rail R </v>
      </c>
      <c r="B57" s="4" t="str">
        <f>IF(Produits!B57="","",Produits!B57)</f>
        <v>RAL 9003</v>
      </c>
      <c r="C57" s="4" t="str">
        <f>IF(Produits!C57="","",Produits!C57)</f>
        <v>1000,00,0054</v>
      </c>
      <c r="D57" s="4" t="str">
        <f>IF(Produits!D57="","",Produits!D57)</f>
        <v>AA178</v>
      </c>
      <c r="E57" s="49" t="str">
        <f>IF(Produits!F57="","",Produits!F57)</f>
        <v>1 pcs</v>
      </c>
      <c r="F57" s="50">
        <f>IF(Produits!H57="","",Produits!H57)</f>
        <v>63</v>
      </c>
      <c r="G57" s="5"/>
      <c r="H57" s="37">
        <v>0</v>
      </c>
      <c r="I57" s="2"/>
      <c r="J57" s="69">
        <f>SUM('Archives Entrées'!$N57:$AAV57)</f>
        <v>0</v>
      </c>
      <c r="K57" s="51" t="str">
        <f t="shared" si="1"/>
        <v>0,00€</v>
      </c>
      <c r="L57" s="69">
        <f>SUM('Archives Sorties'!$M57:$AAY57)</f>
        <v>0</v>
      </c>
      <c r="M57" s="51" t="str">
        <f t="shared" si="2"/>
        <v>0,00€</v>
      </c>
      <c r="O57" s="72">
        <v>0</v>
      </c>
      <c r="P57" s="72">
        <v>1</v>
      </c>
      <c r="R57" s="185">
        <f t="shared" si="3"/>
        <v>0</v>
      </c>
      <c r="S57" s="186">
        <f t="shared" si="4"/>
        <v>0</v>
      </c>
      <c r="T57" s="187" t="str">
        <f>IF(R57="","",IF(O57=0,Famille!$D$5,IF(R57&lt;O57,Famille!$D$2,IF(R57&lt;=P57,Famille!$D$3,Famille!$D$4))))</f>
        <v>Sur commande</v>
      </c>
    </row>
    <row r="58" spans="1:20" ht="12" customHeight="1" x14ac:dyDescent="0.2">
      <c r="A58" s="4" t="str">
        <f>IF(Produits!A58="","",Produits!A58)</f>
        <v xml:space="preserve">Rail R </v>
      </c>
      <c r="B58" s="4" t="str">
        <f>IF(Produits!B58="","",Produits!B58)</f>
        <v>RAL XXXX</v>
      </c>
      <c r="C58" s="4" t="str">
        <f>IF(Produits!C58="","",Produits!C58)</f>
        <v>1000,00,0055</v>
      </c>
      <c r="D58" s="4" t="str">
        <f>IF(Produits!D58="","",Produits!D58)</f>
        <v>AA179</v>
      </c>
      <c r="E58" s="49" t="str">
        <f>IF(Produits!F58="","",Produits!F58)</f>
        <v>3 m</v>
      </c>
      <c r="F58" s="50">
        <f>IF(Produits!H58="","",Produits!H58)</f>
        <v>64</v>
      </c>
      <c r="G58" s="5"/>
      <c r="H58" s="37">
        <v>0</v>
      </c>
      <c r="I58" s="2"/>
      <c r="J58" s="69">
        <f>SUM('Archives Entrées'!$N58:$AAV58)</f>
        <v>0</v>
      </c>
      <c r="K58" s="51" t="str">
        <f t="shared" si="1"/>
        <v>0,00€</v>
      </c>
      <c r="L58" s="69">
        <f>SUM('Archives Sorties'!$M58:$AAY58)</f>
        <v>0</v>
      </c>
      <c r="M58" s="51" t="str">
        <f t="shared" si="2"/>
        <v>0,00€</v>
      </c>
      <c r="O58" s="72">
        <v>0</v>
      </c>
      <c r="P58" s="72">
        <v>0</v>
      </c>
      <c r="R58" s="185">
        <f t="shared" si="3"/>
        <v>0</v>
      </c>
      <c r="S58" s="186">
        <f t="shared" si="4"/>
        <v>0</v>
      </c>
      <c r="T58" s="187" t="str">
        <f>IF(R58="","",IF(O58=0,Famille!$D$5,IF(R58&lt;O58,Famille!$D$2,IF(R58&lt;=P58,Famille!$D$3,Famille!$D$4))))</f>
        <v>Sur commande</v>
      </c>
    </row>
    <row r="59" spans="1:20" ht="12" customHeight="1" x14ac:dyDescent="0.2">
      <c r="A59" s="4" t="str">
        <f>IF(Produits!A59="","",Produits!A59)</f>
        <v xml:space="preserve">Rail R </v>
      </c>
      <c r="B59" s="4" t="str">
        <f>IF(Produits!B59="","",Produits!B59)</f>
        <v>RAL XXXX</v>
      </c>
      <c r="C59" s="4" t="str">
        <f>IF(Produits!C59="","",Produits!C59)</f>
        <v>1000,00,0056</v>
      </c>
      <c r="D59" s="4" t="str">
        <f>IF(Produits!D59="","",Produits!D59)</f>
        <v>AA180</v>
      </c>
      <c r="E59" s="49" t="str">
        <f>IF(Produits!F59="","",Produits!F59)</f>
        <v>1 pcs</v>
      </c>
      <c r="F59" s="50">
        <f>IF(Produits!H59="","",Produits!H59)</f>
        <v>65</v>
      </c>
      <c r="G59" s="4"/>
      <c r="H59" s="37">
        <v>0</v>
      </c>
      <c r="I59" s="2"/>
      <c r="J59" s="69">
        <f>SUM('Archives Entrées'!$N59:$AAV59)</f>
        <v>0</v>
      </c>
      <c r="K59" s="51" t="str">
        <f t="shared" si="1"/>
        <v>0,00€</v>
      </c>
      <c r="L59" s="69">
        <f>SUM('Archives Sorties'!$M59:$AAY59)</f>
        <v>0</v>
      </c>
      <c r="M59" s="51" t="str">
        <f t="shared" si="2"/>
        <v>0,00€</v>
      </c>
      <c r="O59" s="72">
        <v>0</v>
      </c>
      <c r="P59" s="72">
        <v>0</v>
      </c>
      <c r="R59" s="185">
        <f t="shared" si="3"/>
        <v>0</v>
      </c>
      <c r="S59" s="186">
        <f t="shared" si="4"/>
        <v>0</v>
      </c>
      <c r="T59" s="187" t="str">
        <f>IF(R59="","",IF(O59=0,Famille!$D$5,IF(R59&lt;O59,Famille!$D$2,IF(R59&lt;=P59,Famille!$D$3,Famille!$D$4))))</f>
        <v>Sur commande</v>
      </c>
    </row>
    <row r="60" spans="1:20" ht="12" customHeight="1" x14ac:dyDescent="0.2">
      <c r="A60" s="4" t="str">
        <f>IF(Produits!A60="","",Produits!A60)</f>
        <v xml:space="preserve">Rail R </v>
      </c>
      <c r="B60" s="4" t="str">
        <f>IF(Produits!B60="","",Produits!B60)</f>
        <v>RAL XXXX</v>
      </c>
      <c r="C60" s="4" t="str">
        <f>IF(Produits!C60="","",Produits!C60)</f>
        <v>1000,00,0057</v>
      </c>
      <c r="D60" s="4" t="str">
        <f>IF(Produits!D60="","",Produits!D60)</f>
        <v>AA181</v>
      </c>
      <c r="E60" s="49" t="str">
        <f>IF(Produits!F60="","",Produits!F60)</f>
        <v>1 pcs</v>
      </c>
      <c r="F60" s="50">
        <f>IF(Produits!H60="","",Produits!H60)</f>
        <v>66</v>
      </c>
      <c r="G60" s="4"/>
      <c r="H60" s="37">
        <v>0</v>
      </c>
      <c r="I60" s="2"/>
      <c r="J60" s="69">
        <f>SUM('Archives Entrées'!$N60:$AAV60)</f>
        <v>0</v>
      </c>
      <c r="K60" s="51" t="str">
        <f t="shared" si="1"/>
        <v>0,00€</v>
      </c>
      <c r="L60" s="69">
        <f>SUM('Archives Sorties'!$M60:$AAY60)</f>
        <v>0</v>
      </c>
      <c r="M60" s="51" t="str">
        <f t="shared" si="2"/>
        <v>0,00€</v>
      </c>
      <c r="O60" s="72">
        <v>0</v>
      </c>
      <c r="P60" s="72">
        <v>0</v>
      </c>
      <c r="R60" s="185">
        <f t="shared" si="3"/>
        <v>0</v>
      </c>
      <c r="S60" s="186">
        <f t="shared" si="4"/>
        <v>0</v>
      </c>
      <c r="T60" s="187" t="str">
        <f>IF(R60="","",IF(O60=0,Famille!$D$5,IF(R60&lt;O60,Famille!$D$2,IF(R60&lt;=P60,Famille!$D$3,Famille!$D$4))))</f>
        <v>Sur commande</v>
      </c>
    </row>
    <row r="61" spans="1:20" ht="12" customHeight="1" x14ac:dyDescent="0.2">
      <c r="A61" s="4" t="str">
        <f>IF(Produits!A61="","",Produits!A61)</f>
        <v xml:space="preserve">Rail R </v>
      </c>
      <c r="B61" s="4" t="str">
        <f>IF(Produits!B61="","",Produits!B61)</f>
        <v>RAL XXXX</v>
      </c>
      <c r="C61" s="4" t="str">
        <f>IF(Produits!C61="","",Produits!C61)</f>
        <v>1000,00,0058</v>
      </c>
      <c r="D61" s="4" t="str">
        <f>IF(Produits!D61="","",Produits!D61)</f>
        <v>AA182</v>
      </c>
      <c r="E61" s="49" t="str">
        <f>IF(Produits!F61="","",Produits!F61)</f>
        <v>1 pcs</v>
      </c>
      <c r="F61" s="50">
        <f>IF(Produits!H61="","",Produits!H61)</f>
        <v>67</v>
      </c>
      <c r="G61" s="4"/>
      <c r="H61" s="37">
        <v>0</v>
      </c>
      <c r="I61" s="2"/>
      <c r="J61" s="69">
        <f>SUM('Archives Entrées'!$N61:$AAV61)</f>
        <v>0</v>
      </c>
      <c r="K61" s="51" t="str">
        <f t="shared" si="1"/>
        <v>0,00€</v>
      </c>
      <c r="L61" s="69">
        <f>SUM('Archives Sorties'!$M61:$AAY61)</f>
        <v>0</v>
      </c>
      <c r="M61" s="51" t="str">
        <f t="shared" si="2"/>
        <v>0,00€</v>
      </c>
      <c r="O61" s="72">
        <v>0</v>
      </c>
      <c r="P61" s="72">
        <v>0</v>
      </c>
      <c r="R61" s="185">
        <f t="shared" si="3"/>
        <v>0</v>
      </c>
      <c r="S61" s="186">
        <f t="shared" si="4"/>
        <v>0</v>
      </c>
      <c r="T61" s="187" t="str">
        <f>IF(R61="","",IF(O61=0,Famille!$D$5,IF(R61&lt;O61,Famille!$D$2,IF(R61&lt;=P61,Famille!$D$3,Famille!$D$4))))</f>
        <v>Sur commande</v>
      </c>
    </row>
    <row r="62" spans="1:20" ht="12" customHeight="1" x14ac:dyDescent="0.2">
      <c r="A62" s="4" t="str">
        <f>IF(Produits!A62="","",Produits!A62)</f>
        <v xml:space="preserve">Rail R </v>
      </c>
      <c r="B62" s="4" t="str">
        <f>IF(Produits!B62="","",Produits!B62)</f>
        <v>RAL XXXX</v>
      </c>
      <c r="C62" s="4" t="str">
        <f>IF(Produits!C62="","",Produits!C62)</f>
        <v>1000,00,0059</v>
      </c>
      <c r="D62" s="4" t="str">
        <f>IF(Produits!D62="","",Produits!D62)</f>
        <v>AA183</v>
      </c>
      <c r="E62" s="49" t="str">
        <f>IF(Produits!F62="","",Produits!F62)</f>
        <v>1 pcs</v>
      </c>
      <c r="F62" s="50">
        <f>IF(Produits!H62="","",Produits!H62)</f>
        <v>68</v>
      </c>
      <c r="G62" s="4"/>
      <c r="H62" s="37">
        <v>0</v>
      </c>
      <c r="I62" s="2"/>
      <c r="J62" s="69">
        <f>SUM('Archives Entrées'!$N62:$AAV62)</f>
        <v>0</v>
      </c>
      <c r="K62" s="51" t="str">
        <f t="shared" si="1"/>
        <v>0,00€</v>
      </c>
      <c r="L62" s="69">
        <f>SUM('Archives Sorties'!$M62:$AAY62)</f>
        <v>0</v>
      </c>
      <c r="M62" s="51" t="str">
        <f t="shared" si="2"/>
        <v>0,00€</v>
      </c>
      <c r="O62" s="72">
        <v>0</v>
      </c>
      <c r="P62" s="72">
        <v>0</v>
      </c>
      <c r="R62" s="185">
        <f t="shared" si="3"/>
        <v>0</v>
      </c>
      <c r="S62" s="186">
        <f t="shared" si="4"/>
        <v>0</v>
      </c>
      <c r="T62" s="187" t="str">
        <f>IF(R62="","",IF(O62=0,Famille!$D$5,IF(R62&lt;O62,Famille!$D$2,IF(R62&lt;=P62,Famille!$D$3,Famille!$D$4))))</f>
        <v>Sur commande</v>
      </c>
    </row>
    <row r="63" spans="1:20" ht="12" customHeight="1" x14ac:dyDescent="0.2">
      <c r="A63" s="4" t="str">
        <f>IF(Produits!A63="","",Produits!A63)</f>
        <v xml:space="preserve">Rail R </v>
      </c>
      <c r="B63" s="4" t="str">
        <f>IF(Produits!B63="","",Produits!B63)</f>
        <v>RAL XXXX</v>
      </c>
      <c r="C63" s="4" t="str">
        <f>IF(Produits!C63="","",Produits!C63)</f>
        <v>1000,00,0060</v>
      </c>
      <c r="D63" s="4" t="str">
        <f>IF(Produits!D63="","",Produits!D63)</f>
        <v>AA184</v>
      </c>
      <c r="E63" s="49" t="str">
        <f>IF(Produits!F63="","",Produits!F63)</f>
        <v>1 pcs</v>
      </c>
      <c r="F63" s="50">
        <f>IF(Produits!H63="","",Produits!H63)</f>
        <v>69</v>
      </c>
      <c r="G63" s="5"/>
      <c r="H63" s="37">
        <v>0</v>
      </c>
      <c r="I63" s="2"/>
      <c r="J63" s="69">
        <f>SUM('Archives Entrées'!$N63:$AAV63)</f>
        <v>0</v>
      </c>
      <c r="K63" s="51" t="str">
        <f t="shared" si="1"/>
        <v>0,00€</v>
      </c>
      <c r="L63" s="69">
        <f>SUM('Archives Sorties'!$M63:$AAY63)</f>
        <v>0</v>
      </c>
      <c r="M63" s="51" t="str">
        <f t="shared" si="2"/>
        <v>0,00€</v>
      </c>
      <c r="O63" s="72">
        <v>0</v>
      </c>
      <c r="P63" s="72">
        <v>0</v>
      </c>
      <c r="R63" s="185">
        <f t="shared" si="3"/>
        <v>0</v>
      </c>
      <c r="S63" s="186">
        <f t="shared" si="4"/>
        <v>0</v>
      </c>
      <c r="T63" s="187" t="str">
        <f>IF(R63="","",IF(O63=0,Famille!$D$5,IF(R63&lt;O63,Famille!$D$2,IF(R63&lt;=P63,Famille!$D$3,Famille!$D$4))))</f>
        <v>Sur commande</v>
      </c>
    </row>
    <row r="64" spans="1:20" ht="12" customHeight="1" x14ac:dyDescent="0.2">
      <c r="A64" s="4" t="str">
        <f>IF(Produits!A64="","",Produits!A64)</f>
        <v xml:space="preserve">Rail R </v>
      </c>
      <c r="B64" s="4" t="str">
        <f>IF(Produits!B64="","",Produits!B64)</f>
        <v>RAL XXXX</v>
      </c>
      <c r="C64" s="4" t="str">
        <f>IF(Produits!C64="","",Produits!C64)</f>
        <v>1000,00,0061</v>
      </c>
      <c r="D64" s="4" t="str">
        <f>IF(Produits!D64="","",Produits!D64)</f>
        <v>AA185</v>
      </c>
      <c r="E64" s="49" t="str">
        <f>IF(Produits!F64="","",Produits!F64)</f>
        <v>1 pcs</v>
      </c>
      <c r="F64" s="50">
        <f>IF(Produits!H64="","",Produits!H64)</f>
        <v>70</v>
      </c>
      <c r="G64" s="5"/>
      <c r="H64" s="37">
        <v>0</v>
      </c>
      <c r="I64" s="2"/>
      <c r="J64" s="69">
        <f>SUM('Archives Entrées'!$N64:$AAV64)</f>
        <v>0</v>
      </c>
      <c r="K64" s="51" t="str">
        <f t="shared" si="1"/>
        <v>0,00€</v>
      </c>
      <c r="L64" s="69">
        <f>SUM('Archives Sorties'!$M64:$AAY64)</f>
        <v>0</v>
      </c>
      <c r="M64" s="51" t="str">
        <f t="shared" si="2"/>
        <v>0,00€</v>
      </c>
      <c r="O64" s="72">
        <v>0</v>
      </c>
      <c r="P64" s="72">
        <v>0</v>
      </c>
      <c r="R64" s="185">
        <f t="shared" si="3"/>
        <v>0</v>
      </c>
      <c r="S64" s="186">
        <f t="shared" si="4"/>
        <v>0</v>
      </c>
      <c r="T64" s="187" t="str">
        <f>IF(R64="","",IF(O64=0,Famille!$D$5,IF(R64&lt;O64,Famille!$D$2,IF(R64&lt;=P64,Famille!$D$3,Famille!$D$4))))</f>
        <v>Sur commande</v>
      </c>
    </row>
    <row r="65" spans="1:20" ht="12" customHeight="1" x14ac:dyDescent="0.2">
      <c r="A65" s="4" t="str">
        <f>IF(Produits!A65="","",Produits!A65)</f>
        <v xml:space="preserve">Rail R </v>
      </c>
      <c r="B65" s="4" t="str">
        <f>IF(Produits!B65="","",Produits!B65)</f>
        <v>RAL XXXX</v>
      </c>
      <c r="C65" s="4" t="str">
        <f>IF(Produits!C65="","",Produits!C65)</f>
        <v>1000,00,0062</v>
      </c>
      <c r="D65" s="4" t="str">
        <f>IF(Produits!D65="","",Produits!D65)</f>
        <v>AA186</v>
      </c>
      <c r="E65" s="49" t="str">
        <f>IF(Produits!F65="","",Produits!F65)</f>
        <v>1 pcs</v>
      </c>
      <c r="F65" s="50">
        <f>IF(Produits!H65="","",Produits!H65)</f>
        <v>71</v>
      </c>
      <c r="G65" s="5"/>
      <c r="H65" s="37">
        <v>0</v>
      </c>
      <c r="I65" s="2"/>
      <c r="J65" s="69">
        <f>SUM('Archives Entrées'!$N65:$AAV65)</f>
        <v>0</v>
      </c>
      <c r="K65" s="51" t="str">
        <f t="shared" si="1"/>
        <v>0,00€</v>
      </c>
      <c r="L65" s="69">
        <f>SUM('Archives Sorties'!$M65:$AAY65)</f>
        <v>0</v>
      </c>
      <c r="M65" s="51" t="str">
        <f t="shared" si="2"/>
        <v>0,00€</v>
      </c>
      <c r="O65" s="72">
        <v>0</v>
      </c>
      <c r="P65" s="72">
        <v>0</v>
      </c>
      <c r="R65" s="185">
        <f t="shared" si="3"/>
        <v>0</v>
      </c>
      <c r="S65" s="186">
        <f t="shared" si="4"/>
        <v>0</v>
      </c>
      <c r="T65" s="187" t="str">
        <f>IF(R65="","",IF(O65=0,Famille!$D$5,IF(R65&lt;O65,Famille!$D$2,IF(R65&lt;=P65,Famille!$D$3,Famille!$D$4))))</f>
        <v>Sur commande</v>
      </c>
    </row>
    <row r="66" spans="1:20" ht="12" customHeight="1" x14ac:dyDescent="0.2">
      <c r="A66" s="4" t="str">
        <f>IF(Produits!A66="","",Produits!A66)</f>
        <v xml:space="preserve">Rail R </v>
      </c>
      <c r="B66" s="4" t="str">
        <f>IF(Produits!B66="","",Produits!B66)</f>
        <v>RAL XXXX</v>
      </c>
      <c r="C66" s="4" t="str">
        <f>IF(Produits!C66="","",Produits!C66)</f>
        <v>1000,00,0063</v>
      </c>
      <c r="D66" s="4" t="str">
        <f>IF(Produits!D66="","",Produits!D66)</f>
        <v>AA187</v>
      </c>
      <c r="E66" s="49" t="str">
        <f>IF(Produits!F66="","",Produits!F66)</f>
        <v>1 pcs</v>
      </c>
      <c r="F66" s="50">
        <f>IF(Produits!H66="","",Produits!H66)</f>
        <v>72</v>
      </c>
      <c r="G66" s="5"/>
      <c r="H66" s="37">
        <v>0</v>
      </c>
      <c r="I66" s="2"/>
      <c r="J66" s="69">
        <f>SUM('Archives Entrées'!$N66:$AAV66)</f>
        <v>0</v>
      </c>
      <c r="K66" s="51" t="str">
        <f t="shared" si="1"/>
        <v>0,00€</v>
      </c>
      <c r="L66" s="69">
        <f>SUM('Archives Sorties'!$M66:$AAY66)</f>
        <v>0</v>
      </c>
      <c r="M66" s="51" t="str">
        <f t="shared" si="2"/>
        <v>0,00€</v>
      </c>
      <c r="O66" s="72">
        <v>0</v>
      </c>
      <c r="P66" s="72">
        <v>0</v>
      </c>
      <c r="R66" s="185">
        <f t="shared" si="3"/>
        <v>0</v>
      </c>
      <c r="S66" s="186">
        <f t="shared" si="4"/>
        <v>0</v>
      </c>
      <c r="T66" s="187" t="str">
        <f>IF(R66="","",IF(O66=0,Famille!$D$5,IF(R66&lt;O66,Famille!$D$2,IF(R66&lt;=P66,Famille!$D$3,Famille!$D$4))))</f>
        <v>Sur commande</v>
      </c>
    </row>
    <row r="67" spans="1:20" ht="12" customHeight="1" x14ac:dyDescent="0.2">
      <c r="A67" s="4" t="str">
        <f>IF(Produits!A67="","",Produits!A67)</f>
        <v xml:space="preserve">Rail R </v>
      </c>
      <c r="B67" s="4" t="str">
        <f>IF(Produits!B67="","",Produits!B67)</f>
        <v>BRUT</v>
      </c>
      <c r="C67" s="4" t="str">
        <f>IF(Produits!C67="","",Produits!C67)</f>
        <v>1000,00,0064</v>
      </c>
      <c r="D67" s="4" t="str">
        <f>IF(Produits!D67="","",Produits!D67)</f>
        <v>AA188</v>
      </c>
      <c r="E67" s="49" t="str">
        <f>IF(Produits!F67="","",Produits!F67)</f>
        <v>3 m</v>
      </c>
      <c r="F67" s="50">
        <f>IF(Produits!H67="","",Produits!H67)</f>
        <v>73</v>
      </c>
      <c r="G67" s="4"/>
      <c r="H67" s="37">
        <v>0</v>
      </c>
      <c r="I67" s="2"/>
      <c r="J67" s="69">
        <f>SUM('Archives Entrées'!$N67:$AAV67)</f>
        <v>0</v>
      </c>
      <c r="K67" s="51" t="str">
        <f t="shared" si="1"/>
        <v>0,00€</v>
      </c>
      <c r="L67" s="69">
        <f>SUM('Archives Sorties'!$M67:$AAY67)</f>
        <v>0</v>
      </c>
      <c r="M67" s="51" t="str">
        <f t="shared" si="2"/>
        <v>0,00€</v>
      </c>
      <c r="O67" s="72">
        <v>0</v>
      </c>
      <c r="P67" s="72">
        <v>0</v>
      </c>
      <c r="R67" s="185">
        <f t="shared" si="3"/>
        <v>0</v>
      </c>
      <c r="S67" s="186">
        <f t="shared" si="4"/>
        <v>0</v>
      </c>
      <c r="T67" s="187" t="str">
        <f>IF(R67="","",IF(O67=0,Famille!$D$5,IF(R67&lt;O67,Famille!$D$2,IF(R67&lt;=P67,Famille!$D$3,Famille!$D$4))))</f>
        <v>Sur commande</v>
      </c>
    </row>
    <row r="68" spans="1:20" ht="12" customHeight="1" x14ac:dyDescent="0.2">
      <c r="A68" s="4" t="str">
        <f>IF(Produits!A68="","",Produits!A68)</f>
        <v xml:space="preserve">Rail R </v>
      </c>
      <c r="B68" s="4" t="str">
        <f>IF(Produits!B68="","",Produits!B68)</f>
        <v>BRUT</v>
      </c>
      <c r="C68" s="4" t="str">
        <f>IF(Produits!C68="","",Produits!C68)</f>
        <v>1000,00,0065</v>
      </c>
      <c r="D68" s="4" t="str">
        <f>IF(Produits!D68="","",Produits!D68)</f>
        <v>AA189</v>
      </c>
      <c r="E68" s="49" t="str">
        <f>IF(Produits!F68="","",Produits!F68)</f>
        <v>1 pcs</v>
      </c>
      <c r="F68" s="50">
        <f>IF(Produits!H68="","",Produits!H68)</f>
        <v>74</v>
      </c>
      <c r="G68" s="4"/>
      <c r="H68" s="37">
        <v>5</v>
      </c>
      <c r="I68" s="2"/>
      <c r="J68" s="69">
        <f>SUM('Archives Entrées'!$N68:$AAV68)</f>
        <v>0</v>
      </c>
      <c r="K68" s="51" t="str">
        <f t="shared" si="1"/>
        <v>0,00€</v>
      </c>
      <c r="L68" s="69">
        <f>SUM('Archives Sorties'!$M68:$AAY68)</f>
        <v>0</v>
      </c>
      <c r="M68" s="51" t="str">
        <f t="shared" si="2"/>
        <v>0,00€</v>
      </c>
      <c r="O68" s="72">
        <v>0</v>
      </c>
      <c r="P68" s="72">
        <v>0</v>
      </c>
      <c r="R68" s="185">
        <f t="shared" si="3"/>
        <v>5</v>
      </c>
      <c r="S68" s="186">
        <f t="shared" si="4"/>
        <v>2</v>
      </c>
      <c r="T68" s="187" t="str">
        <f>IF(R68="","",IF(O68=0,Famille!$D$5,IF(R68&lt;O68,Famille!$D$2,IF(R68&lt;=P68,Famille!$D$3,Famille!$D$4))))</f>
        <v>Sur commande</v>
      </c>
    </row>
    <row r="69" spans="1:20" ht="12" customHeight="1" x14ac:dyDescent="0.2">
      <c r="A69" s="4" t="str">
        <f>IF(Produits!A69="","",Produits!A69)</f>
        <v xml:space="preserve">Rail R </v>
      </c>
      <c r="B69" s="4" t="str">
        <f>IF(Produits!B69="","",Produits!B69)</f>
        <v>BRUT</v>
      </c>
      <c r="C69" s="4" t="str">
        <f>IF(Produits!C69="","",Produits!C69)</f>
        <v>1000,00,0066</v>
      </c>
      <c r="D69" s="4" t="str">
        <f>IF(Produits!D69="","",Produits!D69)</f>
        <v>AA190</v>
      </c>
      <c r="E69" s="49" t="str">
        <f>IF(Produits!F69="","",Produits!F69)</f>
        <v>1 pcs</v>
      </c>
      <c r="F69" s="50">
        <f>IF(Produits!H69="","",Produits!H69)</f>
        <v>75</v>
      </c>
      <c r="G69" s="11"/>
      <c r="H69" s="37">
        <v>3</v>
      </c>
      <c r="I69" s="2"/>
      <c r="J69" s="69">
        <f>SUM('Archives Entrées'!$N69:$AAV69)</f>
        <v>0</v>
      </c>
      <c r="K69" s="51" t="str">
        <f t="shared" ref="K69:K132" si="5">IF(J69=0,"0,00€",J69*F69)</f>
        <v>0,00€</v>
      </c>
      <c r="L69" s="69">
        <f>SUM('Archives Sorties'!$M69:$AAY69)</f>
        <v>0</v>
      </c>
      <c r="M69" s="51" t="str">
        <f t="shared" ref="M69:M132" si="6">IF(L69=0,"0,00€",L69*F69)</f>
        <v>0,00€</v>
      </c>
      <c r="O69" s="72">
        <v>0</v>
      </c>
      <c r="P69" s="72">
        <v>0</v>
      </c>
      <c r="R69" s="185">
        <f t="shared" ref="R69:R132" si="7">IF(A69="","",((J69+H69)-L69))</f>
        <v>3</v>
      </c>
      <c r="S69" s="186">
        <f t="shared" ref="S69:S132" si="8">IF(R69="","",IF(R69=0,0,IF(R69&lt;O69,0,IF(R69&lt;=P69,1,2))))</f>
        <v>2</v>
      </c>
      <c r="T69" s="187" t="str">
        <f>IF(R69="","",IF(O69=0,Famille!$D$5,IF(R69&lt;O69,Famille!$D$2,IF(R69&lt;=P69,Famille!$D$3,Famille!$D$4))))</f>
        <v>Sur commande</v>
      </c>
    </row>
    <row r="70" spans="1:20" ht="12" customHeight="1" x14ac:dyDescent="0.2">
      <c r="A70" s="4" t="str">
        <f>IF(Produits!A70="","",Produits!A70)</f>
        <v xml:space="preserve">Rail R </v>
      </c>
      <c r="B70" s="4" t="str">
        <f>IF(Produits!B70="","",Produits!B70)</f>
        <v>BRUT</v>
      </c>
      <c r="C70" s="4" t="str">
        <f>IF(Produits!C70="","",Produits!C70)</f>
        <v>1000,00,0067</v>
      </c>
      <c r="D70" s="4" t="str">
        <f>IF(Produits!D70="","",Produits!D70)</f>
        <v>AA191</v>
      </c>
      <c r="E70" s="49" t="str">
        <f>IF(Produits!F70="","",Produits!F70)</f>
        <v>1 pcs</v>
      </c>
      <c r="F70" s="50">
        <f>IF(Produits!H70="","",Produits!H70)</f>
        <v>76</v>
      </c>
      <c r="G70" s="11"/>
      <c r="H70" s="37">
        <v>1</v>
      </c>
      <c r="I70" s="2"/>
      <c r="J70" s="69">
        <f>SUM('Archives Entrées'!$N70:$AAV70)</f>
        <v>0</v>
      </c>
      <c r="K70" s="51" t="str">
        <f t="shared" si="5"/>
        <v>0,00€</v>
      </c>
      <c r="L70" s="69">
        <f>SUM('Archives Sorties'!$M70:$AAY70)</f>
        <v>0</v>
      </c>
      <c r="M70" s="51" t="str">
        <f t="shared" si="6"/>
        <v>0,00€</v>
      </c>
      <c r="O70" s="72">
        <v>0</v>
      </c>
      <c r="P70" s="72">
        <v>0</v>
      </c>
      <c r="R70" s="185">
        <f t="shared" si="7"/>
        <v>1</v>
      </c>
      <c r="S70" s="186">
        <f t="shared" si="8"/>
        <v>2</v>
      </c>
      <c r="T70" s="187" t="str">
        <f>IF(R70="","",IF(O70=0,Famille!$D$5,IF(R70&lt;O70,Famille!$D$2,IF(R70&lt;=P70,Famille!$D$3,Famille!$D$4))))</f>
        <v>Sur commande</v>
      </c>
    </row>
    <row r="71" spans="1:20" ht="12" customHeight="1" x14ac:dyDescent="0.2">
      <c r="A71" s="4" t="str">
        <f>IF(Produits!A71="","",Produits!A71)</f>
        <v xml:space="preserve">Rail R </v>
      </c>
      <c r="B71" s="4" t="str">
        <f>IF(Produits!B71="","",Produits!B71)</f>
        <v>BRUT</v>
      </c>
      <c r="C71" s="4" t="str">
        <f>IF(Produits!C71="","",Produits!C71)</f>
        <v>1000,00,0068</v>
      </c>
      <c r="D71" s="4" t="str">
        <f>IF(Produits!D71="","",Produits!D71)</f>
        <v>AA192</v>
      </c>
      <c r="E71" s="49" t="str">
        <f>IF(Produits!F71="","",Produits!F71)</f>
        <v>1 pcs</v>
      </c>
      <c r="F71" s="50">
        <f>IF(Produits!H71="","",Produits!H71)</f>
        <v>77</v>
      </c>
      <c r="G71" s="5"/>
      <c r="H71" s="37">
        <v>1</v>
      </c>
      <c r="I71" s="2"/>
      <c r="J71" s="69">
        <f>SUM('Archives Entrées'!$N71:$AAV71)</f>
        <v>0</v>
      </c>
      <c r="K71" s="51" t="str">
        <f t="shared" si="5"/>
        <v>0,00€</v>
      </c>
      <c r="L71" s="69">
        <f>SUM('Archives Sorties'!$M71:$AAY71)</f>
        <v>0</v>
      </c>
      <c r="M71" s="51" t="str">
        <f t="shared" si="6"/>
        <v>0,00€</v>
      </c>
      <c r="O71" s="72">
        <v>0</v>
      </c>
      <c r="P71" s="72">
        <v>0</v>
      </c>
      <c r="R71" s="185">
        <f t="shared" si="7"/>
        <v>1</v>
      </c>
      <c r="S71" s="186">
        <f t="shared" si="8"/>
        <v>2</v>
      </c>
      <c r="T71" s="187" t="str">
        <f>IF(R71="","",IF(O71=0,Famille!$D$5,IF(R71&lt;O71,Famille!$D$2,IF(R71&lt;=P71,Famille!$D$3,Famille!$D$4))))</f>
        <v>Sur commande</v>
      </c>
    </row>
    <row r="72" spans="1:20" ht="12" customHeight="1" x14ac:dyDescent="0.2">
      <c r="A72" s="4" t="str">
        <f>IF(Produits!A72="","",Produits!A72)</f>
        <v xml:space="preserve">Rail R </v>
      </c>
      <c r="B72" s="4" t="str">
        <f>IF(Produits!B72="","",Produits!B72)</f>
        <v>BRUT</v>
      </c>
      <c r="C72" s="4" t="str">
        <f>IF(Produits!C72="","",Produits!C72)</f>
        <v>1000,00,0069</v>
      </c>
      <c r="D72" s="4" t="str">
        <f>IF(Produits!D72="","",Produits!D72)</f>
        <v>AA193</v>
      </c>
      <c r="E72" s="49" t="str">
        <f>IF(Produits!F72="","",Produits!F72)</f>
        <v>1 pcs</v>
      </c>
      <c r="F72" s="50">
        <f>IF(Produits!H72="","",Produits!H72)</f>
        <v>78</v>
      </c>
      <c r="G72" s="5"/>
      <c r="H72" s="37">
        <v>0</v>
      </c>
      <c r="I72" s="2"/>
      <c r="J72" s="69">
        <f>SUM('Archives Entrées'!$N72:$AAV72)</f>
        <v>0</v>
      </c>
      <c r="K72" s="51" t="str">
        <f t="shared" si="5"/>
        <v>0,00€</v>
      </c>
      <c r="L72" s="69">
        <f>SUM('Archives Sorties'!$M72:$AAY72)</f>
        <v>0</v>
      </c>
      <c r="M72" s="51" t="str">
        <f t="shared" si="6"/>
        <v>0,00€</v>
      </c>
      <c r="O72" s="72">
        <v>0</v>
      </c>
      <c r="P72" s="72">
        <v>0</v>
      </c>
      <c r="R72" s="185">
        <f t="shared" si="7"/>
        <v>0</v>
      </c>
      <c r="S72" s="186">
        <f t="shared" si="8"/>
        <v>0</v>
      </c>
      <c r="T72" s="187" t="str">
        <f>IF(R72="","",IF(O72=0,Famille!$D$5,IF(R72&lt;O72,Famille!$D$2,IF(R72&lt;=P72,Famille!$D$3,Famille!$D$4))))</f>
        <v>Sur commande</v>
      </c>
    </row>
    <row r="73" spans="1:20" ht="12" customHeight="1" x14ac:dyDescent="0.2">
      <c r="A73" s="4" t="str">
        <f>IF(Produits!A73="","",Produits!A73)</f>
        <v xml:space="preserve">Rail R </v>
      </c>
      <c r="B73" s="4" t="str">
        <f>IF(Produits!B73="","",Produits!B73)</f>
        <v>BRUT</v>
      </c>
      <c r="C73" s="4" t="str">
        <f>IF(Produits!C73="","",Produits!C73)</f>
        <v>1000,00,0070</v>
      </c>
      <c r="D73" s="4" t="str">
        <f>IF(Produits!D73="","",Produits!D73)</f>
        <v>AA194</v>
      </c>
      <c r="E73" s="49" t="str">
        <f>IF(Produits!F73="","",Produits!F73)</f>
        <v>1 pcs</v>
      </c>
      <c r="F73" s="50">
        <f>IF(Produits!H73="","",Produits!H73)</f>
        <v>79</v>
      </c>
      <c r="G73" s="5"/>
      <c r="H73" s="37">
        <v>0</v>
      </c>
      <c r="I73" s="2"/>
      <c r="J73" s="69">
        <f>SUM('Archives Entrées'!$N73:$AAV73)</f>
        <v>0</v>
      </c>
      <c r="K73" s="51" t="str">
        <f t="shared" si="5"/>
        <v>0,00€</v>
      </c>
      <c r="L73" s="69">
        <f>SUM('Archives Sorties'!$M73:$AAY73)</f>
        <v>0</v>
      </c>
      <c r="M73" s="51" t="str">
        <f t="shared" si="6"/>
        <v>0,00€</v>
      </c>
      <c r="O73" s="72">
        <v>0</v>
      </c>
      <c r="P73" s="72">
        <v>0</v>
      </c>
      <c r="R73" s="185">
        <f t="shared" si="7"/>
        <v>0</v>
      </c>
      <c r="S73" s="186">
        <f t="shared" si="8"/>
        <v>0</v>
      </c>
      <c r="T73" s="187" t="str">
        <f>IF(R73="","",IF(O73=0,Famille!$D$5,IF(R73&lt;O73,Famille!$D$2,IF(R73&lt;=P73,Famille!$D$3,Famille!$D$4))))</f>
        <v>Sur commande</v>
      </c>
    </row>
    <row r="74" spans="1:20" ht="12" customHeight="1" x14ac:dyDescent="0.2">
      <c r="A74" s="4" t="str">
        <f>IF(Produits!A74="","",Produits!A74)</f>
        <v xml:space="preserve">Rail R </v>
      </c>
      <c r="B74" s="4" t="str">
        <f>IF(Produits!B74="","",Produits!B74)</f>
        <v>BRUT</v>
      </c>
      <c r="C74" s="4" t="str">
        <f>IF(Produits!C74="","",Produits!C74)</f>
        <v>1000,00,0071</v>
      </c>
      <c r="D74" s="4" t="str">
        <f>IF(Produits!D74="","",Produits!D74)</f>
        <v>AA195</v>
      </c>
      <c r="E74" s="49" t="str">
        <f>IF(Produits!F74="","",Produits!F74)</f>
        <v>1 pcs</v>
      </c>
      <c r="F74" s="50">
        <f>IF(Produits!H74="","",Produits!H74)</f>
        <v>80</v>
      </c>
      <c r="G74" s="5"/>
      <c r="H74" s="37">
        <v>0</v>
      </c>
      <c r="I74" s="2"/>
      <c r="J74" s="69">
        <f>SUM('Archives Entrées'!$N74:$AAV74)</f>
        <v>0</v>
      </c>
      <c r="K74" s="51" t="str">
        <f t="shared" si="5"/>
        <v>0,00€</v>
      </c>
      <c r="L74" s="69">
        <f>SUM('Archives Sorties'!$M74:$AAY74)</f>
        <v>0</v>
      </c>
      <c r="M74" s="51" t="str">
        <f t="shared" si="6"/>
        <v>0,00€</v>
      </c>
      <c r="O74" s="72">
        <v>0</v>
      </c>
      <c r="P74" s="72">
        <v>0</v>
      </c>
      <c r="R74" s="185">
        <f t="shared" si="7"/>
        <v>0</v>
      </c>
      <c r="S74" s="186">
        <f t="shared" si="8"/>
        <v>0</v>
      </c>
      <c r="T74" s="187" t="str">
        <f>IF(R74="","",IF(O74=0,Famille!$D$5,IF(R74&lt;O74,Famille!$D$2,IF(R74&lt;=P74,Famille!$D$3,Famille!$D$4))))</f>
        <v>Sur commande</v>
      </c>
    </row>
    <row r="75" spans="1:20" ht="12" customHeight="1" x14ac:dyDescent="0.2">
      <c r="A75" s="4" t="str">
        <f>IF(Produits!A75="","",Produits!A75)</f>
        <v xml:space="preserve">Rail R </v>
      </c>
      <c r="B75" s="4" t="str">
        <f>IF(Produits!B75="","",Produits!B75)</f>
        <v>BRUT</v>
      </c>
      <c r="C75" s="4" t="str">
        <f>IF(Produits!C75="","",Produits!C75)</f>
        <v>1000,00,0072</v>
      </c>
      <c r="D75" s="4" t="str">
        <f>IF(Produits!D75="","",Produits!D75)</f>
        <v>AA196</v>
      </c>
      <c r="E75" s="49" t="str">
        <f>IF(Produits!F75="","",Produits!F75)</f>
        <v>1 pcs</v>
      </c>
      <c r="F75" s="50">
        <f>IF(Produits!H75="","",Produits!H75)</f>
        <v>81</v>
      </c>
      <c r="G75" s="4"/>
      <c r="H75" s="37">
        <v>0</v>
      </c>
      <c r="I75" s="2"/>
      <c r="J75" s="69">
        <f>SUM('Archives Entrées'!$N75:$AAV75)</f>
        <v>0</v>
      </c>
      <c r="K75" s="51" t="str">
        <f t="shared" si="5"/>
        <v>0,00€</v>
      </c>
      <c r="L75" s="69">
        <f>SUM('Archives Sorties'!$M75:$AAY75)</f>
        <v>0</v>
      </c>
      <c r="M75" s="51" t="str">
        <f t="shared" si="6"/>
        <v>0,00€</v>
      </c>
      <c r="O75" s="72">
        <v>0</v>
      </c>
      <c r="P75" s="72">
        <v>0</v>
      </c>
      <c r="R75" s="185">
        <f t="shared" si="7"/>
        <v>0</v>
      </c>
      <c r="S75" s="186">
        <f t="shared" si="8"/>
        <v>0</v>
      </c>
      <c r="T75" s="187" t="str">
        <f>IF(R75="","",IF(O75=0,Famille!$D$5,IF(R75&lt;O75,Famille!$D$2,IF(R75&lt;=P75,Famille!$D$3,Famille!$D$4))))</f>
        <v>Sur commande</v>
      </c>
    </row>
    <row r="76" spans="1:20" ht="12" customHeight="1" x14ac:dyDescent="0.2">
      <c r="A76" s="4" t="str">
        <f>IF(Produits!A76="","",Produits!A76)</f>
        <v>Rail K</v>
      </c>
      <c r="B76" s="4" t="str">
        <f>IF(Produits!B76="","",Produits!B76)</f>
        <v>RAL 9010</v>
      </c>
      <c r="C76" s="4" t="str">
        <f>IF(Produits!C76="","",Produits!C76)</f>
        <v>1000,00,0073</v>
      </c>
      <c r="D76" s="4" t="str">
        <f>IF(Produits!D76="","",Produits!D76)</f>
        <v>AA197</v>
      </c>
      <c r="E76" s="49" t="str">
        <f>IF(Produits!F76="","",Produits!F76)</f>
        <v>3 m</v>
      </c>
      <c r="F76" s="50">
        <f>IF(Produits!H76="","",Produits!H76)</f>
        <v>82</v>
      </c>
      <c r="G76" s="4"/>
      <c r="H76" s="37">
        <v>0</v>
      </c>
      <c r="I76" s="2"/>
      <c r="J76" s="69">
        <f>SUM('Archives Entrées'!$N76:$AAV76)</f>
        <v>0</v>
      </c>
      <c r="K76" s="51" t="str">
        <f t="shared" si="5"/>
        <v>0,00€</v>
      </c>
      <c r="L76" s="69">
        <f>SUM('Archives Sorties'!$M76:$AAY76)</f>
        <v>0</v>
      </c>
      <c r="M76" s="51" t="str">
        <f t="shared" si="6"/>
        <v>0,00€</v>
      </c>
      <c r="O76" s="72">
        <v>0</v>
      </c>
      <c r="P76" s="72">
        <v>0</v>
      </c>
      <c r="R76" s="185">
        <f t="shared" si="7"/>
        <v>0</v>
      </c>
      <c r="S76" s="186">
        <f t="shared" si="8"/>
        <v>0</v>
      </c>
      <c r="T76" s="187" t="str">
        <f>IF(R76="","",IF(O76=0,Famille!$D$5,IF(R76&lt;O76,Famille!$D$2,IF(R76&lt;=P76,Famille!$D$3,Famille!$D$4))))</f>
        <v>Sur commande</v>
      </c>
    </row>
    <row r="77" spans="1:20" ht="12" customHeight="1" x14ac:dyDescent="0.2">
      <c r="A77" s="4" t="str">
        <f>IF(Produits!A77="","",Produits!A77)</f>
        <v>Rail K</v>
      </c>
      <c r="B77" s="4" t="str">
        <f>IF(Produits!B77="","",Produits!B77)</f>
        <v>RAL 9010</v>
      </c>
      <c r="C77" s="4" t="str">
        <f>IF(Produits!C77="","",Produits!C77)</f>
        <v>1000,00,0074</v>
      </c>
      <c r="D77" s="4" t="str">
        <f>IF(Produits!D77="","",Produits!D77)</f>
        <v>AA198</v>
      </c>
      <c r="E77" s="49" t="str">
        <f>IF(Produits!F77="","",Produits!F77)</f>
        <v>1 pcs</v>
      </c>
      <c r="F77" s="50">
        <f>IF(Produits!H77="","",Produits!H77)</f>
        <v>83</v>
      </c>
      <c r="G77" s="11"/>
      <c r="H77" s="37">
        <v>0</v>
      </c>
      <c r="I77" s="2"/>
      <c r="J77" s="69">
        <f>SUM('Archives Entrées'!$N77:$AAV77)</f>
        <v>0</v>
      </c>
      <c r="K77" s="51" t="str">
        <f t="shared" si="5"/>
        <v>0,00€</v>
      </c>
      <c r="L77" s="69">
        <f>SUM('Archives Sorties'!$M77:$AAY77)</f>
        <v>0</v>
      </c>
      <c r="M77" s="51" t="str">
        <f t="shared" si="6"/>
        <v>0,00€</v>
      </c>
      <c r="O77" s="72">
        <v>0</v>
      </c>
      <c r="P77" s="72">
        <v>0</v>
      </c>
      <c r="R77" s="185">
        <f t="shared" si="7"/>
        <v>0</v>
      </c>
      <c r="S77" s="186">
        <f t="shared" si="8"/>
        <v>0</v>
      </c>
      <c r="T77" s="187" t="str">
        <f>IF(R77="","",IF(O77=0,Famille!$D$5,IF(R77&lt;O77,Famille!$D$2,IF(R77&lt;=P77,Famille!$D$3,Famille!$D$4))))</f>
        <v>Sur commande</v>
      </c>
    </row>
    <row r="78" spans="1:20" ht="12" customHeight="1" x14ac:dyDescent="0.2">
      <c r="A78" s="4" t="str">
        <f>IF(Produits!A78="","",Produits!A78)</f>
        <v>Rail K</v>
      </c>
      <c r="B78" s="4" t="str">
        <f>IF(Produits!B78="","",Produits!B78)</f>
        <v>RAL 9010</v>
      </c>
      <c r="C78" s="4" t="str">
        <f>IF(Produits!C78="","",Produits!C78)</f>
        <v>1000,00,0075</v>
      </c>
      <c r="D78" s="4" t="str">
        <f>IF(Produits!D78="","",Produits!D78)</f>
        <v>AA199</v>
      </c>
      <c r="E78" s="49" t="str">
        <f>IF(Produits!F78="","",Produits!F78)</f>
        <v>1 pcs</v>
      </c>
      <c r="F78" s="50">
        <f>IF(Produits!H78="","",Produits!H78)</f>
        <v>84</v>
      </c>
      <c r="G78" s="11"/>
      <c r="H78" s="37">
        <v>0</v>
      </c>
      <c r="I78" s="2"/>
      <c r="J78" s="69">
        <f>SUM('Archives Entrées'!$N78:$AAV78)</f>
        <v>0</v>
      </c>
      <c r="K78" s="51" t="str">
        <f t="shared" si="5"/>
        <v>0,00€</v>
      </c>
      <c r="L78" s="69">
        <f>SUM('Archives Sorties'!$M78:$AAY78)</f>
        <v>0</v>
      </c>
      <c r="M78" s="51" t="str">
        <f t="shared" si="6"/>
        <v>0,00€</v>
      </c>
      <c r="O78" s="72">
        <v>0</v>
      </c>
      <c r="P78" s="72">
        <v>0</v>
      </c>
      <c r="R78" s="185">
        <f t="shared" si="7"/>
        <v>0</v>
      </c>
      <c r="S78" s="186">
        <f t="shared" si="8"/>
        <v>0</v>
      </c>
      <c r="T78" s="187" t="str">
        <f>IF(R78="","",IF(O78=0,Famille!$D$5,IF(R78&lt;O78,Famille!$D$2,IF(R78&lt;=P78,Famille!$D$3,Famille!$D$4))))</f>
        <v>Sur commande</v>
      </c>
    </row>
    <row r="79" spans="1:20" ht="12" customHeight="1" x14ac:dyDescent="0.2">
      <c r="A79" s="4" t="str">
        <f>IF(Produits!A79="","",Produits!A79)</f>
        <v>Rail K</v>
      </c>
      <c r="B79" s="4" t="str">
        <f>IF(Produits!B79="","",Produits!B79)</f>
        <v>RAL 9010</v>
      </c>
      <c r="C79" s="4" t="str">
        <f>IF(Produits!C79="","",Produits!C79)</f>
        <v>1000,00,0076</v>
      </c>
      <c r="D79" s="4" t="str">
        <f>IF(Produits!D79="","",Produits!D79)</f>
        <v>AA200</v>
      </c>
      <c r="E79" s="49" t="str">
        <f>IF(Produits!F79="","",Produits!F79)</f>
        <v>1 pcs</v>
      </c>
      <c r="F79" s="50">
        <f>IF(Produits!H79="","",Produits!H79)</f>
        <v>85</v>
      </c>
      <c r="G79" s="5"/>
      <c r="H79" s="37">
        <v>0</v>
      </c>
      <c r="I79" s="2"/>
      <c r="J79" s="69">
        <f>SUM('Archives Entrées'!$N79:$AAV79)</f>
        <v>0</v>
      </c>
      <c r="K79" s="51" t="str">
        <f t="shared" si="5"/>
        <v>0,00€</v>
      </c>
      <c r="L79" s="69">
        <f>SUM('Archives Sorties'!$M79:$AAY79)</f>
        <v>0</v>
      </c>
      <c r="M79" s="51" t="str">
        <f t="shared" si="6"/>
        <v>0,00€</v>
      </c>
      <c r="O79" s="72">
        <v>0</v>
      </c>
      <c r="P79" s="72">
        <v>0</v>
      </c>
      <c r="R79" s="185">
        <f t="shared" si="7"/>
        <v>0</v>
      </c>
      <c r="S79" s="186">
        <f t="shared" si="8"/>
        <v>0</v>
      </c>
      <c r="T79" s="187" t="str">
        <f>IF(R79="","",IF(O79=0,Famille!$D$5,IF(R79&lt;O79,Famille!$D$2,IF(R79&lt;=P79,Famille!$D$3,Famille!$D$4))))</f>
        <v>Sur commande</v>
      </c>
    </row>
    <row r="80" spans="1:20" ht="12" customHeight="1" x14ac:dyDescent="0.2">
      <c r="A80" s="4" t="str">
        <f>IF(Produits!A80="","",Produits!A80)</f>
        <v>Rail K</v>
      </c>
      <c r="B80" s="4" t="str">
        <f>IF(Produits!B80="","",Produits!B80)</f>
        <v>RAL 9010</v>
      </c>
      <c r="C80" s="4" t="str">
        <f>IF(Produits!C80="","",Produits!C80)</f>
        <v>1000,00,0077</v>
      </c>
      <c r="D80" s="4" t="str">
        <f>IF(Produits!D80="","",Produits!D80)</f>
        <v>AA201</v>
      </c>
      <c r="E80" s="49" t="str">
        <f>IF(Produits!F80="","",Produits!F80)</f>
        <v>1 pcs</v>
      </c>
      <c r="F80" s="50">
        <f>IF(Produits!H80="","",Produits!H80)</f>
        <v>86</v>
      </c>
      <c r="G80" s="5"/>
      <c r="H80" s="37">
        <v>0</v>
      </c>
      <c r="I80" s="2"/>
      <c r="J80" s="69">
        <f>SUM('Archives Entrées'!$N80:$AAV80)</f>
        <v>0</v>
      </c>
      <c r="K80" s="51" t="str">
        <f t="shared" si="5"/>
        <v>0,00€</v>
      </c>
      <c r="L80" s="69">
        <f>SUM('Archives Sorties'!$M80:$AAY80)</f>
        <v>0</v>
      </c>
      <c r="M80" s="51" t="str">
        <f t="shared" si="6"/>
        <v>0,00€</v>
      </c>
      <c r="O80" s="72">
        <v>0</v>
      </c>
      <c r="P80" s="72">
        <v>0</v>
      </c>
      <c r="R80" s="185">
        <f t="shared" si="7"/>
        <v>0</v>
      </c>
      <c r="S80" s="186">
        <f t="shared" si="8"/>
        <v>0</v>
      </c>
      <c r="T80" s="187" t="str">
        <f>IF(R80="","",IF(O80=0,Famille!$D$5,IF(R80&lt;O80,Famille!$D$2,IF(R80&lt;=P80,Famille!$D$3,Famille!$D$4))))</f>
        <v>Sur commande</v>
      </c>
    </row>
    <row r="81" spans="1:20" ht="12" customHeight="1" x14ac:dyDescent="0.2">
      <c r="A81" s="4" t="str">
        <f>IF(Produits!A81="","",Produits!A81)</f>
        <v>Rail K</v>
      </c>
      <c r="B81" s="4" t="str">
        <f>IF(Produits!B81="","",Produits!B81)</f>
        <v>RAL 9010</v>
      </c>
      <c r="C81" s="4" t="str">
        <f>IF(Produits!C81="","",Produits!C81)</f>
        <v>1000,00,0078</v>
      </c>
      <c r="D81" s="4" t="str">
        <f>IF(Produits!D81="","",Produits!D81)</f>
        <v>AA202</v>
      </c>
      <c r="E81" s="49" t="str">
        <f>IF(Produits!F81="","",Produits!F81)</f>
        <v>1 pcs</v>
      </c>
      <c r="F81" s="50">
        <f>IF(Produits!H81="","",Produits!H81)</f>
        <v>87</v>
      </c>
      <c r="G81" s="5"/>
      <c r="H81" s="37">
        <v>0</v>
      </c>
      <c r="I81" s="2"/>
      <c r="J81" s="69">
        <f>SUM('Archives Entrées'!$N81:$AAV81)</f>
        <v>0</v>
      </c>
      <c r="K81" s="51" t="str">
        <f t="shared" si="5"/>
        <v>0,00€</v>
      </c>
      <c r="L81" s="69">
        <f>SUM('Archives Sorties'!$M81:$AAY81)</f>
        <v>0</v>
      </c>
      <c r="M81" s="51" t="str">
        <f t="shared" si="6"/>
        <v>0,00€</v>
      </c>
      <c r="O81" s="72">
        <v>0</v>
      </c>
      <c r="P81" s="72">
        <v>0</v>
      </c>
      <c r="R81" s="185">
        <f t="shared" si="7"/>
        <v>0</v>
      </c>
      <c r="S81" s="186">
        <f t="shared" si="8"/>
        <v>0</v>
      </c>
      <c r="T81" s="187" t="str">
        <f>IF(R81="","",IF(O81=0,Famille!$D$5,IF(R81&lt;O81,Famille!$D$2,IF(R81&lt;=P81,Famille!$D$3,Famille!$D$4))))</f>
        <v>Sur commande</v>
      </c>
    </row>
    <row r="82" spans="1:20" ht="12" customHeight="1" x14ac:dyDescent="0.2">
      <c r="A82" s="4" t="str">
        <f>IF(Produits!A82="","",Produits!A82)</f>
        <v>Rail K</v>
      </c>
      <c r="B82" s="4" t="str">
        <f>IF(Produits!B82="","",Produits!B82)</f>
        <v>RAL 9010</v>
      </c>
      <c r="C82" s="4" t="str">
        <f>IF(Produits!C82="","",Produits!C82)</f>
        <v>1000,00,0079</v>
      </c>
      <c r="D82" s="4" t="str">
        <f>IF(Produits!D82="","",Produits!D82)</f>
        <v>AA203</v>
      </c>
      <c r="E82" s="49" t="str">
        <f>IF(Produits!F82="","",Produits!F82)</f>
        <v>1 pcs</v>
      </c>
      <c r="F82" s="50">
        <f>IF(Produits!H82="","",Produits!H82)</f>
        <v>88</v>
      </c>
      <c r="G82" s="5"/>
      <c r="H82" s="37">
        <v>0</v>
      </c>
      <c r="I82" s="2"/>
      <c r="J82" s="69">
        <f>SUM('Archives Entrées'!$N82:$AAV82)</f>
        <v>0</v>
      </c>
      <c r="K82" s="51" t="str">
        <f t="shared" si="5"/>
        <v>0,00€</v>
      </c>
      <c r="L82" s="69">
        <f>SUM('Archives Sorties'!$M82:$AAY82)</f>
        <v>0</v>
      </c>
      <c r="M82" s="51" t="str">
        <f t="shared" si="6"/>
        <v>0,00€</v>
      </c>
      <c r="O82" s="72">
        <v>0</v>
      </c>
      <c r="P82" s="72">
        <v>0</v>
      </c>
      <c r="R82" s="185">
        <f t="shared" si="7"/>
        <v>0</v>
      </c>
      <c r="S82" s="186">
        <f t="shared" si="8"/>
        <v>0</v>
      </c>
      <c r="T82" s="187" t="str">
        <f>IF(R82="","",IF(O82=0,Famille!$D$5,IF(R82&lt;O82,Famille!$D$2,IF(R82&lt;=P82,Famille!$D$3,Famille!$D$4))))</f>
        <v>Sur commande</v>
      </c>
    </row>
    <row r="83" spans="1:20" ht="12" customHeight="1" x14ac:dyDescent="0.2">
      <c r="A83" s="4" t="str">
        <f>IF(Produits!A83="","",Produits!A83)</f>
        <v>Rail K</v>
      </c>
      <c r="B83" s="4" t="str">
        <f>IF(Produits!B83="","",Produits!B83)</f>
        <v>RAL 9010</v>
      </c>
      <c r="C83" s="4" t="str">
        <f>IF(Produits!C83="","",Produits!C83)</f>
        <v>1000,00,0080</v>
      </c>
      <c r="D83" s="4" t="str">
        <f>IF(Produits!D83="","",Produits!D83)</f>
        <v>AA204</v>
      </c>
      <c r="E83" s="49" t="str">
        <f>IF(Produits!F83="","",Produits!F83)</f>
        <v>1 pcs</v>
      </c>
      <c r="F83" s="50">
        <f>IF(Produits!H83="","",Produits!H83)</f>
        <v>89</v>
      </c>
      <c r="G83" s="5"/>
      <c r="H83" s="37">
        <v>0</v>
      </c>
      <c r="I83" s="2"/>
      <c r="J83" s="69">
        <f>SUM('Archives Entrées'!$N83:$AAV83)</f>
        <v>0</v>
      </c>
      <c r="K83" s="51" t="str">
        <f t="shared" si="5"/>
        <v>0,00€</v>
      </c>
      <c r="L83" s="69">
        <f>SUM('Archives Sorties'!$M83:$AAY83)</f>
        <v>0</v>
      </c>
      <c r="M83" s="51" t="str">
        <f t="shared" si="6"/>
        <v>0,00€</v>
      </c>
      <c r="O83" s="72">
        <v>0</v>
      </c>
      <c r="P83" s="72">
        <v>0</v>
      </c>
      <c r="R83" s="185">
        <f t="shared" si="7"/>
        <v>0</v>
      </c>
      <c r="S83" s="186">
        <f t="shared" si="8"/>
        <v>0</v>
      </c>
      <c r="T83" s="187" t="str">
        <f>IF(R83="","",IF(O83=0,Famille!$D$5,IF(R83&lt;O83,Famille!$D$2,IF(R83&lt;=P83,Famille!$D$3,Famille!$D$4))))</f>
        <v>Sur commande</v>
      </c>
    </row>
    <row r="84" spans="1:20" ht="12" customHeight="1" x14ac:dyDescent="0.2">
      <c r="A84" s="4" t="str">
        <f>IF(Produits!A84="","",Produits!A84)</f>
        <v>Rail K</v>
      </c>
      <c r="B84" s="4" t="str">
        <f>IF(Produits!B84="","",Produits!B84)</f>
        <v>RAL 9010</v>
      </c>
      <c r="C84" s="4" t="str">
        <f>IF(Produits!C84="","",Produits!C84)</f>
        <v>1000,00,0081</v>
      </c>
      <c r="D84" s="4" t="str">
        <f>IF(Produits!D84="","",Produits!D84)</f>
        <v>AA205</v>
      </c>
      <c r="E84" s="49" t="str">
        <f>IF(Produits!F84="","",Produits!F84)</f>
        <v>1 pcs</v>
      </c>
      <c r="F84" s="50">
        <f>IF(Produits!H84="","",Produits!H84)</f>
        <v>90</v>
      </c>
      <c r="G84" s="5"/>
      <c r="H84" s="37">
        <v>0</v>
      </c>
      <c r="I84" s="2"/>
      <c r="J84" s="69">
        <f>SUM('Archives Entrées'!$N84:$AAV84)</f>
        <v>0</v>
      </c>
      <c r="K84" s="51" t="str">
        <f t="shared" si="5"/>
        <v>0,00€</v>
      </c>
      <c r="L84" s="69">
        <f>SUM('Archives Sorties'!$M84:$AAY84)</f>
        <v>0</v>
      </c>
      <c r="M84" s="51" t="str">
        <f t="shared" si="6"/>
        <v>0,00€</v>
      </c>
      <c r="O84" s="72">
        <v>0</v>
      </c>
      <c r="P84" s="72">
        <v>0</v>
      </c>
      <c r="R84" s="185">
        <f t="shared" si="7"/>
        <v>0</v>
      </c>
      <c r="S84" s="186">
        <f t="shared" si="8"/>
        <v>0</v>
      </c>
      <c r="T84" s="187" t="str">
        <f>IF(R84="","",IF(O84=0,Famille!$D$5,IF(R84&lt;O84,Famille!$D$2,IF(R84&lt;=P84,Famille!$D$3,Famille!$D$4))))</f>
        <v>Sur commande</v>
      </c>
    </row>
    <row r="85" spans="1:20" ht="12" customHeight="1" x14ac:dyDescent="0.2">
      <c r="A85" s="4" t="str">
        <f>IF(Produits!A85="","",Produits!A85)</f>
        <v>Rail K</v>
      </c>
      <c r="B85" s="4" t="str">
        <f>IF(Produits!B85="","",Produits!B85)</f>
        <v>RAL 9010</v>
      </c>
      <c r="C85" s="4" t="str">
        <f>IF(Produits!C85="","",Produits!C85)</f>
        <v>1000,00,0082</v>
      </c>
      <c r="D85" s="4" t="str">
        <f>IF(Produits!D85="","",Produits!D85)</f>
        <v>AA206</v>
      </c>
      <c r="E85" s="49" t="str">
        <f>IF(Produits!F85="","",Produits!F85)</f>
        <v>1 pcs</v>
      </c>
      <c r="F85" s="50">
        <f>IF(Produits!H85="","",Produits!H85)</f>
        <v>91</v>
      </c>
      <c r="G85" s="5"/>
      <c r="H85" s="37">
        <v>0</v>
      </c>
      <c r="I85" s="2"/>
      <c r="J85" s="69">
        <f>SUM('Archives Entrées'!$N85:$AAV85)</f>
        <v>0</v>
      </c>
      <c r="K85" s="51" t="str">
        <f t="shared" si="5"/>
        <v>0,00€</v>
      </c>
      <c r="L85" s="69">
        <f>SUM('Archives Sorties'!$M85:$AAY85)</f>
        <v>0</v>
      </c>
      <c r="M85" s="51" t="str">
        <f t="shared" si="6"/>
        <v>0,00€</v>
      </c>
      <c r="O85" s="72">
        <v>0</v>
      </c>
      <c r="P85" s="72">
        <v>0</v>
      </c>
      <c r="R85" s="185">
        <f t="shared" si="7"/>
        <v>0</v>
      </c>
      <c r="S85" s="186">
        <f t="shared" si="8"/>
        <v>0</v>
      </c>
      <c r="T85" s="187" t="str">
        <f>IF(R85="","",IF(O85=0,Famille!$D$5,IF(R85&lt;O85,Famille!$D$2,IF(R85&lt;=P85,Famille!$D$3,Famille!$D$4))))</f>
        <v>Sur commande</v>
      </c>
    </row>
    <row r="86" spans="1:20" ht="12" customHeight="1" x14ac:dyDescent="0.2">
      <c r="A86" s="4" t="str">
        <f>IF(Produits!A86="","",Produits!A86)</f>
        <v>Rail K</v>
      </c>
      <c r="B86" s="4" t="str">
        <f>IF(Produits!B86="","",Produits!B86)</f>
        <v>RAL 9010</v>
      </c>
      <c r="C86" s="4" t="str">
        <f>IF(Produits!C86="","",Produits!C86)</f>
        <v>1000,00,0083</v>
      </c>
      <c r="D86" s="4" t="str">
        <f>IF(Produits!D86="","",Produits!D86)</f>
        <v>AA207</v>
      </c>
      <c r="E86" s="49" t="str">
        <f>IF(Produits!F86="","",Produits!F86)</f>
        <v>1 pcs</v>
      </c>
      <c r="F86" s="50">
        <f>IF(Produits!H86="","",Produits!H86)</f>
        <v>92</v>
      </c>
      <c r="G86" s="5"/>
      <c r="H86" s="37">
        <v>0</v>
      </c>
      <c r="I86" s="2"/>
      <c r="J86" s="69">
        <f>SUM('Archives Entrées'!$N86:$AAV86)</f>
        <v>0</v>
      </c>
      <c r="K86" s="51" t="str">
        <f t="shared" si="5"/>
        <v>0,00€</v>
      </c>
      <c r="L86" s="69">
        <f>SUM('Archives Sorties'!$M86:$AAY86)</f>
        <v>0</v>
      </c>
      <c r="M86" s="51" t="str">
        <f t="shared" si="6"/>
        <v>0,00€</v>
      </c>
      <c r="O86" s="72">
        <v>0</v>
      </c>
      <c r="P86" s="72">
        <v>0</v>
      </c>
      <c r="R86" s="185">
        <f t="shared" si="7"/>
        <v>0</v>
      </c>
      <c r="S86" s="186">
        <f t="shared" si="8"/>
        <v>0</v>
      </c>
      <c r="T86" s="187" t="str">
        <f>IF(R86="","",IF(O86=0,Famille!$D$5,IF(R86&lt;O86,Famille!$D$2,IF(R86&lt;=P86,Famille!$D$3,Famille!$D$4))))</f>
        <v>Sur commande</v>
      </c>
    </row>
    <row r="87" spans="1:20" ht="12" customHeight="1" x14ac:dyDescent="0.2">
      <c r="A87" s="4" t="str">
        <f>IF(Produits!A87="","",Produits!A87)</f>
        <v>Rail K</v>
      </c>
      <c r="B87" s="4" t="str">
        <f>IF(Produits!B87="","",Produits!B87)</f>
        <v>RAL 9010</v>
      </c>
      <c r="C87" s="4" t="str">
        <f>IF(Produits!C87="","",Produits!C87)</f>
        <v>1000,00,0084</v>
      </c>
      <c r="D87" s="4" t="str">
        <f>IF(Produits!D87="","",Produits!D87)</f>
        <v>AA208</v>
      </c>
      <c r="E87" s="49" t="str">
        <f>IF(Produits!F87="","",Produits!F87)</f>
        <v>1 pcs</v>
      </c>
      <c r="F87" s="50">
        <f>IF(Produits!H87="","",Produits!H87)</f>
        <v>93</v>
      </c>
      <c r="G87" s="5"/>
      <c r="H87" s="37">
        <v>0</v>
      </c>
      <c r="I87" s="2"/>
      <c r="J87" s="69">
        <f>SUM('Archives Entrées'!$N87:$AAV87)</f>
        <v>0</v>
      </c>
      <c r="K87" s="51" t="str">
        <f t="shared" si="5"/>
        <v>0,00€</v>
      </c>
      <c r="L87" s="69">
        <f>SUM('Archives Sorties'!$M87:$AAY87)</f>
        <v>0</v>
      </c>
      <c r="M87" s="51" t="str">
        <f t="shared" si="6"/>
        <v>0,00€</v>
      </c>
      <c r="O87" s="72">
        <v>0</v>
      </c>
      <c r="P87" s="72">
        <v>0</v>
      </c>
      <c r="R87" s="185">
        <f t="shared" si="7"/>
        <v>0</v>
      </c>
      <c r="S87" s="186">
        <f t="shared" si="8"/>
        <v>0</v>
      </c>
      <c r="T87" s="187" t="str">
        <f>IF(R87="","",IF(O87=0,Famille!$D$5,IF(R87&lt;O87,Famille!$D$2,IF(R87&lt;=P87,Famille!$D$3,Famille!$D$4))))</f>
        <v>Sur commande</v>
      </c>
    </row>
    <row r="88" spans="1:20" ht="12" customHeight="1" x14ac:dyDescent="0.2">
      <c r="A88" s="4" t="str">
        <f>IF(Produits!A88="","",Produits!A88)</f>
        <v>Rail K</v>
      </c>
      <c r="B88" s="4" t="str">
        <f>IF(Produits!B88="","",Produits!B88)</f>
        <v>RAL 9010</v>
      </c>
      <c r="C88" s="4" t="str">
        <f>IF(Produits!C88="","",Produits!C88)</f>
        <v>1000,00,0085</v>
      </c>
      <c r="D88" s="4" t="str">
        <f>IF(Produits!D88="","",Produits!D88)</f>
        <v>AA209</v>
      </c>
      <c r="E88" s="49" t="str">
        <f>IF(Produits!F88="","",Produits!F88)</f>
        <v>1 pcs</v>
      </c>
      <c r="F88" s="50">
        <f>IF(Produits!H88="","",Produits!H88)</f>
        <v>94</v>
      </c>
      <c r="G88" s="5"/>
      <c r="H88" s="37">
        <v>0</v>
      </c>
      <c r="I88" s="2"/>
      <c r="J88" s="69">
        <f>SUM('Archives Entrées'!$N88:$AAV88)</f>
        <v>0</v>
      </c>
      <c r="K88" s="51" t="str">
        <f t="shared" si="5"/>
        <v>0,00€</v>
      </c>
      <c r="L88" s="69">
        <f>SUM('Archives Sorties'!$M88:$AAY88)</f>
        <v>0</v>
      </c>
      <c r="M88" s="51" t="str">
        <f t="shared" si="6"/>
        <v>0,00€</v>
      </c>
      <c r="O88" s="72">
        <v>0</v>
      </c>
      <c r="P88" s="72">
        <v>0</v>
      </c>
      <c r="R88" s="185">
        <f t="shared" si="7"/>
        <v>0</v>
      </c>
      <c r="S88" s="186">
        <f t="shared" si="8"/>
        <v>0</v>
      </c>
      <c r="T88" s="187" t="str">
        <f>IF(R88="","",IF(O88=0,Famille!$D$5,IF(R88&lt;O88,Famille!$D$2,IF(R88&lt;=P88,Famille!$D$3,Famille!$D$4))))</f>
        <v>Sur commande</v>
      </c>
    </row>
    <row r="89" spans="1:20" ht="12" customHeight="1" x14ac:dyDescent="0.2">
      <c r="A89" s="4" t="str">
        <f>IF(Produits!A89="","",Produits!A89)</f>
        <v>Rail K</v>
      </c>
      <c r="B89" s="4" t="str">
        <f>IF(Produits!B89="","",Produits!B89)</f>
        <v>RAL 9003</v>
      </c>
      <c r="C89" s="4" t="str">
        <f>IF(Produits!C89="","",Produits!C89)</f>
        <v>1000,00,0086</v>
      </c>
      <c r="D89" s="4" t="str">
        <f>IF(Produits!D89="","",Produits!D89)</f>
        <v>AA210</v>
      </c>
      <c r="E89" s="49" t="str">
        <f>IF(Produits!F89="","",Produits!F89)</f>
        <v>3 m</v>
      </c>
      <c r="F89" s="50">
        <f>IF(Produits!H89="","",Produits!H89)</f>
        <v>95</v>
      </c>
      <c r="G89" s="5"/>
      <c r="H89" s="37">
        <v>0</v>
      </c>
      <c r="I89" s="2"/>
      <c r="J89" s="69">
        <f>SUM('Archives Entrées'!$N89:$AAV89)</f>
        <v>0</v>
      </c>
      <c r="K89" s="51" t="str">
        <f t="shared" si="5"/>
        <v>0,00€</v>
      </c>
      <c r="L89" s="69">
        <f>SUM('Archives Sorties'!$M89:$AAY89)</f>
        <v>0</v>
      </c>
      <c r="M89" s="51" t="str">
        <f t="shared" si="6"/>
        <v>0,00€</v>
      </c>
      <c r="O89" s="72">
        <v>0</v>
      </c>
      <c r="P89" s="72">
        <v>0</v>
      </c>
      <c r="R89" s="185">
        <f t="shared" si="7"/>
        <v>0</v>
      </c>
      <c r="S89" s="186">
        <f t="shared" si="8"/>
        <v>0</v>
      </c>
      <c r="T89" s="187" t="str">
        <f>IF(R89="","",IF(O89=0,Famille!$D$5,IF(R89&lt;O89,Famille!$D$2,IF(R89&lt;=P89,Famille!$D$3,Famille!$D$4))))</f>
        <v>Sur commande</v>
      </c>
    </row>
    <row r="90" spans="1:20" ht="12" customHeight="1" x14ac:dyDescent="0.2">
      <c r="A90" s="4" t="str">
        <f>IF(Produits!A90="","",Produits!A90)</f>
        <v>Rail K</v>
      </c>
      <c r="B90" s="4" t="str">
        <f>IF(Produits!B90="","",Produits!B90)</f>
        <v>RAL 9003</v>
      </c>
      <c r="C90" s="4" t="str">
        <f>IF(Produits!C90="","",Produits!C90)</f>
        <v>1000,00,0087</v>
      </c>
      <c r="D90" s="4" t="str">
        <f>IF(Produits!D90="","",Produits!D90)</f>
        <v>AA211</v>
      </c>
      <c r="E90" s="49" t="str">
        <f>IF(Produits!F90="","",Produits!F90)</f>
        <v>1 pcs</v>
      </c>
      <c r="F90" s="50">
        <f>IF(Produits!H90="","",Produits!H90)</f>
        <v>96</v>
      </c>
      <c r="G90" s="5"/>
      <c r="H90" s="37">
        <v>0</v>
      </c>
      <c r="I90" s="2"/>
      <c r="J90" s="69">
        <f>SUM('Archives Entrées'!$N90:$AAV90)</f>
        <v>0</v>
      </c>
      <c r="K90" s="51" t="str">
        <f t="shared" si="5"/>
        <v>0,00€</v>
      </c>
      <c r="L90" s="69">
        <f>SUM('Archives Sorties'!$M90:$AAY90)</f>
        <v>0</v>
      </c>
      <c r="M90" s="51" t="str">
        <f t="shared" si="6"/>
        <v>0,00€</v>
      </c>
      <c r="O90" s="72">
        <v>0</v>
      </c>
      <c r="P90" s="72">
        <v>0</v>
      </c>
      <c r="R90" s="185">
        <f t="shared" si="7"/>
        <v>0</v>
      </c>
      <c r="S90" s="186">
        <f t="shared" si="8"/>
        <v>0</v>
      </c>
      <c r="T90" s="187" t="str">
        <f>IF(R90="","",IF(O90=0,Famille!$D$5,IF(R90&lt;O90,Famille!$D$2,IF(R90&lt;=P90,Famille!$D$3,Famille!$D$4))))</f>
        <v>Sur commande</v>
      </c>
    </row>
    <row r="91" spans="1:20" ht="12" customHeight="1" x14ac:dyDescent="0.2">
      <c r="A91" s="4" t="str">
        <f>IF(Produits!A91="","",Produits!A91)</f>
        <v>Rail K</v>
      </c>
      <c r="B91" s="4" t="str">
        <f>IF(Produits!B91="","",Produits!B91)</f>
        <v>RAL 9003</v>
      </c>
      <c r="C91" s="4" t="str">
        <f>IF(Produits!C91="","",Produits!C91)</f>
        <v>1000,00,0088</v>
      </c>
      <c r="D91" s="4" t="str">
        <f>IF(Produits!D91="","",Produits!D91)</f>
        <v>AA212</v>
      </c>
      <c r="E91" s="49" t="str">
        <f>IF(Produits!F91="","",Produits!F91)</f>
        <v>1 pcs</v>
      </c>
      <c r="F91" s="50">
        <f>IF(Produits!H91="","",Produits!H91)</f>
        <v>97</v>
      </c>
      <c r="G91" s="5"/>
      <c r="H91" s="37">
        <v>0</v>
      </c>
      <c r="I91" s="2"/>
      <c r="J91" s="69">
        <f>SUM('Archives Entrées'!$N91:$AAV91)</f>
        <v>0</v>
      </c>
      <c r="K91" s="51" t="str">
        <f t="shared" si="5"/>
        <v>0,00€</v>
      </c>
      <c r="L91" s="69">
        <f>SUM('Archives Sorties'!$M91:$AAY91)</f>
        <v>0</v>
      </c>
      <c r="M91" s="51" t="str">
        <f t="shared" si="6"/>
        <v>0,00€</v>
      </c>
      <c r="O91" s="72">
        <v>0</v>
      </c>
      <c r="P91" s="72">
        <v>0</v>
      </c>
      <c r="R91" s="185">
        <f t="shared" si="7"/>
        <v>0</v>
      </c>
      <c r="S91" s="186">
        <f t="shared" si="8"/>
        <v>0</v>
      </c>
      <c r="T91" s="187" t="str">
        <f>IF(R91="","",IF(O91=0,Famille!$D$5,IF(R91&lt;O91,Famille!$D$2,IF(R91&lt;=P91,Famille!$D$3,Famille!$D$4))))</f>
        <v>Sur commande</v>
      </c>
    </row>
    <row r="92" spans="1:20" ht="12" customHeight="1" x14ac:dyDescent="0.2">
      <c r="A92" s="4" t="str">
        <f>IF(Produits!A92="","",Produits!A92)</f>
        <v>Rail K</v>
      </c>
      <c r="B92" s="4" t="str">
        <f>IF(Produits!B92="","",Produits!B92)</f>
        <v>RAL 9003</v>
      </c>
      <c r="C92" s="4" t="str">
        <f>IF(Produits!C92="","",Produits!C92)</f>
        <v>1000,00,0089</v>
      </c>
      <c r="D92" s="4" t="str">
        <f>IF(Produits!D92="","",Produits!D92)</f>
        <v>AA213</v>
      </c>
      <c r="E92" s="49" t="str">
        <f>IF(Produits!F92="","",Produits!F92)</f>
        <v>1 pcs</v>
      </c>
      <c r="F92" s="50">
        <f>IF(Produits!H92="","",Produits!H92)</f>
        <v>98</v>
      </c>
      <c r="G92" s="5"/>
      <c r="H92" s="37">
        <v>0</v>
      </c>
      <c r="I92" s="2"/>
      <c r="J92" s="69">
        <f>SUM('Archives Entrées'!$N92:$AAV92)</f>
        <v>0</v>
      </c>
      <c r="K92" s="51" t="str">
        <f t="shared" si="5"/>
        <v>0,00€</v>
      </c>
      <c r="L92" s="69">
        <f>SUM('Archives Sorties'!$M92:$AAY92)</f>
        <v>0</v>
      </c>
      <c r="M92" s="51" t="str">
        <f t="shared" si="6"/>
        <v>0,00€</v>
      </c>
      <c r="O92" s="72">
        <v>0</v>
      </c>
      <c r="P92" s="72">
        <v>0</v>
      </c>
      <c r="R92" s="185">
        <f t="shared" si="7"/>
        <v>0</v>
      </c>
      <c r="S92" s="186">
        <f t="shared" si="8"/>
        <v>0</v>
      </c>
      <c r="T92" s="187" t="str">
        <f>IF(R92="","",IF(O92=0,Famille!$D$5,IF(R92&lt;O92,Famille!$D$2,IF(R92&lt;=P92,Famille!$D$3,Famille!$D$4))))</f>
        <v>Sur commande</v>
      </c>
    </row>
    <row r="93" spans="1:20" ht="12" customHeight="1" x14ac:dyDescent="0.2">
      <c r="A93" s="4" t="str">
        <f>IF(Produits!A93="","",Produits!A93)</f>
        <v>Rail K</v>
      </c>
      <c r="B93" s="4" t="str">
        <f>IF(Produits!B93="","",Produits!B93)</f>
        <v>RAL 9003</v>
      </c>
      <c r="C93" s="4" t="str">
        <f>IF(Produits!C93="","",Produits!C93)</f>
        <v>1000,00,0090</v>
      </c>
      <c r="D93" s="4" t="str">
        <f>IF(Produits!D93="","",Produits!D93)</f>
        <v>AA214</v>
      </c>
      <c r="E93" s="49" t="str">
        <f>IF(Produits!F93="","",Produits!F93)</f>
        <v>1 pcs</v>
      </c>
      <c r="F93" s="50">
        <f>IF(Produits!H93="","",Produits!H93)</f>
        <v>99</v>
      </c>
      <c r="G93" s="5"/>
      <c r="H93" s="37">
        <v>0</v>
      </c>
      <c r="I93" s="2"/>
      <c r="J93" s="69">
        <f>SUM('Archives Entrées'!$N93:$AAV93)</f>
        <v>0</v>
      </c>
      <c r="K93" s="51" t="str">
        <f t="shared" si="5"/>
        <v>0,00€</v>
      </c>
      <c r="L93" s="69">
        <f>SUM('Archives Sorties'!$M93:$AAY93)</f>
        <v>0</v>
      </c>
      <c r="M93" s="51" t="str">
        <f t="shared" si="6"/>
        <v>0,00€</v>
      </c>
      <c r="O93" s="72">
        <v>0</v>
      </c>
      <c r="P93" s="72">
        <v>0</v>
      </c>
      <c r="R93" s="185">
        <f t="shared" si="7"/>
        <v>0</v>
      </c>
      <c r="S93" s="186">
        <f t="shared" si="8"/>
        <v>0</v>
      </c>
      <c r="T93" s="187" t="str">
        <f>IF(R93="","",IF(O93=0,Famille!$D$5,IF(R93&lt;O93,Famille!$D$2,IF(R93&lt;=P93,Famille!$D$3,Famille!$D$4))))</f>
        <v>Sur commande</v>
      </c>
    </row>
    <row r="94" spans="1:20" ht="12" customHeight="1" x14ac:dyDescent="0.2">
      <c r="A94" s="4" t="str">
        <f>IF(Produits!A94="","",Produits!A94)</f>
        <v>Rail K</v>
      </c>
      <c r="B94" s="4" t="str">
        <f>IF(Produits!B94="","",Produits!B94)</f>
        <v>RAL 9003</v>
      </c>
      <c r="C94" s="4" t="str">
        <f>IF(Produits!C94="","",Produits!C94)</f>
        <v>1000,00,0091</v>
      </c>
      <c r="D94" s="4" t="str">
        <f>IF(Produits!D94="","",Produits!D94)</f>
        <v>AA215</v>
      </c>
      <c r="E94" s="49" t="str">
        <f>IF(Produits!F94="","",Produits!F94)</f>
        <v>1 pcs</v>
      </c>
      <c r="F94" s="50">
        <f>IF(Produits!H94="","",Produits!H94)</f>
        <v>100</v>
      </c>
      <c r="G94" s="5"/>
      <c r="H94" s="37">
        <v>0</v>
      </c>
      <c r="I94" s="2"/>
      <c r="J94" s="69">
        <f>SUM('Archives Entrées'!$N94:$AAV94)</f>
        <v>0</v>
      </c>
      <c r="K94" s="51" t="str">
        <f t="shared" si="5"/>
        <v>0,00€</v>
      </c>
      <c r="L94" s="69">
        <f>SUM('Archives Sorties'!$M94:$AAY94)</f>
        <v>0</v>
      </c>
      <c r="M94" s="51" t="str">
        <f t="shared" si="6"/>
        <v>0,00€</v>
      </c>
      <c r="O94" s="72">
        <v>0</v>
      </c>
      <c r="P94" s="72">
        <v>0</v>
      </c>
      <c r="R94" s="185">
        <f t="shared" si="7"/>
        <v>0</v>
      </c>
      <c r="S94" s="186">
        <f t="shared" si="8"/>
        <v>0</v>
      </c>
      <c r="T94" s="187" t="str">
        <f>IF(R94="","",IF(O94=0,Famille!$D$5,IF(R94&lt;O94,Famille!$D$2,IF(R94&lt;=P94,Famille!$D$3,Famille!$D$4))))</f>
        <v>Sur commande</v>
      </c>
    </row>
    <row r="95" spans="1:20" ht="12" customHeight="1" x14ac:dyDescent="0.2">
      <c r="A95" s="4" t="str">
        <f>IF(Produits!A95="","",Produits!A95)</f>
        <v>Rail K</v>
      </c>
      <c r="B95" s="4" t="str">
        <f>IF(Produits!B95="","",Produits!B95)</f>
        <v>RAL 9003</v>
      </c>
      <c r="C95" s="4" t="str">
        <f>IF(Produits!C95="","",Produits!C95)</f>
        <v>1000,00,0092</v>
      </c>
      <c r="D95" s="4" t="str">
        <f>IF(Produits!D95="","",Produits!D95)</f>
        <v>AA216</v>
      </c>
      <c r="E95" s="49" t="str">
        <f>IF(Produits!F95="","",Produits!F95)</f>
        <v>1 pcs</v>
      </c>
      <c r="F95" s="50">
        <f>IF(Produits!H95="","",Produits!H95)</f>
        <v>101</v>
      </c>
      <c r="G95" s="5"/>
      <c r="H95" s="37">
        <v>0</v>
      </c>
      <c r="I95" s="2"/>
      <c r="J95" s="69">
        <f>SUM('Archives Entrées'!$N95:$AAV95)</f>
        <v>0</v>
      </c>
      <c r="K95" s="51" t="str">
        <f t="shared" si="5"/>
        <v>0,00€</v>
      </c>
      <c r="L95" s="69">
        <f>SUM('Archives Sorties'!$M95:$AAY95)</f>
        <v>0</v>
      </c>
      <c r="M95" s="51" t="str">
        <f t="shared" si="6"/>
        <v>0,00€</v>
      </c>
      <c r="O95" s="72">
        <v>0</v>
      </c>
      <c r="P95" s="72">
        <v>0</v>
      </c>
      <c r="R95" s="185">
        <f t="shared" si="7"/>
        <v>0</v>
      </c>
      <c r="S95" s="186">
        <f t="shared" si="8"/>
        <v>0</v>
      </c>
      <c r="T95" s="187" t="str">
        <f>IF(R95="","",IF(O95=0,Famille!$D$5,IF(R95&lt;O95,Famille!$D$2,IF(R95&lt;=P95,Famille!$D$3,Famille!$D$4))))</f>
        <v>Sur commande</v>
      </c>
    </row>
    <row r="96" spans="1:20" ht="12" customHeight="1" x14ac:dyDescent="0.2">
      <c r="A96" s="4" t="str">
        <f>IF(Produits!A96="","",Produits!A96)</f>
        <v>Rail K</v>
      </c>
      <c r="B96" s="4" t="str">
        <f>IF(Produits!B96="","",Produits!B96)</f>
        <v>RAL 9003</v>
      </c>
      <c r="C96" s="4" t="str">
        <f>IF(Produits!C96="","",Produits!C96)</f>
        <v>1000,00,0093</v>
      </c>
      <c r="D96" s="4" t="str">
        <f>IF(Produits!D96="","",Produits!D96)</f>
        <v>AA217</v>
      </c>
      <c r="E96" s="49" t="str">
        <f>IF(Produits!F96="","",Produits!F96)</f>
        <v>1 pcs</v>
      </c>
      <c r="F96" s="50">
        <f>IF(Produits!H96="","",Produits!H96)</f>
        <v>102</v>
      </c>
      <c r="G96" s="5"/>
      <c r="H96" s="37">
        <v>0</v>
      </c>
      <c r="I96" s="2"/>
      <c r="J96" s="69">
        <f>SUM('Archives Entrées'!$N96:$AAV96)</f>
        <v>0</v>
      </c>
      <c r="K96" s="51" t="str">
        <f t="shared" si="5"/>
        <v>0,00€</v>
      </c>
      <c r="L96" s="69">
        <f>SUM('Archives Sorties'!$M96:$AAY96)</f>
        <v>0</v>
      </c>
      <c r="M96" s="51" t="str">
        <f t="shared" si="6"/>
        <v>0,00€</v>
      </c>
      <c r="O96" s="72">
        <v>0</v>
      </c>
      <c r="P96" s="72">
        <v>0</v>
      </c>
      <c r="R96" s="185">
        <f t="shared" si="7"/>
        <v>0</v>
      </c>
      <c r="S96" s="186">
        <f t="shared" si="8"/>
        <v>0</v>
      </c>
      <c r="T96" s="187" t="str">
        <f>IF(R96="","",IF(O96=0,Famille!$D$5,IF(R96&lt;O96,Famille!$D$2,IF(R96&lt;=P96,Famille!$D$3,Famille!$D$4))))</f>
        <v>Sur commande</v>
      </c>
    </row>
    <row r="97" spans="1:20" ht="12" customHeight="1" x14ac:dyDescent="0.2">
      <c r="A97" s="4" t="str">
        <f>IF(Produits!A97="","",Produits!A97)</f>
        <v>Rail K</v>
      </c>
      <c r="B97" s="4" t="str">
        <f>IF(Produits!B97="","",Produits!B97)</f>
        <v>RAL 9003</v>
      </c>
      <c r="C97" s="4" t="str">
        <f>IF(Produits!C97="","",Produits!C97)</f>
        <v>1000,00,0094</v>
      </c>
      <c r="D97" s="4" t="str">
        <f>IF(Produits!D97="","",Produits!D97)</f>
        <v>AA218</v>
      </c>
      <c r="E97" s="49" t="str">
        <f>IF(Produits!F97="","",Produits!F97)</f>
        <v>1 pcs</v>
      </c>
      <c r="F97" s="50">
        <f>IF(Produits!H97="","",Produits!H97)</f>
        <v>103</v>
      </c>
      <c r="G97" s="5"/>
      <c r="H97" s="37">
        <v>0</v>
      </c>
      <c r="I97" s="2"/>
      <c r="J97" s="69">
        <f>SUM('Archives Entrées'!$N97:$AAV97)</f>
        <v>0</v>
      </c>
      <c r="K97" s="51" t="str">
        <f t="shared" si="5"/>
        <v>0,00€</v>
      </c>
      <c r="L97" s="69">
        <f>SUM('Archives Sorties'!$M97:$AAY97)</f>
        <v>0</v>
      </c>
      <c r="M97" s="51" t="str">
        <f t="shared" si="6"/>
        <v>0,00€</v>
      </c>
      <c r="O97" s="72">
        <v>0</v>
      </c>
      <c r="P97" s="72">
        <v>0</v>
      </c>
      <c r="R97" s="185">
        <f t="shared" si="7"/>
        <v>0</v>
      </c>
      <c r="S97" s="186">
        <f t="shared" si="8"/>
        <v>0</v>
      </c>
      <c r="T97" s="187" t="str">
        <f>IF(R97="","",IF(O97=0,Famille!$D$5,IF(R97&lt;O97,Famille!$D$2,IF(R97&lt;=P97,Famille!$D$3,Famille!$D$4))))</f>
        <v>Sur commande</v>
      </c>
    </row>
    <row r="98" spans="1:20" ht="12" customHeight="1" x14ac:dyDescent="0.2">
      <c r="A98" s="4" t="str">
        <f>IF(Produits!A98="","",Produits!A98)</f>
        <v>Rail K</v>
      </c>
      <c r="B98" s="4" t="str">
        <f>IF(Produits!B98="","",Produits!B98)</f>
        <v>RAL 9003</v>
      </c>
      <c r="C98" s="4" t="str">
        <f>IF(Produits!C98="","",Produits!C98)</f>
        <v>1000,00,0095</v>
      </c>
      <c r="D98" s="4" t="str">
        <f>IF(Produits!D98="","",Produits!D98)</f>
        <v>AA219</v>
      </c>
      <c r="E98" s="49" t="str">
        <f>IF(Produits!F98="","",Produits!F98)</f>
        <v>1 pcs</v>
      </c>
      <c r="F98" s="50">
        <f>IF(Produits!H98="","",Produits!H98)</f>
        <v>104</v>
      </c>
      <c r="G98" s="5"/>
      <c r="H98" s="37">
        <v>0</v>
      </c>
      <c r="I98" s="2"/>
      <c r="J98" s="69">
        <f>SUM('Archives Entrées'!$N98:$AAV98)</f>
        <v>0</v>
      </c>
      <c r="K98" s="51" t="str">
        <f t="shared" si="5"/>
        <v>0,00€</v>
      </c>
      <c r="L98" s="69">
        <f>SUM('Archives Sorties'!$M98:$AAY98)</f>
        <v>0</v>
      </c>
      <c r="M98" s="51" t="str">
        <f t="shared" si="6"/>
        <v>0,00€</v>
      </c>
      <c r="O98" s="72">
        <v>0</v>
      </c>
      <c r="P98" s="72">
        <v>0</v>
      </c>
      <c r="R98" s="185">
        <f t="shared" si="7"/>
        <v>0</v>
      </c>
      <c r="S98" s="186">
        <f t="shared" si="8"/>
        <v>0</v>
      </c>
      <c r="T98" s="187" t="str">
        <f>IF(R98="","",IF(O98=0,Famille!$D$5,IF(R98&lt;O98,Famille!$D$2,IF(R98&lt;=P98,Famille!$D$3,Famille!$D$4))))</f>
        <v>Sur commande</v>
      </c>
    </row>
    <row r="99" spans="1:20" ht="12" customHeight="1" x14ac:dyDescent="0.2">
      <c r="A99" s="4" t="str">
        <f>IF(Produits!A99="","",Produits!A99)</f>
        <v>Rail K</v>
      </c>
      <c r="B99" s="4" t="str">
        <f>IF(Produits!B99="","",Produits!B99)</f>
        <v>RAL 9003</v>
      </c>
      <c r="C99" s="4" t="str">
        <f>IF(Produits!C99="","",Produits!C99)</f>
        <v>1000,00,0096</v>
      </c>
      <c r="D99" s="4" t="str">
        <f>IF(Produits!D99="","",Produits!D99)</f>
        <v>AA220</v>
      </c>
      <c r="E99" s="49" t="str">
        <f>IF(Produits!F99="","",Produits!F99)</f>
        <v>1 pcs</v>
      </c>
      <c r="F99" s="50">
        <f>IF(Produits!H99="","",Produits!H99)</f>
        <v>105</v>
      </c>
      <c r="G99" s="5"/>
      <c r="H99" s="37">
        <v>0</v>
      </c>
      <c r="I99" s="2"/>
      <c r="J99" s="69">
        <f>SUM('Archives Entrées'!$N99:$AAV99)</f>
        <v>0</v>
      </c>
      <c r="K99" s="51" t="str">
        <f t="shared" si="5"/>
        <v>0,00€</v>
      </c>
      <c r="L99" s="69">
        <f>SUM('Archives Sorties'!$M99:$AAY99)</f>
        <v>0</v>
      </c>
      <c r="M99" s="51" t="str">
        <f t="shared" si="6"/>
        <v>0,00€</v>
      </c>
      <c r="O99" s="72">
        <v>0</v>
      </c>
      <c r="P99" s="72">
        <v>0</v>
      </c>
      <c r="R99" s="185">
        <f t="shared" si="7"/>
        <v>0</v>
      </c>
      <c r="S99" s="186">
        <f t="shared" si="8"/>
        <v>0</v>
      </c>
      <c r="T99" s="187" t="str">
        <f>IF(R99="","",IF(O99=0,Famille!$D$5,IF(R99&lt;O99,Famille!$D$2,IF(R99&lt;=P99,Famille!$D$3,Famille!$D$4))))</f>
        <v>Sur commande</v>
      </c>
    </row>
    <row r="100" spans="1:20" ht="12" customHeight="1" x14ac:dyDescent="0.2">
      <c r="A100" s="4" t="str">
        <f>IF(Produits!A100="","",Produits!A100)</f>
        <v>Rail K</v>
      </c>
      <c r="B100" s="4" t="str">
        <f>IF(Produits!B100="","",Produits!B100)</f>
        <v>RAL 9003</v>
      </c>
      <c r="C100" s="4" t="str">
        <f>IF(Produits!C100="","",Produits!C100)</f>
        <v>1000,00,0097</v>
      </c>
      <c r="D100" s="4" t="str">
        <f>IF(Produits!D100="","",Produits!D100)</f>
        <v>AA221</v>
      </c>
      <c r="E100" s="49" t="str">
        <f>IF(Produits!F100="","",Produits!F100)</f>
        <v>1 pcs</v>
      </c>
      <c r="F100" s="50">
        <f>IF(Produits!H100="","",Produits!H100)</f>
        <v>106</v>
      </c>
      <c r="G100" s="5"/>
      <c r="H100" s="37">
        <v>0</v>
      </c>
      <c r="I100" s="2"/>
      <c r="J100" s="69">
        <f>SUM('Archives Entrées'!$N100:$AAV100)</f>
        <v>0</v>
      </c>
      <c r="K100" s="51" t="str">
        <f t="shared" si="5"/>
        <v>0,00€</v>
      </c>
      <c r="L100" s="69">
        <f>SUM('Archives Sorties'!$M100:$AAY100)</f>
        <v>0</v>
      </c>
      <c r="M100" s="51" t="str">
        <f t="shared" si="6"/>
        <v>0,00€</v>
      </c>
      <c r="O100" s="72">
        <v>0</v>
      </c>
      <c r="P100" s="72">
        <v>0</v>
      </c>
      <c r="R100" s="185">
        <f t="shared" si="7"/>
        <v>0</v>
      </c>
      <c r="S100" s="186">
        <f t="shared" si="8"/>
        <v>0</v>
      </c>
      <c r="T100" s="187" t="str">
        <f>IF(R100="","",IF(O100=0,Famille!$D$5,IF(R100&lt;O100,Famille!$D$2,IF(R100&lt;=P100,Famille!$D$3,Famille!$D$4))))</f>
        <v>Sur commande</v>
      </c>
    </row>
    <row r="101" spans="1:20" ht="12" customHeight="1" x14ac:dyDescent="0.2">
      <c r="A101" s="4" t="str">
        <f>IF(Produits!A101="","",Produits!A101)</f>
        <v>Rail K</v>
      </c>
      <c r="B101" s="4" t="str">
        <f>IF(Produits!B101="","",Produits!B101)</f>
        <v>RAL 9003</v>
      </c>
      <c r="C101" s="4" t="str">
        <f>IF(Produits!C101="","",Produits!C101)</f>
        <v>1000,00,0098</v>
      </c>
      <c r="D101" s="4" t="str">
        <f>IF(Produits!D101="","",Produits!D101)</f>
        <v>AA222</v>
      </c>
      <c r="E101" s="49" t="str">
        <f>IF(Produits!F101="","",Produits!F101)</f>
        <v>1 pcs</v>
      </c>
      <c r="F101" s="50">
        <f>IF(Produits!H101="","",Produits!H101)</f>
        <v>107</v>
      </c>
      <c r="G101" s="5"/>
      <c r="H101" s="37">
        <v>0</v>
      </c>
      <c r="I101" s="2"/>
      <c r="J101" s="69">
        <f>SUM('Archives Entrées'!$N101:$AAV101)</f>
        <v>0</v>
      </c>
      <c r="K101" s="51" t="str">
        <f t="shared" si="5"/>
        <v>0,00€</v>
      </c>
      <c r="L101" s="69">
        <f>SUM('Archives Sorties'!$M101:$AAY101)</f>
        <v>0</v>
      </c>
      <c r="M101" s="51" t="str">
        <f t="shared" si="6"/>
        <v>0,00€</v>
      </c>
      <c r="O101" s="72">
        <v>0</v>
      </c>
      <c r="P101" s="72">
        <v>0</v>
      </c>
      <c r="R101" s="185">
        <f t="shared" si="7"/>
        <v>0</v>
      </c>
      <c r="S101" s="186">
        <f t="shared" si="8"/>
        <v>0</v>
      </c>
      <c r="T101" s="187" t="str">
        <f>IF(R101="","",IF(O101=0,Famille!$D$5,IF(R101&lt;O101,Famille!$D$2,IF(R101&lt;=P101,Famille!$D$3,Famille!$D$4))))</f>
        <v>Sur commande</v>
      </c>
    </row>
    <row r="102" spans="1:20" ht="12" customHeight="1" x14ac:dyDescent="0.2">
      <c r="A102" s="4" t="str">
        <f>IF(Produits!A102="","",Produits!A102)</f>
        <v>Rail K</v>
      </c>
      <c r="B102" s="4" t="str">
        <f>IF(Produits!B102="","",Produits!B102)</f>
        <v>BRUT</v>
      </c>
      <c r="C102" s="4" t="str">
        <f>IF(Produits!C102="","",Produits!C102)</f>
        <v>1000,00,0099</v>
      </c>
      <c r="D102" s="4" t="str">
        <f>IF(Produits!D102="","",Produits!D102)</f>
        <v>AA223</v>
      </c>
      <c r="E102" s="49" t="str">
        <f>IF(Produits!F102="","",Produits!F102)</f>
        <v>3 m</v>
      </c>
      <c r="F102" s="50">
        <f>IF(Produits!H102="","",Produits!H102)</f>
        <v>108</v>
      </c>
      <c r="G102" s="10"/>
      <c r="H102" s="37">
        <v>0</v>
      </c>
      <c r="I102" s="2"/>
      <c r="J102" s="69">
        <f>SUM('Archives Entrées'!$N102:$AAV102)</f>
        <v>0</v>
      </c>
      <c r="K102" s="51" t="str">
        <f t="shared" si="5"/>
        <v>0,00€</v>
      </c>
      <c r="L102" s="69">
        <f>SUM('Archives Sorties'!$M102:$AAY102)</f>
        <v>0</v>
      </c>
      <c r="M102" s="51" t="str">
        <f t="shared" si="6"/>
        <v>0,00€</v>
      </c>
      <c r="O102" s="72">
        <v>0</v>
      </c>
      <c r="P102" s="72">
        <v>0</v>
      </c>
      <c r="R102" s="185">
        <f t="shared" si="7"/>
        <v>0</v>
      </c>
      <c r="S102" s="186">
        <f t="shared" si="8"/>
        <v>0</v>
      </c>
      <c r="T102" s="187" t="str">
        <f>IF(R102="","",IF(O102=0,Famille!$D$5,IF(R102&lt;O102,Famille!$D$2,IF(R102&lt;=P102,Famille!$D$3,Famille!$D$4))))</f>
        <v>Sur commande</v>
      </c>
    </row>
    <row r="103" spans="1:20" ht="12" customHeight="1" x14ac:dyDescent="0.2">
      <c r="A103" s="4" t="str">
        <f>IF(Produits!A103="","",Produits!A103)</f>
        <v>Rail K</v>
      </c>
      <c r="B103" s="4" t="str">
        <f>IF(Produits!B103="","",Produits!B103)</f>
        <v>BRUT</v>
      </c>
      <c r="C103" s="4" t="str">
        <f>IF(Produits!C103="","",Produits!C103)</f>
        <v>1000,00,0100</v>
      </c>
      <c r="D103" s="4" t="str">
        <f>IF(Produits!D103="","",Produits!D103)</f>
        <v>AA224</v>
      </c>
      <c r="E103" s="49" t="str">
        <f>IF(Produits!F103="","",Produits!F103)</f>
        <v>1 pcs</v>
      </c>
      <c r="F103" s="50">
        <f>IF(Produits!H103="","",Produits!H103)</f>
        <v>109</v>
      </c>
      <c r="G103" s="5"/>
      <c r="H103" s="37">
        <v>0</v>
      </c>
      <c r="I103" s="2"/>
      <c r="J103" s="69">
        <f>SUM('Archives Entrées'!$N103:$AAV103)</f>
        <v>0</v>
      </c>
      <c r="K103" s="51" t="str">
        <f t="shared" si="5"/>
        <v>0,00€</v>
      </c>
      <c r="L103" s="69">
        <f>SUM('Archives Sorties'!$M103:$AAY103)</f>
        <v>0</v>
      </c>
      <c r="M103" s="51" t="str">
        <f t="shared" si="6"/>
        <v>0,00€</v>
      </c>
      <c r="O103" s="72">
        <v>0</v>
      </c>
      <c r="P103" s="72">
        <v>0</v>
      </c>
      <c r="R103" s="185">
        <f t="shared" si="7"/>
        <v>0</v>
      </c>
      <c r="S103" s="186">
        <f t="shared" si="8"/>
        <v>0</v>
      </c>
      <c r="T103" s="187" t="str">
        <f>IF(R103="","",IF(O103=0,Famille!$D$5,IF(R103&lt;O103,Famille!$D$2,IF(R103&lt;=P103,Famille!$D$3,Famille!$D$4))))</f>
        <v>Sur commande</v>
      </c>
    </row>
    <row r="104" spans="1:20" ht="12" customHeight="1" x14ac:dyDescent="0.2">
      <c r="A104" s="4" t="str">
        <f>IF(Produits!A104="","",Produits!A104)</f>
        <v>Rail K</v>
      </c>
      <c r="B104" s="4" t="str">
        <f>IF(Produits!B104="","",Produits!B104)</f>
        <v>BRUT</v>
      </c>
      <c r="C104" s="4" t="str">
        <f>IF(Produits!C104="","",Produits!C104)</f>
        <v>1000,00,0101</v>
      </c>
      <c r="D104" s="4" t="str">
        <f>IF(Produits!D104="","",Produits!D104)</f>
        <v>AA225</v>
      </c>
      <c r="E104" s="49" t="str">
        <f>IF(Produits!F104="","",Produits!F104)</f>
        <v>1 pcs</v>
      </c>
      <c r="F104" s="50">
        <f>IF(Produits!H104="","",Produits!H104)</f>
        <v>110</v>
      </c>
      <c r="G104" s="5"/>
      <c r="H104" s="37">
        <v>0</v>
      </c>
      <c r="I104" s="2"/>
      <c r="J104" s="69">
        <f>SUM('Archives Entrées'!$N104:$AAV104)</f>
        <v>0</v>
      </c>
      <c r="K104" s="51" t="str">
        <f t="shared" si="5"/>
        <v>0,00€</v>
      </c>
      <c r="L104" s="69">
        <f>SUM('Archives Sorties'!$M104:$AAY104)</f>
        <v>0</v>
      </c>
      <c r="M104" s="51" t="str">
        <f t="shared" si="6"/>
        <v>0,00€</v>
      </c>
      <c r="O104" s="72">
        <v>0</v>
      </c>
      <c r="P104" s="72">
        <v>0</v>
      </c>
      <c r="R104" s="185">
        <f t="shared" si="7"/>
        <v>0</v>
      </c>
      <c r="S104" s="186">
        <f t="shared" si="8"/>
        <v>0</v>
      </c>
      <c r="T104" s="187" t="str">
        <f>IF(R104="","",IF(O104=0,Famille!$D$5,IF(R104&lt;O104,Famille!$D$2,IF(R104&lt;=P104,Famille!$D$3,Famille!$D$4))))</f>
        <v>Sur commande</v>
      </c>
    </row>
    <row r="105" spans="1:20" ht="12" customHeight="1" x14ac:dyDescent="0.2">
      <c r="A105" s="4" t="str">
        <f>IF(Produits!A105="","",Produits!A105)</f>
        <v>Rail K</v>
      </c>
      <c r="B105" s="4" t="str">
        <f>IF(Produits!B105="","",Produits!B105)</f>
        <v>BRUT</v>
      </c>
      <c r="C105" s="4" t="str">
        <f>IF(Produits!C105="","",Produits!C105)</f>
        <v>1000,00,0102</v>
      </c>
      <c r="D105" s="4" t="str">
        <f>IF(Produits!D105="","",Produits!D105)</f>
        <v>AA226</v>
      </c>
      <c r="E105" s="49" t="str">
        <f>IF(Produits!F105="","",Produits!F105)</f>
        <v>1 pcs</v>
      </c>
      <c r="F105" s="50">
        <f>IF(Produits!H105="","",Produits!H105)</f>
        <v>111</v>
      </c>
      <c r="G105" s="5"/>
      <c r="H105" s="37">
        <v>0</v>
      </c>
      <c r="I105" s="2"/>
      <c r="J105" s="69">
        <f>SUM('Archives Entrées'!$N105:$AAV105)</f>
        <v>0</v>
      </c>
      <c r="K105" s="51" t="str">
        <f t="shared" si="5"/>
        <v>0,00€</v>
      </c>
      <c r="L105" s="69">
        <f>SUM('Archives Sorties'!$M105:$AAY105)</f>
        <v>0</v>
      </c>
      <c r="M105" s="51" t="str">
        <f t="shared" si="6"/>
        <v>0,00€</v>
      </c>
      <c r="O105" s="72">
        <v>0</v>
      </c>
      <c r="P105" s="72">
        <v>0</v>
      </c>
      <c r="R105" s="185">
        <f t="shared" si="7"/>
        <v>0</v>
      </c>
      <c r="S105" s="186">
        <f t="shared" si="8"/>
        <v>0</v>
      </c>
      <c r="T105" s="187" t="str">
        <f>IF(R105="","",IF(O105=0,Famille!$D$5,IF(R105&lt;O105,Famille!$D$2,IF(R105&lt;=P105,Famille!$D$3,Famille!$D$4))))</f>
        <v>Sur commande</v>
      </c>
    </row>
    <row r="106" spans="1:20" ht="12" customHeight="1" x14ac:dyDescent="0.2">
      <c r="A106" s="4" t="str">
        <f>IF(Produits!A106="","",Produits!A106)</f>
        <v>Rail K</v>
      </c>
      <c r="B106" s="4" t="str">
        <f>IF(Produits!B106="","",Produits!B106)</f>
        <v>BRUT</v>
      </c>
      <c r="C106" s="4" t="str">
        <f>IF(Produits!C106="","",Produits!C106)</f>
        <v>1000,00,0103</v>
      </c>
      <c r="D106" s="4" t="str">
        <f>IF(Produits!D106="","",Produits!D106)</f>
        <v>AA227</v>
      </c>
      <c r="E106" s="49" t="str">
        <f>IF(Produits!F106="","",Produits!F106)</f>
        <v>1 pcs</v>
      </c>
      <c r="F106" s="50">
        <f>IF(Produits!H106="","",Produits!H106)</f>
        <v>112</v>
      </c>
      <c r="G106" s="5"/>
      <c r="H106" s="37">
        <v>0</v>
      </c>
      <c r="I106" s="2"/>
      <c r="J106" s="69">
        <f>SUM('Archives Entrées'!$N106:$AAV106)</f>
        <v>0</v>
      </c>
      <c r="K106" s="51" t="str">
        <f t="shared" si="5"/>
        <v>0,00€</v>
      </c>
      <c r="L106" s="69">
        <f>SUM('Archives Sorties'!$M106:$AAY106)</f>
        <v>0</v>
      </c>
      <c r="M106" s="51" t="str">
        <f t="shared" si="6"/>
        <v>0,00€</v>
      </c>
      <c r="O106" s="72">
        <v>0</v>
      </c>
      <c r="P106" s="72">
        <v>0</v>
      </c>
      <c r="R106" s="185">
        <f t="shared" si="7"/>
        <v>0</v>
      </c>
      <c r="S106" s="186">
        <f t="shared" si="8"/>
        <v>0</v>
      </c>
      <c r="T106" s="187" t="str">
        <f>IF(R106="","",IF(O106=0,Famille!$D$5,IF(R106&lt;O106,Famille!$D$2,IF(R106&lt;=P106,Famille!$D$3,Famille!$D$4))))</f>
        <v>Sur commande</v>
      </c>
    </row>
    <row r="107" spans="1:20" ht="12" customHeight="1" x14ac:dyDescent="0.2">
      <c r="A107" s="4" t="str">
        <f>IF(Produits!A107="","",Produits!A107)</f>
        <v>Rail K</v>
      </c>
      <c r="B107" s="4" t="str">
        <f>IF(Produits!B107="","",Produits!B107)</f>
        <v>BRUT</v>
      </c>
      <c r="C107" s="4" t="str">
        <f>IF(Produits!C107="","",Produits!C107)</f>
        <v>1000,00,0104</v>
      </c>
      <c r="D107" s="4" t="str">
        <f>IF(Produits!D107="","",Produits!D107)</f>
        <v>AA228</v>
      </c>
      <c r="E107" s="49" t="str">
        <f>IF(Produits!F107="","",Produits!F107)</f>
        <v>1 pcs</v>
      </c>
      <c r="F107" s="50">
        <f>IF(Produits!H107="","",Produits!H107)</f>
        <v>113</v>
      </c>
      <c r="G107" s="5"/>
      <c r="H107" s="37">
        <v>0</v>
      </c>
      <c r="I107" s="2"/>
      <c r="J107" s="69">
        <f>SUM('Archives Entrées'!$N107:$AAV107)</f>
        <v>0</v>
      </c>
      <c r="K107" s="51" t="str">
        <f t="shared" si="5"/>
        <v>0,00€</v>
      </c>
      <c r="L107" s="69">
        <f>SUM('Archives Sorties'!$M107:$AAY107)</f>
        <v>0</v>
      </c>
      <c r="M107" s="51" t="str">
        <f t="shared" si="6"/>
        <v>0,00€</v>
      </c>
      <c r="O107" s="72">
        <v>0</v>
      </c>
      <c r="P107" s="72">
        <v>0</v>
      </c>
      <c r="R107" s="185">
        <f t="shared" si="7"/>
        <v>0</v>
      </c>
      <c r="S107" s="186">
        <f t="shared" si="8"/>
        <v>0</v>
      </c>
      <c r="T107" s="187" t="str">
        <f>IF(R107="","",IF(O107=0,Famille!$D$5,IF(R107&lt;O107,Famille!$D$2,IF(R107&lt;=P107,Famille!$D$3,Famille!$D$4))))</f>
        <v>Sur commande</v>
      </c>
    </row>
    <row r="108" spans="1:20" ht="12" customHeight="1" x14ac:dyDescent="0.2">
      <c r="A108" s="4" t="str">
        <f>IF(Produits!A108="","",Produits!A108)</f>
        <v>Rail K</v>
      </c>
      <c r="B108" s="4" t="str">
        <f>IF(Produits!B108="","",Produits!B108)</f>
        <v>BRUT</v>
      </c>
      <c r="C108" s="4" t="str">
        <f>IF(Produits!C108="","",Produits!C108)</f>
        <v>1000,00,0105</v>
      </c>
      <c r="D108" s="4" t="str">
        <f>IF(Produits!D108="","",Produits!D108)</f>
        <v>AA229</v>
      </c>
      <c r="E108" s="49" t="str">
        <f>IF(Produits!F108="","",Produits!F108)</f>
        <v>1 pcs</v>
      </c>
      <c r="F108" s="50">
        <f>IF(Produits!H108="","",Produits!H108)</f>
        <v>114</v>
      </c>
      <c r="G108" s="5"/>
      <c r="H108" s="37">
        <v>0</v>
      </c>
      <c r="I108" s="2"/>
      <c r="J108" s="69">
        <f>SUM('Archives Entrées'!$N108:$AAV108)</f>
        <v>0</v>
      </c>
      <c r="K108" s="51" t="str">
        <f t="shared" si="5"/>
        <v>0,00€</v>
      </c>
      <c r="L108" s="69">
        <f>SUM('Archives Sorties'!$M108:$AAY108)</f>
        <v>0</v>
      </c>
      <c r="M108" s="51" t="str">
        <f t="shared" si="6"/>
        <v>0,00€</v>
      </c>
      <c r="O108" s="72">
        <v>0</v>
      </c>
      <c r="P108" s="72">
        <v>0</v>
      </c>
      <c r="R108" s="185">
        <f t="shared" si="7"/>
        <v>0</v>
      </c>
      <c r="S108" s="186">
        <f t="shared" si="8"/>
        <v>0</v>
      </c>
      <c r="T108" s="187" t="str">
        <f>IF(R108="","",IF(O108=0,Famille!$D$5,IF(R108&lt;O108,Famille!$D$2,IF(R108&lt;=P108,Famille!$D$3,Famille!$D$4))))</f>
        <v>Sur commande</v>
      </c>
    </row>
    <row r="109" spans="1:20" ht="12" customHeight="1" x14ac:dyDescent="0.2">
      <c r="A109" s="4" t="str">
        <f>IF(Produits!A109="","",Produits!A109)</f>
        <v>Rail K</v>
      </c>
      <c r="B109" s="4" t="str">
        <f>IF(Produits!B109="","",Produits!B109)</f>
        <v>BRUT</v>
      </c>
      <c r="C109" s="4" t="str">
        <f>IF(Produits!C109="","",Produits!C109)</f>
        <v>1000,00,0106</v>
      </c>
      <c r="D109" s="4" t="str">
        <f>IF(Produits!D109="","",Produits!D109)</f>
        <v>AA230</v>
      </c>
      <c r="E109" s="49" t="str">
        <f>IF(Produits!F109="","",Produits!F109)</f>
        <v>1 pcs</v>
      </c>
      <c r="F109" s="50">
        <f>IF(Produits!H109="","",Produits!H109)</f>
        <v>115</v>
      </c>
      <c r="G109" s="5"/>
      <c r="H109" s="37">
        <v>0</v>
      </c>
      <c r="I109" s="2"/>
      <c r="J109" s="69">
        <f>SUM('Archives Entrées'!$N109:$AAV109)</f>
        <v>0</v>
      </c>
      <c r="K109" s="51" t="str">
        <f t="shared" si="5"/>
        <v>0,00€</v>
      </c>
      <c r="L109" s="69">
        <f>SUM('Archives Sorties'!$M109:$AAY109)</f>
        <v>0</v>
      </c>
      <c r="M109" s="51" t="str">
        <f t="shared" si="6"/>
        <v>0,00€</v>
      </c>
      <c r="O109" s="72">
        <v>0</v>
      </c>
      <c r="P109" s="72">
        <v>0</v>
      </c>
      <c r="R109" s="185">
        <f t="shared" si="7"/>
        <v>0</v>
      </c>
      <c r="S109" s="186">
        <f t="shared" si="8"/>
        <v>0</v>
      </c>
      <c r="T109" s="187" t="str">
        <f>IF(R109="","",IF(O109=0,Famille!$D$5,IF(R109&lt;O109,Famille!$D$2,IF(R109&lt;=P109,Famille!$D$3,Famille!$D$4))))</f>
        <v>Sur commande</v>
      </c>
    </row>
    <row r="110" spans="1:20" ht="12" customHeight="1" x14ac:dyDescent="0.2">
      <c r="A110" s="4" t="str">
        <f>IF(Produits!A110="","",Produits!A110)</f>
        <v>Rail K</v>
      </c>
      <c r="B110" s="4" t="str">
        <f>IF(Produits!B110="","",Produits!B110)</f>
        <v>BRUT</v>
      </c>
      <c r="C110" s="4" t="str">
        <f>IF(Produits!C110="","",Produits!C110)</f>
        <v>1000,00,0107</v>
      </c>
      <c r="D110" s="4" t="str">
        <f>IF(Produits!D110="","",Produits!D110)</f>
        <v>AA231</v>
      </c>
      <c r="E110" s="49" t="str">
        <f>IF(Produits!F110="","",Produits!F110)</f>
        <v>1 pcs</v>
      </c>
      <c r="F110" s="50">
        <f>IF(Produits!H110="","",Produits!H110)</f>
        <v>116</v>
      </c>
      <c r="G110" s="5"/>
      <c r="H110" s="37">
        <v>0</v>
      </c>
      <c r="I110" s="2"/>
      <c r="J110" s="69">
        <f>SUM('Archives Entrées'!$N110:$AAV110)</f>
        <v>0</v>
      </c>
      <c r="K110" s="51" t="str">
        <f t="shared" si="5"/>
        <v>0,00€</v>
      </c>
      <c r="L110" s="69">
        <f>SUM('Archives Sorties'!$M110:$AAY110)</f>
        <v>0</v>
      </c>
      <c r="M110" s="51" t="str">
        <f t="shared" si="6"/>
        <v>0,00€</v>
      </c>
      <c r="O110" s="72">
        <v>0</v>
      </c>
      <c r="P110" s="72">
        <v>0</v>
      </c>
      <c r="R110" s="185">
        <f t="shared" si="7"/>
        <v>0</v>
      </c>
      <c r="S110" s="186">
        <f t="shared" si="8"/>
        <v>0</v>
      </c>
      <c r="T110" s="187" t="str">
        <f>IF(R110="","",IF(O110=0,Famille!$D$5,IF(R110&lt;O110,Famille!$D$2,IF(R110&lt;=P110,Famille!$D$3,Famille!$D$4))))</f>
        <v>Sur commande</v>
      </c>
    </row>
    <row r="111" spans="1:20" ht="12" customHeight="1" x14ac:dyDescent="0.2">
      <c r="A111" s="4" t="str">
        <f>IF(Produits!A111="","",Produits!A111)</f>
        <v>Rail K</v>
      </c>
      <c r="B111" s="4" t="str">
        <f>IF(Produits!B111="","",Produits!B111)</f>
        <v>BRUT</v>
      </c>
      <c r="C111" s="4" t="str">
        <f>IF(Produits!C111="","",Produits!C111)</f>
        <v>1000,00,0108</v>
      </c>
      <c r="D111" s="4" t="str">
        <f>IF(Produits!D111="","",Produits!D111)</f>
        <v>AA232</v>
      </c>
      <c r="E111" s="49" t="str">
        <f>IF(Produits!F111="","",Produits!F111)</f>
        <v>1 pcs</v>
      </c>
      <c r="F111" s="50">
        <f>IF(Produits!H111="","",Produits!H111)</f>
        <v>117</v>
      </c>
      <c r="G111" s="5"/>
      <c r="H111" s="37">
        <v>0</v>
      </c>
      <c r="I111" s="2"/>
      <c r="J111" s="69">
        <f>SUM('Archives Entrées'!$N111:$AAV111)</f>
        <v>0</v>
      </c>
      <c r="K111" s="51" t="str">
        <f t="shared" si="5"/>
        <v>0,00€</v>
      </c>
      <c r="L111" s="69">
        <f>SUM('Archives Sorties'!$M111:$AAY111)</f>
        <v>0</v>
      </c>
      <c r="M111" s="51" t="str">
        <f t="shared" si="6"/>
        <v>0,00€</v>
      </c>
      <c r="O111" s="72">
        <v>0</v>
      </c>
      <c r="P111" s="72">
        <v>0</v>
      </c>
      <c r="R111" s="185">
        <f t="shared" si="7"/>
        <v>0</v>
      </c>
      <c r="S111" s="186">
        <f t="shared" si="8"/>
        <v>0</v>
      </c>
      <c r="T111" s="187" t="str">
        <f>IF(R111="","",IF(O111=0,Famille!$D$5,IF(R111&lt;O111,Famille!$D$2,IF(R111&lt;=P111,Famille!$D$3,Famille!$D$4))))</f>
        <v>Sur commande</v>
      </c>
    </row>
    <row r="112" spans="1:20" ht="12" customHeight="1" x14ac:dyDescent="0.2">
      <c r="A112" s="4" t="str">
        <f>IF(Produits!A112="","",Produits!A112)</f>
        <v>Rail K</v>
      </c>
      <c r="B112" s="4" t="str">
        <f>IF(Produits!B112="","",Produits!B112)</f>
        <v>BRUT</v>
      </c>
      <c r="C112" s="4" t="str">
        <f>IF(Produits!C112="","",Produits!C112)</f>
        <v>1000,00,0109</v>
      </c>
      <c r="D112" s="4" t="str">
        <f>IF(Produits!D112="","",Produits!D112)</f>
        <v>AA233</v>
      </c>
      <c r="E112" s="49" t="str">
        <f>IF(Produits!F112="","",Produits!F112)</f>
        <v>1 pcs</v>
      </c>
      <c r="F112" s="50">
        <f>IF(Produits!H112="","",Produits!H112)</f>
        <v>118</v>
      </c>
      <c r="G112" s="5"/>
      <c r="H112" s="37">
        <v>0</v>
      </c>
      <c r="I112" s="2"/>
      <c r="J112" s="69">
        <f>SUM('Archives Entrées'!$N112:$AAV112)</f>
        <v>0</v>
      </c>
      <c r="K112" s="51" t="str">
        <f t="shared" si="5"/>
        <v>0,00€</v>
      </c>
      <c r="L112" s="69">
        <f>SUM('Archives Sorties'!$M112:$AAY112)</f>
        <v>0</v>
      </c>
      <c r="M112" s="51" t="str">
        <f t="shared" si="6"/>
        <v>0,00€</v>
      </c>
      <c r="O112" s="72">
        <v>0</v>
      </c>
      <c r="P112" s="72">
        <v>0</v>
      </c>
      <c r="R112" s="185">
        <f t="shared" si="7"/>
        <v>0</v>
      </c>
      <c r="S112" s="186">
        <f t="shared" si="8"/>
        <v>0</v>
      </c>
      <c r="T112" s="187" t="str">
        <f>IF(R112="","",IF(O112=0,Famille!$D$5,IF(R112&lt;O112,Famille!$D$2,IF(R112&lt;=P112,Famille!$D$3,Famille!$D$4))))</f>
        <v>Sur commande</v>
      </c>
    </row>
    <row r="113" spans="1:20" ht="12" customHeight="1" x14ac:dyDescent="0.2">
      <c r="A113" s="4" t="str">
        <f>IF(Produits!A113="","",Produits!A113)</f>
        <v>Rail K</v>
      </c>
      <c r="B113" s="4" t="str">
        <f>IF(Produits!B113="","",Produits!B113)</f>
        <v>BRUT</v>
      </c>
      <c r="C113" s="4" t="str">
        <f>IF(Produits!C113="","",Produits!C113)</f>
        <v>1000,00,0110</v>
      </c>
      <c r="D113" s="4" t="str">
        <f>IF(Produits!D113="","",Produits!D113)</f>
        <v>AA234</v>
      </c>
      <c r="E113" s="49" t="str">
        <f>IF(Produits!F113="","",Produits!F113)</f>
        <v>1 pcs</v>
      </c>
      <c r="F113" s="50">
        <f>IF(Produits!H113="","",Produits!H113)</f>
        <v>119</v>
      </c>
      <c r="G113" s="5"/>
      <c r="H113" s="37">
        <v>0</v>
      </c>
      <c r="I113" s="2"/>
      <c r="J113" s="69">
        <f>SUM('Archives Entrées'!$N113:$AAV113)</f>
        <v>0</v>
      </c>
      <c r="K113" s="51" t="str">
        <f t="shared" si="5"/>
        <v>0,00€</v>
      </c>
      <c r="L113" s="69">
        <f>SUM('Archives Sorties'!$M113:$AAY113)</f>
        <v>0</v>
      </c>
      <c r="M113" s="51" t="str">
        <f t="shared" si="6"/>
        <v>0,00€</v>
      </c>
      <c r="O113" s="72">
        <v>0</v>
      </c>
      <c r="P113" s="72">
        <v>0</v>
      </c>
      <c r="R113" s="185">
        <f t="shared" si="7"/>
        <v>0</v>
      </c>
      <c r="S113" s="186">
        <f t="shared" si="8"/>
        <v>0</v>
      </c>
      <c r="T113" s="187" t="str">
        <f>IF(R113="","",IF(O113=0,Famille!$D$5,IF(R113&lt;O113,Famille!$D$2,IF(R113&lt;=P113,Famille!$D$3,Famille!$D$4))))</f>
        <v>Sur commande</v>
      </c>
    </row>
    <row r="114" spans="1:20" ht="12" customHeight="1" x14ac:dyDescent="0.2">
      <c r="A114" s="4" t="str">
        <f>IF(Produits!A114="","",Produits!A114)</f>
        <v>Rail K</v>
      </c>
      <c r="B114" s="4" t="str">
        <f>IF(Produits!B114="","",Produits!B114)</f>
        <v>BRUT</v>
      </c>
      <c r="C114" s="4" t="str">
        <f>IF(Produits!C114="","",Produits!C114)</f>
        <v>1000,00,0111</v>
      </c>
      <c r="D114" s="4" t="str">
        <f>IF(Produits!D114="","",Produits!D114)</f>
        <v>AA235</v>
      </c>
      <c r="E114" s="49" t="str">
        <f>IF(Produits!F114="","",Produits!F114)</f>
        <v>1 pcs</v>
      </c>
      <c r="F114" s="50">
        <f>IF(Produits!H114="","",Produits!H114)</f>
        <v>120</v>
      </c>
      <c r="G114" s="5"/>
      <c r="H114" s="37">
        <v>0</v>
      </c>
      <c r="I114" s="2"/>
      <c r="J114" s="69">
        <f>SUM('Archives Entrées'!$N114:$AAV114)</f>
        <v>0</v>
      </c>
      <c r="K114" s="51" t="str">
        <f t="shared" si="5"/>
        <v>0,00€</v>
      </c>
      <c r="L114" s="69">
        <f>SUM('Archives Sorties'!$M114:$AAY114)</f>
        <v>0</v>
      </c>
      <c r="M114" s="51" t="str">
        <f t="shared" si="6"/>
        <v>0,00€</v>
      </c>
      <c r="O114" s="72">
        <v>0</v>
      </c>
      <c r="P114" s="72">
        <v>0</v>
      </c>
      <c r="R114" s="185">
        <f t="shared" si="7"/>
        <v>0</v>
      </c>
      <c r="S114" s="186">
        <f t="shared" si="8"/>
        <v>0</v>
      </c>
      <c r="T114" s="187" t="str">
        <f>IF(R114="","",IF(O114=0,Famille!$D$5,IF(R114&lt;O114,Famille!$D$2,IF(R114&lt;=P114,Famille!$D$3,Famille!$D$4))))</f>
        <v>Sur commande</v>
      </c>
    </row>
    <row r="115" spans="1:20" ht="12" customHeight="1" x14ac:dyDescent="0.2">
      <c r="A115" s="4" t="str">
        <f>IF(Produits!A115="","",Produits!A115)</f>
        <v>Fixation Dorma</v>
      </c>
      <c r="B115" s="4" t="str">
        <f>IF(Produits!B115="","",Produits!B115)</f>
        <v/>
      </c>
      <c r="C115" s="4" t="str">
        <f>IF(Produits!C115="","",Produits!C115)</f>
        <v>1000,00,0112</v>
      </c>
      <c r="D115" s="4" t="str">
        <f>IF(Produits!D115="","",Produits!D115)</f>
        <v>AA236</v>
      </c>
      <c r="E115" s="49" t="str">
        <f>IF(Produits!F115="","",Produits!F115)</f>
        <v>1 pcs</v>
      </c>
      <c r="F115" s="50">
        <f>IF(Produits!H115="","",Produits!H115)</f>
        <v>121</v>
      </c>
      <c r="G115" s="5"/>
      <c r="H115" s="37">
        <v>10</v>
      </c>
      <c r="I115" s="2"/>
      <c r="J115" s="69">
        <f>SUM('Archives Entrées'!$N115:$AAV115)</f>
        <v>0</v>
      </c>
      <c r="K115" s="51" t="str">
        <f t="shared" si="5"/>
        <v>0,00€</v>
      </c>
      <c r="L115" s="69">
        <f>SUM('Archives Sorties'!$M115:$AAY115)</f>
        <v>0</v>
      </c>
      <c r="M115" s="51" t="str">
        <f t="shared" si="6"/>
        <v>0,00€</v>
      </c>
      <c r="O115" s="72">
        <v>5</v>
      </c>
      <c r="P115" s="72">
        <v>20</v>
      </c>
      <c r="R115" s="185">
        <f t="shared" si="7"/>
        <v>10</v>
      </c>
      <c r="S115" s="186">
        <f t="shared" si="8"/>
        <v>1</v>
      </c>
      <c r="T115" s="187" t="str">
        <f>IF(R115="","",IF(O115=0,Famille!$D$5,IF(R115&lt;O115,Famille!$D$2,IF(R115&lt;=P115,Famille!$D$3,Famille!$D$4))))</f>
        <v>En Stock</v>
      </c>
    </row>
    <row r="116" spans="1:20" ht="12" customHeight="1" x14ac:dyDescent="0.2">
      <c r="A116" s="4" t="str">
        <f>IF(Produits!A116="","",Produits!A116)</f>
        <v>Fixation Dorma</v>
      </c>
      <c r="B116" s="4" t="str">
        <f>IF(Produits!B116="","",Produits!B116)</f>
        <v/>
      </c>
      <c r="C116" s="4" t="str">
        <f>IF(Produits!C116="","",Produits!C116)</f>
        <v>1000,00,0113</v>
      </c>
      <c r="D116" s="4" t="str">
        <f>IF(Produits!D116="","",Produits!D116)</f>
        <v>AA237</v>
      </c>
      <c r="E116" s="49" t="str">
        <f>IF(Produits!F116="","",Produits!F116)</f>
        <v>1 pcs</v>
      </c>
      <c r="F116" s="50">
        <f>IF(Produits!H116="","",Produits!H116)</f>
        <v>122</v>
      </c>
      <c r="G116" s="5"/>
      <c r="H116" s="37">
        <v>20</v>
      </c>
      <c r="I116" s="2"/>
      <c r="J116" s="69">
        <f>SUM('Archives Entrées'!$N116:$AAV116)</f>
        <v>0</v>
      </c>
      <c r="K116" s="51" t="str">
        <f t="shared" si="5"/>
        <v>0,00€</v>
      </c>
      <c r="L116" s="69">
        <f>SUM('Archives Sorties'!$M116:$AAY116)</f>
        <v>0</v>
      </c>
      <c r="M116" s="51" t="str">
        <f t="shared" si="6"/>
        <v>0,00€</v>
      </c>
      <c r="O116" s="72">
        <v>10</v>
      </c>
      <c r="P116" s="72">
        <v>30</v>
      </c>
      <c r="R116" s="185">
        <f t="shared" si="7"/>
        <v>20</v>
      </c>
      <c r="S116" s="186">
        <f t="shared" si="8"/>
        <v>1</v>
      </c>
      <c r="T116" s="187" t="str">
        <f>IF(R116="","",IF(O116=0,Famille!$D$5,IF(R116&lt;O116,Famille!$D$2,IF(R116&lt;=P116,Famille!$D$3,Famille!$D$4))))</f>
        <v>En Stock</v>
      </c>
    </row>
    <row r="117" spans="1:20" ht="12" customHeight="1" x14ac:dyDescent="0.2">
      <c r="A117" s="4" t="str">
        <f>IF(Produits!A117="","",Produits!A117)</f>
        <v>Fixation Dorma</v>
      </c>
      <c r="B117" s="4" t="str">
        <f>IF(Produits!B117="","",Produits!B117)</f>
        <v/>
      </c>
      <c r="C117" s="4" t="str">
        <f>IF(Produits!C117="","",Produits!C117)</f>
        <v>1000,00,0114</v>
      </c>
      <c r="D117" s="4" t="str">
        <f>IF(Produits!D117="","",Produits!D117)</f>
        <v>AA238</v>
      </c>
      <c r="E117" s="49" t="str">
        <f>IF(Produits!F117="","",Produits!F117)</f>
        <v>1 pcs</v>
      </c>
      <c r="F117" s="50">
        <f>IF(Produits!H117="","",Produits!H117)</f>
        <v>123</v>
      </c>
      <c r="G117" s="5"/>
      <c r="H117" s="37">
        <v>480</v>
      </c>
      <c r="I117" s="2"/>
      <c r="J117" s="69">
        <f>SUM('Archives Entrées'!$N117:$AAV117)</f>
        <v>0</v>
      </c>
      <c r="K117" s="51" t="str">
        <f t="shared" si="5"/>
        <v>0,00€</v>
      </c>
      <c r="L117" s="69">
        <f>SUM('Archives Sorties'!$M117:$AAY117)</f>
        <v>0</v>
      </c>
      <c r="M117" s="51" t="str">
        <f t="shared" si="6"/>
        <v>0,00€</v>
      </c>
      <c r="O117" s="72">
        <v>240</v>
      </c>
      <c r="P117" s="72">
        <v>600</v>
      </c>
      <c r="R117" s="185">
        <f t="shared" si="7"/>
        <v>480</v>
      </c>
      <c r="S117" s="186">
        <f t="shared" si="8"/>
        <v>1</v>
      </c>
      <c r="T117" s="187" t="str">
        <f>IF(R117="","",IF(O117=0,Famille!$D$5,IF(R117&lt;O117,Famille!$D$2,IF(R117&lt;=P117,Famille!$D$3,Famille!$D$4))))</f>
        <v>En Stock</v>
      </c>
    </row>
    <row r="118" spans="1:20" ht="12" customHeight="1" x14ac:dyDescent="0.2">
      <c r="A118" s="4" t="str">
        <f>IF(Produits!A118="","",Produits!A118)</f>
        <v>Fixation Dorma</v>
      </c>
      <c r="B118" s="4" t="str">
        <f>IF(Produits!B118="","",Produits!B118)</f>
        <v/>
      </c>
      <c r="C118" s="4" t="str">
        <f>IF(Produits!C118="","",Produits!C118)</f>
        <v>1000,00,0115</v>
      </c>
      <c r="D118" s="4" t="str">
        <f>IF(Produits!D118="","",Produits!D118)</f>
        <v>AA239</v>
      </c>
      <c r="E118" s="49" t="str">
        <f>IF(Produits!F118="","",Produits!F118)</f>
        <v>1 pcs</v>
      </c>
      <c r="F118" s="50">
        <f>IF(Produits!H118="","",Produits!H118)</f>
        <v>124</v>
      </c>
      <c r="G118" s="5"/>
      <c r="H118" s="37">
        <v>190</v>
      </c>
      <c r="I118" s="2"/>
      <c r="J118" s="69">
        <f>SUM('Archives Entrées'!$N118:$AAV118)</f>
        <v>0</v>
      </c>
      <c r="K118" s="51" t="str">
        <f t="shared" si="5"/>
        <v>0,00€</v>
      </c>
      <c r="L118" s="69">
        <f>SUM('Archives Sorties'!$M118:$AAY118)</f>
        <v>0</v>
      </c>
      <c r="M118" s="51" t="str">
        <f t="shared" si="6"/>
        <v>0,00€</v>
      </c>
      <c r="O118" s="72">
        <v>200</v>
      </c>
      <c r="P118" s="72">
        <v>600</v>
      </c>
      <c r="R118" s="185">
        <f t="shared" si="7"/>
        <v>190</v>
      </c>
      <c r="S118" s="186">
        <f t="shared" si="8"/>
        <v>0</v>
      </c>
      <c r="T118" s="187" t="str">
        <f>IF(R118="","",IF(O118=0,Famille!$D$5,IF(R118&lt;O118,Famille!$D$2,IF(R118&lt;=P118,Famille!$D$3,Famille!$D$4))))</f>
        <v>A commander</v>
      </c>
    </row>
    <row r="119" spans="1:20" ht="12" customHeight="1" x14ac:dyDescent="0.2">
      <c r="A119" s="4" t="str">
        <f>IF(Produits!A119="","",Produits!A119)</f>
        <v>Fixation Dorma</v>
      </c>
      <c r="B119" s="4" t="str">
        <f>IF(Produits!B119="","",Produits!B119)</f>
        <v/>
      </c>
      <c r="C119" s="4" t="str">
        <f>IF(Produits!C119="","",Produits!C119)</f>
        <v>1000,00,0116</v>
      </c>
      <c r="D119" s="4" t="str">
        <f>IF(Produits!D119="","",Produits!D119)</f>
        <v>AA240</v>
      </c>
      <c r="E119" s="49" t="str">
        <f>IF(Produits!F119="","",Produits!F119)</f>
        <v>1 pcs</v>
      </c>
      <c r="F119" s="50">
        <f>IF(Produits!H119="","",Produits!H119)</f>
        <v>125</v>
      </c>
      <c r="G119" s="5"/>
      <c r="H119" s="37">
        <v>0</v>
      </c>
      <c r="I119" s="2"/>
      <c r="J119" s="69">
        <f>SUM('Archives Entrées'!$N119:$AAV119)</f>
        <v>0</v>
      </c>
      <c r="K119" s="51" t="str">
        <f t="shared" si="5"/>
        <v>0,00€</v>
      </c>
      <c r="L119" s="69">
        <f>SUM('Archives Sorties'!$M119:$AAY119)</f>
        <v>0</v>
      </c>
      <c r="M119" s="51" t="str">
        <f t="shared" si="6"/>
        <v>0,00€</v>
      </c>
      <c r="O119" s="72">
        <v>0</v>
      </c>
      <c r="P119" s="72">
        <v>0</v>
      </c>
      <c r="R119" s="185">
        <f t="shared" si="7"/>
        <v>0</v>
      </c>
      <c r="S119" s="186">
        <f t="shared" si="8"/>
        <v>0</v>
      </c>
      <c r="T119" s="187" t="str">
        <f>IF(R119="","",IF(O119=0,Famille!$D$5,IF(R119&lt;O119,Famille!$D$2,IF(R119&lt;=P119,Famille!$D$3,Famille!$D$4))))</f>
        <v>Sur commande</v>
      </c>
    </row>
    <row r="120" spans="1:20" ht="12" customHeight="1" x14ac:dyDescent="0.2">
      <c r="A120" s="4" t="str">
        <f>IF(Produits!A120="","",Produits!A120)</f>
        <v>Fixation Dorma</v>
      </c>
      <c r="B120" s="4" t="str">
        <f>IF(Produits!B120="","",Produits!B120)</f>
        <v/>
      </c>
      <c r="C120" s="4" t="str">
        <f>IF(Produits!C120="","",Produits!C120)</f>
        <v>1000,00,0117</v>
      </c>
      <c r="D120" s="4" t="str">
        <f>IF(Produits!D120="","",Produits!D120)</f>
        <v>AA241</v>
      </c>
      <c r="E120" s="49" t="str">
        <f>IF(Produits!F120="","",Produits!F120)</f>
        <v>1 pcs</v>
      </c>
      <c r="F120" s="50">
        <f>IF(Produits!H120="","",Produits!H120)</f>
        <v>126</v>
      </c>
      <c r="G120" s="5"/>
      <c r="H120" s="37">
        <v>0</v>
      </c>
      <c r="I120" s="2"/>
      <c r="J120" s="69">
        <f>SUM('Archives Entrées'!$N120:$AAV120)</f>
        <v>0</v>
      </c>
      <c r="K120" s="51" t="str">
        <f t="shared" si="5"/>
        <v>0,00€</v>
      </c>
      <c r="L120" s="69">
        <f>SUM('Archives Sorties'!$M120:$AAY120)</f>
        <v>0</v>
      </c>
      <c r="M120" s="51" t="str">
        <f t="shared" si="6"/>
        <v>0,00€</v>
      </c>
      <c r="O120" s="72">
        <v>0</v>
      </c>
      <c r="P120" s="72">
        <v>0</v>
      </c>
      <c r="R120" s="185">
        <f t="shared" si="7"/>
        <v>0</v>
      </c>
      <c r="S120" s="186">
        <f t="shared" si="8"/>
        <v>0</v>
      </c>
      <c r="T120" s="187" t="str">
        <f>IF(R120="","",IF(O120=0,Famille!$D$5,IF(R120&lt;O120,Famille!$D$2,IF(R120&lt;=P120,Famille!$D$3,Famille!$D$4))))</f>
        <v>Sur commande</v>
      </c>
    </row>
    <row r="121" spans="1:20" ht="12" customHeight="1" x14ac:dyDescent="0.2">
      <c r="A121" s="4" t="str">
        <f>IF(Produits!A121="","",Produits!A121)</f>
        <v>Fixation Dorma</v>
      </c>
      <c r="B121" s="4" t="str">
        <f>IF(Produits!B121="","",Produits!B121)</f>
        <v/>
      </c>
      <c r="C121" s="4" t="str">
        <f>IF(Produits!C121="","",Produits!C121)</f>
        <v>1000,00,0118</v>
      </c>
      <c r="D121" s="4" t="str">
        <f>IF(Produits!D121="","",Produits!D121)</f>
        <v>AA242</v>
      </c>
      <c r="E121" s="49" t="str">
        <f>IF(Produits!F121="","",Produits!F121)</f>
        <v>1 pcs</v>
      </c>
      <c r="F121" s="50">
        <f>IF(Produits!H121="","",Produits!H121)</f>
        <v>127</v>
      </c>
      <c r="G121" s="5"/>
      <c r="H121" s="37">
        <v>80</v>
      </c>
      <c r="I121" s="2"/>
      <c r="J121" s="69">
        <f>SUM('Archives Entrées'!$N121:$AAV121)</f>
        <v>0</v>
      </c>
      <c r="K121" s="51" t="str">
        <f t="shared" si="5"/>
        <v>0,00€</v>
      </c>
      <c r="L121" s="69">
        <f>SUM('Archives Sorties'!$M121:$AAY121)</f>
        <v>0</v>
      </c>
      <c r="M121" s="51" t="str">
        <f t="shared" si="6"/>
        <v>0,00€</v>
      </c>
      <c r="O121" s="72">
        <v>80</v>
      </c>
      <c r="P121" s="72">
        <v>250</v>
      </c>
      <c r="R121" s="185">
        <f t="shared" si="7"/>
        <v>80</v>
      </c>
      <c r="S121" s="186">
        <f t="shared" si="8"/>
        <v>1</v>
      </c>
      <c r="T121" s="187" t="str">
        <f>IF(R121="","",IF(O121=0,Famille!$D$5,IF(R121&lt;O121,Famille!$D$2,IF(R121&lt;=P121,Famille!$D$3,Famille!$D$4))))</f>
        <v>En Stock</v>
      </c>
    </row>
    <row r="122" spans="1:20" ht="12" customHeight="1" x14ac:dyDescent="0.2">
      <c r="A122" s="4" t="str">
        <f>IF(Produits!A122="","",Produits!A122)</f>
        <v>Fixation Dorma</v>
      </c>
      <c r="B122" s="4" t="str">
        <f>IF(Produits!B122="","",Produits!B122)</f>
        <v/>
      </c>
      <c r="C122" s="4" t="str">
        <f>IF(Produits!C122="","",Produits!C122)</f>
        <v>1000,00,0119</v>
      </c>
      <c r="D122" s="4" t="str">
        <f>IF(Produits!D122="","",Produits!D122)</f>
        <v>AA243</v>
      </c>
      <c r="E122" s="49" t="str">
        <f>IF(Produits!F122="","",Produits!F122)</f>
        <v>3 m</v>
      </c>
      <c r="F122" s="50">
        <f>IF(Produits!H122="","",Produits!H122)</f>
        <v>128</v>
      </c>
      <c r="G122" s="5"/>
      <c r="H122" s="37">
        <v>8</v>
      </c>
      <c r="I122" s="2"/>
      <c r="J122" s="69">
        <f>SUM('Archives Entrées'!$N122:$AAV122)</f>
        <v>0</v>
      </c>
      <c r="K122" s="51" t="str">
        <f t="shared" si="5"/>
        <v>0,00€</v>
      </c>
      <c r="L122" s="69">
        <f>SUM('Archives Sorties'!$M122:$AAY122)</f>
        <v>0</v>
      </c>
      <c r="M122" s="51" t="str">
        <f t="shared" si="6"/>
        <v>0,00€</v>
      </c>
      <c r="O122" s="72">
        <v>5</v>
      </c>
      <c r="P122" s="72">
        <v>30</v>
      </c>
      <c r="R122" s="185">
        <f t="shared" si="7"/>
        <v>8</v>
      </c>
      <c r="S122" s="186">
        <f t="shared" si="8"/>
        <v>1</v>
      </c>
      <c r="T122" s="187" t="str">
        <f>IF(R122="","",IF(O122=0,Famille!$D$5,IF(R122&lt;O122,Famille!$D$2,IF(R122&lt;=P122,Famille!$D$3,Famille!$D$4))))</f>
        <v>En Stock</v>
      </c>
    </row>
    <row r="123" spans="1:20" ht="12" customHeight="1" x14ac:dyDescent="0.2">
      <c r="A123" s="4" t="str">
        <f>IF(Produits!A123="","",Produits!A123)</f>
        <v>Fixation Dorma</v>
      </c>
      <c r="B123" s="4" t="str">
        <f>IF(Produits!B123="","",Produits!B123)</f>
        <v/>
      </c>
      <c r="C123" s="4" t="str">
        <f>IF(Produits!C123="","",Produits!C123)</f>
        <v>1000,00,0120</v>
      </c>
      <c r="D123" s="4" t="str">
        <f>IF(Produits!D123="","",Produits!D123)</f>
        <v>AA244</v>
      </c>
      <c r="E123" s="49" t="str">
        <f>IF(Produits!F123="","",Produits!F123)</f>
        <v>3 m</v>
      </c>
      <c r="F123" s="50">
        <f>IF(Produits!H123="","",Produits!H123)</f>
        <v>129</v>
      </c>
      <c r="G123" s="5"/>
      <c r="H123" s="37">
        <v>15</v>
      </c>
      <c r="I123" s="2"/>
      <c r="J123" s="69">
        <f>SUM('Archives Entrées'!$N123:$AAV123)</f>
        <v>0</v>
      </c>
      <c r="K123" s="51" t="str">
        <f t="shared" si="5"/>
        <v>0,00€</v>
      </c>
      <c r="L123" s="69">
        <f>SUM('Archives Sorties'!$M123:$AAY123)</f>
        <v>0</v>
      </c>
      <c r="M123" s="51" t="str">
        <f t="shared" si="6"/>
        <v>0,00€</v>
      </c>
      <c r="O123" s="72">
        <v>10</v>
      </c>
      <c r="P123" s="72">
        <v>30</v>
      </c>
      <c r="R123" s="185">
        <f t="shared" si="7"/>
        <v>15</v>
      </c>
      <c r="S123" s="186">
        <f t="shared" si="8"/>
        <v>1</v>
      </c>
      <c r="T123" s="187" t="str">
        <f>IF(R123="","",IF(O123=0,Famille!$D$5,IF(R123&lt;O123,Famille!$D$2,IF(R123&lt;=P123,Famille!$D$3,Famille!$D$4))))</f>
        <v>En Stock</v>
      </c>
    </row>
    <row r="124" spans="1:20" ht="12" customHeight="1" x14ac:dyDescent="0.2">
      <c r="A124" s="4" t="str">
        <f>IF(Produits!A124="","",Produits!A124)</f>
        <v>Fixation Dorma</v>
      </c>
      <c r="B124" s="4" t="str">
        <f>IF(Produits!B124="","",Produits!B124)</f>
        <v/>
      </c>
      <c r="C124" s="4" t="str">
        <f>IF(Produits!C124="","",Produits!C124)</f>
        <v>1000,00,0121</v>
      </c>
      <c r="D124" s="4" t="str">
        <f>IF(Produits!D124="","",Produits!D124)</f>
        <v>AA245</v>
      </c>
      <c r="E124" s="49" t="str">
        <f>IF(Produits!F124="","",Produits!F124)</f>
        <v>1 pcs</v>
      </c>
      <c r="F124" s="50">
        <f>IF(Produits!H124="","",Produits!H124)</f>
        <v>130</v>
      </c>
      <c r="G124" s="5"/>
      <c r="H124" s="37">
        <v>0</v>
      </c>
      <c r="I124" s="2"/>
      <c r="J124" s="69">
        <f>SUM('Archives Entrées'!$N124:$AAV124)</f>
        <v>0</v>
      </c>
      <c r="K124" s="51" t="str">
        <f t="shared" si="5"/>
        <v>0,00€</v>
      </c>
      <c r="L124" s="69">
        <f>SUM('Archives Sorties'!$M124:$AAY124)</f>
        <v>0</v>
      </c>
      <c r="M124" s="51" t="str">
        <f t="shared" si="6"/>
        <v>0,00€</v>
      </c>
      <c r="O124" s="72">
        <v>0</v>
      </c>
      <c r="P124" s="72">
        <v>0</v>
      </c>
      <c r="R124" s="185">
        <f t="shared" si="7"/>
        <v>0</v>
      </c>
      <c r="S124" s="186">
        <f t="shared" si="8"/>
        <v>0</v>
      </c>
      <c r="T124" s="187" t="str">
        <f>IF(R124="","",IF(O124=0,Famille!$D$5,IF(R124&lt;O124,Famille!$D$2,IF(R124&lt;=P124,Famille!$D$3,Famille!$D$4))))</f>
        <v>Sur commande</v>
      </c>
    </row>
    <row r="125" spans="1:20" ht="12" customHeight="1" x14ac:dyDescent="0.2">
      <c r="A125" s="4" t="str">
        <f>IF(Produits!A125="","",Produits!A125)</f>
        <v>Fixation Dorma</v>
      </c>
      <c r="B125" s="4" t="str">
        <f>IF(Produits!B125="","",Produits!B125)</f>
        <v/>
      </c>
      <c r="C125" s="4" t="str">
        <f>IF(Produits!C125="","",Produits!C125)</f>
        <v>1000,00,0122</v>
      </c>
      <c r="D125" s="4" t="str">
        <f>IF(Produits!D125="","",Produits!D125)</f>
        <v>AA246</v>
      </c>
      <c r="E125" s="49" t="str">
        <f>IF(Produits!F125="","",Produits!F125)</f>
        <v>1 pcs</v>
      </c>
      <c r="F125" s="50">
        <f>IF(Produits!H125="","",Produits!H125)</f>
        <v>131</v>
      </c>
      <c r="G125" s="5"/>
      <c r="H125" s="37">
        <v>0</v>
      </c>
      <c r="I125" s="2"/>
      <c r="J125" s="69">
        <f>SUM('Archives Entrées'!$N125:$AAV125)</f>
        <v>0</v>
      </c>
      <c r="K125" s="51" t="str">
        <f t="shared" si="5"/>
        <v>0,00€</v>
      </c>
      <c r="L125" s="69">
        <f>SUM('Archives Sorties'!$M125:$AAY125)</f>
        <v>0</v>
      </c>
      <c r="M125" s="51" t="str">
        <f t="shared" si="6"/>
        <v>0,00€</v>
      </c>
      <c r="O125" s="72">
        <v>0</v>
      </c>
      <c r="P125" s="72">
        <v>0</v>
      </c>
      <c r="R125" s="185">
        <f t="shared" si="7"/>
        <v>0</v>
      </c>
      <c r="S125" s="186">
        <f t="shared" si="8"/>
        <v>0</v>
      </c>
      <c r="T125" s="187" t="str">
        <f>IF(R125="","",IF(O125=0,Famille!$D$5,IF(R125&lt;O125,Famille!$D$2,IF(R125&lt;=P125,Famille!$D$3,Famille!$D$4))))</f>
        <v>Sur commande</v>
      </c>
    </row>
    <row r="126" spans="1:20" ht="12" customHeight="1" x14ac:dyDescent="0.2">
      <c r="A126" s="4" t="str">
        <f>IF(Produits!A126="","",Produits!A126)</f>
        <v>Fixation Dorma</v>
      </c>
      <c r="B126" s="4" t="str">
        <f>IF(Produits!B126="","",Produits!B126)</f>
        <v/>
      </c>
      <c r="C126" s="4" t="str">
        <f>IF(Produits!C126="","",Produits!C126)</f>
        <v>1000,00,0123</v>
      </c>
      <c r="D126" s="4" t="str">
        <f>IF(Produits!D126="","",Produits!D126)</f>
        <v>AA247</v>
      </c>
      <c r="E126" s="49" t="str">
        <f>IF(Produits!F126="","",Produits!F126)</f>
        <v>1 pcs</v>
      </c>
      <c r="F126" s="50">
        <f>IF(Produits!H126="","",Produits!H126)</f>
        <v>132</v>
      </c>
      <c r="G126" s="5"/>
      <c r="H126" s="37">
        <v>0</v>
      </c>
      <c r="I126" s="2"/>
      <c r="J126" s="69">
        <f>SUM('Archives Entrées'!$N126:$AAV126)</f>
        <v>0</v>
      </c>
      <c r="K126" s="51" t="str">
        <f t="shared" si="5"/>
        <v>0,00€</v>
      </c>
      <c r="L126" s="69">
        <f>SUM('Archives Sorties'!$M126:$AAY126)</f>
        <v>0</v>
      </c>
      <c r="M126" s="51" t="str">
        <f t="shared" si="6"/>
        <v>0,00€</v>
      </c>
      <c r="O126" s="72">
        <v>0</v>
      </c>
      <c r="P126" s="72">
        <v>0</v>
      </c>
      <c r="R126" s="185">
        <f t="shared" si="7"/>
        <v>0</v>
      </c>
      <c r="S126" s="186">
        <f t="shared" si="8"/>
        <v>0</v>
      </c>
      <c r="T126" s="187" t="str">
        <f>IF(R126="","",IF(O126=0,Famille!$D$5,IF(R126&lt;O126,Famille!$D$2,IF(R126&lt;=P126,Famille!$D$3,Famille!$D$4))))</f>
        <v>Sur commande</v>
      </c>
    </row>
    <row r="127" spans="1:20" ht="12" customHeight="1" x14ac:dyDescent="0.2">
      <c r="A127" s="4" t="str">
        <f>IF(Produits!A127="","",Produits!A127)</f>
        <v>Fixation Dorma</v>
      </c>
      <c r="B127" s="4" t="str">
        <f>IF(Produits!B127="","",Produits!B127)</f>
        <v/>
      </c>
      <c r="C127" s="4" t="str">
        <f>IF(Produits!C127="","",Produits!C127)</f>
        <v>1000,00,0124</v>
      </c>
      <c r="D127" s="4" t="str">
        <f>IF(Produits!D127="","",Produits!D127)</f>
        <v>AA248</v>
      </c>
      <c r="E127" s="49" t="str">
        <f>IF(Produits!F127="","",Produits!F127)</f>
        <v>1 pcs</v>
      </c>
      <c r="F127" s="50">
        <f>IF(Produits!H127="","",Produits!H127)</f>
        <v>133</v>
      </c>
      <c r="G127" s="5"/>
      <c r="H127" s="37">
        <v>0</v>
      </c>
      <c r="I127" s="2"/>
      <c r="J127" s="69">
        <f>SUM('Archives Entrées'!$N127:$AAV127)</f>
        <v>0</v>
      </c>
      <c r="K127" s="51" t="str">
        <f t="shared" si="5"/>
        <v>0,00€</v>
      </c>
      <c r="L127" s="69">
        <f>SUM('Archives Sorties'!$M127:$AAY127)</f>
        <v>0</v>
      </c>
      <c r="M127" s="51" t="str">
        <f t="shared" si="6"/>
        <v>0,00€</v>
      </c>
      <c r="O127" s="72">
        <v>0</v>
      </c>
      <c r="P127" s="72">
        <v>0</v>
      </c>
      <c r="R127" s="185">
        <f t="shared" si="7"/>
        <v>0</v>
      </c>
      <c r="S127" s="186">
        <f t="shared" si="8"/>
        <v>0</v>
      </c>
      <c r="T127" s="187" t="str">
        <f>IF(R127="","",IF(O127=0,Famille!$D$5,IF(R127&lt;O127,Famille!$D$2,IF(R127&lt;=P127,Famille!$D$3,Famille!$D$4))))</f>
        <v>Sur commande</v>
      </c>
    </row>
    <row r="128" spans="1:20" ht="12" customHeight="1" x14ac:dyDescent="0.2">
      <c r="A128" s="4" t="str">
        <f>IF(Produits!A128="","",Produits!A128)</f>
        <v>Fixation Dorma</v>
      </c>
      <c r="B128" s="4" t="str">
        <f>IF(Produits!B128="","",Produits!B128)</f>
        <v/>
      </c>
      <c r="C128" s="4" t="str">
        <f>IF(Produits!C128="","",Produits!C128)</f>
        <v>1000,00,0125</v>
      </c>
      <c r="D128" s="4" t="str">
        <f>IF(Produits!D128="","",Produits!D128)</f>
        <v>AA249</v>
      </c>
      <c r="E128" s="49" t="str">
        <f>IF(Produits!F128="","",Produits!F128)</f>
        <v>1 pcs</v>
      </c>
      <c r="F128" s="50">
        <f>IF(Produits!H128="","",Produits!H128)</f>
        <v>134</v>
      </c>
      <c r="G128" s="5"/>
      <c r="H128" s="37">
        <v>0</v>
      </c>
      <c r="I128" s="2"/>
      <c r="J128" s="69">
        <f>SUM('Archives Entrées'!$N128:$AAV128)</f>
        <v>0</v>
      </c>
      <c r="K128" s="51" t="str">
        <f t="shared" si="5"/>
        <v>0,00€</v>
      </c>
      <c r="L128" s="69">
        <f>SUM('Archives Sorties'!$M128:$AAY128)</f>
        <v>0</v>
      </c>
      <c r="M128" s="51" t="str">
        <f t="shared" si="6"/>
        <v>0,00€</v>
      </c>
      <c r="O128" s="72">
        <v>0</v>
      </c>
      <c r="P128" s="72">
        <v>0</v>
      </c>
      <c r="R128" s="185">
        <f t="shared" si="7"/>
        <v>0</v>
      </c>
      <c r="S128" s="186">
        <f t="shared" si="8"/>
        <v>0</v>
      </c>
      <c r="T128" s="187" t="str">
        <f>IF(R128="","",IF(O128=0,Famille!$D$5,IF(R128&lt;O128,Famille!$D$2,IF(R128&lt;=P128,Famille!$D$3,Famille!$D$4))))</f>
        <v>Sur commande</v>
      </c>
    </row>
    <row r="129" spans="1:20" ht="12" customHeight="1" x14ac:dyDescent="0.2">
      <c r="A129" s="4" t="str">
        <f>IF(Produits!A129="","",Produits!A129)</f>
        <v>Fixation Dorma</v>
      </c>
      <c r="B129" s="4" t="str">
        <f>IF(Produits!B129="","",Produits!B129)</f>
        <v/>
      </c>
      <c r="C129" s="4" t="str">
        <f>IF(Produits!C129="","",Produits!C129)</f>
        <v>1000,00,0126</v>
      </c>
      <c r="D129" s="4" t="str">
        <f>IF(Produits!D129="","",Produits!D129)</f>
        <v>AA250</v>
      </c>
      <c r="E129" s="49" t="str">
        <f>IF(Produits!F129="","",Produits!F129)</f>
        <v>1 pcs</v>
      </c>
      <c r="F129" s="50">
        <f>IF(Produits!H129="","",Produits!H129)</f>
        <v>135</v>
      </c>
      <c r="G129" s="5"/>
      <c r="H129" s="37">
        <v>0</v>
      </c>
      <c r="I129" s="2"/>
      <c r="J129" s="69">
        <f>SUM('Archives Entrées'!$N129:$AAV129)</f>
        <v>0</v>
      </c>
      <c r="K129" s="51" t="str">
        <f t="shared" si="5"/>
        <v>0,00€</v>
      </c>
      <c r="L129" s="69">
        <f>SUM('Archives Sorties'!$M129:$AAY129)</f>
        <v>0</v>
      </c>
      <c r="M129" s="51" t="str">
        <f t="shared" si="6"/>
        <v>0,00€</v>
      </c>
      <c r="O129" s="72">
        <v>0</v>
      </c>
      <c r="P129" s="72">
        <v>0</v>
      </c>
      <c r="R129" s="185">
        <f t="shared" si="7"/>
        <v>0</v>
      </c>
      <c r="S129" s="186">
        <f t="shared" si="8"/>
        <v>0</v>
      </c>
      <c r="T129" s="187" t="str">
        <f>IF(R129="","",IF(O129=0,Famille!$D$5,IF(R129&lt;O129,Famille!$D$2,IF(R129&lt;=P129,Famille!$D$3,Famille!$D$4))))</f>
        <v>Sur commande</v>
      </c>
    </row>
    <row r="130" spans="1:20" ht="12" customHeight="1" x14ac:dyDescent="0.2">
      <c r="A130" s="4" t="str">
        <f>IF(Produits!A130="","",Produits!A130)</f>
        <v>Fixation Dorma</v>
      </c>
      <c r="B130" s="4" t="str">
        <f>IF(Produits!B130="","",Produits!B130)</f>
        <v/>
      </c>
      <c r="C130" s="4" t="str">
        <f>IF(Produits!C130="","",Produits!C130)</f>
        <v>1000,00,0127</v>
      </c>
      <c r="D130" s="4" t="str">
        <f>IF(Produits!D130="","",Produits!D130)</f>
        <v>AA251</v>
      </c>
      <c r="E130" s="49" t="str">
        <f>IF(Produits!F130="","",Produits!F130)</f>
        <v>1 pcs</v>
      </c>
      <c r="F130" s="50">
        <f>IF(Produits!H130="","",Produits!H130)</f>
        <v>136</v>
      </c>
      <c r="G130" s="5"/>
      <c r="H130" s="37">
        <v>0</v>
      </c>
      <c r="I130" s="2"/>
      <c r="J130" s="69">
        <f>SUM('Archives Entrées'!$N130:$AAV130)</f>
        <v>0</v>
      </c>
      <c r="K130" s="51" t="str">
        <f t="shared" si="5"/>
        <v>0,00€</v>
      </c>
      <c r="L130" s="69">
        <f>SUM('Archives Sorties'!$M130:$AAY130)</f>
        <v>0</v>
      </c>
      <c r="M130" s="51" t="str">
        <f t="shared" si="6"/>
        <v>0,00€</v>
      </c>
      <c r="O130" s="72">
        <v>0</v>
      </c>
      <c r="P130" s="72">
        <v>0</v>
      </c>
      <c r="R130" s="185">
        <f t="shared" si="7"/>
        <v>0</v>
      </c>
      <c r="S130" s="186">
        <f t="shared" si="8"/>
        <v>0</v>
      </c>
      <c r="T130" s="187" t="str">
        <f>IF(R130="","",IF(O130=0,Famille!$D$5,IF(R130&lt;O130,Famille!$D$2,IF(R130&lt;=P130,Famille!$D$3,Famille!$D$4))))</f>
        <v>Sur commande</v>
      </c>
    </row>
    <row r="131" spans="1:20" ht="12" customHeight="1" x14ac:dyDescent="0.2">
      <c r="A131" s="4" t="str">
        <f>IF(Produits!A131="","",Produits!A131)</f>
        <v>Fixation Dorma</v>
      </c>
      <c r="B131" s="4" t="str">
        <f>IF(Produits!B131="","",Produits!B131)</f>
        <v/>
      </c>
      <c r="C131" s="4" t="str">
        <f>IF(Produits!C131="","",Produits!C131)</f>
        <v>1000,00,0128</v>
      </c>
      <c r="D131" s="4" t="str">
        <f>IF(Produits!D131="","",Produits!D131)</f>
        <v>AA252</v>
      </c>
      <c r="E131" s="49" t="str">
        <f>IF(Produits!F131="","",Produits!F131)</f>
        <v>1 pcs</v>
      </c>
      <c r="F131" s="50">
        <f>IF(Produits!H131="","",Produits!H131)</f>
        <v>137</v>
      </c>
      <c r="G131" s="5"/>
      <c r="H131" s="37">
        <v>0</v>
      </c>
      <c r="I131" s="2"/>
      <c r="J131" s="69">
        <f>SUM('Archives Entrées'!$N131:$AAV131)</f>
        <v>0</v>
      </c>
      <c r="K131" s="51" t="str">
        <f t="shared" si="5"/>
        <v>0,00€</v>
      </c>
      <c r="L131" s="69">
        <f>SUM('Archives Sorties'!$M131:$AAY131)</f>
        <v>0</v>
      </c>
      <c r="M131" s="51" t="str">
        <f t="shared" si="6"/>
        <v>0,00€</v>
      </c>
      <c r="O131" s="72">
        <v>0</v>
      </c>
      <c r="P131" s="72">
        <v>0</v>
      </c>
      <c r="R131" s="185">
        <f t="shared" si="7"/>
        <v>0</v>
      </c>
      <c r="S131" s="186">
        <f t="shared" si="8"/>
        <v>0</v>
      </c>
      <c r="T131" s="187" t="str">
        <f>IF(R131="","",IF(O131=0,Famille!$D$5,IF(R131&lt;O131,Famille!$D$2,IF(R131&lt;=P131,Famille!$D$3,Famille!$D$4))))</f>
        <v>Sur commande</v>
      </c>
    </row>
    <row r="132" spans="1:20" ht="12" customHeight="1" x14ac:dyDescent="0.2">
      <c r="A132" s="4" t="str">
        <f>IF(Produits!A132="","",Produits!A132)</f>
        <v>Fixation Dorma</v>
      </c>
      <c r="B132" s="4" t="str">
        <f>IF(Produits!B132="","",Produits!B132)</f>
        <v/>
      </c>
      <c r="C132" s="4" t="str">
        <f>IF(Produits!C132="","",Produits!C132)</f>
        <v>1000,00,0129</v>
      </c>
      <c r="D132" s="4" t="str">
        <f>IF(Produits!D132="","",Produits!D132)</f>
        <v>AA253</v>
      </c>
      <c r="E132" s="49" t="str">
        <f>IF(Produits!F132="","",Produits!F132)</f>
        <v>1 pcs</v>
      </c>
      <c r="F132" s="50">
        <f>IF(Produits!H132="","",Produits!H132)</f>
        <v>138</v>
      </c>
      <c r="G132" s="5"/>
      <c r="H132" s="37">
        <v>0</v>
      </c>
      <c r="I132" s="2"/>
      <c r="J132" s="69">
        <f>SUM('Archives Entrées'!$N132:$AAV132)</f>
        <v>0</v>
      </c>
      <c r="K132" s="51" t="str">
        <f t="shared" si="5"/>
        <v>0,00€</v>
      </c>
      <c r="L132" s="69">
        <f>SUM('Archives Sorties'!$M132:$AAY132)</f>
        <v>0</v>
      </c>
      <c r="M132" s="51" t="str">
        <f t="shared" si="6"/>
        <v>0,00€</v>
      </c>
      <c r="O132" s="72">
        <v>0</v>
      </c>
      <c r="P132" s="72">
        <v>0</v>
      </c>
      <c r="R132" s="185">
        <f t="shared" si="7"/>
        <v>0</v>
      </c>
      <c r="S132" s="186">
        <f t="shared" si="8"/>
        <v>0</v>
      </c>
      <c r="T132" s="187" t="str">
        <f>IF(R132="","",IF(O132=0,Famille!$D$5,IF(R132&lt;O132,Famille!$D$2,IF(R132&lt;=P132,Famille!$D$3,Famille!$D$4))))</f>
        <v>Sur commande</v>
      </c>
    </row>
    <row r="133" spans="1:20" ht="12" customHeight="1" x14ac:dyDescent="0.2">
      <c r="A133" s="4" t="str">
        <f>IF(Produits!A133="","",Produits!A133)</f>
        <v>Fixation Dorma</v>
      </c>
      <c r="B133" s="4" t="str">
        <f>IF(Produits!B133="","",Produits!B133)</f>
        <v/>
      </c>
      <c r="C133" s="4" t="str">
        <f>IF(Produits!C133="","",Produits!C133)</f>
        <v>1000,00,0130</v>
      </c>
      <c r="D133" s="4" t="str">
        <f>IF(Produits!D133="","",Produits!D133)</f>
        <v>AA254</v>
      </c>
      <c r="E133" s="49" t="str">
        <f>IF(Produits!F133="","",Produits!F133)</f>
        <v>1 pcs</v>
      </c>
      <c r="F133" s="50">
        <f>IF(Produits!H133="","",Produits!H133)</f>
        <v>139</v>
      </c>
      <c r="H133" s="37">
        <v>0</v>
      </c>
      <c r="I133" s="2"/>
      <c r="J133" s="69">
        <f>SUM('Archives Entrées'!$N133:$AAV133)</f>
        <v>0</v>
      </c>
      <c r="K133" s="51" t="str">
        <f t="shared" ref="K133:K196" si="9">IF(J133=0,"0,00€",J133*F133)</f>
        <v>0,00€</v>
      </c>
      <c r="L133" s="69">
        <f>SUM('Archives Sorties'!$M133:$AAY133)</f>
        <v>0</v>
      </c>
      <c r="M133" s="51" t="str">
        <f t="shared" ref="M133:M196" si="10">IF(L133=0,"0,00€",L133*F133)</f>
        <v>0,00€</v>
      </c>
      <c r="O133" s="72">
        <v>0</v>
      </c>
      <c r="P133" s="72">
        <v>0</v>
      </c>
      <c r="R133" s="185">
        <f t="shared" ref="R133:R196" si="11">IF(A133="","",((J133+H133)-L133))</f>
        <v>0</v>
      </c>
      <c r="S133" s="186">
        <f t="shared" ref="S133:S196" si="12">IF(R133="","",IF(R133=0,0,IF(R133&lt;O133,0,IF(R133&lt;=P133,1,2))))</f>
        <v>0</v>
      </c>
      <c r="T133" s="187" t="str">
        <f>IF(R133="","",IF(O133=0,Famille!$D$5,IF(R133&lt;O133,Famille!$D$2,IF(R133&lt;=P133,Famille!$D$3,Famille!$D$4))))</f>
        <v>Sur commande</v>
      </c>
    </row>
    <row r="134" spans="1:20" ht="12" customHeight="1" x14ac:dyDescent="0.2">
      <c r="A134" s="4" t="str">
        <f>IF(Produits!A134="","",Produits!A134)</f>
        <v>Fixation Dorma</v>
      </c>
      <c r="B134" s="4" t="str">
        <f>IF(Produits!B134="","",Produits!B134)</f>
        <v/>
      </c>
      <c r="C134" s="4" t="str">
        <f>IF(Produits!C134="","",Produits!C134)</f>
        <v>1000,00,0131</v>
      </c>
      <c r="D134" s="4" t="str">
        <f>IF(Produits!D134="","",Produits!D134)</f>
        <v>AA255</v>
      </c>
      <c r="E134" s="49" t="str">
        <f>IF(Produits!F134="","",Produits!F134)</f>
        <v>1 pcs</v>
      </c>
      <c r="F134" s="50">
        <f>IF(Produits!H134="","",Produits!H134)</f>
        <v>140</v>
      </c>
      <c r="H134" s="37">
        <v>0</v>
      </c>
      <c r="I134" s="2"/>
      <c r="J134" s="69">
        <f>SUM('Archives Entrées'!$N134:$AAV134)</f>
        <v>0</v>
      </c>
      <c r="K134" s="51" t="str">
        <f t="shared" si="9"/>
        <v>0,00€</v>
      </c>
      <c r="L134" s="69">
        <f>SUM('Archives Sorties'!$M134:$AAY134)</f>
        <v>0</v>
      </c>
      <c r="M134" s="51" t="str">
        <f t="shared" si="10"/>
        <v>0,00€</v>
      </c>
      <c r="O134" s="72">
        <v>0</v>
      </c>
      <c r="P134" s="72">
        <v>0</v>
      </c>
      <c r="R134" s="185">
        <f t="shared" si="11"/>
        <v>0</v>
      </c>
      <c r="S134" s="186">
        <f t="shared" si="12"/>
        <v>0</v>
      </c>
      <c r="T134" s="187" t="str">
        <f>IF(R134="","",IF(O134=0,Famille!$D$5,IF(R134&lt;O134,Famille!$D$2,IF(R134&lt;=P134,Famille!$D$3,Famille!$D$4))))</f>
        <v>Sur commande</v>
      </c>
    </row>
    <row r="135" spans="1:20" ht="12" customHeight="1" x14ac:dyDescent="0.2">
      <c r="A135" s="4" t="str">
        <f>IF(Produits!A135="","",Produits!A135)</f>
        <v>Fixation Dorma</v>
      </c>
      <c r="B135" s="4" t="str">
        <f>IF(Produits!B135="","",Produits!B135)</f>
        <v/>
      </c>
      <c r="C135" s="4" t="str">
        <f>IF(Produits!C135="","",Produits!C135)</f>
        <v>1000,00,0132</v>
      </c>
      <c r="D135" s="4" t="str">
        <f>IF(Produits!D135="","",Produits!D135)</f>
        <v>AA256</v>
      </c>
      <c r="E135" s="49" t="str">
        <f>IF(Produits!F135="","",Produits!F135)</f>
        <v>1 pcs</v>
      </c>
      <c r="F135" s="50">
        <f>IF(Produits!H135="","",Produits!H135)</f>
        <v>141</v>
      </c>
      <c r="H135" s="37">
        <v>0</v>
      </c>
      <c r="I135" s="2"/>
      <c r="J135" s="69">
        <f>SUM('Archives Entrées'!$N135:$AAV135)</f>
        <v>0</v>
      </c>
      <c r="K135" s="51" t="str">
        <f t="shared" si="9"/>
        <v>0,00€</v>
      </c>
      <c r="L135" s="69">
        <f>SUM('Archives Sorties'!$M135:$AAY135)</f>
        <v>0</v>
      </c>
      <c r="M135" s="51" t="str">
        <f t="shared" si="10"/>
        <v>0,00€</v>
      </c>
      <c r="O135" s="72">
        <v>0</v>
      </c>
      <c r="P135" s="72">
        <v>0</v>
      </c>
      <c r="R135" s="185">
        <f t="shared" si="11"/>
        <v>0</v>
      </c>
      <c r="S135" s="186">
        <f t="shared" si="12"/>
        <v>0</v>
      </c>
      <c r="T135" s="187" t="str">
        <f>IF(R135="","",IF(O135=0,Famille!$D$5,IF(R135&lt;O135,Famille!$D$2,IF(R135&lt;=P135,Famille!$D$3,Famille!$D$4))))</f>
        <v>Sur commande</v>
      </c>
    </row>
    <row r="136" spans="1:20" ht="12" customHeight="1" x14ac:dyDescent="0.2">
      <c r="A136" s="4" t="str">
        <f>IF(Produits!A136="","",Produits!A136)</f>
        <v>Fixation Dorma</v>
      </c>
      <c r="B136" s="4" t="str">
        <f>IF(Produits!B136="","",Produits!B136)</f>
        <v/>
      </c>
      <c r="C136" s="4" t="str">
        <f>IF(Produits!C136="","",Produits!C136)</f>
        <v>1000,00,0133</v>
      </c>
      <c r="D136" s="4" t="str">
        <f>IF(Produits!D136="","",Produits!D136)</f>
        <v>AA257</v>
      </c>
      <c r="E136" s="49" t="str">
        <f>IF(Produits!F136="","",Produits!F136)</f>
        <v>1 pcs</v>
      </c>
      <c r="F136" s="50">
        <f>IF(Produits!H136="","",Produits!H136)</f>
        <v>142</v>
      </c>
      <c r="H136" s="37">
        <v>0</v>
      </c>
      <c r="I136" s="2"/>
      <c r="J136" s="69">
        <f>SUM('Archives Entrées'!$N136:$AAV136)</f>
        <v>0</v>
      </c>
      <c r="K136" s="51" t="str">
        <f t="shared" si="9"/>
        <v>0,00€</v>
      </c>
      <c r="L136" s="69">
        <f>SUM('Archives Sorties'!$M136:$AAY136)</f>
        <v>0</v>
      </c>
      <c r="M136" s="51" t="str">
        <f t="shared" si="10"/>
        <v>0,00€</v>
      </c>
      <c r="O136" s="72">
        <v>0</v>
      </c>
      <c r="P136" s="72">
        <v>0</v>
      </c>
      <c r="R136" s="185">
        <f t="shared" si="11"/>
        <v>0</v>
      </c>
      <c r="S136" s="186">
        <f t="shared" si="12"/>
        <v>0</v>
      </c>
      <c r="T136" s="187" t="str">
        <f>IF(R136="","",IF(O136=0,Famille!$D$5,IF(R136&lt;O136,Famille!$D$2,IF(R136&lt;=P136,Famille!$D$3,Famille!$D$4))))</f>
        <v>Sur commande</v>
      </c>
    </row>
    <row r="137" spans="1:20" ht="12" customHeight="1" x14ac:dyDescent="0.2">
      <c r="A137" s="4" t="str">
        <f>IF(Produits!A137="","",Produits!A137)</f>
        <v>Fixation Dorma</v>
      </c>
      <c r="B137" s="4" t="str">
        <f>IF(Produits!B137="","",Produits!B137)</f>
        <v/>
      </c>
      <c r="C137" s="4" t="str">
        <f>IF(Produits!C137="","",Produits!C137)</f>
        <v>1000,00,0134</v>
      </c>
      <c r="D137" s="4" t="str">
        <f>IF(Produits!D137="","",Produits!D137)</f>
        <v>AA258</v>
      </c>
      <c r="E137" s="49" t="str">
        <f>IF(Produits!F137="","",Produits!F137)</f>
        <v>1 pcs</v>
      </c>
      <c r="F137" s="50">
        <f>IF(Produits!H137="","",Produits!H137)</f>
        <v>143</v>
      </c>
      <c r="H137" s="37">
        <v>600</v>
      </c>
      <c r="I137" s="2"/>
      <c r="J137" s="69">
        <f>SUM('Archives Entrées'!$N137:$AAV137)</f>
        <v>0</v>
      </c>
      <c r="K137" s="51" t="str">
        <f t="shared" si="9"/>
        <v>0,00€</v>
      </c>
      <c r="L137" s="69">
        <f>SUM('Archives Sorties'!$M137:$AAY137)</f>
        <v>0</v>
      </c>
      <c r="M137" s="51" t="str">
        <f t="shared" si="10"/>
        <v>0,00€</v>
      </c>
      <c r="O137" s="72">
        <v>400</v>
      </c>
      <c r="P137" s="72">
        <v>1000</v>
      </c>
      <c r="R137" s="185">
        <f t="shared" si="11"/>
        <v>600</v>
      </c>
      <c r="S137" s="186">
        <f t="shared" si="12"/>
        <v>1</v>
      </c>
      <c r="T137" s="187" t="str">
        <f>IF(R137="","",IF(O137=0,Famille!$D$5,IF(R137&lt;O137,Famille!$D$2,IF(R137&lt;=P137,Famille!$D$3,Famille!$D$4))))</f>
        <v>En Stock</v>
      </c>
    </row>
    <row r="138" spans="1:20" ht="12" customHeight="1" x14ac:dyDescent="0.2">
      <c r="A138" s="4" t="str">
        <f>IF(Produits!A138="","",Produits!A138)</f>
        <v>Fixation Dorma</v>
      </c>
      <c r="B138" s="4" t="str">
        <f>IF(Produits!B138="","",Produits!B138)</f>
        <v/>
      </c>
      <c r="C138" s="4" t="str">
        <f>IF(Produits!C138="","",Produits!C138)</f>
        <v>1000,00,0135</v>
      </c>
      <c r="D138" s="4" t="str">
        <f>IF(Produits!D138="","",Produits!D138)</f>
        <v>AA259</v>
      </c>
      <c r="E138" s="49" t="str">
        <f>IF(Produits!F138="","",Produits!F138)</f>
        <v>1 pcs</v>
      </c>
      <c r="F138" s="50">
        <f>IF(Produits!H138="","",Produits!H138)</f>
        <v>144</v>
      </c>
      <c r="H138" s="37">
        <v>300</v>
      </c>
      <c r="I138" s="2"/>
      <c r="J138" s="69">
        <f>SUM('Archives Entrées'!$N138:$AAV138)</f>
        <v>0</v>
      </c>
      <c r="K138" s="51" t="str">
        <f t="shared" si="9"/>
        <v>0,00€</v>
      </c>
      <c r="L138" s="69">
        <f>SUM('Archives Sorties'!$M138:$AAY138)</f>
        <v>0</v>
      </c>
      <c r="M138" s="51" t="str">
        <f t="shared" si="10"/>
        <v>0,00€</v>
      </c>
      <c r="O138" s="72">
        <v>200</v>
      </c>
      <c r="P138" s="72">
        <v>600</v>
      </c>
      <c r="R138" s="185">
        <f t="shared" si="11"/>
        <v>300</v>
      </c>
      <c r="S138" s="186">
        <f t="shared" si="12"/>
        <v>1</v>
      </c>
      <c r="T138" s="187" t="str">
        <f>IF(R138="","",IF(O138=0,Famille!$D$5,IF(R138&lt;O138,Famille!$D$2,IF(R138&lt;=P138,Famille!$D$3,Famille!$D$4))))</f>
        <v>En Stock</v>
      </c>
    </row>
    <row r="139" spans="1:20" ht="12" customHeight="1" x14ac:dyDescent="0.2">
      <c r="A139" s="4" t="str">
        <f>IF(Produits!A139="","",Produits!A139)</f>
        <v>Fixation Dorma</v>
      </c>
      <c r="B139" s="4" t="str">
        <f>IF(Produits!B139="","",Produits!B139)</f>
        <v/>
      </c>
      <c r="C139" s="4" t="str">
        <f>IF(Produits!C139="","",Produits!C139)</f>
        <v>1000,00,0136</v>
      </c>
      <c r="D139" s="4" t="str">
        <f>IF(Produits!D139="","",Produits!D139)</f>
        <v>AA260</v>
      </c>
      <c r="E139" s="49" t="str">
        <f>IF(Produits!F139="","",Produits!F139)</f>
        <v>1 pcs</v>
      </c>
      <c r="F139" s="50">
        <f>IF(Produits!H139="","",Produits!H139)</f>
        <v>145</v>
      </c>
      <c r="H139" s="37">
        <v>1000</v>
      </c>
      <c r="I139" s="2"/>
      <c r="J139" s="69">
        <f>SUM('Archives Entrées'!$N139:$AAV139)</f>
        <v>0</v>
      </c>
      <c r="K139" s="51" t="str">
        <f t="shared" si="9"/>
        <v>0,00€</v>
      </c>
      <c r="L139" s="69">
        <f>SUM('Archives Sorties'!$M139:$AAY139)</f>
        <v>0</v>
      </c>
      <c r="M139" s="51" t="str">
        <f t="shared" si="10"/>
        <v>0,00€</v>
      </c>
      <c r="O139" s="72">
        <v>150</v>
      </c>
      <c r="P139" s="72">
        <v>300</v>
      </c>
      <c r="R139" s="185">
        <f t="shared" si="11"/>
        <v>1000</v>
      </c>
      <c r="S139" s="186">
        <f t="shared" si="12"/>
        <v>2</v>
      </c>
      <c r="T139" s="187" t="str">
        <f>IF(R139="","",IF(O139=0,Famille!$D$5,IF(R139&lt;O139,Famille!$D$2,IF(R139&lt;=P139,Famille!$D$3,Famille!$D$4))))</f>
        <v>Surstockage</v>
      </c>
    </row>
    <row r="140" spans="1:20" ht="12" customHeight="1" x14ac:dyDescent="0.2">
      <c r="A140" s="4" t="str">
        <f>IF(Produits!A140="","",Produits!A140)</f>
        <v>Fixation Dorma</v>
      </c>
      <c r="B140" s="4" t="str">
        <f>IF(Produits!B140="","",Produits!B140)</f>
        <v/>
      </c>
      <c r="C140" s="4" t="str">
        <f>IF(Produits!C140="","",Produits!C140)</f>
        <v>1000,00,0137</v>
      </c>
      <c r="D140" s="4" t="str">
        <f>IF(Produits!D140="","",Produits!D140)</f>
        <v>AA261</v>
      </c>
      <c r="E140" s="49" t="str">
        <f>IF(Produits!F140="","",Produits!F140)</f>
        <v>1 pcs</v>
      </c>
      <c r="F140" s="50">
        <f>IF(Produits!H140="","",Produits!H140)</f>
        <v>146</v>
      </c>
      <c r="H140" s="37">
        <v>1300</v>
      </c>
      <c r="I140" s="2"/>
      <c r="J140" s="69">
        <f>SUM('Archives Entrées'!$N140:$AAV140)</f>
        <v>0</v>
      </c>
      <c r="K140" s="51" t="str">
        <f t="shared" si="9"/>
        <v>0,00€</v>
      </c>
      <c r="L140" s="69">
        <f>SUM('Archives Sorties'!$M140:$AAY140)</f>
        <v>0</v>
      </c>
      <c r="M140" s="51" t="str">
        <f t="shared" si="10"/>
        <v>0,00€</v>
      </c>
      <c r="O140" s="72">
        <v>500</v>
      </c>
      <c r="P140" s="72">
        <v>1500</v>
      </c>
      <c r="R140" s="185">
        <f t="shared" si="11"/>
        <v>1300</v>
      </c>
      <c r="S140" s="186">
        <f t="shared" si="12"/>
        <v>1</v>
      </c>
      <c r="T140" s="187" t="str">
        <f>IF(R140="","",IF(O140=0,Famille!$D$5,IF(R140&lt;O140,Famille!$D$2,IF(R140&lt;=P140,Famille!$D$3,Famille!$D$4))))</f>
        <v>En Stock</v>
      </c>
    </row>
    <row r="141" spans="1:20" ht="12" customHeight="1" x14ac:dyDescent="0.2">
      <c r="A141" s="4" t="str">
        <f>IF(Produits!A141="","",Produits!A141)</f>
        <v>Fixation Dorma</v>
      </c>
      <c r="B141" s="4" t="str">
        <f>IF(Produits!B141="","",Produits!B141)</f>
        <v/>
      </c>
      <c r="C141" s="4" t="str">
        <f>IF(Produits!C141="","",Produits!C141)</f>
        <v>1000,00,0138</v>
      </c>
      <c r="D141" s="4" t="str">
        <f>IF(Produits!D141="","",Produits!D141)</f>
        <v>AA262</v>
      </c>
      <c r="E141" s="49" t="str">
        <f>IF(Produits!F141="","",Produits!F141)</f>
        <v>1 pcs</v>
      </c>
      <c r="F141" s="50">
        <f>IF(Produits!H141="","",Produits!H141)</f>
        <v>147</v>
      </c>
      <c r="H141" s="37">
        <v>0</v>
      </c>
      <c r="I141" s="2"/>
      <c r="J141" s="69">
        <f>SUM('Archives Entrées'!$N141:$AAV141)</f>
        <v>0</v>
      </c>
      <c r="K141" s="51" t="str">
        <f t="shared" si="9"/>
        <v>0,00€</v>
      </c>
      <c r="L141" s="69">
        <f>SUM('Archives Sorties'!$M141:$AAY141)</f>
        <v>0</v>
      </c>
      <c r="M141" s="51" t="str">
        <f t="shared" si="10"/>
        <v>0,00€</v>
      </c>
      <c r="O141" s="72">
        <v>0</v>
      </c>
      <c r="P141" s="72">
        <v>0</v>
      </c>
      <c r="R141" s="185">
        <f t="shared" si="11"/>
        <v>0</v>
      </c>
      <c r="S141" s="186">
        <f t="shared" si="12"/>
        <v>0</v>
      </c>
      <c r="T141" s="187" t="str">
        <f>IF(R141="","",IF(O141=0,Famille!$D$5,IF(R141&lt;O141,Famille!$D$2,IF(R141&lt;=P141,Famille!$D$3,Famille!$D$4))))</f>
        <v>Sur commande</v>
      </c>
    </row>
    <row r="142" spans="1:20" ht="12" customHeight="1" x14ac:dyDescent="0.2">
      <c r="A142" s="4" t="str">
        <f>IF(Produits!A142="","",Produits!A142)</f>
        <v>Fixation Dorma</v>
      </c>
      <c r="B142" s="4" t="str">
        <f>IF(Produits!B142="","",Produits!B142)</f>
        <v/>
      </c>
      <c r="C142" s="4" t="str">
        <f>IF(Produits!C142="","",Produits!C142)</f>
        <v>1000,00,0139</v>
      </c>
      <c r="D142" s="4" t="str">
        <f>IF(Produits!D142="","",Produits!D142)</f>
        <v>AA263</v>
      </c>
      <c r="E142" s="49" t="str">
        <f>IF(Produits!F142="","",Produits!F142)</f>
        <v>1 pcs</v>
      </c>
      <c r="F142" s="50">
        <f>IF(Produits!H142="","",Produits!H142)</f>
        <v>148</v>
      </c>
      <c r="H142" s="37">
        <v>0</v>
      </c>
      <c r="I142" s="2"/>
      <c r="J142" s="69">
        <f>SUM('Archives Entrées'!$N142:$AAV142)</f>
        <v>0</v>
      </c>
      <c r="K142" s="51" t="str">
        <f t="shared" si="9"/>
        <v>0,00€</v>
      </c>
      <c r="L142" s="69">
        <f>SUM('Archives Sorties'!$M142:$AAY142)</f>
        <v>0</v>
      </c>
      <c r="M142" s="51" t="str">
        <f t="shared" si="10"/>
        <v>0,00€</v>
      </c>
      <c r="O142" s="72">
        <v>0</v>
      </c>
      <c r="P142" s="72">
        <v>0</v>
      </c>
      <c r="R142" s="185">
        <f t="shared" si="11"/>
        <v>0</v>
      </c>
      <c r="S142" s="186">
        <f t="shared" si="12"/>
        <v>0</v>
      </c>
      <c r="T142" s="187" t="str">
        <f>IF(R142="","",IF(O142=0,Famille!$D$5,IF(R142&lt;O142,Famille!$D$2,IF(R142&lt;=P142,Famille!$D$3,Famille!$D$4))))</f>
        <v>Sur commande</v>
      </c>
    </row>
    <row r="143" spans="1:20" ht="12" customHeight="1" x14ac:dyDescent="0.2">
      <c r="A143" s="4" t="str">
        <f>IF(Produits!A143="","",Produits!A143)</f>
        <v>Fixation Dorma</v>
      </c>
      <c r="B143" s="4" t="str">
        <f>IF(Produits!B143="","",Produits!B143)</f>
        <v/>
      </c>
      <c r="C143" s="4" t="str">
        <f>IF(Produits!C143="","",Produits!C143)</f>
        <v>1000,00,0140</v>
      </c>
      <c r="D143" s="4" t="str">
        <f>IF(Produits!D143="","",Produits!D143)</f>
        <v>AA264</v>
      </c>
      <c r="E143" s="49" t="str">
        <f>IF(Produits!F143="","",Produits!F143)</f>
        <v>1 pcs</v>
      </c>
      <c r="F143" s="50">
        <f>IF(Produits!H143="","",Produits!H143)</f>
        <v>149</v>
      </c>
      <c r="H143" s="37">
        <v>150</v>
      </c>
      <c r="I143" s="2"/>
      <c r="J143" s="69">
        <f>SUM('Archives Entrées'!$N143:$AAV143)</f>
        <v>0</v>
      </c>
      <c r="K143" s="51" t="str">
        <f t="shared" si="9"/>
        <v>0,00€</v>
      </c>
      <c r="L143" s="69">
        <f>SUM('Archives Sorties'!$M143:$AAY143)</f>
        <v>0</v>
      </c>
      <c r="M143" s="51" t="str">
        <f t="shared" si="10"/>
        <v>0,00€</v>
      </c>
      <c r="O143" s="72">
        <v>100</v>
      </c>
      <c r="P143" s="72">
        <v>150</v>
      </c>
      <c r="R143" s="185">
        <f t="shared" si="11"/>
        <v>150</v>
      </c>
      <c r="S143" s="186">
        <f t="shared" si="12"/>
        <v>1</v>
      </c>
      <c r="T143" s="187" t="str">
        <f>IF(R143="","",IF(O143=0,Famille!$D$5,IF(R143&lt;O143,Famille!$D$2,IF(R143&lt;=P143,Famille!$D$3,Famille!$D$4))))</f>
        <v>En Stock</v>
      </c>
    </row>
    <row r="144" spans="1:20" ht="12" customHeight="1" x14ac:dyDescent="0.2">
      <c r="A144" s="4" t="str">
        <f>IF(Produits!A144="","",Produits!A144)</f>
        <v>Fixation Dorma</v>
      </c>
      <c r="B144" s="4" t="str">
        <f>IF(Produits!B144="","",Produits!B144)</f>
        <v/>
      </c>
      <c r="C144" s="4" t="str">
        <f>IF(Produits!C144="","",Produits!C144)</f>
        <v>1000,00,0141</v>
      </c>
      <c r="D144" s="4" t="str">
        <f>IF(Produits!D144="","",Produits!D144)</f>
        <v>AA265</v>
      </c>
      <c r="E144" s="49" t="str">
        <f>IF(Produits!F144="","",Produits!F144)</f>
        <v>1 pcs</v>
      </c>
      <c r="F144" s="50">
        <f>IF(Produits!H144="","",Produits!H144)</f>
        <v>150</v>
      </c>
      <c r="H144" s="37">
        <v>300</v>
      </c>
      <c r="I144" s="2"/>
      <c r="J144" s="69">
        <f>SUM('Archives Entrées'!$N144:$AAV144)</f>
        <v>0</v>
      </c>
      <c r="K144" s="51" t="str">
        <f t="shared" si="9"/>
        <v>0,00€</v>
      </c>
      <c r="L144" s="69">
        <f>SUM('Archives Sorties'!$M144:$AAY144)</f>
        <v>0</v>
      </c>
      <c r="M144" s="51" t="str">
        <f t="shared" si="10"/>
        <v>0,00€</v>
      </c>
      <c r="O144" s="72">
        <v>225</v>
      </c>
      <c r="P144" s="72">
        <v>400</v>
      </c>
      <c r="R144" s="185">
        <f t="shared" si="11"/>
        <v>300</v>
      </c>
      <c r="S144" s="186">
        <f t="shared" si="12"/>
        <v>1</v>
      </c>
      <c r="T144" s="187" t="str">
        <f>IF(R144="","",IF(O144=0,Famille!$D$5,IF(R144&lt;O144,Famille!$D$2,IF(R144&lt;=P144,Famille!$D$3,Famille!$D$4))))</f>
        <v>En Stock</v>
      </c>
    </row>
    <row r="145" spans="1:20" ht="12" customHeight="1" x14ac:dyDescent="0.2">
      <c r="A145" s="4" t="str">
        <f>IF(Produits!A145="","",Produits!A145)</f>
        <v>Fixation Dorma</v>
      </c>
      <c r="B145" s="4" t="str">
        <f>IF(Produits!B145="","",Produits!B145)</f>
        <v/>
      </c>
      <c r="C145" s="4" t="str">
        <f>IF(Produits!C145="","",Produits!C145)</f>
        <v>1000,00,0142</v>
      </c>
      <c r="D145" s="4" t="str">
        <f>IF(Produits!D145="","",Produits!D145)</f>
        <v>AA266</v>
      </c>
      <c r="E145" s="49" t="str">
        <f>IF(Produits!F145="","",Produits!F145)</f>
        <v>1 pcs</v>
      </c>
      <c r="F145" s="50">
        <f>IF(Produits!H145="","",Produits!H145)</f>
        <v>151</v>
      </c>
      <c r="H145" s="37">
        <v>0</v>
      </c>
      <c r="I145" s="2"/>
      <c r="J145" s="69">
        <f>SUM('Archives Entrées'!$N145:$AAV145)</f>
        <v>0</v>
      </c>
      <c r="K145" s="51" t="str">
        <f t="shared" si="9"/>
        <v>0,00€</v>
      </c>
      <c r="L145" s="69">
        <f>SUM('Archives Sorties'!$M145:$AAY145)</f>
        <v>0</v>
      </c>
      <c r="M145" s="51" t="str">
        <f t="shared" si="10"/>
        <v>0,00€</v>
      </c>
      <c r="O145" s="72">
        <v>0</v>
      </c>
      <c r="P145" s="72">
        <v>0</v>
      </c>
      <c r="R145" s="185">
        <f t="shared" si="11"/>
        <v>0</v>
      </c>
      <c r="S145" s="186">
        <f t="shared" si="12"/>
        <v>0</v>
      </c>
      <c r="T145" s="187" t="str">
        <f>IF(R145="","",IF(O145=0,Famille!$D$5,IF(R145&lt;O145,Famille!$D$2,IF(R145&lt;=P145,Famille!$D$3,Famille!$D$4))))</f>
        <v>Sur commande</v>
      </c>
    </row>
    <row r="146" spans="1:20" ht="12" customHeight="1" x14ac:dyDescent="0.2">
      <c r="A146" s="4" t="str">
        <f>IF(Produits!A146="","",Produits!A146)</f>
        <v>Fixation Dorma</v>
      </c>
      <c r="B146" s="4" t="str">
        <f>IF(Produits!B146="","",Produits!B146)</f>
        <v/>
      </c>
      <c r="C146" s="4" t="str">
        <f>IF(Produits!C146="","",Produits!C146)</f>
        <v>1000,00,0143</v>
      </c>
      <c r="D146" s="4" t="str">
        <f>IF(Produits!D146="","",Produits!D146)</f>
        <v>AA267</v>
      </c>
      <c r="E146" s="49" t="str">
        <f>IF(Produits!F146="","",Produits!F146)</f>
        <v>1 pcs</v>
      </c>
      <c r="F146" s="50">
        <f>IF(Produits!H146="","",Produits!H146)</f>
        <v>152</v>
      </c>
      <c r="H146" s="37">
        <v>480</v>
      </c>
      <c r="I146" s="2"/>
      <c r="J146" s="69">
        <f>SUM('Archives Entrées'!$N146:$AAV146)</f>
        <v>0</v>
      </c>
      <c r="K146" s="51" t="str">
        <f t="shared" si="9"/>
        <v>0,00€</v>
      </c>
      <c r="L146" s="69">
        <f>SUM('Archives Sorties'!$M146:$AAY146)</f>
        <v>0</v>
      </c>
      <c r="M146" s="51" t="str">
        <f t="shared" si="10"/>
        <v>0,00€</v>
      </c>
      <c r="O146" s="72">
        <v>500</v>
      </c>
      <c r="P146" s="72">
        <v>1000</v>
      </c>
      <c r="R146" s="185">
        <f t="shared" si="11"/>
        <v>480</v>
      </c>
      <c r="S146" s="186">
        <f t="shared" si="12"/>
        <v>0</v>
      </c>
      <c r="T146" s="187" t="str">
        <f>IF(R146="","",IF(O146=0,Famille!$D$5,IF(R146&lt;O146,Famille!$D$2,IF(R146&lt;=P146,Famille!$D$3,Famille!$D$4))))</f>
        <v>A commander</v>
      </c>
    </row>
    <row r="147" spans="1:20" ht="12" customHeight="1" x14ac:dyDescent="0.2">
      <c r="A147" s="4" t="str">
        <f>IF(Produits!A147="","",Produits!A147)</f>
        <v>Fixation Dorma</v>
      </c>
      <c r="B147" s="4" t="str">
        <f>IF(Produits!B147="","",Produits!B147)</f>
        <v/>
      </c>
      <c r="C147" s="4" t="str">
        <f>IF(Produits!C147="","",Produits!C147)</f>
        <v>1000,00,0144</v>
      </c>
      <c r="D147" s="4" t="str">
        <f>IF(Produits!D147="","",Produits!D147)</f>
        <v>AA268</v>
      </c>
      <c r="E147" s="49" t="str">
        <f>IF(Produits!F147="","",Produits!F147)</f>
        <v>1 pcs</v>
      </c>
      <c r="F147" s="50">
        <f>IF(Produits!H147="","",Produits!H147)</f>
        <v>153</v>
      </c>
      <c r="H147" s="37">
        <v>400</v>
      </c>
      <c r="I147" s="2"/>
      <c r="J147" s="69">
        <f>SUM('Archives Entrées'!$N147:$AAV147)</f>
        <v>0</v>
      </c>
      <c r="K147" s="51" t="str">
        <f t="shared" si="9"/>
        <v>0,00€</v>
      </c>
      <c r="L147" s="69">
        <f>SUM('Archives Sorties'!$M147:$AAY147)</f>
        <v>0</v>
      </c>
      <c r="M147" s="51" t="str">
        <f t="shared" si="10"/>
        <v>0,00€</v>
      </c>
      <c r="O147" s="72">
        <v>100</v>
      </c>
      <c r="P147" s="72">
        <v>400</v>
      </c>
      <c r="R147" s="185">
        <f t="shared" si="11"/>
        <v>400</v>
      </c>
      <c r="S147" s="186">
        <f t="shared" si="12"/>
        <v>1</v>
      </c>
      <c r="T147" s="187" t="str">
        <f>IF(R147="","",IF(O147=0,Famille!$D$5,IF(R147&lt;O147,Famille!$D$2,IF(R147&lt;=P147,Famille!$D$3,Famille!$D$4))))</f>
        <v>En Stock</v>
      </c>
    </row>
    <row r="148" spans="1:20" ht="12" customHeight="1" x14ac:dyDescent="0.2">
      <c r="A148" s="4" t="str">
        <f>IF(Produits!A148="","",Produits!A148)</f>
        <v>Galets</v>
      </c>
      <c r="B148" s="4" t="str">
        <f>IF(Produits!B148="","",Produits!B148)</f>
        <v>Général</v>
      </c>
      <c r="C148" s="4" t="str">
        <f>IF(Produits!C148="","",Produits!C148)</f>
        <v>1000,00,0145</v>
      </c>
      <c r="D148" s="4" t="str">
        <f>IF(Produits!D148="","",Produits!D148)</f>
        <v>AA269</v>
      </c>
      <c r="E148" s="49" t="str">
        <f>IF(Produits!F148="","",Produits!F148)</f>
        <v>1 pcs</v>
      </c>
      <c r="F148" s="50">
        <f>IF(Produits!H148="","",Produits!H148)</f>
        <v>154</v>
      </c>
      <c r="H148" s="37">
        <v>0</v>
      </c>
      <c r="I148" s="2"/>
      <c r="J148" s="69">
        <f>SUM('Archives Entrées'!$N148:$AAV148)</f>
        <v>0</v>
      </c>
      <c r="K148" s="51" t="str">
        <f t="shared" si="9"/>
        <v>0,00€</v>
      </c>
      <c r="L148" s="69">
        <f>SUM('Archives Sorties'!$M148:$AAY148)</f>
        <v>0</v>
      </c>
      <c r="M148" s="51" t="str">
        <f t="shared" si="10"/>
        <v>0,00€</v>
      </c>
      <c r="O148" s="72">
        <v>0</v>
      </c>
      <c r="P148" s="72">
        <v>0</v>
      </c>
      <c r="R148" s="185">
        <f t="shared" si="11"/>
        <v>0</v>
      </c>
      <c r="S148" s="186">
        <f t="shared" si="12"/>
        <v>0</v>
      </c>
      <c r="T148" s="187" t="str">
        <f>IF(R148="","",IF(O148=0,Famille!$D$5,IF(R148&lt;O148,Famille!$D$2,IF(R148&lt;=P148,Famille!$D$3,Famille!$D$4))))</f>
        <v>Sur commande</v>
      </c>
    </row>
    <row r="149" spans="1:20" ht="12" customHeight="1" x14ac:dyDescent="0.2">
      <c r="A149" s="4" t="str">
        <f>IF(Produits!A149="","",Produits!A149)</f>
        <v>Galets</v>
      </c>
      <c r="B149" s="4" t="str">
        <f>IF(Produits!B149="","",Produits!B149)</f>
        <v>Général</v>
      </c>
      <c r="C149" s="4" t="str">
        <f>IF(Produits!C149="","",Produits!C149)</f>
        <v>1000,00,0146</v>
      </c>
      <c r="D149" s="4" t="str">
        <f>IF(Produits!D149="","",Produits!D149)</f>
        <v>AA270</v>
      </c>
      <c r="E149" s="49" t="str">
        <f>IF(Produits!F149="","",Produits!F149)</f>
        <v>1 pcs</v>
      </c>
      <c r="F149" s="50">
        <f>IF(Produits!H149="","",Produits!H149)</f>
        <v>155</v>
      </c>
      <c r="H149" s="37">
        <v>0</v>
      </c>
      <c r="I149" s="2"/>
      <c r="J149" s="69">
        <f>SUM('Archives Entrées'!$N149:$AAV149)</f>
        <v>0</v>
      </c>
      <c r="K149" s="51" t="str">
        <f t="shared" si="9"/>
        <v>0,00€</v>
      </c>
      <c r="L149" s="69">
        <f>SUM('Archives Sorties'!$M149:$AAY149)</f>
        <v>0</v>
      </c>
      <c r="M149" s="51" t="str">
        <f t="shared" si="10"/>
        <v>0,00€</v>
      </c>
      <c r="O149" s="72">
        <v>0</v>
      </c>
      <c r="P149" s="72">
        <v>0</v>
      </c>
      <c r="R149" s="185">
        <f t="shared" si="11"/>
        <v>0</v>
      </c>
      <c r="S149" s="186">
        <f t="shared" si="12"/>
        <v>0</v>
      </c>
      <c r="T149" s="187" t="str">
        <f>IF(R149="","",IF(O149=0,Famille!$D$5,IF(R149&lt;O149,Famille!$D$2,IF(R149&lt;=P149,Famille!$D$3,Famille!$D$4))))</f>
        <v>Sur commande</v>
      </c>
    </row>
    <row r="150" spans="1:20" ht="12" customHeight="1" x14ac:dyDescent="0.2">
      <c r="A150" s="4" t="str">
        <f>IF(Produits!A150="","",Produits!A150)</f>
        <v>Galets</v>
      </c>
      <c r="B150" s="4" t="str">
        <f>IF(Produits!B150="","",Produits!B150)</f>
        <v>Général</v>
      </c>
      <c r="C150" s="4" t="str">
        <f>IF(Produits!C150="","",Produits!C150)</f>
        <v>1000,00,0147</v>
      </c>
      <c r="D150" s="4" t="str">
        <f>IF(Produits!D150="","",Produits!D150)</f>
        <v>AA271</v>
      </c>
      <c r="E150" s="49" t="str">
        <f>IF(Produits!F150="","",Produits!F150)</f>
        <v>1 pcs</v>
      </c>
      <c r="F150" s="50">
        <f>IF(Produits!H150="","",Produits!H150)</f>
        <v>156</v>
      </c>
      <c r="H150" s="37">
        <v>0</v>
      </c>
      <c r="I150" s="2"/>
      <c r="J150" s="69">
        <f>SUM('Archives Entrées'!$N150:$AAV150)</f>
        <v>0</v>
      </c>
      <c r="K150" s="51" t="str">
        <f t="shared" si="9"/>
        <v>0,00€</v>
      </c>
      <c r="L150" s="69">
        <f>SUM('Archives Sorties'!$M150:$AAY150)</f>
        <v>0</v>
      </c>
      <c r="M150" s="51" t="str">
        <f t="shared" si="10"/>
        <v>0,00€</v>
      </c>
      <c r="O150" s="72">
        <v>0</v>
      </c>
      <c r="P150" s="72">
        <v>0</v>
      </c>
      <c r="R150" s="185">
        <f t="shared" si="11"/>
        <v>0</v>
      </c>
      <c r="S150" s="186">
        <f t="shared" si="12"/>
        <v>0</v>
      </c>
      <c r="T150" s="187" t="str">
        <f>IF(R150="","",IF(O150=0,Famille!$D$5,IF(R150&lt;O150,Famille!$D$2,IF(R150&lt;=P150,Famille!$D$3,Famille!$D$4))))</f>
        <v>Sur commande</v>
      </c>
    </row>
    <row r="151" spans="1:20" ht="12" customHeight="1" x14ac:dyDescent="0.2">
      <c r="A151" s="4" t="str">
        <f>IF(Produits!A151="","",Produits!A151)</f>
        <v>Galets</v>
      </c>
      <c r="B151" s="4" t="str">
        <f>IF(Produits!B151="","",Produits!B151)</f>
        <v>Général</v>
      </c>
      <c r="C151" s="4" t="str">
        <f>IF(Produits!C151="","",Produits!C151)</f>
        <v>1000,00,0148</v>
      </c>
      <c r="D151" s="4" t="str">
        <f>IF(Produits!D151="","",Produits!D151)</f>
        <v>AA272</v>
      </c>
      <c r="E151" s="49" t="str">
        <f>IF(Produits!F151="","",Produits!F151)</f>
        <v>1 pcs</v>
      </c>
      <c r="F151" s="50">
        <f>IF(Produits!H151="","",Produits!H151)</f>
        <v>157</v>
      </c>
      <c r="H151" s="37">
        <v>0</v>
      </c>
      <c r="I151" s="2"/>
      <c r="J151" s="69">
        <f>SUM('Archives Entrées'!$N151:$AAV151)</f>
        <v>0</v>
      </c>
      <c r="K151" s="51" t="str">
        <f t="shared" si="9"/>
        <v>0,00€</v>
      </c>
      <c r="L151" s="69">
        <f>SUM('Archives Sorties'!$M151:$AAY151)</f>
        <v>0</v>
      </c>
      <c r="M151" s="51" t="str">
        <f t="shared" si="10"/>
        <v>0,00€</v>
      </c>
      <c r="O151" s="72">
        <v>0</v>
      </c>
      <c r="P151" s="72">
        <v>0</v>
      </c>
      <c r="R151" s="185">
        <f t="shared" si="11"/>
        <v>0</v>
      </c>
      <c r="S151" s="186">
        <f t="shared" si="12"/>
        <v>0</v>
      </c>
      <c r="T151" s="187" t="str">
        <f>IF(R151="","",IF(O151=0,Famille!$D$5,IF(R151&lt;O151,Famille!$D$2,IF(R151&lt;=P151,Famille!$D$3,Famille!$D$4))))</f>
        <v>Sur commande</v>
      </c>
    </row>
    <row r="152" spans="1:20" ht="12" customHeight="1" x14ac:dyDescent="0.2">
      <c r="A152" s="4" t="str">
        <f>IF(Produits!A152="","",Produits!A152)</f>
        <v>Galets</v>
      </c>
      <c r="B152" s="4" t="str">
        <f>IF(Produits!B152="","",Produits!B152)</f>
        <v>Général</v>
      </c>
      <c r="C152" s="4" t="str">
        <f>IF(Produits!C152="","",Produits!C152)</f>
        <v>1000,00,0149</v>
      </c>
      <c r="D152" s="4" t="str">
        <f>IF(Produits!D152="","",Produits!D152)</f>
        <v>AA273</v>
      </c>
      <c r="E152" s="49" t="str">
        <f>IF(Produits!F152="","",Produits!F152)</f>
        <v>1 pcs</v>
      </c>
      <c r="F152" s="50">
        <f>IF(Produits!H152="","",Produits!H152)</f>
        <v>158</v>
      </c>
      <c r="H152" s="37">
        <v>0</v>
      </c>
      <c r="I152" s="2"/>
      <c r="J152" s="69">
        <f>SUM('Archives Entrées'!$N152:$AAV152)</f>
        <v>0</v>
      </c>
      <c r="K152" s="51" t="str">
        <f t="shared" si="9"/>
        <v>0,00€</v>
      </c>
      <c r="L152" s="69">
        <f>SUM('Archives Sorties'!$M152:$AAY152)</f>
        <v>0</v>
      </c>
      <c r="M152" s="51" t="str">
        <f t="shared" si="10"/>
        <v>0,00€</v>
      </c>
      <c r="O152" s="72">
        <v>0</v>
      </c>
      <c r="P152" s="72">
        <v>0</v>
      </c>
      <c r="R152" s="185">
        <f t="shared" si="11"/>
        <v>0</v>
      </c>
      <c r="S152" s="186">
        <f t="shared" si="12"/>
        <v>0</v>
      </c>
      <c r="T152" s="187" t="str">
        <f>IF(R152="","",IF(O152=0,Famille!$D$5,IF(R152&lt;O152,Famille!$D$2,IF(R152&lt;=P152,Famille!$D$3,Famille!$D$4))))</f>
        <v>Sur commande</v>
      </c>
    </row>
    <row r="153" spans="1:20" ht="12" customHeight="1" x14ac:dyDescent="0.2">
      <c r="A153" s="4" t="str">
        <f>IF(Produits!A153="","",Produits!A153)</f>
        <v>Galets</v>
      </c>
      <c r="B153" s="4" t="str">
        <f>IF(Produits!B153="","",Produits!B153)</f>
        <v>Général</v>
      </c>
      <c r="C153" s="4" t="str">
        <f>IF(Produits!C153="","",Produits!C153)</f>
        <v>1000,00,0150</v>
      </c>
      <c r="D153" s="4" t="str">
        <f>IF(Produits!D153="","",Produits!D153)</f>
        <v>AA274</v>
      </c>
      <c r="E153" s="49" t="str">
        <f>IF(Produits!F153="","",Produits!F153)</f>
        <v>1 pcs</v>
      </c>
      <c r="F153" s="50">
        <f>IF(Produits!H153="","",Produits!H153)</f>
        <v>159</v>
      </c>
      <c r="H153" s="37">
        <v>0</v>
      </c>
      <c r="I153" s="2"/>
      <c r="J153" s="69">
        <f>SUM('Archives Entrées'!$N153:$AAV153)</f>
        <v>0</v>
      </c>
      <c r="K153" s="51" t="str">
        <f t="shared" si="9"/>
        <v>0,00€</v>
      </c>
      <c r="L153" s="69">
        <f>SUM('Archives Sorties'!$M153:$AAY153)</f>
        <v>0</v>
      </c>
      <c r="M153" s="51" t="str">
        <f t="shared" si="10"/>
        <v>0,00€</v>
      </c>
      <c r="O153" s="72">
        <v>0</v>
      </c>
      <c r="P153" s="72">
        <v>0</v>
      </c>
      <c r="R153" s="185">
        <f t="shared" si="11"/>
        <v>0</v>
      </c>
      <c r="S153" s="186">
        <f t="shared" si="12"/>
        <v>0</v>
      </c>
      <c r="T153" s="187" t="str">
        <f>IF(R153="","",IF(O153=0,Famille!$D$5,IF(R153&lt;O153,Famille!$D$2,IF(R153&lt;=P153,Famille!$D$3,Famille!$D$4))))</f>
        <v>Sur commande</v>
      </c>
    </row>
    <row r="154" spans="1:20" ht="12" customHeight="1" x14ac:dyDescent="0.2">
      <c r="A154" s="4" t="str">
        <f>IF(Produits!A154="","",Produits!A154)</f>
        <v>Galets</v>
      </c>
      <c r="B154" s="4" t="str">
        <f>IF(Produits!B154="","",Produits!B154)</f>
        <v>Général</v>
      </c>
      <c r="C154" s="4" t="str">
        <f>IF(Produits!C154="","",Produits!C154)</f>
        <v>1000,00,0151</v>
      </c>
      <c r="D154" s="4" t="str">
        <f>IF(Produits!D154="","",Produits!D154)</f>
        <v>AA275</v>
      </c>
      <c r="E154" s="49" t="str">
        <f>IF(Produits!F154="","",Produits!F154)</f>
        <v>1 pcs</v>
      </c>
      <c r="F154" s="50">
        <f>IF(Produits!H154="","",Produits!H154)</f>
        <v>160</v>
      </c>
      <c r="H154" s="37">
        <v>0</v>
      </c>
      <c r="I154" s="2"/>
      <c r="J154" s="69">
        <f>SUM('Archives Entrées'!$N154:$AAV154)</f>
        <v>0</v>
      </c>
      <c r="K154" s="51" t="str">
        <f t="shared" si="9"/>
        <v>0,00€</v>
      </c>
      <c r="L154" s="69">
        <f>SUM('Archives Sorties'!$M154:$AAY154)</f>
        <v>0</v>
      </c>
      <c r="M154" s="51" t="str">
        <f t="shared" si="10"/>
        <v>0,00€</v>
      </c>
      <c r="O154" s="72">
        <v>0</v>
      </c>
      <c r="P154" s="72">
        <v>0</v>
      </c>
      <c r="R154" s="185">
        <f t="shared" si="11"/>
        <v>0</v>
      </c>
      <c r="S154" s="186">
        <f t="shared" si="12"/>
        <v>0</v>
      </c>
      <c r="T154" s="187" t="str">
        <f>IF(R154="","",IF(O154=0,Famille!$D$5,IF(R154&lt;O154,Famille!$D$2,IF(R154&lt;=P154,Famille!$D$3,Famille!$D$4))))</f>
        <v>Sur commande</v>
      </c>
    </row>
    <row r="155" spans="1:20" ht="12" customHeight="1" x14ac:dyDescent="0.2">
      <c r="A155" s="4" t="str">
        <f>IF(Produits!A155="","",Produits!A155)</f>
        <v>Galets</v>
      </c>
      <c r="B155" s="4" t="str">
        <f>IF(Produits!B155="","",Produits!B155)</f>
        <v>Moveo</v>
      </c>
      <c r="C155" s="4" t="str">
        <f>IF(Produits!C155="","",Produits!C155)</f>
        <v>1000,00,0152</v>
      </c>
      <c r="D155" s="4" t="str">
        <f>IF(Produits!D155="","",Produits!D155)</f>
        <v>AA276</v>
      </c>
      <c r="E155" s="49" t="str">
        <f>IF(Produits!F155="","",Produits!F155)</f>
        <v>1 pcs</v>
      </c>
      <c r="F155" s="50">
        <f>IF(Produits!H155="","",Produits!H155)</f>
        <v>161</v>
      </c>
      <c r="H155" s="37">
        <v>0</v>
      </c>
      <c r="I155" s="2"/>
      <c r="J155" s="69">
        <f>SUM('Archives Entrées'!$N155:$AAV155)</f>
        <v>0</v>
      </c>
      <c r="K155" s="51" t="str">
        <f t="shared" si="9"/>
        <v>0,00€</v>
      </c>
      <c r="L155" s="69">
        <f>SUM('Archives Sorties'!$M155:$AAY155)</f>
        <v>0</v>
      </c>
      <c r="M155" s="51" t="str">
        <f t="shared" si="10"/>
        <v>0,00€</v>
      </c>
      <c r="O155" s="72">
        <v>0</v>
      </c>
      <c r="P155" s="72">
        <v>0</v>
      </c>
      <c r="R155" s="185">
        <f t="shared" si="11"/>
        <v>0</v>
      </c>
      <c r="S155" s="186">
        <f t="shared" si="12"/>
        <v>0</v>
      </c>
      <c r="T155" s="187" t="str">
        <f>IF(R155="","",IF(O155=0,Famille!$D$5,IF(R155&lt;O155,Famille!$D$2,IF(R155&lt;=P155,Famille!$D$3,Famille!$D$4))))</f>
        <v>Sur commande</v>
      </c>
    </row>
    <row r="156" spans="1:20" ht="12" customHeight="1" x14ac:dyDescent="0.2">
      <c r="A156" s="4" t="str">
        <f>IF(Produits!A156="","",Produits!A156)</f>
        <v>Galets</v>
      </c>
      <c r="B156" s="4" t="str">
        <f>IF(Produits!B156="","",Produits!B156)</f>
        <v>Moveo</v>
      </c>
      <c r="C156" s="4" t="str">
        <f>IF(Produits!C156="","",Produits!C156)</f>
        <v>1000,00,0153</v>
      </c>
      <c r="D156" s="4" t="str">
        <f>IF(Produits!D156="","",Produits!D156)</f>
        <v>AA277</v>
      </c>
      <c r="E156" s="49" t="str">
        <f>IF(Produits!F156="","",Produits!F156)</f>
        <v>1 pcs</v>
      </c>
      <c r="F156" s="50">
        <f>IF(Produits!H156="","",Produits!H156)</f>
        <v>162</v>
      </c>
      <c r="H156" s="37">
        <v>0</v>
      </c>
      <c r="I156" s="2"/>
      <c r="J156" s="69">
        <f>SUM('Archives Entrées'!$N156:$AAV156)</f>
        <v>0</v>
      </c>
      <c r="K156" s="51" t="str">
        <f t="shared" si="9"/>
        <v>0,00€</v>
      </c>
      <c r="L156" s="69">
        <f>SUM('Archives Sorties'!$M156:$AAY156)</f>
        <v>0</v>
      </c>
      <c r="M156" s="51" t="str">
        <f t="shared" si="10"/>
        <v>0,00€</v>
      </c>
      <c r="O156" s="72">
        <v>0</v>
      </c>
      <c r="P156" s="72">
        <v>0</v>
      </c>
      <c r="R156" s="185">
        <f t="shared" si="11"/>
        <v>0</v>
      </c>
      <c r="S156" s="186">
        <f t="shared" si="12"/>
        <v>0</v>
      </c>
      <c r="T156" s="187" t="str">
        <f>IF(R156="","",IF(O156=0,Famille!$D$5,IF(R156&lt;O156,Famille!$D$2,IF(R156&lt;=P156,Famille!$D$3,Famille!$D$4))))</f>
        <v>Sur commande</v>
      </c>
    </row>
    <row r="157" spans="1:20" ht="12" customHeight="1" x14ac:dyDescent="0.2">
      <c r="A157" s="4" t="str">
        <f>IF(Produits!A157="","",Produits!A157)</f>
        <v>Galets</v>
      </c>
      <c r="B157" s="4" t="str">
        <f>IF(Produits!B157="","",Produits!B157)</f>
        <v>Moveo</v>
      </c>
      <c r="C157" s="4" t="str">
        <f>IF(Produits!C157="","",Produits!C157)</f>
        <v>1000,00,0154</v>
      </c>
      <c r="D157" s="4" t="str">
        <f>IF(Produits!D157="","",Produits!D157)</f>
        <v>AA278</v>
      </c>
      <c r="E157" s="49" t="str">
        <f>IF(Produits!F157="","",Produits!F157)</f>
        <v>1 pcs</v>
      </c>
      <c r="F157" s="50">
        <f>IF(Produits!H157="","",Produits!H157)</f>
        <v>163</v>
      </c>
      <c r="H157" s="37">
        <v>0</v>
      </c>
      <c r="I157" s="2"/>
      <c r="J157" s="69">
        <f>SUM('Archives Entrées'!$N157:$AAV157)</f>
        <v>0</v>
      </c>
      <c r="K157" s="51" t="str">
        <f t="shared" si="9"/>
        <v>0,00€</v>
      </c>
      <c r="L157" s="69">
        <f>SUM('Archives Sorties'!$M157:$AAY157)</f>
        <v>0</v>
      </c>
      <c r="M157" s="51" t="str">
        <f t="shared" si="10"/>
        <v>0,00€</v>
      </c>
      <c r="O157" s="72">
        <v>0</v>
      </c>
      <c r="P157" s="72">
        <v>0</v>
      </c>
      <c r="R157" s="185">
        <f t="shared" si="11"/>
        <v>0</v>
      </c>
      <c r="S157" s="186">
        <f t="shared" si="12"/>
        <v>0</v>
      </c>
      <c r="T157" s="187" t="str">
        <f>IF(R157="","",IF(O157=0,Famille!$D$5,IF(R157&lt;O157,Famille!$D$2,IF(R157&lt;=P157,Famille!$D$3,Famille!$D$4))))</f>
        <v>Sur commande</v>
      </c>
    </row>
    <row r="158" spans="1:20" ht="12" customHeight="1" x14ac:dyDescent="0.2">
      <c r="A158" s="4" t="str">
        <f>IF(Produits!A158="","",Produits!A158)</f>
        <v>Galets</v>
      </c>
      <c r="B158" s="4" t="str">
        <f>IF(Produits!B158="","",Produits!B158)</f>
        <v>Moveo</v>
      </c>
      <c r="C158" s="4" t="str">
        <f>IF(Produits!C158="","",Produits!C158)</f>
        <v>1000,00,0155</v>
      </c>
      <c r="D158" s="4" t="str">
        <f>IF(Produits!D158="","",Produits!D158)</f>
        <v>AA279</v>
      </c>
      <c r="E158" s="49" t="str">
        <f>IF(Produits!F158="","",Produits!F158)</f>
        <v>1 pcs</v>
      </c>
      <c r="F158" s="50">
        <f>IF(Produits!H158="","",Produits!H158)</f>
        <v>164</v>
      </c>
      <c r="H158" s="37">
        <v>0</v>
      </c>
      <c r="I158" s="2"/>
      <c r="J158" s="69">
        <f>SUM('Archives Entrées'!$N158:$AAV158)</f>
        <v>0</v>
      </c>
      <c r="K158" s="51" t="str">
        <f t="shared" si="9"/>
        <v>0,00€</v>
      </c>
      <c r="L158" s="69">
        <f>SUM('Archives Sorties'!$M158:$AAY158)</f>
        <v>0</v>
      </c>
      <c r="M158" s="51" t="str">
        <f t="shared" si="10"/>
        <v>0,00€</v>
      </c>
      <c r="O158" s="72">
        <v>0</v>
      </c>
      <c r="P158" s="72">
        <v>0</v>
      </c>
      <c r="R158" s="185">
        <f t="shared" si="11"/>
        <v>0</v>
      </c>
      <c r="S158" s="186">
        <f t="shared" si="12"/>
        <v>0</v>
      </c>
      <c r="T158" s="187" t="str">
        <f>IF(R158="","",IF(O158=0,Famille!$D$5,IF(R158&lt;O158,Famille!$D$2,IF(R158&lt;=P158,Famille!$D$3,Famille!$D$4))))</f>
        <v>Sur commande</v>
      </c>
    </row>
    <row r="159" spans="1:20" ht="12" customHeight="1" x14ac:dyDescent="0.2">
      <c r="A159" s="4" t="str">
        <f>IF(Produits!A159="","",Produits!A159)</f>
        <v>Galets</v>
      </c>
      <c r="B159" s="4" t="str">
        <f>IF(Produits!B159="","",Produits!B159)</f>
        <v>Moveo</v>
      </c>
      <c r="C159" s="4" t="str">
        <f>IF(Produits!C159="","",Produits!C159)</f>
        <v>1000,00,0156</v>
      </c>
      <c r="D159" s="4" t="str">
        <f>IF(Produits!D159="","",Produits!D159)</f>
        <v>AA280</v>
      </c>
      <c r="E159" s="49" t="str">
        <f>IF(Produits!F159="","",Produits!F159)</f>
        <v>1 pcs</v>
      </c>
      <c r="F159" s="50">
        <f>IF(Produits!H159="","",Produits!H159)</f>
        <v>165</v>
      </c>
      <c r="H159" s="37">
        <v>0</v>
      </c>
      <c r="I159" s="2"/>
      <c r="J159" s="69">
        <f>SUM('Archives Entrées'!$N159:$AAV159)</f>
        <v>0</v>
      </c>
      <c r="K159" s="51" t="str">
        <f t="shared" si="9"/>
        <v>0,00€</v>
      </c>
      <c r="L159" s="69">
        <f>SUM('Archives Sorties'!$M159:$AAY159)</f>
        <v>0</v>
      </c>
      <c r="M159" s="51" t="str">
        <f t="shared" si="10"/>
        <v>0,00€</v>
      </c>
      <c r="O159" s="72">
        <v>0</v>
      </c>
      <c r="P159" s="72">
        <v>0</v>
      </c>
      <c r="R159" s="185">
        <f t="shared" si="11"/>
        <v>0</v>
      </c>
      <c r="S159" s="186">
        <f t="shared" si="12"/>
        <v>0</v>
      </c>
      <c r="T159" s="187" t="str">
        <f>IF(R159="","",IF(O159=0,Famille!$D$5,IF(R159&lt;O159,Famille!$D$2,IF(R159&lt;=P159,Famille!$D$3,Famille!$D$4))))</f>
        <v>Sur commande</v>
      </c>
    </row>
    <row r="160" spans="1:20" ht="12" customHeight="1" x14ac:dyDescent="0.2">
      <c r="A160" s="4" t="str">
        <f>IF(Produits!A160="","",Produits!A160)</f>
        <v>Galets</v>
      </c>
      <c r="B160" s="4" t="str">
        <f>IF(Produits!B160="","",Produits!B160)</f>
        <v>ComfortDrive</v>
      </c>
      <c r="C160" s="4" t="str">
        <f>IF(Produits!C160="","",Produits!C160)</f>
        <v>1000,00,0157</v>
      </c>
      <c r="D160" s="4" t="str">
        <f>IF(Produits!D160="","",Produits!D160)</f>
        <v>AA281</v>
      </c>
      <c r="E160" s="49" t="str">
        <f>IF(Produits!F160="","",Produits!F160)</f>
        <v>1 pcs</v>
      </c>
      <c r="F160" s="50">
        <f>IF(Produits!H160="","",Produits!H160)</f>
        <v>166</v>
      </c>
      <c r="H160" s="37">
        <v>0</v>
      </c>
      <c r="I160" s="2"/>
      <c r="J160" s="69">
        <f>SUM('Archives Entrées'!$N160:$AAV160)</f>
        <v>0</v>
      </c>
      <c r="K160" s="51" t="str">
        <f t="shared" si="9"/>
        <v>0,00€</v>
      </c>
      <c r="L160" s="69">
        <f>SUM('Archives Sorties'!$M160:$AAY160)</f>
        <v>0</v>
      </c>
      <c r="M160" s="51" t="str">
        <f t="shared" si="10"/>
        <v>0,00€</v>
      </c>
      <c r="O160" s="72">
        <v>0</v>
      </c>
      <c r="P160" s="72">
        <v>0</v>
      </c>
      <c r="R160" s="185">
        <f t="shared" si="11"/>
        <v>0</v>
      </c>
      <c r="S160" s="186">
        <f t="shared" si="12"/>
        <v>0</v>
      </c>
      <c r="T160" s="187" t="str">
        <f>IF(R160="","",IF(O160=0,Famille!$D$5,IF(R160&lt;O160,Famille!$D$2,IF(R160&lt;=P160,Famille!$D$3,Famille!$D$4))))</f>
        <v>Sur commande</v>
      </c>
    </row>
    <row r="161" spans="1:20" ht="12" customHeight="1" x14ac:dyDescent="0.2">
      <c r="A161" s="4" t="str">
        <f>IF(Produits!A161="","",Produits!A161)</f>
        <v>Galets</v>
      </c>
      <c r="B161" s="4" t="str">
        <f>IF(Produits!B161="","",Produits!B161)</f>
        <v>ComfortDrive</v>
      </c>
      <c r="C161" s="4" t="str">
        <f>IF(Produits!C161="","",Produits!C161)</f>
        <v>1000,00,0158</v>
      </c>
      <c r="D161" s="4" t="str">
        <f>IF(Produits!D161="","",Produits!D161)</f>
        <v>AA282</v>
      </c>
      <c r="E161" s="49" t="str">
        <f>IF(Produits!F161="","",Produits!F161)</f>
        <v>1 pcs</v>
      </c>
      <c r="F161" s="50">
        <f>IF(Produits!H161="","",Produits!H161)</f>
        <v>167</v>
      </c>
      <c r="H161" s="37">
        <v>0</v>
      </c>
      <c r="I161" s="2"/>
      <c r="J161" s="69">
        <f>SUM('Archives Entrées'!$N161:$AAV161)</f>
        <v>0</v>
      </c>
      <c r="K161" s="51" t="str">
        <f t="shared" si="9"/>
        <v>0,00€</v>
      </c>
      <c r="L161" s="69">
        <f>SUM('Archives Sorties'!$M161:$AAY161)</f>
        <v>0</v>
      </c>
      <c r="M161" s="51" t="str">
        <f t="shared" si="10"/>
        <v>0,00€</v>
      </c>
      <c r="O161" s="72">
        <v>0</v>
      </c>
      <c r="P161" s="72">
        <v>0</v>
      </c>
      <c r="R161" s="185">
        <f t="shared" si="11"/>
        <v>0</v>
      </c>
      <c r="S161" s="186">
        <f t="shared" si="12"/>
        <v>0</v>
      </c>
      <c r="T161" s="187" t="str">
        <f>IF(R161="","",IF(O161=0,Famille!$D$5,IF(R161&lt;O161,Famille!$D$2,IF(R161&lt;=P161,Famille!$D$3,Famille!$D$4))))</f>
        <v>Sur commande</v>
      </c>
    </row>
    <row r="162" spans="1:20" ht="12" customHeight="1" x14ac:dyDescent="0.2">
      <c r="A162" s="4" t="str">
        <f>IF(Produits!A162="","",Produits!A162)</f>
        <v>Galets</v>
      </c>
      <c r="B162" s="4" t="str">
        <f>IF(Produits!B162="","",Produits!B162)</f>
        <v>ComfortDrive</v>
      </c>
      <c r="C162" s="4" t="str">
        <f>IF(Produits!C162="","",Produits!C162)</f>
        <v>1000,00,0159</v>
      </c>
      <c r="D162" s="4" t="str">
        <f>IF(Produits!D162="","",Produits!D162)</f>
        <v>AA283</v>
      </c>
      <c r="E162" s="49" t="str">
        <f>IF(Produits!F162="","",Produits!F162)</f>
        <v>1 pcs</v>
      </c>
      <c r="F162" s="50">
        <f>IF(Produits!H162="","",Produits!H162)</f>
        <v>168</v>
      </c>
      <c r="H162" s="37">
        <v>0</v>
      </c>
      <c r="I162" s="2"/>
      <c r="J162" s="69">
        <f>SUM('Archives Entrées'!$N162:$AAV162)</f>
        <v>0</v>
      </c>
      <c r="K162" s="51" t="str">
        <f t="shared" si="9"/>
        <v>0,00€</v>
      </c>
      <c r="L162" s="69">
        <f>SUM('Archives Sorties'!$M162:$AAY162)</f>
        <v>0</v>
      </c>
      <c r="M162" s="51" t="str">
        <f t="shared" si="10"/>
        <v>0,00€</v>
      </c>
      <c r="O162" s="72">
        <v>0</v>
      </c>
      <c r="P162" s="72">
        <v>0</v>
      </c>
      <c r="R162" s="185">
        <f t="shared" si="11"/>
        <v>0</v>
      </c>
      <c r="S162" s="186">
        <f t="shared" si="12"/>
        <v>0</v>
      </c>
      <c r="T162" s="187" t="str">
        <f>IF(R162="","",IF(O162=0,Famille!$D$5,IF(R162&lt;O162,Famille!$D$2,IF(R162&lt;=P162,Famille!$D$3,Famille!$D$4))))</f>
        <v>Sur commande</v>
      </c>
    </row>
    <row r="163" spans="1:20" ht="12" customHeight="1" x14ac:dyDescent="0.2">
      <c r="A163" s="4" t="str">
        <f>IF(Produits!A163="","",Produits!A163)</f>
        <v>Galets</v>
      </c>
      <c r="B163" s="4" t="str">
        <f>IF(Produits!B163="","",Produits!B163)</f>
        <v>ComfortDrive</v>
      </c>
      <c r="C163" s="4" t="str">
        <f>IF(Produits!C163="","",Produits!C163)</f>
        <v>1000,00,0160</v>
      </c>
      <c r="D163" s="4" t="str">
        <f>IF(Produits!D163="","",Produits!D163)</f>
        <v>AA284</v>
      </c>
      <c r="E163" s="49" t="str">
        <f>IF(Produits!F163="","",Produits!F163)</f>
        <v>1 pcs</v>
      </c>
      <c r="F163" s="50">
        <f>IF(Produits!H163="","",Produits!H163)</f>
        <v>169</v>
      </c>
      <c r="H163" s="37">
        <v>0</v>
      </c>
      <c r="I163" s="2"/>
      <c r="J163" s="69">
        <f>SUM('Archives Entrées'!$N163:$AAV163)</f>
        <v>0</v>
      </c>
      <c r="K163" s="51" t="str">
        <f t="shared" si="9"/>
        <v>0,00€</v>
      </c>
      <c r="L163" s="69">
        <f>SUM('Archives Sorties'!$M163:$AAY163)</f>
        <v>0</v>
      </c>
      <c r="M163" s="51" t="str">
        <f t="shared" si="10"/>
        <v>0,00€</v>
      </c>
      <c r="O163" s="72">
        <v>0</v>
      </c>
      <c r="P163" s="72">
        <v>0</v>
      </c>
      <c r="R163" s="185">
        <f t="shared" si="11"/>
        <v>0</v>
      </c>
      <c r="S163" s="186">
        <f t="shared" si="12"/>
        <v>0</v>
      </c>
      <c r="T163" s="187" t="str">
        <f>IF(R163="","",IF(O163=0,Famille!$D$5,IF(R163&lt;O163,Famille!$D$2,IF(R163&lt;=P163,Famille!$D$3,Famille!$D$4))))</f>
        <v>Sur commande</v>
      </c>
    </row>
    <row r="164" spans="1:20" ht="12" customHeight="1" x14ac:dyDescent="0.2">
      <c r="A164" s="4" t="str">
        <f>IF(Produits!A164="","",Produits!A164)</f>
        <v>Galets</v>
      </c>
      <c r="B164" s="4" t="str">
        <f>IF(Produits!B164="","",Produits!B164)</f>
        <v>ComfortDrive</v>
      </c>
      <c r="C164" s="4" t="str">
        <f>IF(Produits!C164="","",Produits!C164)</f>
        <v>1000,00,0161</v>
      </c>
      <c r="D164" s="4" t="str">
        <f>IF(Produits!D164="","",Produits!D164)</f>
        <v>AA285</v>
      </c>
      <c r="E164" s="49" t="str">
        <f>IF(Produits!F164="","",Produits!F164)</f>
        <v>1 pcs</v>
      </c>
      <c r="F164" s="50">
        <f>IF(Produits!H164="","",Produits!H164)</f>
        <v>170</v>
      </c>
      <c r="H164" s="37">
        <v>0</v>
      </c>
      <c r="I164" s="2"/>
      <c r="J164" s="69">
        <f>SUM('Archives Entrées'!$N164:$AAV164)</f>
        <v>0</v>
      </c>
      <c r="K164" s="51" t="str">
        <f t="shared" si="9"/>
        <v>0,00€</v>
      </c>
      <c r="L164" s="69">
        <f>SUM('Archives Sorties'!$M164:$AAY164)</f>
        <v>0</v>
      </c>
      <c r="M164" s="51" t="str">
        <f t="shared" si="10"/>
        <v>0,00€</v>
      </c>
      <c r="O164" s="72">
        <v>0</v>
      </c>
      <c r="P164" s="72">
        <v>0</v>
      </c>
      <c r="R164" s="185">
        <f t="shared" si="11"/>
        <v>0</v>
      </c>
      <c r="S164" s="186">
        <f t="shared" si="12"/>
        <v>0</v>
      </c>
      <c r="T164" s="187" t="str">
        <f>IF(R164="","",IF(O164=0,Famille!$D$5,IF(R164&lt;O164,Famille!$D$2,IF(R164&lt;=P164,Famille!$D$3,Famille!$D$4))))</f>
        <v>Sur commande</v>
      </c>
    </row>
    <row r="165" spans="1:20" ht="12" customHeight="1" x14ac:dyDescent="0.2">
      <c r="A165" s="4" t="str">
        <f>IF(Produits!A165="","",Produits!A165)</f>
        <v>Galets</v>
      </c>
      <c r="B165" s="4" t="str">
        <f>IF(Produits!B165="","",Produits!B165)</f>
        <v>ComfortDrive</v>
      </c>
      <c r="C165" s="4" t="str">
        <f>IF(Produits!C165="","",Produits!C165)</f>
        <v>1000,00,0162</v>
      </c>
      <c r="D165" s="4" t="str">
        <f>IF(Produits!D165="","",Produits!D165)</f>
        <v>AA286</v>
      </c>
      <c r="E165" s="49" t="str">
        <f>IF(Produits!F165="","",Produits!F165)</f>
        <v>1 pcs</v>
      </c>
      <c r="F165" s="50">
        <f>IF(Produits!H165="","",Produits!H165)</f>
        <v>171</v>
      </c>
      <c r="H165" s="37">
        <v>0</v>
      </c>
      <c r="I165" s="2"/>
      <c r="J165" s="69">
        <f>SUM('Archives Entrées'!$N165:$AAV165)</f>
        <v>0</v>
      </c>
      <c r="K165" s="51" t="str">
        <f t="shared" si="9"/>
        <v>0,00€</v>
      </c>
      <c r="L165" s="69">
        <f>SUM('Archives Sorties'!$M165:$AAY165)</f>
        <v>0</v>
      </c>
      <c r="M165" s="51" t="str">
        <f t="shared" si="10"/>
        <v>0,00€</v>
      </c>
      <c r="O165" s="72">
        <v>0</v>
      </c>
      <c r="P165" s="72">
        <v>0</v>
      </c>
      <c r="R165" s="185">
        <f t="shared" si="11"/>
        <v>0</v>
      </c>
      <c r="S165" s="186">
        <f t="shared" si="12"/>
        <v>0</v>
      </c>
      <c r="T165" s="187" t="str">
        <f>IF(R165="","",IF(O165=0,Famille!$D$5,IF(R165&lt;O165,Famille!$D$2,IF(R165&lt;=P165,Famille!$D$3,Famille!$D$4))))</f>
        <v>Sur commande</v>
      </c>
    </row>
    <row r="166" spans="1:20" ht="12" customHeight="1" x14ac:dyDescent="0.2">
      <c r="A166" s="4" t="str">
        <f>IF(Produits!A166="","",Produits!A166)</f>
        <v>Galets</v>
      </c>
      <c r="B166" s="4" t="str">
        <f>IF(Produits!B166="","",Produits!B166)</f>
        <v>ComfortDrive</v>
      </c>
      <c r="C166" s="4" t="str">
        <f>IF(Produits!C166="","",Produits!C166)</f>
        <v>1000,00,0163</v>
      </c>
      <c r="D166" s="4" t="str">
        <f>IF(Produits!D166="","",Produits!D166)</f>
        <v>AA287</v>
      </c>
      <c r="E166" s="49" t="str">
        <f>IF(Produits!F166="","",Produits!F166)</f>
        <v>1 pcs</v>
      </c>
      <c r="F166" s="50">
        <f>IF(Produits!H166="","",Produits!H166)</f>
        <v>172</v>
      </c>
      <c r="H166" s="37">
        <v>0</v>
      </c>
      <c r="I166" s="2"/>
      <c r="J166" s="69">
        <f>SUM('Archives Entrées'!$N166:$AAV166)</f>
        <v>0</v>
      </c>
      <c r="K166" s="51" t="str">
        <f t="shared" si="9"/>
        <v>0,00€</v>
      </c>
      <c r="L166" s="69">
        <f>SUM('Archives Sorties'!$M166:$AAY166)</f>
        <v>0</v>
      </c>
      <c r="M166" s="51" t="str">
        <f t="shared" si="10"/>
        <v>0,00€</v>
      </c>
      <c r="O166" s="72">
        <v>0</v>
      </c>
      <c r="P166" s="72">
        <v>0</v>
      </c>
      <c r="R166" s="185">
        <f t="shared" si="11"/>
        <v>0</v>
      </c>
      <c r="S166" s="186">
        <f t="shared" si="12"/>
        <v>0</v>
      </c>
      <c r="T166" s="187" t="str">
        <f>IF(R166="","",IF(O166=0,Famille!$D$5,IF(R166&lt;O166,Famille!$D$2,IF(R166&lt;=P166,Famille!$D$3,Famille!$D$4))))</f>
        <v>Sur commande</v>
      </c>
    </row>
    <row r="167" spans="1:20" ht="12" customHeight="1" x14ac:dyDescent="0.2">
      <c r="A167" s="4" t="str">
        <f>IF(Produits!A167="","",Produits!A167)</f>
        <v>Galets</v>
      </c>
      <c r="B167" s="4" t="str">
        <f>IF(Produits!B167="","",Produits!B167)</f>
        <v>ComfortDrive</v>
      </c>
      <c r="C167" s="4" t="str">
        <f>IF(Produits!C167="","",Produits!C167)</f>
        <v>1000,00,0164</v>
      </c>
      <c r="D167" s="4" t="str">
        <f>IF(Produits!D167="","",Produits!D167)</f>
        <v>AA288</v>
      </c>
      <c r="E167" s="49" t="str">
        <f>IF(Produits!F167="","",Produits!F167)</f>
        <v>1 pcs</v>
      </c>
      <c r="F167" s="50">
        <f>IF(Produits!H167="","",Produits!H167)</f>
        <v>173</v>
      </c>
      <c r="H167" s="37">
        <v>0</v>
      </c>
      <c r="I167" s="2"/>
      <c r="J167" s="69">
        <f>SUM('Archives Entrées'!$N167:$AAV167)</f>
        <v>0</v>
      </c>
      <c r="K167" s="51" t="str">
        <f t="shared" si="9"/>
        <v>0,00€</v>
      </c>
      <c r="L167" s="69">
        <f>SUM('Archives Sorties'!$M167:$AAY167)</f>
        <v>0</v>
      </c>
      <c r="M167" s="51" t="str">
        <f t="shared" si="10"/>
        <v>0,00€</v>
      </c>
      <c r="O167" s="72">
        <v>0</v>
      </c>
      <c r="P167" s="72">
        <v>0</v>
      </c>
      <c r="R167" s="185">
        <f t="shared" si="11"/>
        <v>0</v>
      </c>
      <c r="S167" s="186">
        <f t="shared" si="12"/>
        <v>0</v>
      </c>
      <c r="T167" s="187" t="str">
        <f>IF(R167="","",IF(O167=0,Famille!$D$5,IF(R167&lt;O167,Famille!$D$2,IF(R167&lt;=P167,Famille!$D$3,Famille!$D$4))))</f>
        <v>Sur commande</v>
      </c>
    </row>
    <row r="168" spans="1:20" ht="12" customHeight="1" x14ac:dyDescent="0.2">
      <c r="A168" s="4" t="str">
        <f>IF(Produits!A168="","",Produits!A168)</f>
        <v>Galets</v>
      </c>
      <c r="B168" s="4" t="str">
        <f>IF(Produits!B168="","",Produits!B168)</f>
        <v>ComfortDrive</v>
      </c>
      <c r="C168" s="4" t="str">
        <f>IF(Produits!C168="","",Produits!C168)</f>
        <v>1000,00,0165</v>
      </c>
      <c r="D168" s="4" t="str">
        <f>IF(Produits!D168="","",Produits!D168)</f>
        <v>AA289</v>
      </c>
      <c r="E168" s="49" t="str">
        <f>IF(Produits!F168="","",Produits!F168)</f>
        <v>1 pcs</v>
      </c>
      <c r="F168" s="50">
        <f>IF(Produits!H168="","",Produits!H168)</f>
        <v>174</v>
      </c>
      <c r="H168" s="37">
        <v>0</v>
      </c>
      <c r="I168" s="2"/>
      <c r="J168" s="69">
        <f>SUM('Archives Entrées'!$N168:$AAV168)</f>
        <v>0</v>
      </c>
      <c r="K168" s="51" t="str">
        <f t="shared" si="9"/>
        <v>0,00€</v>
      </c>
      <c r="L168" s="69">
        <f>SUM('Archives Sorties'!$M168:$AAY168)</f>
        <v>0</v>
      </c>
      <c r="M168" s="51" t="str">
        <f t="shared" si="10"/>
        <v>0,00€</v>
      </c>
      <c r="O168" s="72">
        <v>0</v>
      </c>
      <c r="P168" s="72">
        <v>0</v>
      </c>
      <c r="R168" s="185">
        <f t="shared" si="11"/>
        <v>0</v>
      </c>
      <c r="S168" s="186">
        <f t="shared" si="12"/>
        <v>0</v>
      </c>
      <c r="T168" s="187" t="str">
        <f>IF(R168="","",IF(O168=0,Famille!$D$5,IF(R168&lt;O168,Famille!$D$2,IF(R168&lt;=P168,Famille!$D$3,Famille!$D$4))))</f>
        <v>Sur commande</v>
      </c>
    </row>
    <row r="169" spans="1:20" ht="12" customHeight="1" x14ac:dyDescent="0.2">
      <c r="A169" s="4" t="str">
        <f>IF(Produits!A169="","",Produits!A169)</f>
        <v>Galets</v>
      </c>
      <c r="B169" s="4" t="str">
        <f>IF(Produits!B169="","",Produits!B169)</f>
        <v>ComfortDrive</v>
      </c>
      <c r="C169" s="4" t="str">
        <f>IF(Produits!C169="","",Produits!C169)</f>
        <v>1000,00,0166</v>
      </c>
      <c r="D169" s="4" t="str">
        <f>IF(Produits!D169="","",Produits!D169)</f>
        <v>AA290</v>
      </c>
      <c r="E169" s="49" t="str">
        <f>IF(Produits!F169="","",Produits!F169)</f>
        <v>1 pcs</v>
      </c>
      <c r="F169" s="50">
        <f>IF(Produits!H169="","",Produits!H169)</f>
        <v>175</v>
      </c>
      <c r="H169" s="37">
        <v>0</v>
      </c>
      <c r="I169" s="2"/>
      <c r="J169" s="69">
        <f>SUM('Archives Entrées'!$N169:$AAV169)</f>
        <v>0</v>
      </c>
      <c r="K169" s="51" t="str">
        <f t="shared" si="9"/>
        <v>0,00€</v>
      </c>
      <c r="L169" s="69">
        <f>SUM('Archives Sorties'!$M169:$AAY169)</f>
        <v>0</v>
      </c>
      <c r="M169" s="51" t="str">
        <f t="shared" si="10"/>
        <v>0,00€</v>
      </c>
      <c r="O169" s="72">
        <v>0</v>
      </c>
      <c r="P169" s="72">
        <v>0</v>
      </c>
      <c r="R169" s="185">
        <f t="shared" si="11"/>
        <v>0</v>
      </c>
      <c r="S169" s="186">
        <f t="shared" si="12"/>
        <v>0</v>
      </c>
      <c r="T169" s="187" t="str">
        <f>IF(R169="","",IF(O169=0,Famille!$D$5,IF(R169&lt;O169,Famille!$D$2,IF(R169&lt;=P169,Famille!$D$3,Famille!$D$4))))</f>
        <v>Sur commande</v>
      </c>
    </row>
    <row r="170" spans="1:20" ht="12" customHeight="1" x14ac:dyDescent="0.2">
      <c r="A170" s="4" t="str">
        <f>IF(Produits!A170="","",Produits!A170)</f>
        <v>Galets</v>
      </c>
      <c r="B170" s="4" t="str">
        <f>IF(Produits!B170="","",Produits!B170)</f>
        <v>ComfortDrive</v>
      </c>
      <c r="C170" s="4" t="str">
        <f>IF(Produits!C170="","",Produits!C170)</f>
        <v>1000,00,0167</v>
      </c>
      <c r="D170" s="4" t="str">
        <f>IF(Produits!D170="","",Produits!D170)</f>
        <v>AA291</v>
      </c>
      <c r="E170" s="49" t="str">
        <f>IF(Produits!F170="","",Produits!F170)</f>
        <v>1 pcs</v>
      </c>
      <c r="F170" s="50">
        <f>IF(Produits!H170="","",Produits!H170)</f>
        <v>176</v>
      </c>
      <c r="H170" s="37">
        <v>0</v>
      </c>
      <c r="I170" s="2"/>
      <c r="J170" s="69">
        <f>SUM('Archives Entrées'!$N170:$AAV170)</f>
        <v>0</v>
      </c>
      <c r="K170" s="51" t="str">
        <f t="shared" si="9"/>
        <v>0,00€</v>
      </c>
      <c r="L170" s="69">
        <f>SUM('Archives Sorties'!$M170:$AAY170)</f>
        <v>0</v>
      </c>
      <c r="M170" s="51" t="str">
        <f t="shared" si="10"/>
        <v>0,00€</v>
      </c>
      <c r="O170" s="72">
        <v>0</v>
      </c>
      <c r="P170" s="72">
        <v>0</v>
      </c>
      <c r="R170" s="185">
        <f t="shared" si="11"/>
        <v>0</v>
      </c>
      <c r="S170" s="186">
        <f t="shared" si="12"/>
        <v>0</v>
      </c>
      <c r="T170" s="187" t="str">
        <f>IF(R170="","",IF(O170=0,Famille!$D$5,IF(R170&lt;O170,Famille!$D$2,IF(R170&lt;=P170,Famille!$D$3,Famille!$D$4))))</f>
        <v>Sur commande</v>
      </c>
    </row>
    <row r="171" spans="1:20" ht="12" customHeight="1" x14ac:dyDescent="0.2">
      <c r="A171" s="4" t="str">
        <f>IF(Produits!A171="","",Produits!A171)</f>
        <v>Galets</v>
      </c>
      <c r="B171" s="4" t="str">
        <f>IF(Produits!B171="","",Produits!B171)</f>
        <v>ComfortDrive</v>
      </c>
      <c r="C171" s="4" t="str">
        <f>IF(Produits!C171="","",Produits!C171)</f>
        <v>1000,00,0168</v>
      </c>
      <c r="D171" s="4" t="str">
        <f>IF(Produits!D171="","",Produits!D171)</f>
        <v>AA292</v>
      </c>
      <c r="E171" s="49" t="str">
        <f>IF(Produits!F171="","",Produits!F171)</f>
        <v>1 pcs</v>
      </c>
      <c r="F171" s="50">
        <f>IF(Produits!H171="","",Produits!H171)</f>
        <v>177</v>
      </c>
      <c r="H171" s="37">
        <v>0</v>
      </c>
      <c r="I171" s="2"/>
      <c r="J171" s="69">
        <f>SUM('Archives Entrées'!$N171:$AAV171)</f>
        <v>0</v>
      </c>
      <c r="K171" s="51" t="str">
        <f t="shared" si="9"/>
        <v>0,00€</v>
      </c>
      <c r="L171" s="69">
        <f>SUM('Archives Sorties'!$M171:$AAY171)</f>
        <v>0</v>
      </c>
      <c r="M171" s="51" t="str">
        <f t="shared" si="10"/>
        <v>0,00€</v>
      </c>
      <c r="O171" s="72">
        <v>0</v>
      </c>
      <c r="P171" s="72">
        <v>0</v>
      </c>
      <c r="R171" s="185">
        <f t="shared" si="11"/>
        <v>0</v>
      </c>
      <c r="S171" s="186">
        <f t="shared" si="12"/>
        <v>0</v>
      </c>
      <c r="T171" s="187" t="str">
        <f>IF(R171="","",IF(O171=0,Famille!$D$5,IF(R171&lt;O171,Famille!$D$2,IF(R171&lt;=P171,Famille!$D$3,Famille!$D$4))))</f>
        <v>Sur commande</v>
      </c>
    </row>
    <row r="172" spans="1:20" ht="12" customHeight="1" x14ac:dyDescent="0.2">
      <c r="A172" s="4" t="str">
        <f>IF(Produits!A172="","",Produits!A172)</f>
        <v>Galets</v>
      </c>
      <c r="B172" s="4" t="str">
        <f>IF(Produits!B172="","",Produits!B172)</f>
        <v>ComfortDrive</v>
      </c>
      <c r="C172" s="4" t="str">
        <f>IF(Produits!C172="","",Produits!C172)</f>
        <v>1000,00,0169</v>
      </c>
      <c r="D172" s="4" t="str">
        <f>IF(Produits!D172="","",Produits!D172)</f>
        <v>AA293</v>
      </c>
      <c r="E172" s="49" t="str">
        <f>IF(Produits!F172="","",Produits!F172)</f>
        <v>1 pcs</v>
      </c>
      <c r="F172" s="50">
        <f>IF(Produits!H172="","",Produits!H172)</f>
        <v>178</v>
      </c>
      <c r="H172" s="37">
        <v>0</v>
      </c>
      <c r="I172" s="2"/>
      <c r="J172" s="69">
        <f>SUM('Archives Entrées'!$N172:$AAV172)</f>
        <v>0</v>
      </c>
      <c r="K172" s="51" t="str">
        <f t="shared" si="9"/>
        <v>0,00€</v>
      </c>
      <c r="L172" s="69">
        <f>SUM('Archives Sorties'!$M172:$AAY172)</f>
        <v>0</v>
      </c>
      <c r="M172" s="51" t="str">
        <f t="shared" si="10"/>
        <v>0,00€</v>
      </c>
      <c r="O172" s="72">
        <v>0</v>
      </c>
      <c r="P172" s="72">
        <v>0</v>
      </c>
      <c r="R172" s="185">
        <f t="shared" si="11"/>
        <v>0</v>
      </c>
      <c r="S172" s="186">
        <f t="shared" si="12"/>
        <v>0</v>
      </c>
      <c r="T172" s="187" t="str">
        <f>IF(R172="","",IF(O172=0,Famille!$D$5,IF(R172&lt;O172,Famille!$D$2,IF(R172&lt;=P172,Famille!$D$3,Famille!$D$4))))</f>
        <v>Sur commande</v>
      </c>
    </row>
    <row r="173" spans="1:20" ht="12" customHeight="1" x14ac:dyDescent="0.2">
      <c r="A173" s="4" t="str">
        <f>IF(Produits!A173="","",Produits!A173)</f>
        <v>Galets</v>
      </c>
      <c r="B173" s="4" t="str">
        <f>IF(Produits!B173="","",Produits!B173)</f>
        <v>ComfortDrive</v>
      </c>
      <c r="C173" s="4" t="str">
        <f>IF(Produits!C173="","",Produits!C173)</f>
        <v>1000,00,0170</v>
      </c>
      <c r="D173" s="4" t="str">
        <f>IF(Produits!D173="","",Produits!D173)</f>
        <v>AA294</v>
      </c>
      <c r="E173" s="49" t="str">
        <f>IF(Produits!F173="","",Produits!F173)</f>
        <v>1 pcs</v>
      </c>
      <c r="F173" s="50">
        <f>IF(Produits!H173="","",Produits!H173)</f>
        <v>179</v>
      </c>
      <c r="H173" s="37">
        <v>0</v>
      </c>
      <c r="I173" s="2"/>
      <c r="J173" s="69">
        <f>SUM('Archives Entrées'!$N173:$AAV173)</f>
        <v>0</v>
      </c>
      <c r="K173" s="51" t="str">
        <f t="shared" si="9"/>
        <v>0,00€</v>
      </c>
      <c r="L173" s="69">
        <f>SUM('Archives Sorties'!$M173:$AAY173)</f>
        <v>0</v>
      </c>
      <c r="M173" s="51" t="str">
        <f t="shared" si="10"/>
        <v>0,00€</v>
      </c>
      <c r="O173" s="72">
        <v>0</v>
      </c>
      <c r="P173" s="72">
        <v>0</v>
      </c>
      <c r="R173" s="185">
        <f t="shared" si="11"/>
        <v>0</v>
      </c>
      <c r="S173" s="186">
        <f t="shared" si="12"/>
        <v>0</v>
      </c>
      <c r="T173" s="187" t="str">
        <f>IF(R173="","",IF(O173=0,Famille!$D$5,IF(R173&lt;O173,Famille!$D$2,IF(R173&lt;=P173,Famille!$D$3,Famille!$D$4))))</f>
        <v>Sur commande</v>
      </c>
    </row>
    <row r="174" spans="1:20" ht="12" customHeight="1" x14ac:dyDescent="0.2">
      <c r="A174" s="4" t="str">
        <f>IF(Produits!A174="","",Produits!A174)</f>
        <v>Galets</v>
      </c>
      <c r="B174" s="4" t="str">
        <f>IF(Produits!B174="","",Produits!B174)</f>
        <v>ComfortDrive</v>
      </c>
      <c r="C174" s="4" t="str">
        <f>IF(Produits!C174="","",Produits!C174)</f>
        <v>1000,00,0171</v>
      </c>
      <c r="D174" s="4" t="str">
        <f>IF(Produits!D174="","",Produits!D174)</f>
        <v>AA295</v>
      </c>
      <c r="E174" s="49" t="str">
        <f>IF(Produits!F174="","",Produits!F174)</f>
        <v>1 pcs</v>
      </c>
      <c r="F174" s="50">
        <f>IF(Produits!H174="","",Produits!H174)</f>
        <v>180</v>
      </c>
      <c r="H174" s="37">
        <v>0</v>
      </c>
      <c r="I174" s="2"/>
      <c r="J174" s="69">
        <f>SUM('Archives Entrées'!$N174:$AAV174)</f>
        <v>0</v>
      </c>
      <c r="K174" s="51" t="str">
        <f t="shared" si="9"/>
        <v>0,00€</v>
      </c>
      <c r="L174" s="69">
        <f>SUM('Archives Sorties'!$M174:$AAY174)</f>
        <v>0</v>
      </c>
      <c r="M174" s="51" t="str">
        <f t="shared" si="10"/>
        <v>0,00€</v>
      </c>
      <c r="O174" s="72">
        <v>0</v>
      </c>
      <c r="P174" s="72">
        <v>0</v>
      </c>
      <c r="R174" s="185">
        <f t="shared" si="11"/>
        <v>0</v>
      </c>
      <c r="S174" s="186">
        <f t="shared" si="12"/>
        <v>0</v>
      </c>
      <c r="T174" s="187" t="str">
        <f>IF(R174="","",IF(O174=0,Famille!$D$5,IF(R174&lt;O174,Famille!$D$2,IF(R174&lt;=P174,Famille!$D$3,Famille!$D$4))))</f>
        <v>Sur commande</v>
      </c>
    </row>
    <row r="175" spans="1:20" ht="12" customHeight="1" x14ac:dyDescent="0.2">
      <c r="A175" s="4" t="str">
        <f>IF(Produits!A175="","",Produits!A175)</f>
        <v>Galets</v>
      </c>
      <c r="B175" s="4" t="str">
        <f>IF(Produits!B175="","",Produits!B175)</f>
        <v>ComfortDrive</v>
      </c>
      <c r="C175" s="4" t="str">
        <f>IF(Produits!C175="","",Produits!C175)</f>
        <v>1000,00,0172</v>
      </c>
      <c r="D175" s="4" t="str">
        <f>IF(Produits!D175="","",Produits!D175)</f>
        <v>AA296</v>
      </c>
      <c r="E175" s="49" t="str">
        <f>IF(Produits!F175="","",Produits!F175)</f>
        <v>1 pcs</v>
      </c>
      <c r="F175" s="50">
        <f>IF(Produits!H175="","",Produits!H175)</f>
        <v>181</v>
      </c>
      <c r="H175" s="37">
        <v>0</v>
      </c>
      <c r="I175" s="2"/>
      <c r="J175" s="69">
        <f>SUM('Archives Entrées'!$N175:$AAV175)</f>
        <v>0</v>
      </c>
      <c r="K175" s="51" t="str">
        <f t="shared" si="9"/>
        <v>0,00€</v>
      </c>
      <c r="L175" s="69">
        <f>SUM('Archives Sorties'!$M175:$AAY175)</f>
        <v>0</v>
      </c>
      <c r="M175" s="51" t="str">
        <f t="shared" si="10"/>
        <v>0,00€</v>
      </c>
      <c r="O175" s="72">
        <v>0</v>
      </c>
      <c r="P175" s="72">
        <v>0</v>
      </c>
      <c r="R175" s="185">
        <f t="shared" si="11"/>
        <v>0</v>
      </c>
      <c r="S175" s="186">
        <f t="shared" si="12"/>
        <v>0</v>
      </c>
      <c r="T175" s="187" t="str">
        <f>IF(R175="","",IF(O175=0,Famille!$D$5,IF(R175&lt;O175,Famille!$D$2,IF(R175&lt;=P175,Famille!$D$3,Famille!$D$4))))</f>
        <v>Sur commande</v>
      </c>
    </row>
    <row r="176" spans="1:20" ht="12" customHeight="1" x14ac:dyDescent="0.2">
      <c r="A176" s="4" t="str">
        <f>IF(Produits!A176="","",Produits!A176)</f>
        <v>Galets</v>
      </c>
      <c r="B176" s="4" t="str">
        <f>IF(Produits!B176="","",Produits!B176)</f>
        <v>ComfortDrive</v>
      </c>
      <c r="C176" s="4" t="str">
        <f>IF(Produits!C176="","",Produits!C176)</f>
        <v>1000,00,0173</v>
      </c>
      <c r="D176" s="4" t="str">
        <f>IF(Produits!D176="","",Produits!D176)</f>
        <v>AA297</v>
      </c>
      <c r="E176" s="49" t="str">
        <f>IF(Produits!F176="","",Produits!F176)</f>
        <v>1 pcs</v>
      </c>
      <c r="F176" s="50">
        <f>IF(Produits!H176="","",Produits!H176)</f>
        <v>182</v>
      </c>
      <c r="H176" s="37">
        <v>0</v>
      </c>
      <c r="I176" s="2"/>
      <c r="J176" s="69">
        <f>SUM('Archives Entrées'!$N176:$AAV176)</f>
        <v>0</v>
      </c>
      <c r="K176" s="51" t="str">
        <f t="shared" si="9"/>
        <v>0,00€</v>
      </c>
      <c r="L176" s="69">
        <f>SUM('Archives Sorties'!$M176:$AAY176)</f>
        <v>0</v>
      </c>
      <c r="M176" s="51" t="str">
        <f t="shared" si="10"/>
        <v>0,00€</v>
      </c>
      <c r="O176" s="72">
        <v>0</v>
      </c>
      <c r="P176" s="72">
        <v>0</v>
      </c>
      <c r="R176" s="185">
        <f t="shared" si="11"/>
        <v>0</v>
      </c>
      <c r="S176" s="186">
        <f t="shared" si="12"/>
        <v>0</v>
      </c>
      <c r="T176" s="187" t="str">
        <f>IF(R176="","",IF(O176=0,Famille!$D$5,IF(R176&lt;O176,Famille!$D$2,IF(R176&lt;=P176,Famille!$D$3,Famille!$D$4))))</f>
        <v>Sur commande</v>
      </c>
    </row>
    <row r="177" spans="1:20" ht="12" customHeight="1" x14ac:dyDescent="0.2">
      <c r="A177" s="4" t="str">
        <f>IF(Produits!A177="","",Produits!A177)</f>
        <v>Galets</v>
      </c>
      <c r="B177" s="4" t="str">
        <f>IF(Produits!B177="","",Produits!B177)</f>
        <v>Varitrans</v>
      </c>
      <c r="C177" s="4" t="str">
        <f>IF(Produits!C177="","",Produits!C177)</f>
        <v>1000,00,0174</v>
      </c>
      <c r="D177" s="4" t="str">
        <f>IF(Produits!D177="","",Produits!D177)</f>
        <v>AA298</v>
      </c>
      <c r="E177" s="49" t="str">
        <f>IF(Produits!F177="","",Produits!F177)</f>
        <v>1 pcs</v>
      </c>
      <c r="F177" s="50">
        <f>IF(Produits!H177="","",Produits!H177)</f>
        <v>183</v>
      </c>
      <c r="H177" s="37">
        <v>0</v>
      </c>
      <c r="I177" s="2"/>
      <c r="J177" s="69">
        <f>SUM('Archives Entrées'!$N177:$AAV177)</f>
        <v>0</v>
      </c>
      <c r="K177" s="51" t="str">
        <f t="shared" si="9"/>
        <v>0,00€</v>
      </c>
      <c r="L177" s="69">
        <f>SUM('Archives Sorties'!$M177:$AAY177)</f>
        <v>0</v>
      </c>
      <c r="M177" s="51" t="str">
        <f t="shared" si="10"/>
        <v>0,00€</v>
      </c>
      <c r="O177" s="72">
        <v>0</v>
      </c>
      <c r="P177" s="72">
        <v>0</v>
      </c>
      <c r="R177" s="185">
        <f t="shared" si="11"/>
        <v>0</v>
      </c>
      <c r="S177" s="186">
        <f t="shared" si="12"/>
        <v>0</v>
      </c>
      <c r="T177" s="187" t="str">
        <f>IF(R177="","",IF(O177=0,Famille!$D$5,IF(R177&lt;O177,Famille!$D$2,IF(R177&lt;=P177,Famille!$D$3,Famille!$D$4))))</f>
        <v>Sur commande</v>
      </c>
    </row>
    <row r="178" spans="1:20" ht="12" customHeight="1" x14ac:dyDescent="0.2">
      <c r="A178" s="4" t="str">
        <f>IF(Produits!A178="","",Produits!A178)</f>
        <v>Galets</v>
      </c>
      <c r="B178" s="4" t="str">
        <f>IF(Produits!B178="","",Produits!B178)</f>
        <v>Varitrans</v>
      </c>
      <c r="C178" s="4" t="str">
        <f>IF(Produits!C178="","",Produits!C178)</f>
        <v>1000,00,0175</v>
      </c>
      <c r="D178" s="4" t="str">
        <f>IF(Produits!D178="","",Produits!D178)</f>
        <v>AA299</v>
      </c>
      <c r="E178" s="49" t="str">
        <f>IF(Produits!F178="","",Produits!F178)</f>
        <v>1 pcs</v>
      </c>
      <c r="F178" s="50">
        <f>IF(Produits!H178="","",Produits!H178)</f>
        <v>184</v>
      </c>
      <c r="H178" s="37">
        <v>0</v>
      </c>
      <c r="I178" s="2"/>
      <c r="J178" s="69">
        <f>SUM('Archives Entrées'!$N178:$AAV178)</f>
        <v>0</v>
      </c>
      <c r="K178" s="51" t="str">
        <f t="shared" si="9"/>
        <v>0,00€</v>
      </c>
      <c r="L178" s="69">
        <f>SUM('Archives Sorties'!$M178:$AAY178)</f>
        <v>0</v>
      </c>
      <c r="M178" s="51" t="str">
        <f t="shared" si="10"/>
        <v>0,00€</v>
      </c>
      <c r="O178" s="72">
        <v>0</v>
      </c>
      <c r="P178" s="72">
        <v>0</v>
      </c>
      <c r="R178" s="185">
        <f t="shared" si="11"/>
        <v>0</v>
      </c>
      <c r="S178" s="186">
        <f t="shared" si="12"/>
        <v>0</v>
      </c>
      <c r="T178" s="187" t="str">
        <f>IF(R178="","",IF(O178=0,Famille!$D$5,IF(R178&lt;O178,Famille!$D$2,IF(R178&lt;=P178,Famille!$D$3,Famille!$D$4))))</f>
        <v>Sur commande</v>
      </c>
    </row>
    <row r="179" spans="1:20" ht="12" customHeight="1" x14ac:dyDescent="0.2">
      <c r="A179" s="4" t="str">
        <f>IF(Produits!A179="","",Produits!A179)</f>
        <v>Galets</v>
      </c>
      <c r="B179" s="4" t="str">
        <f>IF(Produits!B179="","",Produits!B179)</f>
        <v>Varitrans</v>
      </c>
      <c r="C179" s="4" t="str">
        <f>IF(Produits!C179="","",Produits!C179)</f>
        <v>1000,00,0176</v>
      </c>
      <c r="D179" s="4" t="str">
        <f>IF(Produits!D179="","",Produits!D179)</f>
        <v>AA300</v>
      </c>
      <c r="E179" s="49" t="str">
        <f>IF(Produits!F179="","",Produits!F179)</f>
        <v>1 pcs</v>
      </c>
      <c r="F179" s="50">
        <f>IF(Produits!H179="","",Produits!H179)</f>
        <v>185</v>
      </c>
      <c r="H179" s="37">
        <v>0</v>
      </c>
      <c r="I179" s="2"/>
      <c r="J179" s="69">
        <f>SUM('Archives Entrées'!$N179:$AAV179)</f>
        <v>0</v>
      </c>
      <c r="K179" s="51" t="str">
        <f t="shared" si="9"/>
        <v>0,00€</v>
      </c>
      <c r="L179" s="69">
        <f>SUM('Archives Sorties'!$M179:$AAY179)</f>
        <v>0</v>
      </c>
      <c r="M179" s="51" t="str">
        <f t="shared" si="10"/>
        <v>0,00€</v>
      </c>
      <c r="O179" s="72">
        <v>0</v>
      </c>
      <c r="P179" s="72">
        <v>0</v>
      </c>
      <c r="R179" s="185">
        <f t="shared" si="11"/>
        <v>0</v>
      </c>
      <c r="S179" s="186">
        <f t="shared" si="12"/>
        <v>0</v>
      </c>
      <c r="T179" s="187" t="str">
        <f>IF(R179="","",IF(O179=0,Famille!$D$5,IF(R179&lt;O179,Famille!$D$2,IF(R179&lt;=P179,Famille!$D$3,Famille!$D$4))))</f>
        <v>Sur commande</v>
      </c>
    </row>
    <row r="180" spans="1:20" ht="12" customHeight="1" x14ac:dyDescent="0.2">
      <c r="A180" s="4" t="str">
        <f>IF(Produits!A180="","",Produits!A180)</f>
        <v>Galets</v>
      </c>
      <c r="B180" s="4" t="str">
        <f>IF(Produits!B180="","",Produits!B180)</f>
        <v>Varitrans</v>
      </c>
      <c r="C180" s="4" t="str">
        <f>IF(Produits!C180="","",Produits!C180)</f>
        <v>1000,00,0177</v>
      </c>
      <c r="D180" s="4" t="str">
        <f>IF(Produits!D180="","",Produits!D180)</f>
        <v>AA301</v>
      </c>
      <c r="E180" s="49" t="str">
        <f>IF(Produits!F180="","",Produits!F180)</f>
        <v>1 pcs</v>
      </c>
      <c r="F180" s="50">
        <f>IF(Produits!H180="","",Produits!H180)</f>
        <v>186</v>
      </c>
      <c r="H180" s="37">
        <v>0</v>
      </c>
      <c r="I180" s="2"/>
      <c r="J180" s="69">
        <f>SUM('Archives Entrées'!$N180:$AAV180)</f>
        <v>0</v>
      </c>
      <c r="K180" s="51" t="str">
        <f t="shared" si="9"/>
        <v>0,00€</v>
      </c>
      <c r="L180" s="69">
        <f>SUM('Archives Sorties'!$M180:$AAY180)</f>
        <v>0</v>
      </c>
      <c r="M180" s="51" t="str">
        <f t="shared" si="10"/>
        <v>0,00€</v>
      </c>
      <c r="O180" s="72">
        <v>0</v>
      </c>
      <c r="P180" s="72">
        <v>0</v>
      </c>
      <c r="R180" s="185">
        <f t="shared" si="11"/>
        <v>0</v>
      </c>
      <c r="S180" s="186">
        <f t="shared" si="12"/>
        <v>0</v>
      </c>
      <c r="T180" s="187" t="str">
        <f>IF(R180="","",IF(O180=0,Famille!$D$5,IF(R180&lt;O180,Famille!$D$2,IF(R180&lt;=P180,Famille!$D$3,Famille!$D$4))))</f>
        <v>Sur commande</v>
      </c>
    </row>
    <row r="181" spans="1:20" ht="12" customHeight="1" x14ac:dyDescent="0.2">
      <c r="A181" s="4" t="str">
        <f>IF(Produits!A181="","",Produits!A181)</f>
        <v>Galets</v>
      </c>
      <c r="B181" s="4" t="str">
        <f>IF(Produits!B181="","",Produits!B181)</f>
        <v>Varitrans</v>
      </c>
      <c r="C181" s="4" t="str">
        <f>IF(Produits!C181="","",Produits!C181)</f>
        <v>1000,00,0178</v>
      </c>
      <c r="D181" s="4" t="str">
        <f>IF(Produits!D181="","",Produits!D181)</f>
        <v>AA302</v>
      </c>
      <c r="E181" s="49" t="str">
        <f>IF(Produits!F181="","",Produits!F181)</f>
        <v>1 pcs</v>
      </c>
      <c r="F181" s="50">
        <f>IF(Produits!H181="","",Produits!H181)</f>
        <v>187</v>
      </c>
      <c r="H181" s="37">
        <v>0</v>
      </c>
      <c r="I181" s="2"/>
      <c r="J181" s="69">
        <f>SUM('Archives Entrées'!$N181:$AAV181)</f>
        <v>0</v>
      </c>
      <c r="K181" s="51" t="str">
        <f t="shared" si="9"/>
        <v>0,00€</v>
      </c>
      <c r="L181" s="69">
        <f>SUM('Archives Sorties'!$M181:$AAY181)</f>
        <v>0</v>
      </c>
      <c r="M181" s="51" t="str">
        <f t="shared" si="10"/>
        <v>0,00€</v>
      </c>
      <c r="O181" s="72">
        <v>0</v>
      </c>
      <c r="P181" s="72">
        <v>0</v>
      </c>
      <c r="R181" s="185">
        <f t="shared" si="11"/>
        <v>0</v>
      </c>
      <c r="S181" s="186">
        <f t="shared" si="12"/>
        <v>0</v>
      </c>
      <c r="T181" s="187" t="str">
        <f>IF(R181="","",IF(O181=0,Famille!$D$5,IF(R181&lt;O181,Famille!$D$2,IF(R181&lt;=P181,Famille!$D$3,Famille!$D$4))))</f>
        <v>Sur commande</v>
      </c>
    </row>
    <row r="182" spans="1:20" ht="12" customHeight="1" x14ac:dyDescent="0.2">
      <c r="A182" s="4" t="str">
        <f>IF(Produits!A182="","",Produits!A182)</f>
        <v>Galets</v>
      </c>
      <c r="B182" s="4" t="str">
        <f>IF(Produits!B182="","",Produits!B182)</f>
        <v>Varitrans</v>
      </c>
      <c r="C182" s="4" t="str">
        <f>IF(Produits!C182="","",Produits!C182)</f>
        <v>1000,00,0179</v>
      </c>
      <c r="D182" s="4" t="str">
        <f>IF(Produits!D182="","",Produits!D182)</f>
        <v>AA303</v>
      </c>
      <c r="E182" s="49" t="str">
        <f>IF(Produits!F182="","",Produits!F182)</f>
        <v>1 pcs</v>
      </c>
      <c r="F182" s="50">
        <f>IF(Produits!H182="","",Produits!H182)</f>
        <v>188</v>
      </c>
      <c r="H182" s="37">
        <v>0</v>
      </c>
      <c r="I182" s="2"/>
      <c r="J182" s="69">
        <f>SUM('Archives Entrées'!$N182:$AAV182)</f>
        <v>0</v>
      </c>
      <c r="K182" s="51" t="str">
        <f t="shared" si="9"/>
        <v>0,00€</v>
      </c>
      <c r="L182" s="69">
        <f>SUM('Archives Sorties'!$M182:$AAY182)</f>
        <v>0</v>
      </c>
      <c r="M182" s="51" t="str">
        <f t="shared" si="10"/>
        <v>0,00€</v>
      </c>
      <c r="O182" s="72">
        <v>0</v>
      </c>
      <c r="P182" s="72">
        <v>0</v>
      </c>
      <c r="R182" s="185">
        <f t="shared" si="11"/>
        <v>0</v>
      </c>
      <c r="S182" s="186">
        <f t="shared" si="12"/>
        <v>0</v>
      </c>
      <c r="T182" s="187" t="str">
        <f>IF(R182="","",IF(O182=0,Famille!$D$5,IF(R182&lt;O182,Famille!$D$2,IF(R182&lt;=P182,Famille!$D$3,Famille!$D$4))))</f>
        <v>Sur commande</v>
      </c>
    </row>
    <row r="183" spans="1:20" ht="12" customHeight="1" x14ac:dyDescent="0.2">
      <c r="A183" s="4" t="str">
        <f>IF(Produits!A183="","",Produits!A183)</f>
        <v>Galets</v>
      </c>
      <c r="B183" s="4" t="str">
        <f>IF(Produits!B183="","",Produits!B183)</f>
        <v>Varitrans</v>
      </c>
      <c r="C183" s="4" t="str">
        <f>IF(Produits!C183="","",Produits!C183)</f>
        <v>1000,00,0180</v>
      </c>
      <c r="D183" s="4" t="str">
        <f>IF(Produits!D183="","",Produits!D183)</f>
        <v>AA304</v>
      </c>
      <c r="E183" s="49" t="str">
        <f>IF(Produits!F183="","",Produits!F183)</f>
        <v>1 pcs</v>
      </c>
      <c r="F183" s="50">
        <f>IF(Produits!H183="","",Produits!H183)</f>
        <v>189</v>
      </c>
      <c r="H183" s="37">
        <v>0</v>
      </c>
      <c r="I183" s="2"/>
      <c r="J183" s="69">
        <f>SUM('Archives Entrées'!$N183:$AAV183)</f>
        <v>0</v>
      </c>
      <c r="K183" s="51" t="str">
        <f t="shared" si="9"/>
        <v>0,00€</v>
      </c>
      <c r="L183" s="69">
        <f>SUM('Archives Sorties'!$M183:$AAY183)</f>
        <v>0</v>
      </c>
      <c r="M183" s="51" t="str">
        <f t="shared" si="10"/>
        <v>0,00€</v>
      </c>
      <c r="O183" s="72">
        <v>0</v>
      </c>
      <c r="P183" s="72">
        <v>0</v>
      </c>
      <c r="R183" s="185">
        <f t="shared" si="11"/>
        <v>0</v>
      </c>
      <c r="S183" s="186">
        <f t="shared" si="12"/>
        <v>0</v>
      </c>
      <c r="T183" s="187" t="str">
        <f>IF(R183="","",IF(O183=0,Famille!$D$5,IF(R183&lt;O183,Famille!$D$2,IF(R183&lt;=P183,Famille!$D$3,Famille!$D$4))))</f>
        <v>Sur commande</v>
      </c>
    </row>
    <row r="184" spans="1:20" ht="12" customHeight="1" x14ac:dyDescent="0.2">
      <c r="A184" s="4" t="str">
        <f>IF(Produits!A184="","",Produits!A184)</f>
        <v>Galets</v>
      </c>
      <c r="B184" s="4" t="str">
        <f>IF(Produits!B184="","",Produits!B184)</f>
        <v>Varitrans</v>
      </c>
      <c r="C184" s="4" t="str">
        <f>IF(Produits!C184="","",Produits!C184)</f>
        <v>1000,00,0181</v>
      </c>
      <c r="D184" s="4" t="str">
        <f>IF(Produits!D184="","",Produits!D184)</f>
        <v>AA305</v>
      </c>
      <c r="E184" s="49" t="str">
        <f>IF(Produits!F184="","",Produits!F184)</f>
        <v>1 pcs</v>
      </c>
      <c r="F184" s="50">
        <f>IF(Produits!H184="","",Produits!H184)</f>
        <v>190</v>
      </c>
      <c r="H184" s="37">
        <v>0</v>
      </c>
      <c r="I184" s="2"/>
      <c r="J184" s="69">
        <f>SUM('Archives Entrées'!$N184:$AAV184)</f>
        <v>0</v>
      </c>
      <c r="K184" s="51" t="str">
        <f t="shared" si="9"/>
        <v>0,00€</v>
      </c>
      <c r="L184" s="69">
        <f>SUM('Archives Sorties'!$M184:$AAY184)</f>
        <v>0</v>
      </c>
      <c r="M184" s="51" t="str">
        <f t="shared" si="10"/>
        <v>0,00€</v>
      </c>
      <c r="O184" s="72">
        <v>0</v>
      </c>
      <c r="P184" s="72">
        <v>0</v>
      </c>
      <c r="R184" s="185">
        <f t="shared" si="11"/>
        <v>0</v>
      </c>
      <c r="S184" s="186">
        <f t="shared" si="12"/>
        <v>0</v>
      </c>
      <c r="T184" s="187" t="str">
        <f>IF(R184="","",IF(O184=0,Famille!$D$5,IF(R184&lt;O184,Famille!$D$2,IF(R184&lt;=P184,Famille!$D$3,Famille!$D$4))))</f>
        <v>Sur commande</v>
      </c>
    </row>
    <row r="185" spans="1:20" ht="12" customHeight="1" x14ac:dyDescent="0.2">
      <c r="A185" s="4" t="str">
        <f>IF(Produits!A185="","",Produits!A185)</f>
        <v>Galets</v>
      </c>
      <c r="B185" s="4" t="str">
        <f>IF(Produits!B185="","",Produits!B185)</f>
        <v>Varitrans</v>
      </c>
      <c r="C185" s="4" t="str">
        <f>IF(Produits!C185="","",Produits!C185)</f>
        <v>1000,00,0182</v>
      </c>
      <c r="D185" s="4" t="str">
        <f>IF(Produits!D185="","",Produits!D185)</f>
        <v>AA306</v>
      </c>
      <c r="E185" s="49" t="str">
        <f>IF(Produits!F185="","",Produits!F185)</f>
        <v>1 pcs</v>
      </c>
      <c r="F185" s="50">
        <f>IF(Produits!H185="","",Produits!H185)</f>
        <v>191</v>
      </c>
      <c r="H185" s="37">
        <v>0</v>
      </c>
      <c r="I185" s="2"/>
      <c r="J185" s="69">
        <f>SUM('Archives Entrées'!$N185:$AAV185)</f>
        <v>0</v>
      </c>
      <c r="K185" s="51" t="str">
        <f t="shared" si="9"/>
        <v>0,00€</v>
      </c>
      <c r="L185" s="69">
        <f>SUM('Archives Sorties'!$M185:$AAY185)</f>
        <v>0</v>
      </c>
      <c r="M185" s="51" t="str">
        <f t="shared" si="10"/>
        <v>0,00€</v>
      </c>
      <c r="O185" s="72">
        <v>0</v>
      </c>
      <c r="P185" s="72">
        <v>0</v>
      </c>
      <c r="R185" s="185">
        <f t="shared" si="11"/>
        <v>0</v>
      </c>
      <c r="S185" s="186">
        <f t="shared" si="12"/>
        <v>0</v>
      </c>
      <c r="T185" s="187" t="str">
        <f>IF(R185="","",IF(O185=0,Famille!$D$5,IF(R185&lt;O185,Famille!$D$2,IF(R185&lt;=P185,Famille!$D$3,Famille!$D$4))))</f>
        <v>Sur commande</v>
      </c>
    </row>
    <row r="186" spans="1:20" ht="12" customHeight="1" x14ac:dyDescent="0.2">
      <c r="A186" s="4" t="str">
        <f>IF(Produits!A186="","",Produits!A186)</f>
        <v>Moveo</v>
      </c>
      <c r="B186" s="4" t="str">
        <f>IF(Produits!B186="","",Produits!B186)</f>
        <v>Contacts / Circuits</v>
      </c>
      <c r="C186" s="4" t="str">
        <f>IF(Produits!C186="","",Produits!C186)</f>
        <v>1000,00,0183</v>
      </c>
      <c r="D186" s="4" t="str">
        <f>IF(Produits!D186="","",Produits!D186)</f>
        <v>AA307</v>
      </c>
      <c r="E186" s="49" t="str">
        <f>IF(Produits!F186="","",Produits!F186)</f>
        <v>1 pcs</v>
      </c>
      <c r="F186" s="50">
        <f>IF(Produits!H186="","",Produits!H186)</f>
        <v>192</v>
      </c>
      <c r="H186" s="37">
        <v>0</v>
      </c>
      <c r="I186" s="2"/>
      <c r="J186" s="69">
        <f>SUM('Archives Entrées'!$N186:$AAV186)</f>
        <v>0</v>
      </c>
      <c r="K186" s="51" t="str">
        <f t="shared" si="9"/>
        <v>0,00€</v>
      </c>
      <c r="L186" s="69">
        <f>SUM('Archives Sorties'!$M186:$AAY186)</f>
        <v>0</v>
      </c>
      <c r="M186" s="51" t="str">
        <f t="shared" si="10"/>
        <v>0,00€</v>
      </c>
      <c r="O186" s="72">
        <v>0</v>
      </c>
      <c r="P186" s="72">
        <v>0</v>
      </c>
      <c r="R186" s="185">
        <f t="shared" si="11"/>
        <v>0</v>
      </c>
      <c r="S186" s="186">
        <f t="shared" si="12"/>
        <v>0</v>
      </c>
      <c r="T186" s="187" t="str">
        <f>IF(R186="","",IF(O186=0,Famille!$D$5,IF(R186&lt;O186,Famille!$D$2,IF(R186&lt;=P186,Famille!$D$3,Famille!$D$4))))</f>
        <v>Sur commande</v>
      </c>
    </row>
    <row r="187" spans="1:20" ht="12" customHeight="1" x14ac:dyDescent="0.2">
      <c r="A187" s="4" t="str">
        <f>IF(Produits!A187="","",Produits!A187)</f>
        <v>Moveo</v>
      </c>
      <c r="B187" s="4" t="str">
        <f>IF(Produits!B187="","",Produits!B187)</f>
        <v>Contacts / Circuits</v>
      </c>
      <c r="C187" s="4" t="str">
        <f>IF(Produits!C187="","",Produits!C187)</f>
        <v>1000,00,0184</v>
      </c>
      <c r="D187" s="4" t="str">
        <f>IF(Produits!D187="","",Produits!D187)</f>
        <v>AA308</v>
      </c>
      <c r="E187" s="49" t="str">
        <f>IF(Produits!F187="","",Produits!F187)</f>
        <v>1 pcs</v>
      </c>
      <c r="F187" s="50">
        <f>IF(Produits!H187="","",Produits!H187)</f>
        <v>193</v>
      </c>
      <c r="H187" s="37">
        <v>0</v>
      </c>
      <c r="I187" s="2"/>
      <c r="J187" s="69">
        <f>SUM('Archives Entrées'!$N187:$AAV187)</f>
        <v>0</v>
      </c>
      <c r="K187" s="51" t="str">
        <f t="shared" si="9"/>
        <v>0,00€</v>
      </c>
      <c r="L187" s="69">
        <f>SUM('Archives Sorties'!$M187:$AAY187)</f>
        <v>0</v>
      </c>
      <c r="M187" s="51" t="str">
        <f t="shared" si="10"/>
        <v>0,00€</v>
      </c>
      <c r="O187" s="72">
        <v>0</v>
      </c>
      <c r="P187" s="72">
        <v>0</v>
      </c>
      <c r="R187" s="185">
        <f t="shared" si="11"/>
        <v>0</v>
      </c>
      <c r="S187" s="186">
        <f t="shared" si="12"/>
        <v>0</v>
      </c>
      <c r="T187" s="187" t="str">
        <f>IF(R187="","",IF(O187=0,Famille!$D$5,IF(R187&lt;O187,Famille!$D$2,IF(R187&lt;=P187,Famille!$D$3,Famille!$D$4))))</f>
        <v>Sur commande</v>
      </c>
    </row>
    <row r="188" spans="1:20" ht="12" customHeight="1" x14ac:dyDescent="0.2">
      <c r="A188" s="4" t="str">
        <f>IF(Produits!A188="","",Produits!A188)</f>
        <v>Moveo</v>
      </c>
      <c r="B188" s="4" t="str">
        <f>IF(Produits!B188="","",Produits!B188)</f>
        <v>Contacts / Circuits</v>
      </c>
      <c r="C188" s="4" t="str">
        <f>IF(Produits!C188="","",Produits!C188)</f>
        <v>1000,00,0185</v>
      </c>
      <c r="D188" s="4" t="str">
        <f>IF(Produits!D188="","",Produits!D188)</f>
        <v>AA309</v>
      </c>
      <c r="E188" s="49" t="str">
        <f>IF(Produits!F188="","",Produits!F188)</f>
        <v>1 pcs</v>
      </c>
      <c r="F188" s="50">
        <f>IF(Produits!H188="","",Produits!H188)</f>
        <v>194</v>
      </c>
      <c r="H188" s="37">
        <v>0</v>
      </c>
      <c r="I188" s="2"/>
      <c r="J188" s="69">
        <f>SUM('Archives Entrées'!$N188:$AAV188)</f>
        <v>0</v>
      </c>
      <c r="K188" s="51" t="str">
        <f t="shared" si="9"/>
        <v>0,00€</v>
      </c>
      <c r="L188" s="69">
        <f>SUM('Archives Sorties'!$M188:$AAY188)</f>
        <v>0</v>
      </c>
      <c r="M188" s="51" t="str">
        <f t="shared" si="10"/>
        <v>0,00€</v>
      </c>
      <c r="O188" s="72">
        <v>0</v>
      </c>
      <c r="P188" s="72">
        <v>0</v>
      </c>
      <c r="R188" s="185">
        <f t="shared" si="11"/>
        <v>0</v>
      </c>
      <c r="S188" s="186">
        <f t="shared" si="12"/>
        <v>0</v>
      </c>
      <c r="T188" s="187" t="str">
        <f>IF(R188="","",IF(O188=0,Famille!$D$5,IF(R188&lt;O188,Famille!$D$2,IF(R188&lt;=P188,Famille!$D$3,Famille!$D$4))))</f>
        <v>Sur commande</v>
      </c>
    </row>
    <row r="189" spans="1:20" ht="12" customHeight="1" x14ac:dyDescent="0.2">
      <c r="A189" s="4" t="str">
        <f>IF(Produits!A189="","",Produits!A189)</f>
        <v>Moveo</v>
      </c>
      <c r="B189" s="4" t="str">
        <f>IF(Produits!B189="","",Produits!B189)</f>
        <v>Contacts / Circuits</v>
      </c>
      <c r="C189" s="4" t="str">
        <f>IF(Produits!C189="","",Produits!C189)</f>
        <v>1000,00,0186</v>
      </c>
      <c r="D189" s="4" t="str">
        <f>IF(Produits!D189="","",Produits!D189)</f>
        <v>AA310</v>
      </c>
      <c r="E189" s="49" t="str">
        <f>IF(Produits!F189="","",Produits!F189)</f>
        <v>1 pcs</v>
      </c>
      <c r="F189" s="50">
        <f>IF(Produits!H189="","",Produits!H189)</f>
        <v>195</v>
      </c>
      <c r="H189" s="37">
        <v>0</v>
      </c>
      <c r="I189" s="2"/>
      <c r="J189" s="69">
        <f>SUM('Archives Entrées'!$N189:$AAV189)</f>
        <v>0</v>
      </c>
      <c r="K189" s="51" t="str">
        <f t="shared" si="9"/>
        <v>0,00€</v>
      </c>
      <c r="L189" s="69">
        <f>SUM('Archives Sorties'!$M189:$AAY189)</f>
        <v>0</v>
      </c>
      <c r="M189" s="51" t="str">
        <f t="shared" si="10"/>
        <v>0,00€</v>
      </c>
      <c r="O189" s="72">
        <v>0</v>
      </c>
      <c r="P189" s="72">
        <v>0</v>
      </c>
      <c r="R189" s="185">
        <f t="shared" si="11"/>
        <v>0</v>
      </c>
      <c r="S189" s="186">
        <f t="shared" si="12"/>
        <v>0</v>
      </c>
      <c r="T189" s="187" t="str">
        <f>IF(R189="","",IF(O189=0,Famille!$D$5,IF(R189&lt;O189,Famille!$D$2,IF(R189&lt;=P189,Famille!$D$3,Famille!$D$4))))</f>
        <v>Sur commande</v>
      </c>
    </row>
    <row r="190" spans="1:20" ht="12" customHeight="1" x14ac:dyDescent="0.2">
      <c r="A190" s="4" t="str">
        <f>IF(Produits!A190="","",Produits!A190)</f>
        <v>Moveo</v>
      </c>
      <c r="B190" s="4" t="str">
        <f>IF(Produits!B190="","",Produits!B190)</f>
        <v>Contacts / Circuits</v>
      </c>
      <c r="C190" s="4" t="str">
        <f>IF(Produits!C190="","",Produits!C190)</f>
        <v>1000,00,0187</v>
      </c>
      <c r="D190" s="4" t="str">
        <f>IF(Produits!D190="","",Produits!D190)</f>
        <v>AA311</v>
      </c>
      <c r="E190" s="49" t="str">
        <f>IF(Produits!F190="","",Produits!F190)</f>
        <v>1 pcs</v>
      </c>
      <c r="F190" s="50">
        <f>IF(Produits!H190="","",Produits!H190)</f>
        <v>196</v>
      </c>
      <c r="H190" s="37">
        <v>0</v>
      </c>
      <c r="I190" s="2"/>
      <c r="J190" s="69">
        <f>SUM('Archives Entrées'!$N190:$AAV190)</f>
        <v>0</v>
      </c>
      <c r="K190" s="51" t="str">
        <f t="shared" si="9"/>
        <v>0,00€</v>
      </c>
      <c r="L190" s="69">
        <f>SUM('Archives Sorties'!$M190:$AAY190)</f>
        <v>0</v>
      </c>
      <c r="M190" s="51" t="str">
        <f t="shared" si="10"/>
        <v>0,00€</v>
      </c>
      <c r="O190" s="72">
        <v>0</v>
      </c>
      <c r="P190" s="72">
        <v>0</v>
      </c>
      <c r="R190" s="185">
        <f t="shared" si="11"/>
        <v>0</v>
      </c>
      <c r="S190" s="186">
        <f t="shared" si="12"/>
        <v>0</v>
      </c>
      <c r="T190" s="187" t="str">
        <f>IF(R190="","",IF(O190=0,Famille!$D$5,IF(R190&lt;O190,Famille!$D$2,IF(R190&lt;=P190,Famille!$D$3,Famille!$D$4))))</f>
        <v>Sur commande</v>
      </c>
    </row>
    <row r="191" spans="1:20" ht="12" customHeight="1" x14ac:dyDescent="0.2">
      <c r="A191" s="4" t="str">
        <f>IF(Produits!A191="","",Produits!A191)</f>
        <v>Moveo</v>
      </c>
      <c r="B191" s="4" t="str">
        <f>IF(Produits!B191="","",Produits!B191)</f>
        <v>Contacts / Circuits</v>
      </c>
      <c r="C191" s="4" t="str">
        <f>IF(Produits!C191="","",Produits!C191)</f>
        <v>1000,00,0188</v>
      </c>
      <c r="D191" s="4" t="str">
        <f>IF(Produits!D191="","",Produits!D191)</f>
        <v>AA312</v>
      </c>
      <c r="E191" s="49" t="str">
        <f>IF(Produits!F191="","",Produits!F191)</f>
        <v>1 pcs</v>
      </c>
      <c r="F191" s="50">
        <f>IF(Produits!H191="","",Produits!H191)</f>
        <v>197</v>
      </c>
      <c r="H191" s="37">
        <v>0</v>
      </c>
      <c r="I191" s="2"/>
      <c r="J191" s="69">
        <f>SUM('Archives Entrées'!$N191:$AAV191)</f>
        <v>0</v>
      </c>
      <c r="K191" s="51" t="str">
        <f t="shared" si="9"/>
        <v>0,00€</v>
      </c>
      <c r="L191" s="69">
        <f>SUM('Archives Sorties'!$M191:$AAY191)</f>
        <v>0</v>
      </c>
      <c r="M191" s="51" t="str">
        <f t="shared" si="10"/>
        <v>0,00€</v>
      </c>
      <c r="O191" s="72">
        <v>0</v>
      </c>
      <c r="P191" s="72">
        <v>0</v>
      </c>
      <c r="R191" s="185">
        <f t="shared" si="11"/>
        <v>0</v>
      </c>
      <c r="S191" s="186">
        <f t="shared" si="12"/>
        <v>0</v>
      </c>
      <c r="T191" s="187" t="str">
        <f>IF(R191="","",IF(O191=0,Famille!$D$5,IF(R191&lt;O191,Famille!$D$2,IF(R191&lt;=P191,Famille!$D$3,Famille!$D$4))))</f>
        <v>Sur commande</v>
      </c>
    </row>
    <row r="192" spans="1:20" ht="12" customHeight="1" x14ac:dyDescent="0.2">
      <c r="A192" s="4" t="str">
        <f>IF(Produits!A192="","",Produits!A192)</f>
        <v>Moveo</v>
      </c>
      <c r="B192" s="4" t="str">
        <f>IF(Produits!B192="","",Produits!B192)</f>
        <v>Contacts / Circuits</v>
      </c>
      <c r="C192" s="4" t="str">
        <f>IF(Produits!C192="","",Produits!C192)</f>
        <v>1000,00,0189</v>
      </c>
      <c r="D192" s="4" t="str">
        <f>IF(Produits!D192="","",Produits!D192)</f>
        <v>AA313</v>
      </c>
      <c r="E192" s="49" t="str">
        <f>IF(Produits!F192="","",Produits!F192)</f>
        <v>1 pcs</v>
      </c>
      <c r="F192" s="50">
        <f>IF(Produits!H192="","",Produits!H192)</f>
        <v>198</v>
      </c>
      <c r="H192" s="37">
        <v>0</v>
      </c>
      <c r="I192" s="2"/>
      <c r="J192" s="69">
        <f>SUM('Archives Entrées'!$N192:$AAV192)</f>
        <v>0</v>
      </c>
      <c r="K192" s="51" t="str">
        <f t="shared" si="9"/>
        <v>0,00€</v>
      </c>
      <c r="L192" s="69">
        <f>SUM('Archives Sorties'!$M192:$AAY192)</f>
        <v>0</v>
      </c>
      <c r="M192" s="51" t="str">
        <f t="shared" si="10"/>
        <v>0,00€</v>
      </c>
      <c r="O192" s="72">
        <v>0</v>
      </c>
      <c r="P192" s="72">
        <v>0</v>
      </c>
      <c r="R192" s="185">
        <f t="shared" si="11"/>
        <v>0</v>
      </c>
      <c r="S192" s="186">
        <f t="shared" si="12"/>
        <v>0</v>
      </c>
      <c r="T192" s="187" t="str">
        <f>IF(R192="","",IF(O192=0,Famille!$D$5,IF(R192&lt;O192,Famille!$D$2,IF(R192&lt;=P192,Famille!$D$3,Famille!$D$4))))</f>
        <v>Sur commande</v>
      </c>
    </row>
    <row r="193" spans="1:20" ht="12" customHeight="1" x14ac:dyDescent="0.2">
      <c r="A193" s="4" t="str">
        <f>IF(Produits!A193="","",Produits!A193)</f>
        <v>Moveo</v>
      </c>
      <c r="B193" s="4" t="str">
        <f>IF(Produits!B193="","",Produits!B193)</f>
        <v>Contacts / Circuits</v>
      </c>
      <c r="C193" s="4" t="str">
        <f>IF(Produits!C193="","",Produits!C193)</f>
        <v>1000,00,0190</v>
      </c>
      <c r="D193" s="4" t="str">
        <f>IF(Produits!D193="","",Produits!D193)</f>
        <v>AA314</v>
      </c>
      <c r="E193" s="49" t="str">
        <f>IF(Produits!F193="","",Produits!F193)</f>
        <v>1 pcs</v>
      </c>
      <c r="F193" s="50">
        <f>IF(Produits!H193="","",Produits!H193)</f>
        <v>199</v>
      </c>
      <c r="H193" s="37">
        <v>0</v>
      </c>
      <c r="I193" s="2"/>
      <c r="J193" s="69">
        <f>SUM('Archives Entrées'!$N193:$AAV193)</f>
        <v>0</v>
      </c>
      <c r="K193" s="51" t="str">
        <f t="shared" si="9"/>
        <v>0,00€</v>
      </c>
      <c r="L193" s="69">
        <f>SUM('Archives Sorties'!$M193:$AAY193)</f>
        <v>0</v>
      </c>
      <c r="M193" s="51" t="str">
        <f t="shared" si="10"/>
        <v>0,00€</v>
      </c>
      <c r="O193" s="72">
        <v>0</v>
      </c>
      <c r="P193" s="72">
        <v>0</v>
      </c>
      <c r="R193" s="185">
        <f t="shared" si="11"/>
        <v>0</v>
      </c>
      <c r="S193" s="186">
        <f t="shared" si="12"/>
        <v>0</v>
      </c>
      <c r="T193" s="187" t="str">
        <f>IF(R193="","",IF(O193=0,Famille!$D$5,IF(R193&lt;O193,Famille!$D$2,IF(R193&lt;=P193,Famille!$D$3,Famille!$D$4))))</f>
        <v>Sur commande</v>
      </c>
    </row>
    <row r="194" spans="1:20" ht="12" customHeight="1" x14ac:dyDescent="0.2">
      <c r="A194" s="4" t="str">
        <f>IF(Produits!A194="","",Produits!A194)</f>
        <v>Moveo</v>
      </c>
      <c r="B194" s="4" t="str">
        <f>IF(Produits!B194="","",Produits!B194)</f>
        <v>Contacts / Circuits</v>
      </c>
      <c r="C194" s="4" t="str">
        <f>IF(Produits!C194="","",Produits!C194)</f>
        <v>1000,00,0191</v>
      </c>
      <c r="D194" s="4" t="str">
        <f>IF(Produits!D194="","",Produits!D194)</f>
        <v>AA315</v>
      </c>
      <c r="E194" s="49" t="str">
        <f>IF(Produits!F194="","",Produits!F194)</f>
        <v>1 pcs</v>
      </c>
      <c r="F194" s="50">
        <f>IF(Produits!H194="","",Produits!H194)</f>
        <v>200</v>
      </c>
      <c r="H194" s="37">
        <v>10</v>
      </c>
      <c r="I194" s="2"/>
      <c r="J194" s="69">
        <f>SUM('Archives Entrées'!$N194:$AAV194)</f>
        <v>0</v>
      </c>
      <c r="K194" s="51" t="str">
        <f t="shared" si="9"/>
        <v>0,00€</v>
      </c>
      <c r="L194" s="69">
        <f>SUM('Archives Sorties'!$M194:$AAY194)</f>
        <v>0</v>
      </c>
      <c r="M194" s="51" t="str">
        <f t="shared" si="10"/>
        <v>0,00€</v>
      </c>
      <c r="O194" s="72">
        <v>5</v>
      </c>
      <c r="P194" s="72">
        <v>10</v>
      </c>
      <c r="R194" s="185">
        <f t="shared" si="11"/>
        <v>10</v>
      </c>
      <c r="S194" s="186">
        <f t="shared" si="12"/>
        <v>1</v>
      </c>
      <c r="T194" s="187" t="str">
        <f>IF(R194="","",IF(O194=0,Famille!$D$5,IF(R194&lt;O194,Famille!$D$2,IF(R194&lt;=P194,Famille!$D$3,Famille!$D$4))))</f>
        <v>En Stock</v>
      </c>
    </row>
    <row r="195" spans="1:20" ht="12" customHeight="1" x14ac:dyDescent="0.2">
      <c r="A195" s="4" t="str">
        <f>IF(Produits!A195="","",Produits!A195)</f>
        <v>Moveo</v>
      </c>
      <c r="B195" s="4" t="str">
        <f>IF(Produits!B195="","",Produits!B195)</f>
        <v>Contacts / Circuits</v>
      </c>
      <c r="C195" s="4" t="str">
        <f>IF(Produits!C195="","",Produits!C195)</f>
        <v>1000,00,0192</v>
      </c>
      <c r="D195" s="4" t="str">
        <f>IF(Produits!D195="","",Produits!D195)</f>
        <v>AA316</v>
      </c>
      <c r="E195" s="49" t="str">
        <f>IF(Produits!F195="","",Produits!F195)</f>
        <v>1 pcs</v>
      </c>
      <c r="F195" s="50">
        <f>IF(Produits!H195="","",Produits!H195)</f>
        <v>201</v>
      </c>
      <c r="H195" s="37">
        <v>19</v>
      </c>
      <c r="I195" s="2"/>
      <c r="J195" s="69">
        <f>SUM('Archives Entrées'!$N195:$AAV195)</f>
        <v>0</v>
      </c>
      <c r="K195" s="51" t="str">
        <f t="shared" si="9"/>
        <v>0,00€</v>
      </c>
      <c r="L195" s="69">
        <f>SUM('Archives Sorties'!$M195:$AAY195)</f>
        <v>0</v>
      </c>
      <c r="M195" s="51" t="str">
        <f t="shared" si="10"/>
        <v>0,00€</v>
      </c>
      <c r="O195" s="72">
        <v>20</v>
      </c>
      <c r="P195" s="72">
        <v>40</v>
      </c>
      <c r="R195" s="185">
        <f t="shared" si="11"/>
        <v>19</v>
      </c>
      <c r="S195" s="186">
        <f t="shared" si="12"/>
        <v>0</v>
      </c>
      <c r="T195" s="187" t="str">
        <f>IF(R195="","",IF(O195=0,Famille!$D$5,IF(R195&lt;O195,Famille!$D$2,IF(R195&lt;=P195,Famille!$D$3,Famille!$D$4))))</f>
        <v>A commander</v>
      </c>
    </row>
    <row r="196" spans="1:20" ht="12" customHeight="1" x14ac:dyDescent="0.2">
      <c r="A196" s="4" t="str">
        <f>IF(Produits!A196="","",Produits!A196)</f>
        <v>Moveo</v>
      </c>
      <c r="B196" s="4" t="str">
        <f>IF(Produits!B196="","",Produits!B196)</f>
        <v>Contacts / Circuits</v>
      </c>
      <c r="C196" s="4" t="str">
        <f>IF(Produits!C196="","",Produits!C196)</f>
        <v>1000,00,0193</v>
      </c>
      <c r="D196" s="4" t="str">
        <f>IF(Produits!D196="","",Produits!D196)</f>
        <v>AA317</v>
      </c>
      <c r="E196" s="49" t="str">
        <f>IF(Produits!F196="","",Produits!F196)</f>
        <v>1 pcs</v>
      </c>
      <c r="F196" s="50">
        <f>IF(Produits!H196="","",Produits!H196)</f>
        <v>202</v>
      </c>
      <c r="H196" s="37">
        <v>10</v>
      </c>
      <c r="I196" s="2"/>
      <c r="J196" s="69">
        <f>SUM('Archives Entrées'!$N196:$AAV196)</f>
        <v>0</v>
      </c>
      <c r="K196" s="51" t="str">
        <f t="shared" si="9"/>
        <v>0,00€</v>
      </c>
      <c r="L196" s="69">
        <f>SUM('Archives Sorties'!$M196:$AAY196)</f>
        <v>0</v>
      </c>
      <c r="M196" s="51" t="str">
        <f t="shared" si="10"/>
        <v>0,00€</v>
      </c>
      <c r="O196" s="72">
        <v>5</v>
      </c>
      <c r="P196" s="72">
        <v>10</v>
      </c>
      <c r="R196" s="185">
        <f t="shared" si="11"/>
        <v>10</v>
      </c>
      <c r="S196" s="186">
        <f t="shared" si="12"/>
        <v>1</v>
      </c>
      <c r="T196" s="187" t="str">
        <f>IF(R196="","",IF(O196=0,Famille!$D$5,IF(R196&lt;O196,Famille!$D$2,IF(R196&lt;=P196,Famille!$D$3,Famille!$D$4))))</f>
        <v>En Stock</v>
      </c>
    </row>
    <row r="197" spans="1:20" ht="12" customHeight="1" x14ac:dyDescent="0.2">
      <c r="A197" s="4" t="str">
        <f>IF(Produits!A197="","",Produits!A197)</f>
        <v>Moveo</v>
      </c>
      <c r="B197" s="4" t="str">
        <f>IF(Produits!B197="","",Produits!B197)</f>
        <v>Contacts / Circuits</v>
      </c>
      <c r="C197" s="4" t="str">
        <f>IF(Produits!C197="","",Produits!C197)</f>
        <v>1000,00,0194</v>
      </c>
      <c r="D197" s="4" t="str">
        <f>IF(Produits!D197="","",Produits!D197)</f>
        <v>AA318</v>
      </c>
      <c r="E197" s="49" t="str">
        <f>IF(Produits!F197="","",Produits!F197)</f>
        <v>1 pcs</v>
      </c>
      <c r="F197" s="50">
        <f>IF(Produits!H197="","",Produits!H197)</f>
        <v>203</v>
      </c>
      <c r="H197" s="37">
        <v>5</v>
      </c>
      <c r="I197" s="2"/>
      <c r="J197" s="69">
        <f>SUM('Archives Entrées'!$N197:$AAV197)</f>
        <v>0</v>
      </c>
      <c r="K197" s="51" t="str">
        <f t="shared" ref="K197:K260" si="13">IF(J197=0,"0,00€",J197*F197)</f>
        <v>0,00€</v>
      </c>
      <c r="L197" s="69">
        <f>SUM('Archives Sorties'!$M197:$AAY197)</f>
        <v>0</v>
      </c>
      <c r="M197" s="51" t="str">
        <f t="shared" ref="M197:M260" si="14">IF(L197=0,"0,00€",L197*F197)</f>
        <v>0,00€</v>
      </c>
      <c r="O197" s="72">
        <v>6</v>
      </c>
      <c r="P197" s="72">
        <v>10</v>
      </c>
      <c r="R197" s="185">
        <f t="shared" ref="R197:R260" si="15">IF(A197="","",((J197+H197)-L197))</f>
        <v>5</v>
      </c>
      <c r="S197" s="186">
        <f t="shared" ref="S197:S260" si="16">IF(R197="","",IF(R197=0,0,IF(R197&lt;O197,0,IF(R197&lt;=P197,1,2))))</f>
        <v>0</v>
      </c>
      <c r="T197" s="187" t="str">
        <f>IF(R197="","",IF(O197=0,Famille!$D$5,IF(R197&lt;O197,Famille!$D$2,IF(R197&lt;=P197,Famille!$D$3,Famille!$D$4))))</f>
        <v>A commander</v>
      </c>
    </row>
    <row r="198" spans="1:20" ht="12" customHeight="1" x14ac:dyDescent="0.2">
      <c r="A198" s="4" t="str">
        <f>IF(Produits!A198="","",Produits!A198)</f>
        <v>Moveo</v>
      </c>
      <c r="B198" s="4" t="str">
        <f>IF(Produits!B198="","",Produits!B198)</f>
        <v>Contacts / Circuits</v>
      </c>
      <c r="C198" s="4" t="str">
        <f>IF(Produits!C198="","",Produits!C198)</f>
        <v>1000,00,0195</v>
      </c>
      <c r="D198" s="4" t="str">
        <f>IF(Produits!D198="","",Produits!D198)</f>
        <v>AA319</v>
      </c>
      <c r="E198" s="49" t="str">
        <f>IF(Produits!F198="","",Produits!F198)</f>
        <v>1 pcs</v>
      </c>
      <c r="F198" s="50">
        <f>IF(Produits!H198="","",Produits!H198)</f>
        <v>204</v>
      </c>
      <c r="H198" s="37">
        <v>0</v>
      </c>
      <c r="I198" s="2"/>
      <c r="J198" s="69">
        <f>SUM('Archives Entrées'!$N198:$AAV198)</f>
        <v>0</v>
      </c>
      <c r="K198" s="51" t="str">
        <f t="shared" si="13"/>
        <v>0,00€</v>
      </c>
      <c r="L198" s="69">
        <f>SUM('Archives Sorties'!$M198:$AAY198)</f>
        <v>0</v>
      </c>
      <c r="M198" s="51" t="str">
        <f t="shared" si="14"/>
        <v>0,00€</v>
      </c>
      <c r="O198" s="72">
        <v>0</v>
      </c>
      <c r="P198" s="72">
        <v>0</v>
      </c>
      <c r="R198" s="185">
        <f t="shared" si="15"/>
        <v>0</v>
      </c>
      <c r="S198" s="186">
        <f t="shared" si="16"/>
        <v>0</v>
      </c>
      <c r="T198" s="187" t="str">
        <f>IF(R198="","",IF(O198=0,Famille!$D$5,IF(R198&lt;O198,Famille!$D$2,IF(R198&lt;=P198,Famille!$D$3,Famille!$D$4))))</f>
        <v>Sur commande</v>
      </c>
    </row>
    <row r="199" spans="1:20" ht="12" customHeight="1" x14ac:dyDescent="0.2">
      <c r="A199" s="4" t="str">
        <f>IF(Produits!A199="","",Produits!A199)</f>
        <v>Moveo</v>
      </c>
      <c r="B199" s="4" t="str">
        <f>IF(Produits!B199="","",Produits!B199)</f>
        <v>ComforTronic</v>
      </c>
      <c r="C199" s="4" t="str">
        <f>IF(Produits!C199="","",Produits!C199)</f>
        <v>1000,00,0196</v>
      </c>
      <c r="D199" s="4" t="str">
        <f>IF(Produits!D199="","",Produits!D199)</f>
        <v>AA320</v>
      </c>
      <c r="E199" s="49" t="str">
        <f>IF(Produits!F199="","",Produits!F199)</f>
        <v>1 pcs</v>
      </c>
      <c r="F199" s="50">
        <f>IF(Produits!H199="","",Produits!H199)</f>
        <v>205</v>
      </c>
      <c r="H199" s="37">
        <v>20</v>
      </c>
      <c r="I199" s="2"/>
      <c r="J199" s="69">
        <f>SUM('Archives Entrées'!$N199:$AAV199)</f>
        <v>0</v>
      </c>
      <c r="K199" s="51" t="str">
        <f t="shared" si="13"/>
        <v>0,00€</v>
      </c>
      <c r="L199" s="69">
        <f>SUM('Archives Sorties'!$M199:$AAY199)</f>
        <v>0</v>
      </c>
      <c r="M199" s="51" t="str">
        <f t="shared" si="14"/>
        <v>0,00€</v>
      </c>
      <c r="O199" s="72">
        <v>25</v>
      </c>
      <c r="P199" s="72">
        <v>45</v>
      </c>
      <c r="R199" s="185">
        <f t="shared" si="15"/>
        <v>20</v>
      </c>
      <c r="S199" s="186">
        <f t="shared" si="16"/>
        <v>0</v>
      </c>
      <c r="T199" s="187" t="str">
        <f>IF(R199="","",IF(O199=0,Famille!$D$5,IF(R199&lt;O199,Famille!$D$2,IF(R199&lt;=P199,Famille!$D$3,Famille!$D$4))))</f>
        <v>A commander</v>
      </c>
    </row>
    <row r="200" spans="1:20" ht="12" customHeight="1" x14ac:dyDescent="0.2">
      <c r="A200" s="4" t="str">
        <f>IF(Produits!A200="","",Produits!A200)</f>
        <v>Moveo</v>
      </c>
      <c r="B200" s="4" t="str">
        <f>IF(Produits!B200="","",Produits!B200)</f>
        <v>ComforTronic</v>
      </c>
      <c r="C200" s="4" t="str">
        <f>IF(Produits!C200="","",Produits!C200)</f>
        <v>1000,00,0197</v>
      </c>
      <c r="D200" s="4" t="str">
        <f>IF(Produits!D200="","",Produits!D200)</f>
        <v>AA321</v>
      </c>
      <c r="E200" s="49" t="str">
        <f>IF(Produits!F200="","",Produits!F200)</f>
        <v>1 pcs</v>
      </c>
      <c r="F200" s="50">
        <f>IF(Produits!H200="","",Produits!H200)</f>
        <v>206</v>
      </c>
      <c r="H200" s="37">
        <v>3</v>
      </c>
      <c r="I200" s="2"/>
      <c r="J200" s="69">
        <f>SUM('Archives Entrées'!$N200:$AAV200)</f>
        <v>0</v>
      </c>
      <c r="K200" s="51" t="str">
        <f t="shared" si="13"/>
        <v>0,00€</v>
      </c>
      <c r="L200" s="69">
        <f>SUM('Archives Sorties'!$M200:$AAY200)</f>
        <v>0</v>
      </c>
      <c r="M200" s="51" t="str">
        <f t="shared" si="14"/>
        <v>0,00€</v>
      </c>
      <c r="O200" s="72">
        <v>2</v>
      </c>
      <c r="P200" s="72">
        <v>5</v>
      </c>
      <c r="R200" s="185">
        <f t="shared" si="15"/>
        <v>3</v>
      </c>
      <c r="S200" s="186">
        <f t="shared" si="16"/>
        <v>1</v>
      </c>
      <c r="T200" s="187" t="str">
        <f>IF(R200="","",IF(O200=0,Famille!$D$5,IF(R200&lt;O200,Famille!$D$2,IF(R200&lt;=P200,Famille!$D$3,Famille!$D$4))))</f>
        <v>En Stock</v>
      </c>
    </row>
    <row r="201" spans="1:20" ht="12" customHeight="1" x14ac:dyDescent="0.2">
      <c r="A201" s="4" t="str">
        <f>IF(Produits!A201="","",Produits!A201)</f>
        <v>Moveo</v>
      </c>
      <c r="B201" s="4" t="str">
        <f>IF(Produits!B201="","",Produits!B201)</f>
        <v>ComforTronic</v>
      </c>
      <c r="C201" s="4" t="str">
        <f>IF(Produits!C201="","",Produits!C201)</f>
        <v>1000,00,0198</v>
      </c>
      <c r="D201" s="4" t="str">
        <f>IF(Produits!D201="","",Produits!D201)</f>
        <v>AA322</v>
      </c>
      <c r="E201" s="49" t="str">
        <f>IF(Produits!F201="","",Produits!F201)</f>
        <v>1 pcs</v>
      </c>
      <c r="F201" s="50">
        <f>IF(Produits!H201="","",Produits!H201)</f>
        <v>207</v>
      </c>
      <c r="H201" s="37">
        <v>0</v>
      </c>
      <c r="I201" s="2"/>
      <c r="J201" s="69">
        <f>SUM('Archives Entrées'!$N201:$AAV201)</f>
        <v>0</v>
      </c>
      <c r="K201" s="51" t="str">
        <f t="shared" si="13"/>
        <v>0,00€</v>
      </c>
      <c r="L201" s="69">
        <f>SUM('Archives Sorties'!$M201:$AAY201)</f>
        <v>0</v>
      </c>
      <c r="M201" s="51" t="str">
        <f t="shared" si="14"/>
        <v>0,00€</v>
      </c>
      <c r="O201" s="72">
        <v>0</v>
      </c>
      <c r="P201" s="72">
        <v>0</v>
      </c>
      <c r="R201" s="185">
        <f t="shared" si="15"/>
        <v>0</v>
      </c>
      <c r="S201" s="186">
        <f t="shared" si="16"/>
        <v>0</v>
      </c>
      <c r="T201" s="187" t="str">
        <f>IF(R201="","",IF(O201=0,Famille!$D$5,IF(R201&lt;O201,Famille!$D$2,IF(R201&lt;=P201,Famille!$D$3,Famille!$D$4))))</f>
        <v>Sur commande</v>
      </c>
    </row>
    <row r="202" spans="1:20" ht="12" customHeight="1" x14ac:dyDescent="0.2">
      <c r="A202" s="4" t="str">
        <f>IF(Produits!A202="","",Produits!A202)</f>
        <v>Moveo</v>
      </c>
      <c r="B202" s="4" t="str">
        <f>IF(Produits!B202="","",Produits!B202)</f>
        <v>ComforTronic</v>
      </c>
      <c r="C202" s="4" t="str">
        <f>IF(Produits!C202="","",Produits!C202)</f>
        <v>1000,00,0199</v>
      </c>
      <c r="D202" s="4" t="str">
        <f>IF(Produits!D202="","",Produits!D202)</f>
        <v>AA323</v>
      </c>
      <c r="E202" s="49" t="str">
        <f>IF(Produits!F202="","",Produits!F202)</f>
        <v>1 pcs</v>
      </c>
      <c r="F202" s="50">
        <f>IF(Produits!H202="","",Produits!H202)</f>
        <v>208</v>
      </c>
      <c r="H202" s="37">
        <v>0</v>
      </c>
      <c r="I202" s="2"/>
      <c r="J202" s="69">
        <f>SUM('Archives Entrées'!$N202:$AAV202)</f>
        <v>0</v>
      </c>
      <c r="K202" s="51" t="str">
        <f t="shared" si="13"/>
        <v>0,00€</v>
      </c>
      <c r="L202" s="69">
        <f>SUM('Archives Sorties'!$M202:$AAY202)</f>
        <v>0</v>
      </c>
      <c r="M202" s="51" t="str">
        <f t="shared" si="14"/>
        <v>0,00€</v>
      </c>
      <c r="O202" s="72">
        <v>0</v>
      </c>
      <c r="P202" s="72">
        <v>0</v>
      </c>
      <c r="R202" s="185">
        <f t="shared" si="15"/>
        <v>0</v>
      </c>
      <c r="S202" s="186">
        <f t="shared" si="16"/>
        <v>0</v>
      </c>
      <c r="T202" s="187" t="str">
        <f>IF(R202="","",IF(O202=0,Famille!$D$5,IF(R202&lt;O202,Famille!$D$2,IF(R202&lt;=P202,Famille!$D$3,Famille!$D$4))))</f>
        <v>Sur commande</v>
      </c>
    </row>
    <row r="203" spans="1:20" ht="12" customHeight="1" x14ac:dyDescent="0.2">
      <c r="A203" s="4" t="str">
        <f>IF(Produits!A203="","",Produits!A203)</f>
        <v>Moveo</v>
      </c>
      <c r="B203" s="4" t="str">
        <f>IF(Produits!B203="","",Produits!B203)</f>
        <v>ComforTronic</v>
      </c>
      <c r="C203" s="4" t="str">
        <f>IF(Produits!C203="","",Produits!C203)</f>
        <v>1000,00,0200</v>
      </c>
      <c r="D203" s="4" t="str">
        <f>IF(Produits!D203="","",Produits!D203)</f>
        <v>AA324</v>
      </c>
      <c r="E203" s="49" t="str">
        <f>IF(Produits!F203="","",Produits!F203)</f>
        <v>1 pcs</v>
      </c>
      <c r="F203" s="50">
        <f>IF(Produits!H203="","",Produits!H203)</f>
        <v>209</v>
      </c>
      <c r="H203" s="37">
        <v>4</v>
      </c>
      <c r="I203" s="2"/>
      <c r="J203" s="69">
        <f>SUM('Archives Entrées'!$N203:$AAV203)</f>
        <v>0</v>
      </c>
      <c r="K203" s="51" t="str">
        <f t="shared" si="13"/>
        <v>0,00€</v>
      </c>
      <c r="L203" s="69">
        <f>SUM('Archives Sorties'!$M203:$AAY203)</f>
        <v>0</v>
      </c>
      <c r="M203" s="51" t="str">
        <f t="shared" si="14"/>
        <v>0,00€</v>
      </c>
      <c r="O203" s="72">
        <v>2</v>
      </c>
      <c r="P203" s="72">
        <v>5</v>
      </c>
      <c r="R203" s="185">
        <f t="shared" si="15"/>
        <v>4</v>
      </c>
      <c r="S203" s="186">
        <f t="shared" si="16"/>
        <v>1</v>
      </c>
      <c r="T203" s="187" t="str">
        <f>IF(R203="","",IF(O203=0,Famille!$D$5,IF(R203&lt;O203,Famille!$D$2,IF(R203&lt;=P203,Famille!$D$3,Famille!$D$4))))</f>
        <v>En Stock</v>
      </c>
    </row>
    <row r="204" spans="1:20" ht="12" customHeight="1" x14ac:dyDescent="0.2">
      <c r="A204" s="4" t="str">
        <f>IF(Produits!A204="","",Produits!A204)</f>
        <v>Moveo</v>
      </c>
      <c r="B204" s="4" t="str">
        <f>IF(Produits!B204="","",Produits!B204)</f>
        <v>ComforTronic</v>
      </c>
      <c r="C204" s="4" t="str">
        <f>IF(Produits!C204="","",Produits!C204)</f>
        <v>1000,00,0201</v>
      </c>
      <c r="D204" s="4" t="str">
        <f>IF(Produits!D204="","",Produits!D204)</f>
        <v>AA325</v>
      </c>
      <c r="E204" s="49" t="str">
        <f>IF(Produits!F204="","",Produits!F204)</f>
        <v>1 pcs</v>
      </c>
      <c r="F204" s="50">
        <f>IF(Produits!H204="","",Produits!H204)</f>
        <v>210</v>
      </c>
      <c r="H204" s="37">
        <v>0</v>
      </c>
      <c r="I204" s="2"/>
      <c r="J204" s="69">
        <f>SUM('Archives Entrées'!$N204:$AAV204)</f>
        <v>0</v>
      </c>
      <c r="K204" s="51" t="str">
        <f t="shared" si="13"/>
        <v>0,00€</v>
      </c>
      <c r="L204" s="69">
        <f>SUM('Archives Sorties'!$M204:$AAY204)</f>
        <v>0</v>
      </c>
      <c r="M204" s="51" t="str">
        <f t="shared" si="14"/>
        <v>0,00€</v>
      </c>
      <c r="O204" s="72">
        <v>0</v>
      </c>
      <c r="P204" s="72">
        <v>0</v>
      </c>
      <c r="R204" s="185">
        <f t="shared" si="15"/>
        <v>0</v>
      </c>
      <c r="S204" s="186">
        <f t="shared" si="16"/>
        <v>0</v>
      </c>
      <c r="T204" s="187" t="str">
        <f>IF(R204="","",IF(O204=0,Famille!$D$5,IF(R204&lt;O204,Famille!$D$2,IF(R204&lt;=P204,Famille!$D$3,Famille!$D$4))))</f>
        <v>Sur commande</v>
      </c>
    </row>
    <row r="205" spans="1:20" ht="12" customHeight="1" x14ac:dyDescent="0.2">
      <c r="A205" s="4" t="str">
        <f>IF(Produits!A205="","",Produits!A205)</f>
        <v>Moveo</v>
      </c>
      <c r="B205" s="4" t="str">
        <f>IF(Produits!B205="","",Produits!B205)</f>
        <v>ComforTronic</v>
      </c>
      <c r="C205" s="4" t="str">
        <f>IF(Produits!C205="","",Produits!C205)</f>
        <v>1000,00,0202</v>
      </c>
      <c r="D205" s="4" t="str">
        <f>IF(Produits!D205="","",Produits!D205)</f>
        <v>AA326</v>
      </c>
      <c r="E205" s="49" t="str">
        <f>IF(Produits!F205="","",Produits!F205)</f>
        <v>1 pcs</v>
      </c>
      <c r="F205" s="50">
        <f>IF(Produits!H205="","",Produits!H205)</f>
        <v>211</v>
      </c>
      <c r="H205" s="37">
        <v>0</v>
      </c>
      <c r="I205" s="2"/>
      <c r="J205" s="69">
        <f>SUM('Archives Entrées'!$N205:$AAV205)</f>
        <v>0</v>
      </c>
      <c r="K205" s="51" t="str">
        <f t="shared" si="13"/>
        <v>0,00€</v>
      </c>
      <c r="L205" s="69">
        <f>SUM('Archives Sorties'!$M205:$AAY205)</f>
        <v>0</v>
      </c>
      <c r="M205" s="51" t="str">
        <f t="shared" si="14"/>
        <v>0,00€</v>
      </c>
      <c r="O205" s="72">
        <v>0</v>
      </c>
      <c r="P205" s="72">
        <v>0</v>
      </c>
      <c r="R205" s="185">
        <f t="shared" si="15"/>
        <v>0</v>
      </c>
      <c r="S205" s="186">
        <f t="shared" si="16"/>
        <v>0</v>
      </c>
      <c r="T205" s="187" t="str">
        <f>IF(R205="","",IF(O205=0,Famille!$D$5,IF(R205&lt;O205,Famille!$D$2,IF(R205&lt;=P205,Famille!$D$3,Famille!$D$4))))</f>
        <v>Sur commande</v>
      </c>
    </row>
    <row r="206" spans="1:20" ht="12" customHeight="1" x14ac:dyDescent="0.2">
      <c r="A206" s="4" t="str">
        <f>IF(Produits!A206="","",Produits!A206)</f>
        <v>Moveo</v>
      </c>
      <c r="B206" s="4" t="str">
        <f>IF(Produits!B206="","",Produits!B206)</f>
        <v>ComforTronic</v>
      </c>
      <c r="C206" s="4" t="str">
        <f>IF(Produits!C206="","",Produits!C206)</f>
        <v>1000,00,0203</v>
      </c>
      <c r="D206" s="4" t="str">
        <f>IF(Produits!D206="","",Produits!D206)</f>
        <v>AA327</v>
      </c>
      <c r="E206" s="49" t="str">
        <f>IF(Produits!F206="","",Produits!F206)</f>
        <v>1 pcs</v>
      </c>
      <c r="F206" s="50">
        <f>IF(Produits!H206="","",Produits!H206)</f>
        <v>212</v>
      </c>
      <c r="H206" s="37">
        <v>0</v>
      </c>
      <c r="I206" s="2"/>
      <c r="J206" s="69">
        <f>SUM('Archives Entrées'!$N206:$AAV206)</f>
        <v>0</v>
      </c>
      <c r="K206" s="51" t="str">
        <f t="shared" si="13"/>
        <v>0,00€</v>
      </c>
      <c r="L206" s="69">
        <f>SUM('Archives Sorties'!$M206:$AAY206)</f>
        <v>0</v>
      </c>
      <c r="M206" s="51" t="str">
        <f t="shared" si="14"/>
        <v>0,00€</v>
      </c>
      <c r="O206" s="72">
        <v>0</v>
      </c>
      <c r="P206" s="72">
        <v>0</v>
      </c>
      <c r="R206" s="185">
        <f t="shared" si="15"/>
        <v>0</v>
      </c>
      <c r="S206" s="186">
        <f t="shared" si="16"/>
        <v>0</v>
      </c>
      <c r="T206" s="187" t="str">
        <f>IF(R206="","",IF(O206=0,Famille!$D$5,IF(R206&lt;O206,Famille!$D$2,IF(R206&lt;=P206,Famille!$D$3,Famille!$D$4))))</f>
        <v>Sur commande</v>
      </c>
    </row>
    <row r="207" spans="1:20" ht="12" customHeight="1" x14ac:dyDescent="0.2">
      <c r="A207" s="4" t="str">
        <f>IF(Produits!A207="","",Produits!A207)</f>
        <v>Moveo</v>
      </c>
      <c r="B207" s="4" t="str">
        <f>IF(Produits!B207="","",Produits!B207)</f>
        <v>ComforTronic</v>
      </c>
      <c r="C207" s="4" t="str">
        <f>IF(Produits!C207="","",Produits!C207)</f>
        <v>1000,00,0204</v>
      </c>
      <c r="D207" s="4" t="str">
        <f>IF(Produits!D207="","",Produits!D207)</f>
        <v>AA328</v>
      </c>
      <c r="E207" s="49" t="str">
        <f>IF(Produits!F207="","",Produits!F207)</f>
        <v>1 pcs</v>
      </c>
      <c r="F207" s="50">
        <f>IF(Produits!H207="","",Produits!H207)</f>
        <v>213</v>
      </c>
      <c r="H207" s="37">
        <v>10</v>
      </c>
      <c r="I207" s="2"/>
      <c r="J207" s="69">
        <f>SUM('Archives Entrées'!$N207:$AAV207)</f>
        <v>0</v>
      </c>
      <c r="K207" s="51" t="str">
        <f t="shared" si="13"/>
        <v>0,00€</v>
      </c>
      <c r="L207" s="69">
        <f>SUM('Archives Sorties'!$M207:$AAY207)</f>
        <v>0</v>
      </c>
      <c r="M207" s="51" t="str">
        <f t="shared" si="14"/>
        <v>0,00€</v>
      </c>
      <c r="O207" s="72">
        <v>5</v>
      </c>
      <c r="P207" s="72">
        <v>10</v>
      </c>
      <c r="R207" s="185">
        <f t="shared" si="15"/>
        <v>10</v>
      </c>
      <c r="S207" s="186">
        <f t="shared" si="16"/>
        <v>1</v>
      </c>
      <c r="T207" s="187" t="str">
        <f>IF(R207="","",IF(O207=0,Famille!$D$5,IF(R207&lt;O207,Famille!$D$2,IF(R207&lt;=P207,Famille!$D$3,Famille!$D$4))))</f>
        <v>En Stock</v>
      </c>
    </row>
    <row r="208" spans="1:20" ht="12" customHeight="1" x14ac:dyDescent="0.2">
      <c r="A208" s="4" t="str">
        <f>IF(Produits!A208="","",Produits!A208)</f>
        <v>Moveo</v>
      </c>
      <c r="B208" s="4" t="str">
        <f>IF(Produits!B208="","",Produits!B208)</f>
        <v>ComforTronic</v>
      </c>
      <c r="C208" s="4" t="str">
        <f>IF(Produits!C208="","",Produits!C208)</f>
        <v>1000,00,0205</v>
      </c>
      <c r="D208" s="4" t="str">
        <f>IF(Produits!D208="","",Produits!D208)</f>
        <v>AA329</v>
      </c>
      <c r="E208" s="49" t="str">
        <f>IF(Produits!F208="","",Produits!F208)</f>
        <v>1 pcs</v>
      </c>
      <c r="F208" s="50">
        <f>IF(Produits!H208="","",Produits!H208)</f>
        <v>214</v>
      </c>
      <c r="H208" s="37">
        <v>3</v>
      </c>
      <c r="I208" s="2"/>
      <c r="J208" s="69">
        <f>SUM('Archives Entrées'!$N208:$AAV208)</f>
        <v>0</v>
      </c>
      <c r="K208" s="51" t="str">
        <f t="shared" si="13"/>
        <v>0,00€</v>
      </c>
      <c r="L208" s="69">
        <f>SUM('Archives Sorties'!$M208:$AAY208)</f>
        <v>0</v>
      </c>
      <c r="M208" s="51" t="str">
        <f t="shared" si="14"/>
        <v>0,00€</v>
      </c>
      <c r="O208" s="72">
        <v>5</v>
      </c>
      <c r="P208" s="72">
        <v>6</v>
      </c>
      <c r="R208" s="185">
        <f t="shared" si="15"/>
        <v>3</v>
      </c>
      <c r="S208" s="186">
        <f t="shared" si="16"/>
        <v>0</v>
      </c>
      <c r="T208" s="187" t="str">
        <f>IF(R208="","",IF(O208=0,Famille!$D$5,IF(R208&lt;O208,Famille!$D$2,IF(R208&lt;=P208,Famille!$D$3,Famille!$D$4))))</f>
        <v>A commander</v>
      </c>
    </row>
    <row r="209" spans="1:20" ht="12" customHeight="1" x14ac:dyDescent="0.2">
      <c r="A209" s="4" t="str">
        <f>IF(Produits!A209="","",Produits!A209)</f>
        <v>Moveo</v>
      </c>
      <c r="B209" s="4" t="str">
        <f>IF(Produits!B209="","",Produits!B209)</f>
        <v>Contrôle</v>
      </c>
      <c r="C209" s="4" t="str">
        <f>IF(Produits!C209="","",Produits!C209)</f>
        <v>1000,00,0206</v>
      </c>
      <c r="D209" s="4" t="str">
        <f>IF(Produits!D209="","",Produits!D209)</f>
        <v>AA330</v>
      </c>
      <c r="E209" s="49" t="str">
        <f>IF(Produits!F209="","",Produits!F209)</f>
        <v>1 pcs</v>
      </c>
      <c r="F209" s="50">
        <f>IF(Produits!H209="","",Produits!H209)</f>
        <v>215</v>
      </c>
      <c r="H209" s="37">
        <v>0</v>
      </c>
      <c r="I209" s="2"/>
      <c r="J209" s="69">
        <f>SUM('Archives Entrées'!$N209:$AAV209)</f>
        <v>0</v>
      </c>
      <c r="K209" s="51" t="str">
        <f t="shared" si="13"/>
        <v>0,00€</v>
      </c>
      <c r="L209" s="69">
        <f>SUM('Archives Sorties'!$M209:$AAY209)</f>
        <v>0</v>
      </c>
      <c r="M209" s="51" t="str">
        <f t="shared" si="14"/>
        <v>0,00€</v>
      </c>
      <c r="O209" s="72">
        <v>0</v>
      </c>
      <c r="P209" s="72">
        <v>0</v>
      </c>
      <c r="R209" s="185">
        <f t="shared" si="15"/>
        <v>0</v>
      </c>
      <c r="S209" s="186">
        <f t="shared" si="16"/>
        <v>0</v>
      </c>
      <c r="T209" s="187" t="str">
        <f>IF(R209="","",IF(O209=0,Famille!$D$5,IF(R209&lt;O209,Famille!$D$2,IF(R209&lt;=P209,Famille!$D$3,Famille!$D$4))))</f>
        <v>Sur commande</v>
      </c>
    </row>
    <row r="210" spans="1:20" ht="12" customHeight="1" x14ac:dyDescent="0.2">
      <c r="A210" s="4" t="str">
        <f>IF(Produits!A210="","",Produits!A210)</f>
        <v>Moveo</v>
      </c>
      <c r="B210" s="4" t="str">
        <f>IF(Produits!B210="","",Produits!B210)</f>
        <v>Contrôle</v>
      </c>
      <c r="C210" s="4" t="str">
        <f>IF(Produits!C210="","",Produits!C210)</f>
        <v>1000,00,0207</v>
      </c>
      <c r="D210" s="4" t="str">
        <f>IF(Produits!D210="","",Produits!D210)</f>
        <v>AA331</v>
      </c>
      <c r="E210" s="49" t="str">
        <f>IF(Produits!F210="","",Produits!F210)</f>
        <v>1 pcs</v>
      </c>
      <c r="F210" s="50">
        <f>IF(Produits!H210="","",Produits!H210)</f>
        <v>216</v>
      </c>
      <c r="H210" s="37">
        <v>0</v>
      </c>
      <c r="I210" s="2"/>
      <c r="J210" s="69">
        <f>SUM('Archives Entrées'!$N210:$AAV210)</f>
        <v>0</v>
      </c>
      <c r="K210" s="51" t="str">
        <f t="shared" si="13"/>
        <v>0,00€</v>
      </c>
      <c r="L210" s="69">
        <f>SUM('Archives Sorties'!$M210:$AAY210)</f>
        <v>0</v>
      </c>
      <c r="M210" s="51" t="str">
        <f t="shared" si="14"/>
        <v>0,00€</v>
      </c>
      <c r="O210" s="72">
        <v>5</v>
      </c>
      <c r="P210" s="72">
        <v>10</v>
      </c>
      <c r="R210" s="185">
        <f t="shared" si="15"/>
        <v>0</v>
      </c>
      <c r="S210" s="186">
        <f t="shared" si="16"/>
        <v>0</v>
      </c>
      <c r="T210" s="187" t="str">
        <f>IF(R210="","",IF(O210=0,Famille!$D$5,IF(R210&lt;O210,Famille!$D$2,IF(R210&lt;=P210,Famille!$D$3,Famille!$D$4))))</f>
        <v>A commander</v>
      </c>
    </row>
    <row r="211" spans="1:20" ht="12" customHeight="1" x14ac:dyDescent="0.2">
      <c r="A211" s="4" t="str">
        <f>IF(Produits!A211="","",Produits!A211)</f>
        <v>Moveo</v>
      </c>
      <c r="B211" s="4" t="str">
        <f>IF(Produits!B211="","",Produits!B211)</f>
        <v>Contrôle</v>
      </c>
      <c r="C211" s="4" t="str">
        <f>IF(Produits!C211="","",Produits!C211)</f>
        <v>1000,00,0208</v>
      </c>
      <c r="D211" s="4" t="str">
        <f>IF(Produits!D211="","",Produits!D211)</f>
        <v>AA332</v>
      </c>
      <c r="E211" s="49" t="str">
        <f>IF(Produits!F211="","",Produits!F211)</f>
        <v>1 pcs</v>
      </c>
      <c r="F211" s="50">
        <f>IF(Produits!H211="","",Produits!H211)</f>
        <v>217</v>
      </c>
      <c r="H211" s="37">
        <v>0</v>
      </c>
      <c r="I211" s="2"/>
      <c r="J211" s="69">
        <f>SUM('Archives Entrées'!$N211:$AAV211)</f>
        <v>0</v>
      </c>
      <c r="K211" s="51" t="str">
        <f t="shared" si="13"/>
        <v>0,00€</v>
      </c>
      <c r="L211" s="69">
        <f>SUM('Archives Sorties'!$M211:$AAY211)</f>
        <v>0</v>
      </c>
      <c r="M211" s="51" t="str">
        <f t="shared" si="14"/>
        <v>0,00€</v>
      </c>
      <c r="O211" s="72">
        <v>5</v>
      </c>
      <c r="P211" s="72">
        <v>10</v>
      </c>
      <c r="R211" s="185">
        <f t="shared" si="15"/>
        <v>0</v>
      </c>
      <c r="S211" s="186">
        <f t="shared" si="16"/>
        <v>0</v>
      </c>
      <c r="T211" s="187" t="str">
        <f>IF(R211="","",IF(O211=0,Famille!$D$5,IF(R211&lt;O211,Famille!$D$2,IF(R211&lt;=P211,Famille!$D$3,Famille!$D$4))))</f>
        <v>A commander</v>
      </c>
    </row>
    <row r="212" spans="1:20" ht="12" customHeight="1" x14ac:dyDescent="0.2">
      <c r="A212" s="4" t="str">
        <f>IF(Produits!A212="","",Produits!A212)</f>
        <v>Moveo</v>
      </c>
      <c r="B212" s="4" t="str">
        <f>IF(Produits!B212="","",Produits!B212)</f>
        <v>Contrôle</v>
      </c>
      <c r="C212" s="4" t="str">
        <f>IF(Produits!C212="","",Produits!C212)</f>
        <v>1000,00,0209</v>
      </c>
      <c r="D212" s="4" t="str">
        <f>IF(Produits!D212="","",Produits!D212)</f>
        <v>AA333</v>
      </c>
      <c r="E212" s="49" t="str">
        <f>IF(Produits!F212="","",Produits!F212)</f>
        <v>1 pcs</v>
      </c>
      <c r="F212" s="50">
        <f>IF(Produits!H212="","",Produits!H212)</f>
        <v>218</v>
      </c>
      <c r="H212" s="37">
        <v>0</v>
      </c>
      <c r="I212" s="2"/>
      <c r="J212" s="69">
        <f>SUM('Archives Entrées'!$N212:$AAV212)</f>
        <v>0</v>
      </c>
      <c r="K212" s="51" t="str">
        <f t="shared" si="13"/>
        <v>0,00€</v>
      </c>
      <c r="L212" s="69">
        <f>SUM('Archives Sorties'!$M212:$AAY212)</f>
        <v>0</v>
      </c>
      <c r="M212" s="51" t="str">
        <f t="shared" si="14"/>
        <v>0,00€</v>
      </c>
      <c r="O212" s="72">
        <v>0</v>
      </c>
      <c r="P212" s="72">
        <v>0</v>
      </c>
      <c r="R212" s="185">
        <f t="shared" si="15"/>
        <v>0</v>
      </c>
      <c r="S212" s="186">
        <f t="shared" si="16"/>
        <v>0</v>
      </c>
      <c r="T212" s="187" t="str">
        <f>IF(R212="","",IF(O212=0,Famille!$D$5,IF(R212&lt;O212,Famille!$D$2,IF(R212&lt;=P212,Famille!$D$3,Famille!$D$4))))</f>
        <v>Sur commande</v>
      </c>
    </row>
    <row r="213" spans="1:20" ht="12" customHeight="1" x14ac:dyDescent="0.2">
      <c r="A213" s="4" t="str">
        <f>IF(Produits!A213="","",Produits!A213)</f>
        <v>Moveo</v>
      </c>
      <c r="B213" s="4" t="str">
        <f>IF(Produits!B213="","",Produits!B213)</f>
        <v>Contrôle</v>
      </c>
      <c r="C213" s="4" t="str">
        <f>IF(Produits!C213="","",Produits!C213)</f>
        <v>1000,00,0210</v>
      </c>
      <c r="D213" s="4" t="str">
        <f>IF(Produits!D213="","",Produits!D213)</f>
        <v>AA334</v>
      </c>
      <c r="E213" s="49" t="str">
        <f>IF(Produits!F213="","",Produits!F213)</f>
        <v>1 pcs</v>
      </c>
      <c r="F213" s="50">
        <f>IF(Produits!H213="","",Produits!H213)</f>
        <v>219</v>
      </c>
      <c r="H213" s="37">
        <v>0</v>
      </c>
      <c r="I213" s="2"/>
      <c r="J213" s="69">
        <f>SUM('Archives Entrées'!$N213:$AAV213)</f>
        <v>0</v>
      </c>
      <c r="K213" s="51" t="str">
        <f t="shared" si="13"/>
        <v>0,00€</v>
      </c>
      <c r="L213" s="69">
        <f>SUM('Archives Sorties'!$M213:$AAY213)</f>
        <v>0</v>
      </c>
      <c r="M213" s="51" t="str">
        <f t="shared" si="14"/>
        <v>0,00€</v>
      </c>
      <c r="O213" s="72">
        <v>0</v>
      </c>
      <c r="P213" s="72">
        <v>0</v>
      </c>
      <c r="R213" s="185">
        <f t="shared" si="15"/>
        <v>0</v>
      </c>
      <c r="S213" s="186">
        <f t="shared" si="16"/>
        <v>0</v>
      </c>
      <c r="T213" s="187" t="str">
        <f>IF(R213="","",IF(O213=0,Famille!$D$5,IF(R213&lt;O213,Famille!$D$2,IF(R213&lt;=P213,Famille!$D$3,Famille!$D$4))))</f>
        <v>Sur commande</v>
      </c>
    </row>
    <row r="214" spans="1:20" ht="12" customHeight="1" x14ac:dyDescent="0.2">
      <c r="A214" s="4" t="str">
        <f>IF(Produits!A214="","",Produits!A214)</f>
        <v>Moveo</v>
      </c>
      <c r="B214" s="4" t="str">
        <f>IF(Produits!B214="","",Produits!B214)</f>
        <v>Contrôle</v>
      </c>
      <c r="C214" s="4" t="str">
        <f>IF(Produits!C214="","",Produits!C214)</f>
        <v>1000,00,0211</v>
      </c>
      <c r="D214" s="4" t="str">
        <f>IF(Produits!D214="","",Produits!D214)</f>
        <v>AA335</v>
      </c>
      <c r="E214" s="49" t="str">
        <f>IF(Produits!F214="","",Produits!F214)</f>
        <v>1 pcs</v>
      </c>
      <c r="F214" s="50">
        <f>IF(Produits!H214="","",Produits!H214)</f>
        <v>220</v>
      </c>
      <c r="H214" s="37">
        <v>0</v>
      </c>
      <c r="I214" s="2"/>
      <c r="J214" s="69">
        <f>SUM('Archives Entrées'!$N214:$AAV214)</f>
        <v>0</v>
      </c>
      <c r="K214" s="51" t="str">
        <f t="shared" si="13"/>
        <v>0,00€</v>
      </c>
      <c r="L214" s="69">
        <f>SUM('Archives Sorties'!$M214:$AAY214)</f>
        <v>0</v>
      </c>
      <c r="M214" s="51" t="str">
        <f t="shared" si="14"/>
        <v>0,00€</v>
      </c>
      <c r="O214" s="72">
        <v>0</v>
      </c>
      <c r="P214" s="72">
        <v>0</v>
      </c>
      <c r="R214" s="185">
        <f t="shared" si="15"/>
        <v>0</v>
      </c>
      <c r="S214" s="186">
        <f t="shared" si="16"/>
        <v>0</v>
      </c>
      <c r="T214" s="187" t="str">
        <f>IF(R214="","",IF(O214=0,Famille!$D$5,IF(R214&lt;O214,Famille!$D$2,IF(R214&lt;=P214,Famille!$D$3,Famille!$D$4))))</f>
        <v>Sur commande</v>
      </c>
    </row>
    <row r="215" spans="1:20" ht="12" customHeight="1" x14ac:dyDescent="0.2">
      <c r="A215" s="4" t="str">
        <f>IF(Produits!A215="","",Produits!A215)</f>
        <v>Moveo</v>
      </c>
      <c r="B215" s="4" t="str">
        <f>IF(Produits!B215="","",Produits!B215)</f>
        <v>Contrôle</v>
      </c>
      <c r="C215" s="4" t="str">
        <f>IF(Produits!C215="","",Produits!C215)</f>
        <v>1000,00,0212</v>
      </c>
      <c r="D215" s="4" t="str">
        <f>IF(Produits!D215="","",Produits!D215)</f>
        <v>AA336</v>
      </c>
      <c r="E215" s="49" t="str">
        <f>IF(Produits!F215="","",Produits!F215)</f>
        <v>1 pcs</v>
      </c>
      <c r="F215" s="50">
        <f>IF(Produits!H215="","",Produits!H215)</f>
        <v>221</v>
      </c>
      <c r="H215" s="37">
        <v>0</v>
      </c>
      <c r="I215" s="2"/>
      <c r="J215" s="69">
        <f>SUM('Archives Entrées'!$N215:$AAV215)</f>
        <v>0</v>
      </c>
      <c r="K215" s="51" t="str">
        <f t="shared" si="13"/>
        <v>0,00€</v>
      </c>
      <c r="L215" s="69">
        <f>SUM('Archives Sorties'!$M215:$AAY215)</f>
        <v>0</v>
      </c>
      <c r="M215" s="51" t="str">
        <f t="shared" si="14"/>
        <v>0,00€</v>
      </c>
      <c r="O215" s="72">
        <v>0</v>
      </c>
      <c r="P215" s="72">
        <v>0</v>
      </c>
      <c r="R215" s="185">
        <f t="shared" si="15"/>
        <v>0</v>
      </c>
      <c r="S215" s="186">
        <f t="shared" si="16"/>
        <v>0</v>
      </c>
      <c r="T215" s="187" t="str">
        <f>IF(R215="","",IF(O215=0,Famille!$D$5,IF(R215&lt;O215,Famille!$D$2,IF(R215&lt;=P215,Famille!$D$3,Famille!$D$4))))</f>
        <v>Sur commande</v>
      </c>
    </row>
    <row r="216" spans="1:20" ht="12" customHeight="1" x14ac:dyDescent="0.2">
      <c r="A216" s="4" t="str">
        <f>IF(Produits!A216="","",Produits!A216)</f>
        <v>Moveo</v>
      </c>
      <c r="B216" s="4" t="str">
        <f>IF(Produits!B216="","",Produits!B216)</f>
        <v>Contrôle</v>
      </c>
      <c r="C216" s="4" t="str">
        <f>IF(Produits!C216="","",Produits!C216)</f>
        <v>1000,00,0213</v>
      </c>
      <c r="D216" s="4" t="str">
        <f>IF(Produits!D216="","",Produits!D216)</f>
        <v>AA337</v>
      </c>
      <c r="E216" s="49" t="str">
        <f>IF(Produits!F216="","",Produits!F216)</f>
        <v>1 pcs</v>
      </c>
      <c r="F216" s="50">
        <f>IF(Produits!H216="","",Produits!H216)</f>
        <v>222</v>
      </c>
      <c r="H216" s="37">
        <v>0</v>
      </c>
      <c r="I216" s="2"/>
      <c r="J216" s="69">
        <f>SUM('Archives Entrées'!$N216:$AAV216)</f>
        <v>0</v>
      </c>
      <c r="K216" s="51" t="str">
        <f t="shared" si="13"/>
        <v>0,00€</v>
      </c>
      <c r="L216" s="69">
        <f>SUM('Archives Sorties'!$M216:$AAY216)</f>
        <v>0</v>
      </c>
      <c r="M216" s="51" t="str">
        <f t="shared" si="14"/>
        <v>0,00€</v>
      </c>
      <c r="O216" s="72">
        <v>0</v>
      </c>
      <c r="P216" s="72">
        <v>0</v>
      </c>
      <c r="R216" s="185">
        <f t="shared" si="15"/>
        <v>0</v>
      </c>
      <c r="S216" s="186">
        <f t="shared" si="16"/>
        <v>0</v>
      </c>
      <c r="T216" s="187" t="str">
        <f>IF(R216="","",IF(O216=0,Famille!$D$5,IF(R216&lt;O216,Famille!$D$2,IF(R216&lt;=P216,Famille!$D$3,Famille!$D$4))))</f>
        <v>Sur commande</v>
      </c>
    </row>
    <row r="217" spans="1:20" ht="12" customHeight="1" x14ac:dyDescent="0.2">
      <c r="A217" s="4" t="str">
        <f>IF(Produits!A217="","",Produits!A217)</f>
        <v>Moveo</v>
      </c>
      <c r="B217" s="4" t="str">
        <f>IF(Produits!B217="","",Produits!B217)</f>
        <v>Contrôle</v>
      </c>
      <c r="C217" s="4" t="str">
        <f>IF(Produits!C217="","",Produits!C217)</f>
        <v>1000,00,0214</v>
      </c>
      <c r="D217" s="4" t="str">
        <f>IF(Produits!D217="","",Produits!D217)</f>
        <v>AA338</v>
      </c>
      <c r="E217" s="49" t="str">
        <f>IF(Produits!F217="","",Produits!F217)</f>
        <v>1 pcs</v>
      </c>
      <c r="F217" s="50">
        <f>IF(Produits!H217="","",Produits!H217)</f>
        <v>223</v>
      </c>
      <c r="H217" s="37">
        <v>0</v>
      </c>
      <c r="I217" s="2"/>
      <c r="J217" s="69">
        <f>SUM('Archives Entrées'!$N217:$AAV217)</f>
        <v>0</v>
      </c>
      <c r="K217" s="51" t="str">
        <f t="shared" si="13"/>
        <v>0,00€</v>
      </c>
      <c r="L217" s="69">
        <f>SUM('Archives Sorties'!$M217:$AAY217)</f>
        <v>0</v>
      </c>
      <c r="M217" s="51" t="str">
        <f t="shared" si="14"/>
        <v>0,00€</v>
      </c>
      <c r="O217" s="72">
        <v>2</v>
      </c>
      <c r="P217" s="72">
        <v>5</v>
      </c>
      <c r="R217" s="185">
        <f t="shared" si="15"/>
        <v>0</v>
      </c>
      <c r="S217" s="186">
        <f t="shared" si="16"/>
        <v>0</v>
      </c>
      <c r="T217" s="187" t="str">
        <f>IF(R217="","",IF(O217=0,Famille!$D$5,IF(R217&lt;O217,Famille!$D$2,IF(R217&lt;=P217,Famille!$D$3,Famille!$D$4))))</f>
        <v>A commander</v>
      </c>
    </row>
    <row r="218" spans="1:20" ht="12" customHeight="1" x14ac:dyDescent="0.2">
      <c r="A218" s="4" t="str">
        <f>IF(Produits!A218="","",Produits!A218)</f>
        <v>Moveo</v>
      </c>
      <c r="B218" s="4" t="str">
        <f>IF(Produits!B218="","",Produits!B218)</f>
        <v>Contrôle</v>
      </c>
      <c r="C218" s="4" t="str">
        <f>IF(Produits!C218="","",Produits!C218)</f>
        <v>1000,00,0215</v>
      </c>
      <c r="D218" s="4" t="str">
        <f>IF(Produits!D218="","",Produits!D218)</f>
        <v>AA339</v>
      </c>
      <c r="E218" s="49" t="str">
        <f>IF(Produits!F218="","",Produits!F218)</f>
        <v>1 pcs</v>
      </c>
      <c r="F218" s="50">
        <f>IF(Produits!H218="","",Produits!H218)</f>
        <v>224</v>
      </c>
      <c r="H218" s="37">
        <v>0</v>
      </c>
      <c r="I218" s="2"/>
      <c r="J218" s="69">
        <f>SUM('Archives Entrées'!$N218:$AAV218)</f>
        <v>0</v>
      </c>
      <c r="K218" s="51" t="str">
        <f t="shared" si="13"/>
        <v>0,00€</v>
      </c>
      <c r="L218" s="69">
        <f>SUM('Archives Sorties'!$M218:$AAY218)</f>
        <v>0</v>
      </c>
      <c r="M218" s="51" t="str">
        <f t="shared" si="14"/>
        <v>0,00€</v>
      </c>
      <c r="O218" s="72">
        <v>0</v>
      </c>
      <c r="P218" s="72">
        <v>0</v>
      </c>
      <c r="R218" s="185">
        <f t="shared" si="15"/>
        <v>0</v>
      </c>
      <c r="S218" s="186">
        <f t="shared" si="16"/>
        <v>0</v>
      </c>
      <c r="T218" s="187" t="str">
        <f>IF(R218="","",IF(O218=0,Famille!$D$5,IF(R218&lt;O218,Famille!$D$2,IF(R218&lt;=P218,Famille!$D$3,Famille!$D$4))))</f>
        <v>Sur commande</v>
      </c>
    </row>
    <row r="219" spans="1:20" ht="12" customHeight="1" x14ac:dyDescent="0.2">
      <c r="A219" s="4" t="str">
        <f>IF(Produits!A219="","",Produits!A219)</f>
        <v>Moveo</v>
      </c>
      <c r="B219" s="4" t="str">
        <f>IF(Produits!B219="","",Produits!B219)</f>
        <v>Contrôle</v>
      </c>
      <c r="C219" s="4" t="str">
        <f>IF(Produits!C219="","",Produits!C219)</f>
        <v>1000,00,0216</v>
      </c>
      <c r="D219" s="4" t="str">
        <f>IF(Produits!D219="","",Produits!D219)</f>
        <v>AA340</v>
      </c>
      <c r="E219" s="49" t="str">
        <f>IF(Produits!F219="","",Produits!F219)</f>
        <v>1 pcs</v>
      </c>
      <c r="F219" s="50">
        <f>IF(Produits!H219="","",Produits!H219)</f>
        <v>225</v>
      </c>
      <c r="H219" s="37">
        <v>0</v>
      </c>
      <c r="I219" s="2"/>
      <c r="J219" s="69">
        <f>SUM('Archives Entrées'!$N219:$AAV219)</f>
        <v>0</v>
      </c>
      <c r="K219" s="51" t="str">
        <f t="shared" si="13"/>
        <v>0,00€</v>
      </c>
      <c r="L219" s="69">
        <f>SUM('Archives Sorties'!$M219:$AAY219)</f>
        <v>0</v>
      </c>
      <c r="M219" s="51" t="str">
        <f t="shared" si="14"/>
        <v>0,00€</v>
      </c>
      <c r="O219" s="72">
        <v>0</v>
      </c>
      <c r="P219" s="72">
        <v>0</v>
      </c>
      <c r="R219" s="185">
        <f t="shared" si="15"/>
        <v>0</v>
      </c>
      <c r="S219" s="186">
        <f t="shared" si="16"/>
        <v>0</v>
      </c>
      <c r="T219" s="187" t="str">
        <f>IF(R219="","",IF(O219=0,Famille!$D$5,IF(R219&lt;O219,Famille!$D$2,IF(R219&lt;=P219,Famille!$D$3,Famille!$D$4))))</f>
        <v>Sur commande</v>
      </c>
    </row>
    <row r="220" spans="1:20" ht="12" customHeight="1" x14ac:dyDescent="0.2">
      <c r="A220" s="4" t="str">
        <f>IF(Produits!A220="","",Produits!A220)</f>
        <v>Moveo</v>
      </c>
      <c r="B220" s="4" t="str">
        <f>IF(Produits!B220="","",Produits!B220)</f>
        <v>Contrôle</v>
      </c>
      <c r="C220" s="4" t="str">
        <f>IF(Produits!C220="","",Produits!C220)</f>
        <v>1000,00,0217</v>
      </c>
      <c r="D220" s="4" t="str">
        <f>IF(Produits!D220="","",Produits!D220)</f>
        <v>AA341</v>
      </c>
      <c r="E220" s="49" t="str">
        <f>IF(Produits!F220="","",Produits!F220)</f>
        <v>1 pcs</v>
      </c>
      <c r="F220" s="50">
        <f>IF(Produits!H220="","",Produits!H220)</f>
        <v>226</v>
      </c>
      <c r="H220" s="37">
        <v>0</v>
      </c>
      <c r="I220" s="2"/>
      <c r="J220" s="69">
        <f>SUM('Archives Entrées'!$N220:$AAV220)</f>
        <v>0</v>
      </c>
      <c r="K220" s="51" t="str">
        <f t="shared" si="13"/>
        <v>0,00€</v>
      </c>
      <c r="L220" s="69">
        <f>SUM('Archives Sorties'!$M220:$AAY220)</f>
        <v>0</v>
      </c>
      <c r="M220" s="51" t="str">
        <f t="shared" si="14"/>
        <v>0,00€</v>
      </c>
      <c r="O220" s="72">
        <v>0</v>
      </c>
      <c r="P220" s="72">
        <v>0</v>
      </c>
      <c r="R220" s="185">
        <f t="shared" si="15"/>
        <v>0</v>
      </c>
      <c r="S220" s="186">
        <f t="shared" si="16"/>
        <v>0</v>
      </c>
      <c r="T220" s="187" t="str">
        <f>IF(R220="","",IF(O220=0,Famille!$D$5,IF(R220&lt;O220,Famille!$D$2,IF(R220&lt;=P220,Famille!$D$3,Famille!$D$4))))</f>
        <v>Sur commande</v>
      </c>
    </row>
    <row r="221" spans="1:20" ht="12" customHeight="1" x14ac:dyDescent="0.2">
      <c r="A221" s="4" t="str">
        <f>IF(Produits!A221="","",Produits!A221)</f>
        <v>Moveo</v>
      </c>
      <c r="B221" s="4" t="str">
        <f>IF(Produits!B221="","",Produits!B221)</f>
        <v>Contrôle</v>
      </c>
      <c r="C221" s="4" t="str">
        <f>IF(Produits!C221="","",Produits!C221)</f>
        <v>1000,00,0218</v>
      </c>
      <c r="D221" s="4" t="str">
        <f>IF(Produits!D221="","",Produits!D221)</f>
        <v>AA342</v>
      </c>
      <c r="E221" s="49" t="str">
        <f>IF(Produits!F221="","",Produits!F221)</f>
        <v>1 pcs</v>
      </c>
      <c r="F221" s="50">
        <f>IF(Produits!H221="","",Produits!H221)</f>
        <v>227</v>
      </c>
      <c r="H221" s="37">
        <v>0</v>
      </c>
      <c r="I221" s="2"/>
      <c r="J221" s="69">
        <f>SUM('Archives Entrées'!$N221:$AAV221)</f>
        <v>0</v>
      </c>
      <c r="K221" s="51" t="str">
        <f t="shared" si="13"/>
        <v>0,00€</v>
      </c>
      <c r="L221" s="69">
        <f>SUM('Archives Sorties'!$M221:$AAY221)</f>
        <v>0</v>
      </c>
      <c r="M221" s="51" t="str">
        <f t="shared" si="14"/>
        <v>0,00€</v>
      </c>
      <c r="O221" s="72">
        <v>0</v>
      </c>
      <c r="P221" s="72">
        <v>0</v>
      </c>
      <c r="R221" s="185">
        <f t="shared" si="15"/>
        <v>0</v>
      </c>
      <c r="S221" s="186">
        <f t="shared" si="16"/>
        <v>0</v>
      </c>
      <c r="T221" s="187" t="str">
        <f>IF(R221="","",IF(O221=0,Famille!$D$5,IF(R221&lt;O221,Famille!$D$2,IF(R221&lt;=P221,Famille!$D$3,Famille!$D$4))))</f>
        <v>Sur commande</v>
      </c>
    </row>
    <row r="222" spans="1:20" ht="12" customHeight="1" x14ac:dyDescent="0.2">
      <c r="A222" s="4" t="str">
        <f>IF(Produits!A222="","",Produits!A222)</f>
        <v>Moveo</v>
      </c>
      <c r="B222" s="4" t="str">
        <f>IF(Produits!B222="","",Produits!B222)</f>
        <v>Contrôle</v>
      </c>
      <c r="C222" s="4" t="str">
        <f>IF(Produits!C222="","",Produits!C222)</f>
        <v>1000,00,0219</v>
      </c>
      <c r="D222" s="4" t="str">
        <f>IF(Produits!D222="","",Produits!D222)</f>
        <v>AA343</v>
      </c>
      <c r="E222" s="49" t="str">
        <f>IF(Produits!F222="","",Produits!F222)</f>
        <v>1 pcs</v>
      </c>
      <c r="F222" s="50">
        <f>IF(Produits!H222="","",Produits!H222)</f>
        <v>228</v>
      </c>
      <c r="H222" s="37">
        <v>0</v>
      </c>
      <c r="I222" s="2"/>
      <c r="J222" s="69">
        <f>SUM('Archives Entrées'!$N222:$AAV222)</f>
        <v>0</v>
      </c>
      <c r="K222" s="51" t="str">
        <f t="shared" si="13"/>
        <v>0,00€</v>
      </c>
      <c r="L222" s="69">
        <f>SUM('Archives Sorties'!$M222:$AAY222)</f>
        <v>0</v>
      </c>
      <c r="M222" s="51" t="str">
        <f t="shared" si="14"/>
        <v>0,00€</v>
      </c>
      <c r="O222" s="72">
        <v>0</v>
      </c>
      <c r="P222" s="72">
        <v>0</v>
      </c>
      <c r="R222" s="185">
        <f t="shared" si="15"/>
        <v>0</v>
      </c>
      <c r="S222" s="186">
        <f t="shared" si="16"/>
        <v>0</v>
      </c>
      <c r="T222" s="187" t="str">
        <f>IF(R222="","",IF(O222=0,Famille!$D$5,IF(R222&lt;O222,Famille!$D$2,IF(R222&lt;=P222,Famille!$D$3,Famille!$D$4))))</f>
        <v>Sur commande</v>
      </c>
    </row>
    <row r="223" spans="1:20" ht="12" customHeight="1" x14ac:dyDescent="0.2">
      <c r="A223" s="4" t="str">
        <f>IF(Produits!A223="","",Produits!A223)</f>
        <v>Moveo</v>
      </c>
      <c r="B223" s="4" t="str">
        <f>IF(Produits!B223="","",Produits!B223)</f>
        <v>Contrôle</v>
      </c>
      <c r="C223" s="4" t="str">
        <f>IF(Produits!C223="","",Produits!C223)</f>
        <v>1000,00,0220</v>
      </c>
      <c r="D223" s="4" t="str">
        <f>IF(Produits!D223="","",Produits!D223)</f>
        <v>AA344</v>
      </c>
      <c r="E223" s="49" t="str">
        <f>IF(Produits!F223="","",Produits!F223)</f>
        <v>1 pcs</v>
      </c>
      <c r="F223" s="50">
        <f>IF(Produits!H223="","",Produits!H223)</f>
        <v>229</v>
      </c>
      <c r="H223" s="37">
        <v>0</v>
      </c>
      <c r="I223" s="2"/>
      <c r="J223" s="69">
        <f>SUM('Archives Entrées'!$N223:$AAV223)</f>
        <v>0</v>
      </c>
      <c r="K223" s="51" t="str">
        <f t="shared" si="13"/>
        <v>0,00€</v>
      </c>
      <c r="L223" s="69">
        <f>SUM('Archives Sorties'!$M223:$AAY223)</f>
        <v>0</v>
      </c>
      <c r="M223" s="51" t="str">
        <f t="shared" si="14"/>
        <v>0,00€</v>
      </c>
      <c r="O223" s="72">
        <v>0</v>
      </c>
      <c r="P223" s="72">
        <v>0</v>
      </c>
      <c r="R223" s="185">
        <f t="shared" si="15"/>
        <v>0</v>
      </c>
      <c r="S223" s="186">
        <f t="shared" si="16"/>
        <v>0</v>
      </c>
      <c r="T223" s="187" t="str">
        <f>IF(R223="","",IF(O223=0,Famille!$D$5,IF(R223&lt;O223,Famille!$D$2,IF(R223&lt;=P223,Famille!$D$3,Famille!$D$4))))</f>
        <v>Sur commande</v>
      </c>
    </row>
    <row r="224" spans="1:20" ht="12" customHeight="1" x14ac:dyDescent="0.2">
      <c r="A224" s="4" t="str">
        <f>IF(Produits!A224="","",Produits!A224)</f>
        <v>Moveo</v>
      </c>
      <c r="B224" s="4" t="str">
        <f>IF(Produits!B224="","",Produits!B224)</f>
        <v>Contrôle</v>
      </c>
      <c r="C224" s="4" t="str">
        <f>IF(Produits!C224="","",Produits!C224)</f>
        <v>1000,00,0221</v>
      </c>
      <c r="D224" s="4" t="str">
        <f>IF(Produits!D224="","",Produits!D224)</f>
        <v>AA345</v>
      </c>
      <c r="E224" s="49" t="str">
        <f>IF(Produits!F224="","",Produits!F224)</f>
        <v>1 pcs</v>
      </c>
      <c r="F224" s="50">
        <f>IF(Produits!H224="","",Produits!H224)</f>
        <v>230</v>
      </c>
      <c r="H224" s="37">
        <v>0</v>
      </c>
      <c r="I224" s="2"/>
      <c r="J224" s="69">
        <f>SUM('Archives Entrées'!$N224:$AAV224)</f>
        <v>0</v>
      </c>
      <c r="K224" s="51" t="str">
        <f t="shared" si="13"/>
        <v>0,00€</v>
      </c>
      <c r="L224" s="69">
        <f>SUM('Archives Sorties'!$M224:$AAY224)</f>
        <v>0</v>
      </c>
      <c r="M224" s="51" t="str">
        <f t="shared" si="14"/>
        <v>0,00€</v>
      </c>
      <c r="O224" s="72">
        <v>0</v>
      </c>
      <c r="P224" s="72">
        <v>0</v>
      </c>
      <c r="R224" s="185">
        <f t="shared" si="15"/>
        <v>0</v>
      </c>
      <c r="S224" s="186">
        <f t="shared" si="16"/>
        <v>0</v>
      </c>
      <c r="T224" s="187" t="str">
        <f>IF(R224="","",IF(O224=0,Famille!$D$5,IF(R224&lt;O224,Famille!$D$2,IF(R224&lt;=P224,Famille!$D$3,Famille!$D$4))))</f>
        <v>Sur commande</v>
      </c>
    </row>
    <row r="225" spans="1:20" ht="12" customHeight="1" x14ac:dyDescent="0.2">
      <c r="A225" s="4" t="str">
        <f>IF(Produits!A225="","",Produits!A225)</f>
        <v>Moveo</v>
      </c>
      <c r="B225" s="4" t="str">
        <f>IF(Produits!B225="","",Produits!B225)</f>
        <v>Contrôle</v>
      </c>
      <c r="C225" s="4" t="str">
        <f>IF(Produits!C225="","",Produits!C225)</f>
        <v>1000,00,0222</v>
      </c>
      <c r="D225" s="4" t="str">
        <f>IF(Produits!D225="","",Produits!D225)</f>
        <v>AA346</v>
      </c>
      <c r="E225" s="49" t="str">
        <f>IF(Produits!F225="","",Produits!F225)</f>
        <v>1 pcs</v>
      </c>
      <c r="F225" s="50">
        <f>IF(Produits!H225="","",Produits!H225)</f>
        <v>231</v>
      </c>
      <c r="H225" s="37">
        <v>0</v>
      </c>
      <c r="I225" s="2"/>
      <c r="J225" s="69">
        <f>SUM('Archives Entrées'!$N225:$AAV225)</f>
        <v>0</v>
      </c>
      <c r="K225" s="51" t="str">
        <f t="shared" si="13"/>
        <v>0,00€</v>
      </c>
      <c r="L225" s="69">
        <f>SUM('Archives Sorties'!$M225:$AAY225)</f>
        <v>0</v>
      </c>
      <c r="M225" s="51" t="str">
        <f t="shared" si="14"/>
        <v>0,00€</v>
      </c>
      <c r="O225" s="72">
        <v>0</v>
      </c>
      <c r="P225" s="72">
        <v>0</v>
      </c>
      <c r="R225" s="185">
        <f t="shared" si="15"/>
        <v>0</v>
      </c>
      <c r="S225" s="186">
        <f t="shared" si="16"/>
        <v>0</v>
      </c>
      <c r="T225" s="187" t="str">
        <f>IF(R225="","",IF(O225=0,Famille!$D$5,IF(R225&lt;O225,Famille!$D$2,IF(R225&lt;=P225,Famille!$D$3,Famille!$D$4))))</f>
        <v>Sur commande</v>
      </c>
    </row>
    <row r="226" spans="1:20" ht="12" customHeight="1" x14ac:dyDescent="0.2">
      <c r="A226" s="4" t="str">
        <f>IF(Produits!A226="","",Produits!A226)</f>
        <v>Moveo</v>
      </c>
      <c r="B226" s="4" t="str">
        <f>IF(Produits!B226="","",Produits!B226)</f>
        <v>Contrôle</v>
      </c>
      <c r="C226" s="4" t="str">
        <f>IF(Produits!C226="","",Produits!C226)</f>
        <v>1000,00,0223</v>
      </c>
      <c r="D226" s="4" t="str">
        <f>IF(Produits!D226="","",Produits!D226)</f>
        <v>AA347</v>
      </c>
      <c r="E226" s="49" t="str">
        <f>IF(Produits!F226="","",Produits!F226)</f>
        <v>1 pcs</v>
      </c>
      <c r="F226" s="50">
        <f>IF(Produits!H226="","",Produits!H226)</f>
        <v>232</v>
      </c>
      <c r="H226" s="37">
        <v>0</v>
      </c>
      <c r="I226" s="2"/>
      <c r="J226" s="69">
        <f>SUM('Archives Entrées'!$N226:$AAV226)</f>
        <v>0</v>
      </c>
      <c r="K226" s="51" t="str">
        <f t="shared" si="13"/>
        <v>0,00€</v>
      </c>
      <c r="L226" s="69">
        <f>SUM('Archives Sorties'!$M226:$AAY226)</f>
        <v>0</v>
      </c>
      <c r="M226" s="51" t="str">
        <f t="shared" si="14"/>
        <v>0,00€</v>
      </c>
      <c r="O226" s="72">
        <v>0</v>
      </c>
      <c r="P226" s="72">
        <v>0</v>
      </c>
      <c r="R226" s="185">
        <f t="shared" si="15"/>
        <v>0</v>
      </c>
      <c r="S226" s="186">
        <f t="shared" si="16"/>
        <v>0</v>
      </c>
      <c r="T226" s="187" t="str">
        <f>IF(R226="","",IF(O226=0,Famille!$D$5,IF(R226&lt;O226,Famille!$D$2,IF(R226&lt;=P226,Famille!$D$3,Famille!$D$4))))</f>
        <v>Sur commande</v>
      </c>
    </row>
    <row r="227" spans="1:20" ht="12" customHeight="1" x14ac:dyDescent="0.2">
      <c r="A227" s="4" t="str">
        <f>IF(Produits!A227="","",Produits!A227)</f>
        <v>Moveo</v>
      </c>
      <c r="B227" s="4" t="str">
        <f>IF(Produits!B227="","",Produits!B227)</f>
        <v>Contrôle</v>
      </c>
      <c r="C227" s="4" t="str">
        <f>IF(Produits!C227="","",Produits!C227)</f>
        <v>1000,00,0224</v>
      </c>
      <c r="D227" s="4" t="str">
        <f>IF(Produits!D227="","",Produits!D227)</f>
        <v>AA348</v>
      </c>
      <c r="E227" s="49" t="str">
        <f>IF(Produits!F227="","",Produits!F227)</f>
        <v>1 pcs</v>
      </c>
      <c r="F227" s="50">
        <f>IF(Produits!H227="","",Produits!H227)</f>
        <v>233</v>
      </c>
      <c r="H227" s="37">
        <v>0</v>
      </c>
      <c r="I227" s="2"/>
      <c r="J227" s="69">
        <f>SUM('Archives Entrées'!$N227:$AAV227)</f>
        <v>0</v>
      </c>
      <c r="K227" s="51" t="str">
        <f t="shared" si="13"/>
        <v>0,00€</v>
      </c>
      <c r="L227" s="69">
        <f>SUM('Archives Sorties'!$M227:$AAY227)</f>
        <v>0</v>
      </c>
      <c r="M227" s="51" t="str">
        <f t="shared" si="14"/>
        <v>0,00€</v>
      </c>
      <c r="O227" s="72">
        <v>0</v>
      </c>
      <c r="P227" s="72">
        <v>0</v>
      </c>
      <c r="R227" s="185">
        <f t="shared" si="15"/>
        <v>0</v>
      </c>
      <c r="S227" s="186">
        <f t="shared" si="16"/>
        <v>0</v>
      </c>
      <c r="T227" s="187" t="str">
        <f>IF(R227="","",IF(O227=0,Famille!$D$5,IF(R227&lt;O227,Famille!$D$2,IF(R227&lt;=P227,Famille!$D$3,Famille!$D$4))))</f>
        <v>Sur commande</v>
      </c>
    </row>
    <row r="228" spans="1:20" ht="12" customHeight="1" x14ac:dyDescent="0.2">
      <c r="A228" s="4" t="str">
        <f>IF(Produits!A228="","",Produits!A228)</f>
        <v>Moveo</v>
      </c>
      <c r="B228" s="4" t="str">
        <f>IF(Produits!B228="","",Produits!B228)</f>
        <v>Contrôle</v>
      </c>
      <c r="C228" s="4" t="str">
        <f>IF(Produits!C228="","",Produits!C228)</f>
        <v>1000,00,0225</v>
      </c>
      <c r="D228" s="4" t="str">
        <f>IF(Produits!D228="","",Produits!D228)</f>
        <v>AA349</v>
      </c>
      <c r="E228" s="49" t="str">
        <f>IF(Produits!F228="","",Produits!F228)</f>
        <v>1 pcs</v>
      </c>
      <c r="F228" s="50">
        <f>IF(Produits!H228="","",Produits!H228)</f>
        <v>234</v>
      </c>
      <c r="H228" s="37">
        <v>0</v>
      </c>
      <c r="I228" s="2"/>
      <c r="J228" s="69">
        <f>SUM('Archives Entrées'!$N228:$AAV228)</f>
        <v>0</v>
      </c>
      <c r="K228" s="51" t="str">
        <f t="shared" si="13"/>
        <v>0,00€</v>
      </c>
      <c r="L228" s="69">
        <f>SUM('Archives Sorties'!$M228:$AAY228)</f>
        <v>0</v>
      </c>
      <c r="M228" s="51" t="str">
        <f t="shared" si="14"/>
        <v>0,00€</v>
      </c>
      <c r="O228" s="72">
        <v>0</v>
      </c>
      <c r="P228" s="72">
        <v>0</v>
      </c>
      <c r="R228" s="185">
        <f t="shared" si="15"/>
        <v>0</v>
      </c>
      <c r="S228" s="186">
        <f t="shared" si="16"/>
        <v>0</v>
      </c>
      <c r="T228" s="187" t="str">
        <f>IF(R228="","",IF(O228=0,Famille!$D$5,IF(R228&lt;O228,Famille!$D$2,IF(R228&lt;=P228,Famille!$D$3,Famille!$D$4))))</f>
        <v>Sur commande</v>
      </c>
    </row>
    <row r="229" spans="1:20" ht="12" customHeight="1" x14ac:dyDescent="0.2">
      <c r="A229" s="4" t="str">
        <f>IF(Produits!A229="","",Produits!A229)</f>
        <v>Moveo</v>
      </c>
      <c r="B229" s="4" t="str">
        <f>IF(Produits!B229="","",Produits!B229)</f>
        <v>Contrôle</v>
      </c>
      <c r="C229" s="4" t="str">
        <f>IF(Produits!C229="","",Produits!C229)</f>
        <v>1000,00,0226</v>
      </c>
      <c r="D229" s="4" t="str">
        <f>IF(Produits!D229="","",Produits!D229)</f>
        <v>AA350</v>
      </c>
      <c r="E229" s="49" t="str">
        <f>IF(Produits!F229="","",Produits!F229)</f>
        <v>1 pcs</v>
      </c>
      <c r="F229" s="50">
        <f>IF(Produits!H229="","",Produits!H229)</f>
        <v>235</v>
      </c>
      <c r="H229" s="37">
        <v>0</v>
      </c>
      <c r="I229" s="2"/>
      <c r="J229" s="69">
        <f>SUM('Archives Entrées'!$N229:$AAV229)</f>
        <v>0</v>
      </c>
      <c r="K229" s="51" t="str">
        <f t="shared" si="13"/>
        <v>0,00€</v>
      </c>
      <c r="L229" s="69">
        <f>SUM('Archives Sorties'!$M229:$AAY229)</f>
        <v>0</v>
      </c>
      <c r="M229" s="51" t="str">
        <f t="shared" si="14"/>
        <v>0,00€</v>
      </c>
      <c r="O229" s="72">
        <v>0</v>
      </c>
      <c r="P229" s="72">
        <v>0</v>
      </c>
      <c r="R229" s="185">
        <f t="shared" si="15"/>
        <v>0</v>
      </c>
      <c r="S229" s="186">
        <f t="shared" si="16"/>
        <v>0</v>
      </c>
      <c r="T229" s="187" t="str">
        <f>IF(R229="","",IF(O229=0,Famille!$D$5,IF(R229&lt;O229,Famille!$D$2,IF(R229&lt;=P229,Famille!$D$3,Famille!$D$4))))</f>
        <v>Sur commande</v>
      </c>
    </row>
    <row r="230" spans="1:20" ht="12" customHeight="1" x14ac:dyDescent="0.2">
      <c r="A230" s="4" t="str">
        <f>IF(Produits!A230="","",Produits!A230)</f>
        <v>Moveo</v>
      </c>
      <c r="B230" s="4" t="str">
        <f>IF(Produits!B230="","",Produits!B230)</f>
        <v>Accessoires</v>
      </c>
      <c r="C230" s="4" t="str">
        <f>IF(Produits!C230="","",Produits!C230)</f>
        <v>1000,00,0227</v>
      </c>
      <c r="D230" s="4" t="str">
        <f>IF(Produits!D230="","",Produits!D230)</f>
        <v>AA351</v>
      </c>
      <c r="E230" s="49" t="str">
        <f>IF(Produits!F230="","",Produits!F230)</f>
        <v>1 pcs</v>
      </c>
      <c r="F230" s="50">
        <f>IF(Produits!H230="","",Produits!H230)</f>
        <v>236</v>
      </c>
      <c r="H230" s="37">
        <v>0</v>
      </c>
      <c r="I230" s="2"/>
      <c r="J230" s="69">
        <f>SUM('Archives Entrées'!$N230:$AAV230)</f>
        <v>0</v>
      </c>
      <c r="K230" s="51" t="str">
        <f t="shared" si="13"/>
        <v>0,00€</v>
      </c>
      <c r="L230" s="69">
        <f>SUM('Archives Sorties'!$M230:$AAY230)</f>
        <v>0</v>
      </c>
      <c r="M230" s="51" t="str">
        <f t="shared" si="14"/>
        <v>0,00€</v>
      </c>
      <c r="O230" s="72">
        <v>1</v>
      </c>
      <c r="P230" s="72">
        <v>2</v>
      </c>
      <c r="R230" s="185">
        <f t="shared" si="15"/>
        <v>0</v>
      </c>
      <c r="S230" s="186">
        <f t="shared" si="16"/>
        <v>0</v>
      </c>
      <c r="T230" s="187" t="str">
        <f>IF(R230="","",IF(O230=0,Famille!$D$5,IF(R230&lt;O230,Famille!$D$2,IF(R230&lt;=P230,Famille!$D$3,Famille!$D$4))))</f>
        <v>A commander</v>
      </c>
    </row>
    <row r="231" spans="1:20" ht="12" customHeight="1" x14ac:dyDescent="0.2">
      <c r="A231" s="4" t="str">
        <f>IF(Produits!A231="","",Produits!A231)</f>
        <v>Moveo</v>
      </c>
      <c r="B231" s="4" t="str">
        <f>IF(Produits!B231="","",Produits!B231)</f>
        <v>Accessoires</v>
      </c>
      <c r="C231" s="4" t="str">
        <f>IF(Produits!C231="","",Produits!C231)</f>
        <v>1000,00,0228</v>
      </c>
      <c r="D231" s="4" t="str">
        <f>IF(Produits!D231="","",Produits!D231)</f>
        <v>AA352</v>
      </c>
      <c r="E231" s="49" t="str">
        <f>IF(Produits!F231="","",Produits!F231)</f>
        <v>1 pcs</v>
      </c>
      <c r="F231" s="50">
        <f>IF(Produits!H231="","",Produits!H231)</f>
        <v>237</v>
      </c>
      <c r="H231" s="37">
        <v>3</v>
      </c>
      <c r="I231" s="2"/>
      <c r="J231" s="69">
        <f>SUM('Archives Entrées'!$N231:$AAV231)</f>
        <v>0</v>
      </c>
      <c r="K231" s="51" t="str">
        <f t="shared" si="13"/>
        <v>0,00€</v>
      </c>
      <c r="L231" s="69">
        <f>SUM('Archives Sorties'!$M231:$AAY231)</f>
        <v>0</v>
      </c>
      <c r="M231" s="51" t="str">
        <f t="shared" si="14"/>
        <v>0,00€</v>
      </c>
      <c r="O231" s="72">
        <v>2</v>
      </c>
      <c r="P231" s="72">
        <v>5</v>
      </c>
      <c r="R231" s="185">
        <f t="shared" si="15"/>
        <v>3</v>
      </c>
      <c r="S231" s="186">
        <f t="shared" si="16"/>
        <v>1</v>
      </c>
      <c r="T231" s="187" t="str">
        <f>IF(R231="","",IF(O231=0,Famille!$D$5,IF(R231&lt;O231,Famille!$D$2,IF(R231&lt;=P231,Famille!$D$3,Famille!$D$4))))</f>
        <v>En Stock</v>
      </c>
    </row>
    <row r="232" spans="1:20" ht="12" customHeight="1" x14ac:dyDescent="0.2">
      <c r="A232" s="4" t="str">
        <f>IF(Produits!A232="","",Produits!A232)</f>
        <v>Moveo</v>
      </c>
      <c r="B232" s="4" t="str">
        <f>IF(Produits!B232="","",Produits!B232)</f>
        <v>Accessoires</v>
      </c>
      <c r="C232" s="4" t="str">
        <f>IF(Produits!C232="","",Produits!C232)</f>
        <v>1000,00,0229</v>
      </c>
      <c r="D232" s="4" t="str">
        <f>IF(Produits!D232="","",Produits!D232)</f>
        <v>AA353</v>
      </c>
      <c r="E232" s="49" t="str">
        <f>IF(Produits!F232="","",Produits!F232)</f>
        <v>1 pcs</v>
      </c>
      <c r="F232" s="50">
        <f>IF(Produits!H232="","",Produits!H232)</f>
        <v>238</v>
      </c>
      <c r="H232" s="37">
        <v>4</v>
      </c>
      <c r="I232" s="2"/>
      <c r="J232" s="69">
        <f>SUM('Archives Entrées'!$N232:$AAV232)</f>
        <v>0</v>
      </c>
      <c r="K232" s="51" t="str">
        <f t="shared" si="13"/>
        <v>0,00€</v>
      </c>
      <c r="L232" s="69">
        <f>SUM('Archives Sorties'!$M232:$AAY232)</f>
        <v>0</v>
      </c>
      <c r="M232" s="51" t="str">
        <f t="shared" si="14"/>
        <v>0,00€</v>
      </c>
      <c r="O232" s="72">
        <v>2</v>
      </c>
      <c r="P232" s="72">
        <v>5</v>
      </c>
      <c r="R232" s="185">
        <f t="shared" si="15"/>
        <v>4</v>
      </c>
      <c r="S232" s="186">
        <f t="shared" si="16"/>
        <v>1</v>
      </c>
      <c r="T232" s="187" t="str">
        <f>IF(R232="","",IF(O232=0,Famille!$D$5,IF(R232&lt;O232,Famille!$D$2,IF(R232&lt;=P232,Famille!$D$3,Famille!$D$4))))</f>
        <v>En Stock</v>
      </c>
    </row>
    <row r="233" spans="1:20" ht="12" customHeight="1" x14ac:dyDescent="0.2">
      <c r="A233" s="4" t="str">
        <f>IF(Produits!A233="","",Produits!A233)</f>
        <v>Moveo</v>
      </c>
      <c r="B233" s="4" t="str">
        <f>IF(Produits!B233="","",Produits!B233)</f>
        <v>Accessoires</v>
      </c>
      <c r="C233" s="4" t="str">
        <f>IF(Produits!C233="","",Produits!C233)</f>
        <v>1000,00,0230</v>
      </c>
      <c r="D233" s="4" t="str">
        <f>IF(Produits!D233="","",Produits!D233)</f>
        <v>AA354</v>
      </c>
      <c r="E233" s="49" t="str">
        <f>IF(Produits!F233="","",Produits!F233)</f>
        <v>1 pcs</v>
      </c>
      <c r="F233" s="50">
        <f>IF(Produits!H233="","",Produits!H233)</f>
        <v>239</v>
      </c>
      <c r="H233" s="37">
        <v>0</v>
      </c>
      <c r="I233" s="2"/>
      <c r="J233" s="69">
        <f>SUM('Archives Entrées'!$N233:$AAV233)</f>
        <v>0</v>
      </c>
      <c r="K233" s="51" t="str">
        <f t="shared" si="13"/>
        <v>0,00€</v>
      </c>
      <c r="L233" s="69">
        <f>SUM('Archives Sorties'!$M233:$AAY233)</f>
        <v>0</v>
      </c>
      <c r="M233" s="51" t="str">
        <f t="shared" si="14"/>
        <v>0,00€</v>
      </c>
      <c r="O233" s="72">
        <v>0</v>
      </c>
      <c r="P233" s="72">
        <v>0</v>
      </c>
      <c r="R233" s="185">
        <f t="shared" si="15"/>
        <v>0</v>
      </c>
      <c r="S233" s="186">
        <f t="shared" si="16"/>
        <v>0</v>
      </c>
      <c r="T233" s="187" t="str">
        <f>IF(R233="","",IF(O233=0,Famille!$D$5,IF(R233&lt;O233,Famille!$D$2,IF(R233&lt;=P233,Famille!$D$3,Famille!$D$4))))</f>
        <v>Sur commande</v>
      </c>
    </row>
    <row r="234" spans="1:20" ht="12" customHeight="1" x14ac:dyDescent="0.2">
      <c r="A234" s="4" t="str">
        <f>IF(Produits!A234="","",Produits!A234)</f>
        <v>Moveo</v>
      </c>
      <c r="B234" s="4" t="str">
        <f>IF(Produits!B234="","",Produits!B234)</f>
        <v>Accessoires</v>
      </c>
      <c r="C234" s="4" t="str">
        <f>IF(Produits!C234="","",Produits!C234)</f>
        <v>1000,00,0231</v>
      </c>
      <c r="D234" s="4" t="str">
        <f>IF(Produits!D234="","",Produits!D234)</f>
        <v>AA355</v>
      </c>
      <c r="E234" s="49" t="str">
        <f>IF(Produits!F234="","",Produits!F234)</f>
        <v>1 pcs</v>
      </c>
      <c r="F234" s="50">
        <f>IF(Produits!H234="","",Produits!H234)</f>
        <v>240</v>
      </c>
      <c r="H234" s="37">
        <v>0</v>
      </c>
      <c r="I234" s="2"/>
      <c r="J234" s="69">
        <f>SUM('Archives Entrées'!$N234:$AAV234)</f>
        <v>0</v>
      </c>
      <c r="K234" s="51" t="str">
        <f t="shared" si="13"/>
        <v>0,00€</v>
      </c>
      <c r="L234" s="69">
        <f>SUM('Archives Sorties'!$M234:$AAY234)</f>
        <v>0</v>
      </c>
      <c r="M234" s="51" t="str">
        <f t="shared" si="14"/>
        <v>0,00€</v>
      </c>
      <c r="O234" s="72">
        <v>0</v>
      </c>
      <c r="P234" s="72">
        <v>0</v>
      </c>
      <c r="R234" s="185">
        <f t="shared" si="15"/>
        <v>0</v>
      </c>
      <c r="S234" s="186">
        <f t="shared" si="16"/>
        <v>0</v>
      </c>
      <c r="T234" s="187" t="str">
        <f>IF(R234="","",IF(O234=0,Famille!$D$5,IF(R234&lt;O234,Famille!$D$2,IF(R234&lt;=P234,Famille!$D$3,Famille!$D$4))))</f>
        <v>Sur commande</v>
      </c>
    </row>
    <row r="235" spans="1:20" ht="12" customHeight="1" x14ac:dyDescent="0.2">
      <c r="A235" s="4" t="str">
        <f>IF(Produits!A235="","",Produits!A235)</f>
        <v>Moveo</v>
      </c>
      <c r="B235" s="4" t="str">
        <f>IF(Produits!B235="","",Produits!B235)</f>
        <v>Accessoires</v>
      </c>
      <c r="C235" s="4" t="str">
        <f>IF(Produits!C235="","",Produits!C235)</f>
        <v>1000,00,0232</v>
      </c>
      <c r="D235" s="4" t="str">
        <f>IF(Produits!D235="","",Produits!D235)</f>
        <v>AA356</v>
      </c>
      <c r="E235" s="49" t="str">
        <f>IF(Produits!F235="","",Produits!F235)</f>
        <v>1 pcs</v>
      </c>
      <c r="F235" s="50">
        <f>IF(Produits!H235="","",Produits!H235)</f>
        <v>241</v>
      </c>
      <c r="H235" s="37">
        <v>0</v>
      </c>
      <c r="I235" s="2"/>
      <c r="J235" s="69">
        <f>SUM('Archives Entrées'!$N235:$AAV235)</f>
        <v>0</v>
      </c>
      <c r="K235" s="51" t="str">
        <f t="shared" si="13"/>
        <v>0,00€</v>
      </c>
      <c r="L235" s="69">
        <f>SUM('Archives Sorties'!$M235:$AAY235)</f>
        <v>0</v>
      </c>
      <c r="M235" s="51" t="str">
        <f t="shared" si="14"/>
        <v>0,00€</v>
      </c>
      <c r="O235" s="72">
        <v>0</v>
      </c>
      <c r="P235" s="72">
        <v>0</v>
      </c>
      <c r="R235" s="185">
        <f t="shared" si="15"/>
        <v>0</v>
      </c>
      <c r="S235" s="186">
        <f t="shared" si="16"/>
        <v>0</v>
      </c>
      <c r="T235" s="187" t="str">
        <f>IF(R235="","",IF(O235=0,Famille!$D$5,IF(R235&lt;O235,Famille!$D$2,IF(R235&lt;=P235,Famille!$D$3,Famille!$D$4))))</f>
        <v>Sur commande</v>
      </c>
    </row>
    <row r="236" spans="1:20" ht="12" customHeight="1" x14ac:dyDescent="0.2">
      <c r="A236" s="4" t="str">
        <f>IF(Produits!A236="","",Produits!A236)</f>
        <v>Moveo</v>
      </c>
      <c r="B236" s="4" t="str">
        <f>IF(Produits!B236="","",Produits!B236)</f>
        <v>Accessoires</v>
      </c>
      <c r="C236" s="4" t="str">
        <f>IF(Produits!C236="","",Produits!C236)</f>
        <v>1000,00,0233</v>
      </c>
      <c r="D236" s="4" t="str">
        <f>IF(Produits!D236="","",Produits!D236)</f>
        <v>AA357</v>
      </c>
      <c r="E236" s="49" t="str">
        <f>IF(Produits!F236="","",Produits!F236)</f>
        <v>1 pcs</v>
      </c>
      <c r="F236" s="50">
        <f>IF(Produits!H236="","",Produits!H236)</f>
        <v>242</v>
      </c>
      <c r="H236" s="37">
        <v>0</v>
      </c>
      <c r="I236" s="2"/>
      <c r="J236" s="69">
        <f>SUM('Archives Entrées'!$N236:$AAV236)</f>
        <v>0</v>
      </c>
      <c r="K236" s="51" t="str">
        <f t="shared" si="13"/>
        <v>0,00€</v>
      </c>
      <c r="L236" s="69">
        <f>SUM('Archives Sorties'!$M236:$AAY236)</f>
        <v>0</v>
      </c>
      <c r="M236" s="51" t="str">
        <f t="shared" si="14"/>
        <v>0,00€</v>
      </c>
      <c r="O236" s="72">
        <v>0</v>
      </c>
      <c r="P236" s="72">
        <v>0</v>
      </c>
      <c r="R236" s="185">
        <f t="shared" si="15"/>
        <v>0</v>
      </c>
      <c r="S236" s="186">
        <f t="shared" si="16"/>
        <v>0</v>
      </c>
      <c r="T236" s="187" t="str">
        <f>IF(R236="","",IF(O236=0,Famille!$D$5,IF(R236&lt;O236,Famille!$D$2,IF(R236&lt;=P236,Famille!$D$3,Famille!$D$4))))</f>
        <v>Sur commande</v>
      </c>
    </row>
    <row r="237" spans="1:20" ht="12" customHeight="1" x14ac:dyDescent="0.2">
      <c r="A237" s="4" t="str">
        <f>IF(Produits!A237="","",Produits!A237)</f>
        <v>Moveo</v>
      </c>
      <c r="B237" s="4" t="str">
        <f>IF(Produits!B237="","",Produits!B237)</f>
        <v>Accessoires</v>
      </c>
      <c r="C237" s="4" t="str">
        <f>IF(Produits!C237="","",Produits!C237)</f>
        <v>1000,00,0234</v>
      </c>
      <c r="D237" s="4" t="str">
        <f>IF(Produits!D237="","",Produits!D237)</f>
        <v>AA358</v>
      </c>
      <c r="E237" s="49" t="str">
        <f>IF(Produits!F237="","",Produits!F237)</f>
        <v>1 pcs</v>
      </c>
      <c r="F237" s="50">
        <f>IF(Produits!H237="","",Produits!H237)</f>
        <v>243</v>
      </c>
      <c r="H237" s="37">
        <v>0</v>
      </c>
      <c r="I237" s="2"/>
      <c r="J237" s="69">
        <f>SUM('Archives Entrées'!$N237:$AAV237)</f>
        <v>0</v>
      </c>
      <c r="K237" s="51" t="str">
        <f t="shared" si="13"/>
        <v>0,00€</v>
      </c>
      <c r="L237" s="69">
        <f>SUM('Archives Sorties'!$M237:$AAY237)</f>
        <v>0</v>
      </c>
      <c r="M237" s="51" t="str">
        <f t="shared" si="14"/>
        <v>0,00€</v>
      </c>
      <c r="O237" s="72">
        <v>0</v>
      </c>
      <c r="P237" s="72">
        <v>0</v>
      </c>
      <c r="R237" s="185">
        <f t="shared" si="15"/>
        <v>0</v>
      </c>
      <c r="S237" s="186">
        <f t="shared" si="16"/>
        <v>0</v>
      </c>
      <c r="T237" s="187" t="str">
        <f>IF(R237="","",IF(O237=0,Famille!$D$5,IF(R237&lt;O237,Famille!$D$2,IF(R237&lt;=P237,Famille!$D$3,Famille!$D$4))))</f>
        <v>Sur commande</v>
      </c>
    </row>
    <row r="238" spans="1:20" ht="12" customHeight="1" x14ac:dyDescent="0.2">
      <c r="A238" s="4" t="str">
        <f>IF(Produits!A238="","",Produits!A238)</f>
        <v>Moveo</v>
      </c>
      <c r="B238" s="4" t="str">
        <f>IF(Produits!B238="","",Produits!B238)</f>
        <v>Accessoires</v>
      </c>
      <c r="C238" s="4" t="str">
        <f>IF(Produits!C238="","",Produits!C238)</f>
        <v>1000,00,0235</v>
      </c>
      <c r="D238" s="4" t="str">
        <f>IF(Produits!D238="","",Produits!D238)</f>
        <v>AA359</v>
      </c>
      <c r="E238" s="49" t="str">
        <f>IF(Produits!F238="","",Produits!F238)</f>
        <v>1 pcs</v>
      </c>
      <c r="F238" s="50">
        <f>IF(Produits!H238="","",Produits!H238)</f>
        <v>244</v>
      </c>
      <c r="H238" s="37">
        <v>0</v>
      </c>
      <c r="I238" s="2"/>
      <c r="J238" s="69">
        <f>SUM('Archives Entrées'!$N238:$AAV238)</f>
        <v>0</v>
      </c>
      <c r="K238" s="51" t="str">
        <f t="shared" si="13"/>
        <v>0,00€</v>
      </c>
      <c r="L238" s="69">
        <f>SUM('Archives Sorties'!$M238:$AAY238)</f>
        <v>0</v>
      </c>
      <c r="M238" s="51" t="str">
        <f t="shared" si="14"/>
        <v>0,00€</v>
      </c>
      <c r="O238" s="72">
        <v>0</v>
      </c>
      <c r="P238" s="72">
        <v>0</v>
      </c>
      <c r="R238" s="185">
        <f t="shared" si="15"/>
        <v>0</v>
      </c>
      <c r="S238" s="186">
        <f t="shared" si="16"/>
        <v>0</v>
      </c>
      <c r="T238" s="187" t="str">
        <f>IF(R238="","",IF(O238=0,Famille!$D$5,IF(R238&lt;O238,Famille!$D$2,IF(R238&lt;=P238,Famille!$D$3,Famille!$D$4))))</f>
        <v>Sur commande</v>
      </c>
    </row>
    <row r="239" spans="1:20" ht="12" customHeight="1" x14ac:dyDescent="0.2">
      <c r="A239" s="4" t="str">
        <f>IF(Produits!A239="","",Produits!A239)</f>
        <v>Moveo</v>
      </c>
      <c r="B239" s="4" t="str">
        <f>IF(Produits!B239="","",Produits!B239)</f>
        <v>Accessoires</v>
      </c>
      <c r="C239" s="4" t="str">
        <f>IF(Produits!C239="","",Produits!C239)</f>
        <v>1000,00,0236</v>
      </c>
      <c r="D239" s="4" t="str">
        <f>IF(Produits!D239="","",Produits!D239)</f>
        <v>AA360</v>
      </c>
      <c r="E239" s="49" t="str">
        <f>IF(Produits!F239="","",Produits!F239)</f>
        <v>1 pcs</v>
      </c>
      <c r="F239" s="50">
        <f>IF(Produits!H239="","",Produits!H239)</f>
        <v>245</v>
      </c>
      <c r="H239" s="37">
        <v>0</v>
      </c>
      <c r="I239" s="2"/>
      <c r="J239" s="69">
        <f>SUM('Archives Entrées'!$N239:$AAV239)</f>
        <v>0</v>
      </c>
      <c r="K239" s="51" t="str">
        <f t="shared" si="13"/>
        <v>0,00€</v>
      </c>
      <c r="L239" s="69">
        <f>SUM('Archives Sorties'!$M239:$AAY239)</f>
        <v>0</v>
      </c>
      <c r="M239" s="51" t="str">
        <f t="shared" si="14"/>
        <v>0,00€</v>
      </c>
      <c r="O239" s="72">
        <v>0</v>
      </c>
      <c r="P239" s="72">
        <v>0</v>
      </c>
      <c r="R239" s="185">
        <f t="shared" si="15"/>
        <v>0</v>
      </c>
      <c r="S239" s="186">
        <f t="shared" si="16"/>
        <v>0</v>
      </c>
      <c r="T239" s="187" t="str">
        <f>IF(R239="","",IF(O239=0,Famille!$D$5,IF(R239&lt;O239,Famille!$D$2,IF(R239&lt;=P239,Famille!$D$3,Famille!$D$4))))</f>
        <v>Sur commande</v>
      </c>
    </row>
    <row r="240" spans="1:20" ht="12" customHeight="1" x14ac:dyDescent="0.2">
      <c r="A240" s="4" t="str">
        <f>IF(Produits!A240="","",Produits!A240)</f>
        <v>Moveo</v>
      </c>
      <c r="B240" s="4" t="str">
        <f>IF(Produits!B240="","",Produits!B240)</f>
        <v>Accessoires</v>
      </c>
      <c r="C240" s="4" t="str">
        <f>IF(Produits!C240="","",Produits!C240)</f>
        <v>1000,00,0237</v>
      </c>
      <c r="D240" s="4" t="str">
        <f>IF(Produits!D240="","",Produits!D240)</f>
        <v>AA361</v>
      </c>
      <c r="E240" s="49" t="str">
        <f>IF(Produits!F240="","",Produits!F240)</f>
        <v>1 pcs</v>
      </c>
      <c r="F240" s="50">
        <f>IF(Produits!H240="","",Produits!H240)</f>
        <v>246</v>
      </c>
      <c r="H240" s="37">
        <v>0</v>
      </c>
      <c r="I240" s="2"/>
      <c r="J240" s="69">
        <f>SUM('Archives Entrées'!$N240:$AAV240)</f>
        <v>0</v>
      </c>
      <c r="K240" s="51" t="str">
        <f t="shared" si="13"/>
        <v>0,00€</v>
      </c>
      <c r="L240" s="69">
        <f>SUM('Archives Sorties'!$M240:$AAY240)</f>
        <v>0</v>
      </c>
      <c r="M240" s="51" t="str">
        <f t="shared" si="14"/>
        <v>0,00€</v>
      </c>
      <c r="O240" s="72">
        <v>0</v>
      </c>
      <c r="P240" s="72">
        <v>0</v>
      </c>
      <c r="R240" s="185">
        <f t="shared" si="15"/>
        <v>0</v>
      </c>
      <c r="S240" s="186">
        <f t="shared" si="16"/>
        <v>0</v>
      </c>
      <c r="T240" s="187" t="str">
        <f>IF(R240="","",IF(O240=0,Famille!$D$5,IF(R240&lt;O240,Famille!$D$2,IF(R240&lt;=P240,Famille!$D$3,Famille!$D$4))))</f>
        <v>Sur commande</v>
      </c>
    </row>
    <row r="241" spans="1:20" ht="12" customHeight="1" x14ac:dyDescent="0.2">
      <c r="A241" s="4" t="str">
        <f>IF(Produits!A241="","",Produits!A241)</f>
        <v>Moveo</v>
      </c>
      <c r="B241" s="4" t="str">
        <f>IF(Produits!B241="","",Produits!B241)</f>
        <v>Accessoires</v>
      </c>
      <c r="C241" s="4" t="str">
        <f>IF(Produits!C241="","",Produits!C241)</f>
        <v>1000,00,0238</v>
      </c>
      <c r="D241" s="4" t="str">
        <f>IF(Produits!D241="","",Produits!D241)</f>
        <v>AA362</v>
      </c>
      <c r="E241" s="49" t="str">
        <f>IF(Produits!F241="","",Produits!F241)</f>
        <v>1 pcs</v>
      </c>
      <c r="F241" s="50">
        <f>IF(Produits!H241="","",Produits!H241)</f>
        <v>247</v>
      </c>
      <c r="H241" s="37">
        <v>100</v>
      </c>
      <c r="I241" s="2"/>
      <c r="J241" s="69">
        <f>SUM('Archives Entrées'!$N241:$AAV241)</f>
        <v>0</v>
      </c>
      <c r="K241" s="51" t="str">
        <f t="shared" si="13"/>
        <v>0,00€</v>
      </c>
      <c r="L241" s="69">
        <f>SUM('Archives Sorties'!$M241:$AAY241)</f>
        <v>0</v>
      </c>
      <c r="M241" s="51" t="str">
        <f t="shared" si="14"/>
        <v>0,00€</v>
      </c>
      <c r="O241" s="72">
        <v>50</v>
      </c>
      <c r="P241" s="72">
        <v>100</v>
      </c>
      <c r="R241" s="185">
        <f t="shared" si="15"/>
        <v>100</v>
      </c>
      <c r="S241" s="186">
        <f t="shared" si="16"/>
        <v>1</v>
      </c>
      <c r="T241" s="187" t="str">
        <f>IF(R241="","",IF(O241=0,Famille!$D$5,IF(R241&lt;O241,Famille!$D$2,IF(R241&lt;=P241,Famille!$D$3,Famille!$D$4))))</f>
        <v>En Stock</v>
      </c>
    </row>
    <row r="242" spans="1:20" ht="12" customHeight="1" x14ac:dyDescent="0.2">
      <c r="A242" s="4" t="str">
        <f>IF(Produits!A242="","",Produits!A242)</f>
        <v>Moveo</v>
      </c>
      <c r="B242" s="4" t="str">
        <f>IF(Produits!B242="","",Produits!B242)</f>
        <v>Accessoires</v>
      </c>
      <c r="C242" s="4" t="str">
        <f>IF(Produits!C242="","",Produits!C242)</f>
        <v>1000,00,0239</v>
      </c>
      <c r="D242" s="4" t="str">
        <f>IF(Produits!D242="","",Produits!D242)</f>
        <v>AA363</v>
      </c>
      <c r="E242" s="49" t="str">
        <f>IF(Produits!F242="","",Produits!F242)</f>
        <v>1 pcs</v>
      </c>
      <c r="F242" s="50">
        <f>IF(Produits!H242="","",Produits!H242)</f>
        <v>248</v>
      </c>
      <c r="H242" s="37">
        <v>0</v>
      </c>
      <c r="I242" s="2"/>
      <c r="J242" s="69">
        <f>SUM('Archives Entrées'!$N242:$AAV242)</f>
        <v>0</v>
      </c>
      <c r="K242" s="51" t="str">
        <f t="shared" si="13"/>
        <v>0,00€</v>
      </c>
      <c r="L242" s="69">
        <f>SUM('Archives Sorties'!$M242:$AAY242)</f>
        <v>0</v>
      </c>
      <c r="M242" s="51" t="str">
        <f t="shared" si="14"/>
        <v>0,00€</v>
      </c>
      <c r="O242" s="72">
        <v>0</v>
      </c>
      <c r="P242" s="72">
        <v>0</v>
      </c>
      <c r="R242" s="185">
        <f t="shared" si="15"/>
        <v>0</v>
      </c>
      <c r="S242" s="186">
        <f t="shared" si="16"/>
        <v>0</v>
      </c>
      <c r="T242" s="187" t="str">
        <f>IF(R242="","",IF(O242=0,Famille!$D$5,IF(R242&lt;O242,Famille!$D$2,IF(R242&lt;=P242,Famille!$D$3,Famille!$D$4))))</f>
        <v>Sur commande</v>
      </c>
    </row>
    <row r="243" spans="1:20" ht="12" customHeight="1" x14ac:dyDescent="0.2">
      <c r="A243" s="4" t="str">
        <f>IF(Produits!A243="","",Produits!A243)</f>
        <v>Moveo</v>
      </c>
      <c r="B243" s="4" t="str">
        <f>IF(Produits!B243="","",Produits!B243)</f>
        <v>Accessoires</v>
      </c>
      <c r="C243" s="4" t="str">
        <f>IF(Produits!C243="","",Produits!C243)</f>
        <v>1000,00,0240</v>
      </c>
      <c r="D243" s="4" t="str">
        <f>IF(Produits!D243="","",Produits!D243)</f>
        <v>AA364</v>
      </c>
      <c r="E243" s="49" t="str">
        <f>IF(Produits!F243="","",Produits!F243)</f>
        <v>1 pcs</v>
      </c>
      <c r="F243" s="50">
        <f>IF(Produits!H243="","",Produits!H243)</f>
        <v>249</v>
      </c>
      <c r="H243" s="37">
        <v>0</v>
      </c>
      <c r="I243" s="2"/>
      <c r="J243" s="69">
        <f>SUM('Archives Entrées'!$N243:$AAV243)</f>
        <v>0</v>
      </c>
      <c r="K243" s="51" t="str">
        <f t="shared" si="13"/>
        <v>0,00€</v>
      </c>
      <c r="L243" s="69">
        <f>SUM('Archives Sorties'!$M243:$AAY243)</f>
        <v>0</v>
      </c>
      <c r="M243" s="51" t="str">
        <f t="shared" si="14"/>
        <v>0,00€</v>
      </c>
      <c r="O243" s="72">
        <v>0</v>
      </c>
      <c r="P243" s="72">
        <v>0</v>
      </c>
      <c r="R243" s="185">
        <f t="shared" si="15"/>
        <v>0</v>
      </c>
      <c r="S243" s="186">
        <f t="shared" si="16"/>
        <v>0</v>
      </c>
      <c r="T243" s="187" t="str">
        <f>IF(R243="","",IF(O243=0,Famille!$D$5,IF(R243&lt;O243,Famille!$D$2,IF(R243&lt;=P243,Famille!$D$3,Famille!$D$4))))</f>
        <v>Sur commande</v>
      </c>
    </row>
    <row r="244" spans="1:20" ht="12" customHeight="1" x14ac:dyDescent="0.2">
      <c r="A244" s="4" t="str">
        <f>IF(Produits!A244="","",Produits!A244)</f>
        <v>Moveo</v>
      </c>
      <c r="B244" s="4" t="str">
        <f>IF(Produits!B244="","",Produits!B244)</f>
        <v>Accessoires</v>
      </c>
      <c r="C244" s="4" t="str">
        <f>IF(Produits!C244="","",Produits!C244)</f>
        <v>1000,00,0241</v>
      </c>
      <c r="D244" s="4" t="str">
        <f>IF(Produits!D244="","",Produits!D244)</f>
        <v>AA365</v>
      </c>
      <c r="E244" s="49" t="str">
        <f>IF(Produits!F244="","",Produits!F244)</f>
        <v>1 pcs</v>
      </c>
      <c r="F244" s="50">
        <f>IF(Produits!H244="","",Produits!H244)</f>
        <v>250</v>
      </c>
      <c r="H244" s="37">
        <v>0</v>
      </c>
      <c r="I244" s="2"/>
      <c r="J244" s="69">
        <f>SUM('Archives Entrées'!$N244:$AAV244)</f>
        <v>0</v>
      </c>
      <c r="K244" s="51" t="str">
        <f t="shared" si="13"/>
        <v>0,00€</v>
      </c>
      <c r="L244" s="69">
        <f>SUM('Archives Sorties'!$M244:$AAY244)</f>
        <v>0</v>
      </c>
      <c r="M244" s="51" t="str">
        <f t="shared" si="14"/>
        <v>0,00€</v>
      </c>
      <c r="O244" s="72">
        <v>0</v>
      </c>
      <c r="P244" s="72">
        <v>0</v>
      </c>
      <c r="R244" s="185">
        <f t="shared" si="15"/>
        <v>0</v>
      </c>
      <c r="S244" s="186">
        <f t="shared" si="16"/>
        <v>0</v>
      </c>
      <c r="T244" s="187" t="str">
        <f>IF(R244="","",IF(O244=0,Famille!$D$5,IF(R244&lt;O244,Famille!$D$2,IF(R244&lt;=P244,Famille!$D$3,Famille!$D$4))))</f>
        <v>Sur commande</v>
      </c>
    </row>
    <row r="245" spans="1:20" ht="12" customHeight="1" x14ac:dyDescent="0.2">
      <c r="A245" s="4" t="str">
        <f>IF(Produits!A245="","",Produits!A245)</f>
        <v>Moveo</v>
      </c>
      <c r="B245" s="4" t="str">
        <f>IF(Produits!B245="","",Produits!B245)</f>
        <v>Accessoires</v>
      </c>
      <c r="C245" s="4" t="str">
        <f>IF(Produits!C245="","",Produits!C245)</f>
        <v>1000,00,0242</v>
      </c>
      <c r="D245" s="4" t="str">
        <f>IF(Produits!D245="","",Produits!D245)</f>
        <v>AA366</v>
      </c>
      <c r="E245" s="49" t="str">
        <f>IF(Produits!F245="","",Produits!F245)</f>
        <v>1 pcs</v>
      </c>
      <c r="F245" s="50">
        <f>IF(Produits!H245="","",Produits!H245)</f>
        <v>251</v>
      </c>
      <c r="H245" s="37">
        <v>0</v>
      </c>
      <c r="I245" s="2"/>
      <c r="J245" s="69">
        <f>SUM('Archives Entrées'!$N245:$AAV245)</f>
        <v>0</v>
      </c>
      <c r="K245" s="51" t="str">
        <f t="shared" si="13"/>
        <v>0,00€</v>
      </c>
      <c r="L245" s="69">
        <f>SUM('Archives Sorties'!$M245:$AAY245)</f>
        <v>0</v>
      </c>
      <c r="M245" s="51" t="str">
        <f t="shared" si="14"/>
        <v>0,00€</v>
      </c>
      <c r="O245" s="72">
        <v>0</v>
      </c>
      <c r="P245" s="72">
        <v>0</v>
      </c>
      <c r="R245" s="185">
        <f t="shared" si="15"/>
        <v>0</v>
      </c>
      <c r="S245" s="186">
        <f t="shared" si="16"/>
        <v>0</v>
      </c>
      <c r="T245" s="187" t="str">
        <f>IF(R245="","",IF(O245=0,Famille!$D$5,IF(R245&lt;O245,Famille!$D$2,IF(R245&lt;=P245,Famille!$D$3,Famille!$D$4))))</f>
        <v>Sur commande</v>
      </c>
    </row>
    <row r="246" spans="1:20" ht="12" customHeight="1" x14ac:dyDescent="0.2">
      <c r="A246" s="4" t="str">
        <f>IF(Produits!A246="","",Produits!A246)</f>
        <v>Moveo</v>
      </c>
      <c r="B246" s="4" t="str">
        <f>IF(Produits!B246="","",Produits!B246)</f>
        <v>Accessoires</v>
      </c>
      <c r="C246" s="4" t="str">
        <f>IF(Produits!C246="","",Produits!C246)</f>
        <v>1000,00,0243</v>
      </c>
      <c r="D246" s="4" t="str">
        <f>IF(Produits!D246="","",Produits!D246)</f>
        <v>AA367</v>
      </c>
      <c r="E246" s="49" t="str">
        <f>IF(Produits!F246="","",Produits!F246)</f>
        <v>1 pcs</v>
      </c>
      <c r="F246" s="50">
        <f>IF(Produits!H246="","",Produits!H246)</f>
        <v>252</v>
      </c>
      <c r="H246" s="37">
        <v>0</v>
      </c>
      <c r="I246" s="2"/>
      <c r="J246" s="69">
        <f>SUM('Archives Entrées'!$N246:$AAV246)</f>
        <v>0</v>
      </c>
      <c r="K246" s="51" t="str">
        <f t="shared" si="13"/>
        <v>0,00€</v>
      </c>
      <c r="L246" s="69">
        <f>SUM('Archives Sorties'!$M246:$AAY246)</f>
        <v>0</v>
      </c>
      <c r="M246" s="51" t="str">
        <f t="shared" si="14"/>
        <v>0,00€</v>
      </c>
      <c r="O246" s="72">
        <v>0</v>
      </c>
      <c r="P246" s="72">
        <v>0</v>
      </c>
      <c r="R246" s="185">
        <f t="shared" si="15"/>
        <v>0</v>
      </c>
      <c r="S246" s="186">
        <f t="shared" si="16"/>
        <v>0</v>
      </c>
      <c r="T246" s="187" t="str">
        <f>IF(R246="","",IF(O246=0,Famille!$D$5,IF(R246&lt;O246,Famille!$D$2,IF(R246&lt;=P246,Famille!$D$3,Famille!$D$4))))</f>
        <v>Sur commande</v>
      </c>
    </row>
    <row r="247" spans="1:20" ht="12" customHeight="1" x14ac:dyDescent="0.2">
      <c r="A247" s="4" t="str">
        <f>IF(Produits!A247="","",Produits!A247)</f>
        <v>Moveo</v>
      </c>
      <c r="B247" s="4" t="str">
        <f>IF(Produits!B247="","",Produits!B247)</f>
        <v>Accessoires</v>
      </c>
      <c r="C247" s="4" t="str">
        <f>IF(Produits!C247="","",Produits!C247)</f>
        <v>1000,00,0244</v>
      </c>
      <c r="D247" s="4" t="str">
        <f>IF(Produits!D247="","",Produits!D247)</f>
        <v>AA368</v>
      </c>
      <c r="E247" s="49" t="str">
        <f>IF(Produits!F247="","",Produits!F247)</f>
        <v>1 pcs</v>
      </c>
      <c r="F247" s="50">
        <f>IF(Produits!H247="","",Produits!H247)</f>
        <v>253</v>
      </c>
      <c r="H247" s="37">
        <v>0</v>
      </c>
      <c r="I247" s="2"/>
      <c r="J247" s="69">
        <f>SUM('Archives Entrées'!$N247:$AAV247)</f>
        <v>0</v>
      </c>
      <c r="K247" s="51" t="str">
        <f t="shared" si="13"/>
        <v>0,00€</v>
      </c>
      <c r="L247" s="69">
        <f>SUM('Archives Sorties'!$M247:$AAY247)</f>
        <v>0</v>
      </c>
      <c r="M247" s="51" t="str">
        <f t="shared" si="14"/>
        <v>0,00€</v>
      </c>
      <c r="O247" s="72">
        <v>0</v>
      </c>
      <c r="P247" s="72">
        <v>0</v>
      </c>
      <c r="R247" s="185">
        <f t="shared" si="15"/>
        <v>0</v>
      </c>
      <c r="S247" s="186">
        <f t="shared" si="16"/>
        <v>0</v>
      </c>
      <c r="T247" s="187" t="str">
        <f>IF(R247="","",IF(O247=0,Famille!$D$5,IF(R247&lt;O247,Famille!$D$2,IF(R247&lt;=P247,Famille!$D$3,Famille!$D$4))))</f>
        <v>Sur commande</v>
      </c>
    </row>
    <row r="248" spans="1:20" ht="12" customHeight="1" x14ac:dyDescent="0.2">
      <c r="A248" s="4" t="str">
        <f>IF(Produits!A248="","",Produits!A248)</f>
        <v>Moveo</v>
      </c>
      <c r="B248" s="4" t="str">
        <f>IF(Produits!B248="","",Produits!B248)</f>
        <v>Accessoires</v>
      </c>
      <c r="C248" s="4" t="str">
        <f>IF(Produits!C248="","",Produits!C248)</f>
        <v>1000,00,0245</v>
      </c>
      <c r="D248" s="4" t="str">
        <f>IF(Produits!D248="","",Produits!D248)</f>
        <v>AA369</v>
      </c>
      <c r="E248" s="49" t="str">
        <f>IF(Produits!F248="","",Produits!F248)</f>
        <v>1 pcs</v>
      </c>
      <c r="F248" s="50">
        <f>IF(Produits!H248="","",Produits!H248)</f>
        <v>254</v>
      </c>
      <c r="H248" s="37">
        <v>0</v>
      </c>
      <c r="I248" s="2"/>
      <c r="J248" s="69">
        <f>SUM('Archives Entrées'!$N248:$AAV248)</f>
        <v>0</v>
      </c>
      <c r="K248" s="51" t="str">
        <f t="shared" si="13"/>
        <v>0,00€</v>
      </c>
      <c r="L248" s="69">
        <f>SUM('Archives Sorties'!$M248:$AAY248)</f>
        <v>0</v>
      </c>
      <c r="M248" s="51" t="str">
        <f t="shared" si="14"/>
        <v>0,00€</v>
      </c>
      <c r="O248" s="72">
        <v>0</v>
      </c>
      <c r="P248" s="72">
        <v>0</v>
      </c>
      <c r="R248" s="185">
        <f t="shared" si="15"/>
        <v>0</v>
      </c>
      <c r="S248" s="186">
        <f t="shared" si="16"/>
        <v>0</v>
      </c>
      <c r="T248" s="187" t="str">
        <f>IF(R248="","",IF(O248=0,Famille!$D$5,IF(R248&lt;O248,Famille!$D$2,IF(R248&lt;=P248,Famille!$D$3,Famille!$D$4))))</f>
        <v>Sur commande</v>
      </c>
    </row>
    <row r="249" spans="1:20" ht="12" customHeight="1" x14ac:dyDescent="0.2">
      <c r="A249" s="4" t="str">
        <f>IF(Produits!A249="","",Produits!A249)</f>
        <v>Moveo</v>
      </c>
      <c r="B249" s="4" t="str">
        <f>IF(Produits!B249="","",Produits!B249)</f>
        <v>Accessoires</v>
      </c>
      <c r="C249" s="4" t="str">
        <f>IF(Produits!C249="","",Produits!C249)</f>
        <v>1000,00,0246</v>
      </c>
      <c r="D249" s="4" t="str">
        <f>IF(Produits!D249="","",Produits!D249)</f>
        <v>AA370</v>
      </c>
      <c r="E249" s="49" t="str">
        <f>IF(Produits!F249="","",Produits!F249)</f>
        <v>1 pcs</v>
      </c>
      <c r="F249" s="50">
        <f>IF(Produits!H249="","",Produits!H249)</f>
        <v>255</v>
      </c>
      <c r="H249" s="37">
        <v>0</v>
      </c>
      <c r="I249" s="2"/>
      <c r="J249" s="69">
        <f>SUM('Archives Entrées'!$N249:$AAV249)</f>
        <v>0</v>
      </c>
      <c r="K249" s="51" t="str">
        <f t="shared" si="13"/>
        <v>0,00€</v>
      </c>
      <c r="L249" s="69">
        <f>SUM('Archives Sorties'!$M249:$AAY249)</f>
        <v>0</v>
      </c>
      <c r="M249" s="51" t="str">
        <f t="shared" si="14"/>
        <v>0,00€</v>
      </c>
      <c r="O249" s="72">
        <v>0</v>
      </c>
      <c r="P249" s="72">
        <v>0</v>
      </c>
      <c r="R249" s="185">
        <f t="shared" si="15"/>
        <v>0</v>
      </c>
      <c r="S249" s="186">
        <f t="shared" si="16"/>
        <v>0</v>
      </c>
      <c r="T249" s="187" t="str">
        <f>IF(R249="","",IF(O249=0,Famille!$D$5,IF(R249&lt;O249,Famille!$D$2,IF(R249&lt;=P249,Famille!$D$3,Famille!$D$4))))</f>
        <v>Sur commande</v>
      </c>
    </row>
    <row r="250" spans="1:20" ht="12" customHeight="1" x14ac:dyDescent="0.2">
      <c r="A250" s="4" t="str">
        <f>IF(Produits!A250="","",Produits!A250)</f>
        <v>Moveo</v>
      </c>
      <c r="B250" s="4" t="str">
        <f>IF(Produits!B250="","",Produits!B250)</f>
        <v>Cache vis</v>
      </c>
      <c r="C250" s="4" t="str">
        <f>IF(Produits!C250="","",Produits!C250)</f>
        <v>1000,00,0247</v>
      </c>
      <c r="D250" s="4" t="str">
        <f>IF(Produits!D250="","",Produits!D250)</f>
        <v>AA371</v>
      </c>
      <c r="E250" s="49" t="str">
        <f>IF(Produits!F250="","",Produits!F250)</f>
        <v>12 pcs</v>
      </c>
      <c r="F250" s="50">
        <f>IF(Produits!H250="","",Produits!H250)</f>
        <v>256</v>
      </c>
      <c r="H250" s="37">
        <v>0</v>
      </c>
      <c r="I250" s="2"/>
      <c r="J250" s="69">
        <f>SUM('Archives Entrées'!$N250:$AAV250)</f>
        <v>0</v>
      </c>
      <c r="K250" s="51" t="str">
        <f t="shared" si="13"/>
        <v>0,00€</v>
      </c>
      <c r="L250" s="69">
        <f>SUM('Archives Sorties'!$M250:$AAY250)</f>
        <v>0</v>
      </c>
      <c r="M250" s="51" t="str">
        <f t="shared" si="14"/>
        <v>0,00€</v>
      </c>
      <c r="O250" s="72">
        <v>0</v>
      </c>
      <c r="P250" s="72">
        <v>0</v>
      </c>
      <c r="R250" s="185">
        <f t="shared" si="15"/>
        <v>0</v>
      </c>
      <c r="S250" s="186">
        <f t="shared" si="16"/>
        <v>0</v>
      </c>
      <c r="T250" s="187" t="str">
        <f>IF(R250="","",IF(O250=0,Famille!$D$5,IF(R250&lt;O250,Famille!$D$2,IF(R250&lt;=P250,Famille!$D$3,Famille!$D$4))))</f>
        <v>Sur commande</v>
      </c>
    </row>
    <row r="251" spans="1:20" ht="12" customHeight="1" x14ac:dyDescent="0.2">
      <c r="A251" s="4" t="str">
        <f>IF(Produits!A251="","",Produits!A251)</f>
        <v>Moveo</v>
      </c>
      <c r="B251" s="4" t="str">
        <f>IF(Produits!B251="","",Produits!B251)</f>
        <v>Cache vis</v>
      </c>
      <c r="C251" s="4" t="str">
        <f>IF(Produits!C251="","",Produits!C251)</f>
        <v>1000,00,0248</v>
      </c>
      <c r="D251" s="4" t="str">
        <f>IF(Produits!D251="","",Produits!D251)</f>
        <v>AA372</v>
      </c>
      <c r="E251" s="49" t="str">
        <f>IF(Produits!F251="","",Produits!F251)</f>
        <v>12 pcs</v>
      </c>
      <c r="F251" s="50">
        <f>IF(Produits!H251="","",Produits!H251)</f>
        <v>257</v>
      </c>
      <c r="H251" s="37">
        <v>0</v>
      </c>
      <c r="I251" s="2"/>
      <c r="J251" s="69">
        <f>SUM('Archives Entrées'!$N251:$AAV251)</f>
        <v>0</v>
      </c>
      <c r="K251" s="51" t="str">
        <f t="shared" si="13"/>
        <v>0,00€</v>
      </c>
      <c r="L251" s="69">
        <f>SUM('Archives Sorties'!$M251:$AAY251)</f>
        <v>0</v>
      </c>
      <c r="M251" s="51" t="str">
        <f t="shared" si="14"/>
        <v>0,00€</v>
      </c>
      <c r="O251" s="72">
        <v>0</v>
      </c>
      <c r="P251" s="72">
        <v>0</v>
      </c>
      <c r="R251" s="185">
        <f t="shared" si="15"/>
        <v>0</v>
      </c>
      <c r="S251" s="186">
        <f t="shared" si="16"/>
        <v>0</v>
      </c>
      <c r="T251" s="187" t="str">
        <f>IF(R251="","",IF(O251=0,Famille!$D$5,IF(R251&lt;O251,Famille!$D$2,IF(R251&lt;=P251,Famille!$D$3,Famille!$D$4))))</f>
        <v>Sur commande</v>
      </c>
    </row>
    <row r="252" spans="1:20" ht="12" customHeight="1" x14ac:dyDescent="0.2">
      <c r="A252" s="4" t="str">
        <f>IF(Produits!A252="","",Produits!A252)</f>
        <v>Moveo</v>
      </c>
      <c r="B252" s="4" t="str">
        <f>IF(Produits!B252="","",Produits!B252)</f>
        <v>Cache vis</v>
      </c>
      <c r="C252" s="4" t="str">
        <f>IF(Produits!C252="","",Produits!C252)</f>
        <v>1000,00,0249</v>
      </c>
      <c r="D252" s="4" t="str">
        <f>IF(Produits!D252="","",Produits!D252)</f>
        <v>AA373</v>
      </c>
      <c r="E252" s="49" t="str">
        <f>IF(Produits!F252="","",Produits!F252)</f>
        <v>12 pcs</v>
      </c>
      <c r="F252" s="50">
        <f>IF(Produits!H252="","",Produits!H252)</f>
        <v>258</v>
      </c>
      <c r="H252" s="37">
        <v>0</v>
      </c>
      <c r="I252" s="2"/>
      <c r="J252" s="69">
        <f>SUM('Archives Entrées'!$N252:$AAV252)</f>
        <v>0</v>
      </c>
      <c r="K252" s="51" t="str">
        <f t="shared" si="13"/>
        <v>0,00€</v>
      </c>
      <c r="L252" s="69">
        <f>SUM('Archives Sorties'!$M252:$AAY252)</f>
        <v>0</v>
      </c>
      <c r="M252" s="51" t="str">
        <f t="shared" si="14"/>
        <v>0,00€</v>
      </c>
      <c r="O252" s="72">
        <v>0</v>
      </c>
      <c r="P252" s="72">
        <v>0</v>
      </c>
      <c r="R252" s="185">
        <f t="shared" si="15"/>
        <v>0</v>
      </c>
      <c r="S252" s="186">
        <f t="shared" si="16"/>
        <v>0</v>
      </c>
      <c r="T252" s="187" t="str">
        <f>IF(R252="","",IF(O252=0,Famille!$D$5,IF(R252&lt;O252,Famille!$D$2,IF(R252&lt;=P252,Famille!$D$3,Famille!$D$4))))</f>
        <v>Sur commande</v>
      </c>
    </row>
    <row r="253" spans="1:20" ht="12" customHeight="1" x14ac:dyDescent="0.2">
      <c r="A253" s="4" t="str">
        <f>IF(Produits!A253="","",Produits!A253)</f>
        <v>Moveo</v>
      </c>
      <c r="B253" s="4" t="str">
        <f>IF(Produits!B253="","",Produits!B253)</f>
        <v>Cache vis</v>
      </c>
      <c r="C253" s="4" t="str">
        <f>IF(Produits!C253="","",Produits!C253)</f>
        <v>1000,00,0250</v>
      </c>
      <c r="D253" s="4" t="str">
        <f>IF(Produits!D253="","",Produits!D253)</f>
        <v>AA374</v>
      </c>
      <c r="E253" s="49" t="str">
        <f>IF(Produits!F253="","",Produits!F253)</f>
        <v>12 pcs</v>
      </c>
      <c r="F253" s="50">
        <f>IF(Produits!H253="","",Produits!H253)</f>
        <v>259</v>
      </c>
      <c r="H253" s="37">
        <v>0</v>
      </c>
      <c r="I253" s="2"/>
      <c r="J253" s="69">
        <f>SUM('Archives Entrées'!$N253:$AAV253)</f>
        <v>0</v>
      </c>
      <c r="K253" s="51" t="str">
        <f t="shared" si="13"/>
        <v>0,00€</v>
      </c>
      <c r="L253" s="69">
        <f>SUM('Archives Sorties'!$M253:$AAY253)</f>
        <v>0</v>
      </c>
      <c r="M253" s="51" t="str">
        <f t="shared" si="14"/>
        <v>0,00€</v>
      </c>
      <c r="O253" s="72">
        <v>0</v>
      </c>
      <c r="P253" s="72">
        <v>0</v>
      </c>
      <c r="R253" s="185">
        <f t="shared" si="15"/>
        <v>0</v>
      </c>
      <c r="S253" s="186">
        <f t="shared" si="16"/>
        <v>0</v>
      </c>
      <c r="T253" s="187" t="str">
        <f>IF(R253="","",IF(O253=0,Famille!$D$5,IF(R253&lt;O253,Famille!$D$2,IF(R253&lt;=P253,Famille!$D$3,Famille!$D$4))))</f>
        <v>Sur commande</v>
      </c>
    </row>
    <row r="254" spans="1:20" ht="12" customHeight="1" x14ac:dyDescent="0.2">
      <c r="A254" s="4" t="str">
        <f>IF(Produits!A254="","",Produits!A254)</f>
        <v>Moveo</v>
      </c>
      <c r="B254" s="4" t="str">
        <f>IF(Produits!B254="","",Produits!B254)</f>
        <v>Cache vis</v>
      </c>
      <c r="C254" s="4" t="str">
        <f>IF(Produits!C254="","",Produits!C254)</f>
        <v>1000,00,0251</v>
      </c>
      <c r="D254" s="4" t="str">
        <f>IF(Produits!D254="","",Produits!D254)</f>
        <v>AA375</v>
      </c>
      <c r="E254" s="49" t="str">
        <f>IF(Produits!F254="","",Produits!F254)</f>
        <v>12 pcs</v>
      </c>
      <c r="F254" s="50">
        <f>IF(Produits!H254="","",Produits!H254)</f>
        <v>260</v>
      </c>
      <c r="H254" s="37">
        <v>0</v>
      </c>
      <c r="I254" s="2"/>
      <c r="J254" s="69">
        <f>SUM('Archives Entrées'!$N254:$AAV254)</f>
        <v>0</v>
      </c>
      <c r="K254" s="51" t="str">
        <f t="shared" si="13"/>
        <v>0,00€</v>
      </c>
      <c r="L254" s="69">
        <f>SUM('Archives Sorties'!$M254:$AAY254)</f>
        <v>0</v>
      </c>
      <c r="M254" s="51" t="str">
        <f t="shared" si="14"/>
        <v>0,00€</v>
      </c>
      <c r="O254" s="72">
        <v>0</v>
      </c>
      <c r="P254" s="72">
        <v>0</v>
      </c>
      <c r="R254" s="185">
        <f t="shared" si="15"/>
        <v>0</v>
      </c>
      <c r="S254" s="186">
        <f t="shared" si="16"/>
        <v>0</v>
      </c>
      <c r="T254" s="187" t="str">
        <f>IF(R254="","",IF(O254=0,Famille!$D$5,IF(R254&lt;O254,Famille!$D$2,IF(R254&lt;=P254,Famille!$D$3,Famille!$D$4))))</f>
        <v>Sur commande</v>
      </c>
    </row>
    <row r="255" spans="1:20" ht="12" customHeight="1" x14ac:dyDescent="0.2">
      <c r="A255" s="4" t="str">
        <f>IF(Produits!A255="","",Produits!A255)</f>
        <v>Moveo</v>
      </c>
      <c r="B255" s="4" t="str">
        <f>IF(Produits!B255="","",Produits!B255)</f>
        <v>Cache vis</v>
      </c>
      <c r="C255" s="4" t="str">
        <f>IF(Produits!C255="","",Produits!C255)</f>
        <v>1000,00,0252</v>
      </c>
      <c r="D255" s="4" t="str">
        <f>IF(Produits!D255="","",Produits!D255)</f>
        <v>AA376</v>
      </c>
      <c r="E255" s="49" t="str">
        <f>IF(Produits!F255="","",Produits!F255)</f>
        <v>12 pcs</v>
      </c>
      <c r="F255" s="50">
        <f>IF(Produits!H255="","",Produits!H255)</f>
        <v>261</v>
      </c>
      <c r="H255" s="37">
        <v>0</v>
      </c>
      <c r="I255" s="2"/>
      <c r="J255" s="69">
        <f>SUM('Archives Entrées'!$N255:$AAV255)</f>
        <v>0</v>
      </c>
      <c r="K255" s="51" t="str">
        <f t="shared" si="13"/>
        <v>0,00€</v>
      </c>
      <c r="L255" s="69">
        <f>SUM('Archives Sorties'!$M255:$AAY255)</f>
        <v>0</v>
      </c>
      <c r="M255" s="51" t="str">
        <f t="shared" si="14"/>
        <v>0,00€</v>
      </c>
      <c r="O255" s="72">
        <v>0</v>
      </c>
      <c r="P255" s="72">
        <v>0</v>
      </c>
      <c r="R255" s="185">
        <f t="shared" si="15"/>
        <v>0</v>
      </c>
      <c r="S255" s="186">
        <f t="shared" si="16"/>
        <v>0</v>
      </c>
      <c r="T255" s="187" t="str">
        <f>IF(R255="","",IF(O255=0,Famille!$D$5,IF(R255&lt;O255,Famille!$D$2,IF(R255&lt;=P255,Famille!$D$3,Famille!$D$4))))</f>
        <v>Sur commande</v>
      </c>
    </row>
    <row r="256" spans="1:20" ht="12" customHeight="1" x14ac:dyDescent="0.2">
      <c r="A256" s="4" t="str">
        <f>IF(Produits!A256="","",Produits!A256)</f>
        <v>Moveo</v>
      </c>
      <c r="B256" s="4" t="str">
        <f>IF(Produits!B256="","",Produits!B256)</f>
        <v>Cache vis</v>
      </c>
      <c r="C256" s="4" t="str">
        <f>IF(Produits!C256="","",Produits!C256)</f>
        <v>1000,00,0253</v>
      </c>
      <c r="D256" s="4" t="str">
        <f>IF(Produits!D256="","",Produits!D256)</f>
        <v>AA377</v>
      </c>
      <c r="E256" s="49" t="str">
        <f>IF(Produits!F256="","",Produits!F256)</f>
        <v>12 pcs</v>
      </c>
      <c r="F256" s="50">
        <f>IF(Produits!H256="","",Produits!H256)</f>
        <v>262</v>
      </c>
      <c r="H256" s="37">
        <v>0</v>
      </c>
      <c r="I256" s="2"/>
      <c r="J256" s="69">
        <f>SUM('Archives Entrées'!$N256:$AAV256)</f>
        <v>0</v>
      </c>
      <c r="K256" s="51" t="str">
        <f t="shared" si="13"/>
        <v>0,00€</v>
      </c>
      <c r="L256" s="69">
        <f>SUM('Archives Sorties'!$M256:$AAY256)</f>
        <v>0</v>
      </c>
      <c r="M256" s="51" t="str">
        <f t="shared" si="14"/>
        <v>0,00€</v>
      </c>
      <c r="O256" s="72">
        <v>0</v>
      </c>
      <c r="P256" s="72">
        <v>0</v>
      </c>
      <c r="R256" s="185">
        <f t="shared" si="15"/>
        <v>0</v>
      </c>
      <c r="S256" s="186">
        <f t="shared" si="16"/>
        <v>0</v>
      </c>
      <c r="T256" s="187" t="str">
        <f>IF(R256="","",IF(O256=0,Famille!$D$5,IF(R256&lt;O256,Famille!$D$2,IF(R256&lt;=P256,Famille!$D$3,Famille!$D$4))))</f>
        <v>Sur commande</v>
      </c>
    </row>
    <row r="257" spans="1:20" ht="12" customHeight="1" x14ac:dyDescent="0.2">
      <c r="A257" s="4" t="str">
        <f>IF(Produits!A257="","",Produits!A257)</f>
        <v>Moveo</v>
      </c>
      <c r="B257" s="4" t="str">
        <f>IF(Produits!B257="","",Produits!B257)</f>
        <v>Cache vis</v>
      </c>
      <c r="C257" s="4" t="str">
        <f>IF(Produits!C257="","",Produits!C257)</f>
        <v>1000,00,0254</v>
      </c>
      <c r="D257" s="4" t="str">
        <f>IF(Produits!D257="","",Produits!D257)</f>
        <v>AA378</v>
      </c>
      <c r="E257" s="49" t="str">
        <f>IF(Produits!F257="","",Produits!F257)</f>
        <v>12 pcs</v>
      </c>
      <c r="F257" s="50">
        <f>IF(Produits!H257="","",Produits!H257)</f>
        <v>263</v>
      </c>
      <c r="H257" s="37">
        <v>0</v>
      </c>
      <c r="I257" s="2"/>
      <c r="J257" s="69">
        <f>SUM('Archives Entrées'!$N257:$AAV257)</f>
        <v>0</v>
      </c>
      <c r="K257" s="51" t="str">
        <f t="shared" si="13"/>
        <v>0,00€</v>
      </c>
      <c r="L257" s="69">
        <f>SUM('Archives Sorties'!$M257:$AAY257)</f>
        <v>0</v>
      </c>
      <c r="M257" s="51" t="str">
        <f t="shared" si="14"/>
        <v>0,00€</v>
      </c>
      <c r="O257" s="72">
        <v>0</v>
      </c>
      <c r="P257" s="72">
        <v>0</v>
      </c>
      <c r="R257" s="185">
        <f t="shared" si="15"/>
        <v>0</v>
      </c>
      <c r="S257" s="186">
        <f t="shared" si="16"/>
        <v>0</v>
      </c>
      <c r="T257" s="187" t="str">
        <f>IF(R257="","",IF(O257=0,Famille!$D$5,IF(R257&lt;O257,Famille!$D$2,IF(R257&lt;=P257,Famille!$D$3,Famille!$D$4))))</f>
        <v>Sur commande</v>
      </c>
    </row>
    <row r="258" spans="1:20" ht="12" customHeight="1" x14ac:dyDescent="0.2">
      <c r="A258" s="4" t="str">
        <f>IF(Produits!A258="","",Produits!A258)</f>
        <v>Moveo</v>
      </c>
      <c r="B258" s="4" t="str">
        <f>IF(Produits!B258="","",Produits!B258)</f>
        <v>Cache vis</v>
      </c>
      <c r="C258" s="4" t="str">
        <f>IF(Produits!C258="","",Produits!C258)</f>
        <v>1000,00,0255</v>
      </c>
      <c r="D258" s="4" t="str">
        <f>IF(Produits!D258="","",Produits!D258)</f>
        <v>AA379</v>
      </c>
      <c r="E258" s="49" t="str">
        <f>IF(Produits!F258="","",Produits!F258)</f>
        <v>12 pcs</v>
      </c>
      <c r="F258" s="50">
        <f>IF(Produits!H258="","",Produits!H258)</f>
        <v>264</v>
      </c>
      <c r="H258" s="37">
        <v>0</v>
      </c>
      <c r="I258" s="2"/>
      <c r="J258" s="69">
        <f>SUM('Archives Entrées'!$N258:$AAV258)</f>
        <v>0</v>
      </c>
      <c r="K258" s="51" t="str">
        <f t="shared" si="13"/>
        <v>0,00€</v>
      </c>
      <c r="L258" s="69">
        <f>SUM('Archives Sorties'!$M258:$AAY258)</f>
        <v>0</v>
      </c>
      <c r="M258" s="51" t="str">
        <f t="shared" si="14"/>
        <v>0,00€</v>
      </c>
      <c r="O258" s="72">
        <v>0</v>
      </c>
      <c r="P258" s="72">
        <v>0</v>
      </c>
      <c r="R258" s="185">
        <f t="shared" si="15"/>
        <v>0</v>
      </c>
      <c r="S258" s="186">
        <f t="shared" si="16"/>
        <v>0</v>
      </c>
      <c r="T258" s="187" t="str">
        <f>IF(R258="","",IF(O258=0,Famille!$D$5,IF(R258&lt;O258,Famille!$D$2,IF(R258&lt;=P258,Famille!$D$3,Famille!$D$4))))</f>
        <v>Sur commande</v>
      </c>
    </row>
    <row r="259" spans="1:20" ht="12" customHeight="1" x14ac:dyDescent="0.2">
      <c r="A259" s="4" t="str">
        <f>IF(Produits!A259="","",Produits!A259)</f>
        <v>Moveo</v>
      </c>
      <c r="B259" s="4" t="str">
        <f>IF(Produits!B259="","",Produits!B259)</f>
        <v>Cache vis</v>
      </c>
      <c r="C259" s="4" t="str">
        <f>IF(Produits!C259="","",Produits!C259)</f>
        <v>1000,00,0256</v>
      </c>
      <c r="D259" s="4" t="str">
        <f>IF(Produits!D259="","",Produits!D259)</f>
        <v>AA380</v>
      </c>
      <c r="E259" s="49" t="str">
        <f>IF(Produits!F259="","",Produits!F259)</f>
        <v>12 pcs</v>
      </c>
      <c r="F259" s="50">
        <f>IF(Produits!H259="","",Produits!H259)</f>
        <v>265</v>
      </c>
      <c r="H259" s="37">
        <v>0</v>
      </c>
      <c r="I259" s="2"/>
      <c r="J259" s="69">
        <f>SUM('Archives Entrées'!$N259:$AAV259)</f>
        <v>0</v>
      </c>
      <c r="K259" s="51" t="str">
        <f t="shared" si="13"/>
        <v>0,00€</v>
      </c>
      <c r="L259" s="69">
        <f>SUM('Archives Sorties'!$M259:$AAY259)</f>
        <v>0</v>
      </c>
      <c r="M259" s="51" t="str">
        <f t="shared" si="14"/>
        <v>0,00€</v>
      </c>
      <c r="O259" s="72">
        <v>0</v>
      </c>
      <c r="P259" s="72">
        <v>0</v>
      </c>
      <c r="R259" s="185">
        <f t="shared" si="15"/>
        <v>0</v>
      </c>
      <c r="S259" s="186">
        <f t="shared" si="16"/>
        <v>0</v>
      </c>
      <c r="T259" s="187" t="str">
        <f>IF(R259="","",IF(O259=0,Famille!$D$5,IF(R259&lt;O259,Famille!$D$2,IF(R259&lt;=P259,Famille!$D$3,Famille!$D$4))))</f>
        <v>Sur commande</v>
      </c>
    </row>
    <row r="260" spans="1:20" ht="12" customHeight="1" x14ac:dyDescent="0.2">
      <c r="A260" s="4" t="str">
        <f>IF(Produits!A260="","",Produits!A260)</f>
        <v>Moveo</v>
      </c>
      <c r="B260" s="4" t="str">
        <f>IF(Produits!B260="","",Produits!B260)</f>
        <v>Cache vis</v>
      </c>
      <c r="C260" s="4" t="str">
        <f>IF(Produits!C260="","",Produits!C260)</f>
        <v>1000,00,0257</v>
      </c>
      <c r="D260" s="4" t="str">
        <f>IF(Produits!D260="","",Produits!D260)</f>
        <v>AA381</v>
      </c>
      <c r="E260" s="49" t="str">
        <f>IF(Produits!F260="","",Produits!F260)</f>
        <v>12 pcs</v>
      </c>
      <c r="F260" s="50">
        <f>IF(Produits!H260="","",Produits!H260)</f>
        <v>266</v>
      </c>
      <c r="H260" s="37">
        <v>0</v>
      </c>
      <c r="I260" s="2"/>
      <c r="J260" s="69">
        <f>SUM('Archives Entrées'!$N260:$AAV260)</f>
        <v>0</v>
      </c>
      <c r="K260" s="51" t="str">
        <f t="shared" si="13"/>
        <v>0,00€</v>
      </c>
      <c r="L260" s="69">
        <f>SUM('Archives Sorties'!$M260:$AAY260)</f>
        <v>0</v>
      </c>
      <c r="M260" s="51" t="str">
        <f t="shared" si="14"/>
        <v>0,00€</v>
      </c>
      <c r="O260" s="72">
        <v>0</v>
      </c>
      <c r="P260" s="72">
        <v>0</v>
      </c>
      <c r="R260" s="185">
        <f t="shared" si="15"/>
        <v>0</v>
      </c>
      <c r="S260" s="186">
        <f t="shared" si="16"/>
        <v>0</v>
      </c>
      <c r="T260" s="187" t="str">
        <f>IF(R260="","",IF(O260=0,Famille!$D$5,IF(R260&lt;O260,Famille!$D$2,IF(R260&lt;=P260,Famille!$D$3,Famille!$D$4))))</f>
        <v>Sur commande</v>
      </c>
    </row>
    <row r="261" spans="1:20" ht="12" customHeight="1" x14ac:dyDescent="0.2">
      <c r="A261" s="4" t="str">
        <f>IF(Produits!A261="","",Produits!A261)</f>
        <v>Moveo</v>
      </c>
      <c r="B261" s="4" t="str">
        <f>IF(Produits!B261="","",Produits!B261)</f>
        <v>Cache vis</v>
      </c>
      <c r="C261" s="4" t="str">
        <f>IF(Produits!C261="","",Produits!C261)</f>
        <v>1000,00,0258</v>
      </c>
      <c r="D261" s="4" t="str">
        <f>IF(Produits!D261="","",Produits!D261)</f>
        <v>AA382</v>
      </c>
      <c r="E261" s="49" t="str">
        <f>IF(Produits!F261="","",Produits!F261)</f>
        <v>12 pcs</v>
      </c>
      <c r="F261" s="50">
        <f>IF(Produits!H261="","",Produits!H261)</f>
        <v>267</v>
      </c>
      <c r="H261" s="37">
        <v>0</v>
      </c>
      <c r="I261" s="2"/>
      <c r="J261" s="69">
        <f>SUM('Archives Entrées'!$N261:$AAV261)</f>
        <v>0</v>
      </c>
      <c r="K261" s="51" t="str">
        <f t="shared" ref="K261:K324" si="17">IF(J261=0,"0,00€",J261*F261)</f>
        <v>0,00€</v>
      </c>
      <c r="L261" s="69">
        <f>SUM('Archives Sorties'!$M261:$AAY261)</f>
        <v>0</v>
      </c>
      <c r="M261" s="51" t="str">
        <f t="shared" ref="M261:M324" si="18">IF(L261=0,"0,00€",L261*F261)</f>
        <v>0,00€</v>
      </c>
      <c r="O261" s="72">
        <v>0</v>
      </c>
      <c r="P261" s="72">
        <v>0</v>
      </c>
      <c r="R261" s="185">
        <f t="shared" ref="R261:R324" si="19">IF(A261="","",((J261+H261)-L261))</f>
        <v>0</v>
      </c>
      <c r="S261" s="186">
        <f t="shared" ref="S261:S324" si="20">IF(R261="","",IF(R261=0,0,IF(R261&lt;O261,0,IF(R261&lt;=P261,1,2))))</f>
        <v>0</v>
      </c>
      <c r="T261" s="187" t="str">
        <f>IF(R261="","",IF(O261=0,Famille!$D$5,IF(R261&lt;O261,Famille!$D$2,IF(R261&lt;=P261,Famille!$D$3,Famille!$D$4))))</f>
        <v>Sur commande</v>
      </c>
    </row>
    <row r="262" spans="1:20" ht="12" customHeight="1" x14ac:dyDescent="0.2">
      <c r="A262" s="4" t="str">
        <f>IF(Produits!A262="","",Produits!A262)</f>
        <v>Moveo</v>
      </c>
      <c r="B262" s="4" t="str">
        <f>IF(Produits!B262="","",Produits!B262)</f>
        <v>Cache vis</v>
      </c>
      <c r="C262" s="4" t="str">
        <f>IF(Produits!C262="","",Produits!C262)</f>
        <v>1000,00,0259</v>
      </c>
      <c r="D262" s="4" t="str">
        <f>IF(Produits!D262="","",Produits!D262)</f>
        <v>AA383</v>
      </c>
      <c r="E262" s="49" t="str">
        <f>IF(Produits!F262="","",Produits!F262)</f>
        <v>12 pcs</v>
      </c>
      <c r="F262" s="50">
        <f>IF(Produits!H262="","",Produits!H262)</f>
        <v>268</v>
      </c>
      <c r="H262" s="37">
        <v>0</v>
      </c>
      <c r="I262" s="2"/>
      <c r="J262" s="69">
        <f>SUM('Archives Entrées'!$N262:$AAV262)</f>
        <v>0</v>
      </c>
      <c r="K262" s="51" t="str">
        <f t="shared" si="17"/>
        <v>0,00€</v>
      </c>
      <c r="L262" s="69">
        <f>SUM('Archives Sorties'!$M262:$AAY262)</f>
        <v>0</v>
      </c>
      <c r="M262" s="51" t="str">
        <f t="shared" si="18"/>
        <v>0,00€</v>
      </c>
      <c r="O262" s="72">
        <v>0</v>
      </c>
      <c r="P262" s="72">
        <v>0</v>
      </c>
      <c r="R262" s="185">
        <f t="shared" si="19"/>
        <v>0</v>
      </c>
      <c r="S262" s="186">
        <f t="shared" si="20"/>
        <v>0</v>
      </c>
      <c r="T262" s="187" t="str">
        <f>IF(R262="","",IF(O262=0,Famille!$D$5,IF(R262&lt;O262,Famille!$D$2,IF(R262&lt;=P262,Famille!$D$3,Famille!$D$4))))</f>
        <v>Sur commande</v>
      </c>
    </row>
    <row r="263" spans="1:20" ht="12" customHeight="1" x14ac:dyDescent="0.2">
      <c r="A263" s="4" t="str">
        <f>IF(Produits!A263="","",Produits!A263)</f>
        <v>Moveo</v>
      </c>
      <c r="B263" s="4" t="str">
        <f>IF(Produits!B263="","",Produits!B263)</f>
        <v>Cache vis</v>
      </c>
      <c r="C263" s="4" t="str">
        <f>IF(Produits!C263="","",Produits!C263)</f>
        <v>1000,00,0260</v>
      </c>
      <c r="D263" s="4" t="str">
        <f>IF(Produits!D263="","",Produits!D263)</f>
        <v>AA384</v>
      </c>
      <c r="E263" s="49" t="str">
        <f>IF(Produits!F263="","",Produits!F263)</f>
        <v>12 pcs</v>
      </c>
      <c r="F263" s="50">
        <f>IF(Produits!H263="","",Produits!H263)</f>
        <v>269</v>
      </c>
      <c r="H263" s="37">
        <v>0</v>
      </c>
      <c r="I263" s="2"/>
      <c r="J263" s="69">
        <f>SUM('Archives Entrées'!$N263:$AAV263)</f>
        <v>0</v>
      </c>
      <c r="K263" s="51" t="str">
        <f t="shared" si="17"/>
        <v>0,00€</v>
      </c>
      <c r="L263" s="69">
        <f>SUM('Archives Sorties'!$M263:$AAY263)</f>
        <v>0</v>
      </c>
      <c r="M263" s="51" t="str">
        <f t="shared" si="18"/>
        <v>0,00€</v>
      </c>
      <c r="O263" s="72">
        <v>0</v>
      </c>
      <c r="P263" s="72">
        <v>0</v>
      </c>
      <c r="R263" s="185">
        <f t="shared" si="19"/>
        <v>0</v>
      </c>
      <c r="S263" s="186">
        <f t="shared" si="20"/>
        <v>0</v>
      </c>
      <c r="T263" s="187" t="str">
        <f>IF(R263="","",IF(O263=0,Famille!$D$5,IF(R263&lt;O263,Famille!$D$2,IF(R263&lt;=P263,Famille!$D$3,Famille!$D$4))))</f>
        <v>Sur commande</v>
      </c>
    </row>
    <row r="264" spans="1:20" ht="12" customHeight="1" x14ac:dyDescent="0.2">
      <c r="A264" s="4" t="str">
        <f>IF(Produits!A264="","",Produits!A264)</f>
        <v>Moveo</v>
      </c>
      <c r="B264" s="4" t="str">
        <f>IF(Produits!B264="","",Produits!B264)</f>
        <v>Cache vis</v>
      </c>
      <c r="C264" s="4" t="str">
        <f>IF(Produits!C264="","",Produits!C264)</f>
        <v>1000,00,0261</v>
      </c>
      <c r="D264" s="4" t="str">
        <f>IF(Produits!D264="","",Produits!D264)</f>
        <v>AA385</v>
      </c>
      <c r="E264" s="49" t="str">
        <f>IF(Produits!F264="","",Produits!F264)</f>
        <v>6 pcs</v>
      </c>
      <c r="F264" s="50">
        <f>IF(Produits!H264="","",Produits!H264)</f>
        <v>270</v>
      </c>
      <c r="H264" s="37">
        <v>0</v>
      </c>
      <c r="I264" s="2"/>
      <c r="J264" s="69">
        <f>SUM('Archives Entrées'!$N264:$AAV264)</f>
        <v>0</v>
      </c>
      <c r="K264" s="51" t="str">
        <f t="shared" si="17"/>
        <v>0,00€</v>
      </c>
      <c r="L264" s="69">
        <f>SUM('Archives Sorties'!$M264:$AAY264)</f>
        <v>0</v>
      </c>
      <c r="M264" s="51" t="str">
        <f t="shared" si="18"/>
        <v>0,00€</v>
      </c>
      <c r="O264" s="72">
        <v>0</v>
      </c>
      <c r="P264" s="72">
        <v>0</v>
      </c>
      <c r="R264" s="185">
        <f t="shared" si="19"/>
        <v>0</v>
      </c>
      <c r="S264" s="186">
        <f t="shared" si="20"/>
        <v>0</v>
      </c>
      <c r="T264" s="187" t="str">
        <f>IF(R264="","",IF(O264=0,Famille!$D$5,IF(R264&lt;O264,Famille!$D$2,IF(R264&lt;=P264,Famille!$D$3,Famille!$D$4))))</f>
        <v>Sur commande</v>
      </c>
    </row>
    <row r="265" spans="1:20" ht="12" customHeight="1" x14ac:dyDescent="0.2">
      <c r="A265" s="4" t="str">
        <f>IF(Produits!A265="","",Produits!A265)</f>
        <v>Moveo</v>
      </c>
      <c r="B265" s="4" t="str">
        <f>IF(Produits!B265="","",Produits!B265)</f>
        <v>Cache vis</v>
      </c>
      <c r="C265" s="4" t="str">
        <f>IF(Produits!C265="","",Produits!C265)</f>
        <v>1000,00,0262</v>
      </c>
      <c r="D265" s="4" t="str">
        <f>IF(Produits!D265="","",Produits!D265)</f>
        <v>AA386</v>
      </c>
      <c r="E265" s="49" t="str">
        <f>IF(Produits!F265="","",Produits!F265)</f>
        <v>6 pcs</v>
      </c>
      <c r="F265" s="50">
        <f>IF(Produits!H265="","",Produits!H265)</f>
        <v>271</v>
      </c>
      <c r="H265" s="37">
        <v>0</v>
      </c>
      <c r="I265" s="2"/>
      <c r="J265" s="69">
        <f>SUM('Archives Entrées'!$N265:$AAV265)</f>
        <v>0</v>
      </c>
      <c r="K265" s="51" t="str">
        <f t="shared" si="17"/>
        <v>0,00€</v>
      </c>
      <c r="L265" s="69">
        <f>SUM('Archives Sorties'!$M265:$AAY265)</f>
        <v>0</v>
      </c>
      <c r="M265" s="51" t="str">
        <f t="shared" si="18"/>
        <v>0,00€</v>
      </c>
      <c r="O265" s="72">
        <v>0</v>
      </c>
      <c r="P265" s="72">
        <v>0</v>
      </c>
      <c r="R265" s="185">
        <f t="shared" si="19"/>
        <v>0</v>
      </c>
      <c r="S265" s="186">
        <f t="shared" si="20"/>
        <v>0</v>
      </c>
      <c r="T265" s="187" t="str">
        <f>IF(R265="","",IF(O265=0,Famille!$D$5,IF(R265&lt;O265,Famille!$D$2,IF(R265&lt;=P265,Famille!$D$3,Famille!$D$4))))</f>
        <v>Sur commande</v>
      </c>
    </row>
    <row r="266" spans="1:20" ht="12" customHeight="1" x14ac:dyDescent="0.2">
      <c r="A266" s="4" t="str">
        <f>IF(Produits!A266="","",Produits!A266)</f>
        <v>Moveo</v>
      </c>
      <c r="B266" s="4" t="str">
        <f>IF(Produits!B266="","",Produits!B266)</f>
        <v>Cache vis</v>
      </c>
      <c r="C266" s="4" t="str">
        <f>IF(Produits!C266="","",Produits!C266)</f>
        <v>1000,00,0263</v>
      </c>
      <c r="D266" s="4" t="str">
        <f>IF(Produits!D266="","",Produits!D266)</f>
        <v>AA387</v>
      </c>
      <c r="E266" s="49" t="str">
        <f>IF(Produits!F266="","",Produits!F266)</f>
        <v>6 pcs</v>
      </c>
      <c r="F266" s="50">
        <f>IF(Produits!H266="","",Produits!H266)</f>
        <v>272</v>
      </c>
      <c r="H266" s="37">
        <v>0</v>
      </c>
      <c r="I266" s="2"/>
      <c r="J266" s="69">
        <f>SUM('Archives Entrées'!$N266:$AAV266)</f>
        <v>0</v>
      </c>
      <c r="K266" s="51" t="str">
        <f t="shared" si="17"/>
        <v>0,00€</v>
      </c>
      <c r="L266" s="69">
        <f>SUM('Archives Sorties'!$M266:$AAY266)</f>
        <v>0</v>
      </c>
      <c r="M266" s="51" t="str">
        <f t="shared" si="18"/>
        <v>0,00€</v>
      </c>
      <c r="O266" s="72">
        <v>0</v>
      </c>
      <c r="P266" s="72">
        <v>0</v>
      </c>
      <c r="R266" s="185">
        <f t="shared" si="19"/>
        <v>0</v>
      </c>
      <c r="S266" s="186">
        <f t="shared" si="20"/>
        <v>0</v>
      </c>
      <c r="T266" s="187" t="str">
        <f>IF(R266="","",IF(O266=0,Famille!$D$5,IF(R266&lt;O266,Famille!$D$2,IF(R266&lt;=P266,Famille!$D$3,Famille!$D$4))))</f>
        <v>Sur commande</v>
      </c>
    </row>
    <row r="267" spans="1:20" ht="12" customHeight="1" x14ac:dyDescent="0.2">
      <c r="A267" s="4" t="str">
        <f>IF(Produits!A267="","",Produits!A267)</f>
        <v>Moveo</v>
      </c>
      <c r="B267" s="4" t="str">
        <f>IF(Produits!B267="","",Produits!B267)</f>
        <v>Cache vis</v>
      </c>
      <c r="C267" s="4" t="str">
        <f>IF(Produits!C267="","",Produits!C267)</f>
        <v>1000,00,0264</v>
      </c>
      <c r="D267" s="4" t="str">
        <f>IF(Produits!D267="","",Produits!D267)</f>
        <v>AA388</v>
      </c>
      <c r="E267" s="49" t="str">
        <f>IF(Produits!F267="","",Produits!F267)</f>
        <v>6 pcs</v>
      </c>
      <c r="F267" s="50">
        <f>IF(Produits!H267="","",Produits!H267)</f>
        <v>273</v>
      </c>
      <c r="H267" s="37">
        <v>0</v>
      </c>
      <c r="I267" s="2"/>
      <c r="J267" s="69">
        <f>SUM('Archives Entrées'!$N267:$AAV267)</f>
        <v>0</v>
      </c>
      <c r="K267" s="51" t="str">
        <f t="shared" si="17"/>
        <v>0,00€</v>
      </c>
      <c r="L267" s="69">
        <f>SUM('Archives Sorties'!$M267:$AAY267)</f>
        <v>0</v>
      </c>
      <c r="M267" s="51" t="str">
        <f t="shared" si="18"/>
        <v>0,00€</v>
      </c>
      <c r="O267" s="72">
        <v>0</v>
      </c>
      <c r="P267" s="72">
        <v>0</v>
      </c>
      <c r="R267" s="185">
        <f t="shared" si="19"/>
        <v>0</v>
      </c>
      <c r="S267" s="186">
        <f t="shared" si="20"/>
        <v>0</v>
      </c>
      <c r="T267" s="187" t="str">
        <f>IF(R267="","",IF(O267=0,Famille!$D$5,IF(R267&lt;O267,Famille!$D$2,IF(R267&lt;=P267,Famille!$D$3,Famille!$D$4))))</f>
        <v>Sur commande</v>
      </c>
    </row>
    <row r="268" spans="1:20" ht="12" customHeight="1" x14ac:dyDescent="0.2">
      <c r="A268" s="4" t="str">
        <f>IF(Produits!A268="","",Produits!A268)</f>
        <v>Moveo</v>
      </c>
      <c r="B268" s="4" t="str">
        <f>IF(Produits!B268="","",Produits!B268)</f>
        <v>Cache vis</v>
      </c>
      <c r="C268" s="4" t="str">
        <f>IF(Produits!C268="","",Produits!C268)</f>
        <v>1000,00,0265</v>
      </c>
      <c r="D268" s="4" t="str">
        <f>IF(Produits!D268="","",Produits!D268)</f>
        <v>AA389</v>
      </c>
      <c r="E268" s="49" t="str">
        <f>IF(Produits!F268="","",Produits!F268)</f>
        <v>6 pcs</v>
      </c>
      <c r="F268" s="50">
        <f>IF(Produits!H268="","",Produits!H268)</f>
        <v>274</v>
      </c>
      <c r="H268" s="37">
        <v>0</v>
      </c>
      <c r="I268" s="2"/>
      <c r="J268" s="69">
        <f>SUM('Archives Entrées'!$N268:$AAV268)</f>
        <v>0</v>
      </c>
      <c r="K268" s="51" t="str">
        <f t="shared" si="17"/>
        <v>0,00€</v>
      </c>
      <c r="L268" s="69">
        <f>SUM('Archives Sorties'!$M268:$AAY268)</f>
        <v>0</v>
      </c>
      <c r="M268" s="51" t="str">
        <f t="shared" si="18"/>
        <v>0,00€</v>
      </c>
      <c r="O268" s="72">
        <v>0</v>
      </c>
      <c r="P268" s="72">
        <v>0</v>
      </c>
      <c r="R268" s="185">
        <f t="shared" si="19"/>
        <v>0</v>
      </c>
      <c r="S268" s="186">
        <f t="shared" si="20"/>
        <v>0</v>
      </c>
      <c r="T268" s="187" t="str">
        <f>IF(R268="","",IF(O268=0,Famille!$D$5,IF(R268&lt;O268,Famille!$D$2,IF(R268&lt;=P268,Famille!$D$3,Famille!$D$4))))</f>
        <v>Sur commande</v>
      </c>
    </row>
    <row r="269" spans="1:20" ht="12" customHeight="1" x14ac:dyDescent="0.2">
      <c r="A269" s="4" t="str">
        <f>IF(Produits!A269="","",Produits!A269)</f>
        <v>Moveo</v>
      </c>
      <c r="B269" s="4" t="str">
        <f>IF(Produits!B269="","",Produits!B269)</f>
        <v>Cache vis</v>
      </c>
      <c r="C269" s="4" t="str">
        <f>IF(Produits!C269="","",Produits!C269)</f>
        <v>1000,00,0266</v>
      </c>
      <c r="D269" s="4" t="str">
        <f>IF(Produits!D269="","",Produits!D269)</f>
        <v>AA390</v>
      </c>
      <c r="E269" s="49" t="str">
        <f>IF(Produits!F269="","",Produits!F269)</f>
        <v>6 pcs</v>
      </c>
      <c r="F269" s="50">
        <f>IF(Produits!H269="","",Produits!H269)</f>
        <v>275</v>
      </c>
      <c r="H269" s="37">
        <v>0</v>
      </c>
      <c r="I269" s="2"/>
      <c r="J269" s="69">
        <f>SUM('Archives Entrées'!$N269:$AAV269)</f>
        <v>0</v>
      </c>
      <c r="K269" s="51" t="str">
        <f t="shared" si="17"/>
        <v>0,00€</v>
      </c>
      <c r="L269" s="69">
        <f>SUM('Archives Sorties'!$M269:$AAY269)</f>
        <v>0</v>
      </c>
      <c r="M269" s="51" t="str">
        <f t="shared" si="18"/>
        <v>0,00€</v>
      </c>
      <c r="O269" s="72">
        <v>0</v>
      </c>
      <c r="P269" s="72">
        <v>0</v>
      </c>
      <c r="R269" s="185">
        <f t="shared" si="19"/>
        <v>0</v>
      </c>
      <c r="S269" s="186">
        <f t="shared" si="20"/>
        <v>0</v>
      </c>
      <c r="T269" s="187" t="str">
        <f>IF(R269="","",IF(O269=0,Famille!$D$5,IF(R269&lt;O269,Famille!$D$2,IF(R269&lt;=P269,Famille!$D$3,Famille!$D$4))))</f>
        <v>Sur commande</v>
      </c>
    </row>
    <row r="270" spans="1:20" ht="12" customHeight="1" x14ac:dyDescent="0.2">
      <c r="A270" s="4" t="str">
        <f>IF(Produits!A270="","",Produits!A270)</f>
        <v>Moveo</v>
      </c>
      <c r="B270" s="4" t="str">
        <f>IF(Produits!B270="","",Produits!B270)</f>
        <v>Cache vis</v>
      </c>
      <c r="C270" s="4" t="str">
        <f>IF(Produits!C270="","",Produits!C270)</f>
        <v>1000,00,0267</v>
      </c>
      <c r="D270" s="4" t="str">
        <f>IF(Produits!D270="","",Produits!D270)</f>
        <v>AA391</v>
      </c>
      <c r="E270" s="49" t="str">
        <f>IF(Produits!F270="","",Produits!F270)</f>
        <v>6 pcs</v>
      </c>
      <c r="F270" s="50">
        <f>IF(Produits!H270="","",Produits!H270)</f>
        <v>276</v>
      </c>
      <c r="H270" s="37">
        <v>0</v>
      </c>
      <c r="I270" s="2"/>
      <c r="J270" s="69">
        <f>SUM('Archives Entrées'!$N270:$AAV270)</f>
        <v>0</v>
      </c>
      <c r="K270" s="51" t="str">
        <f t="shared" si="17"/>
        <v>0,00€</v>
      </c>
      <c r="L270" s="69">
        <f>SUM('Archives Sorties'!$M270:$AAY270)</f>
        <v>0</v>
      </c>
      <c r="M270" s="51" t="str">
        <f t="shared" si="18"/>
        <v>0,00€</v>
      </c>
      <c r="O270" s="72">
        <v>0</v>
      </c>
      <c r="P270" s="72">
        <v>0</v>
      </c>
      <c r="R270" s="185">
        <f t="shared" si="19"/>
        <v>0</v>
      </c>
      <c r="S270" s="186">
        <f t="shared" si="20"/>
        <v>0</v>
      </c>
      <c r="T270" s="187" t="str">
        <f>IF(R270="","",IF(O270=0,Famille!$D$5,IF(R270&lt;O270,Famille!$D$2,IF(R270&lt;=P270,Famille!$D$3,Famille!$D$4))))</f>
        <v>Sur commande</v>
      </c>
    </row>
    <row r="271" spans="1:20" ht="12" customHeight="1" x14ac:dyDescent="0.2">
      <c r="A271" s="4" t="str">
        <f>IF(Produits!A271="","",Produits!A271)</f>
        <v>Moveo</v>
      </c>
      <c r="B271" s="4" t="str">
        <f>IF(Produits!B271="","",Produits!B271)</f>
        <v>Cache vis</v>
      </c>
      <c r="C271" s="4" t="str">
        <f>IF(Produits!C271="","",Produits!C271)</f>
        <v>1000,00,0268</v>
      </c>
      <c r="D271" s="4" t="str">
        <f>IF(Produits!D271="","",Produits!D271)</f>
        <v>AA392</v>
      </c>
      <c r="E271" s="49" t="str">
        <f>IF(Produits!F271="","",Produits!F271)</f>
        <v>6 pcs</v>
      </c>
      <c r="F271" s="50">
        <f>IF(Produits!H271="","",Produits!H271)</f>
        <v>277</v>
      </c>
      <c r="H271" s="37">
        <v>0</v>
      </c>
      <c r="I271" s="2"/>
      <c r="J271" s="69">
        <f>SUM('Archives Entrées'!$N271:$AAV271)</f>
        <v>0</v>
      </c>
      <c r="K271" s="51" t="str">
        <f t="shared" si="17"/>
        <v>0,00€</v>
      </c>
      <c r="L271" s="69">
        <f>SUM('Archives Sorties'!$M271:$AAY271)</f>
        <v>0</v>
      </c>
      <c r="M271" s="51" t="str">
        <f t="shared" si="18"/>
        <v>0,00€</v>
      </c>
      <c r="O271" s="72">
        <v>0</v>
      </c>
      <c r="P271" s="72">
        <v>0</v>
      </c>
      <c r="R271" s="185">
        <f t="shared" si="19"/>
        <v>0</v>
      </c>
      <c r="S271" s="186">
        <f t="shared" si="20"/>
        <v>0</v>
      </c>
      <c r="T271" s="187" t="str">
        <f>IF(R271="","",IF(O271=0,Famille!$D$5,IF(R271&lt;O271,Famille!$D$2,IF(R271&lt;=P271,Famille!$D$3,Famille!$D$4))))</f>
        <v>Sur commande</v>
      </c>
    </row>
    <row r="272" spans="1:20" ht="12" customHeight="1" x14ac:dyDescent="0.2">
      <c r="A272" s="4" t="str">
        <f>IF(Produits!A272="","",Produits!A272)</f>
        <v>Moveo</v>
      </c>
      <c r="B272" s="4" t="str">
        <f>IF(Produits!B272="","",Produits!B272)</f>
        <v>Cache vis</v>
      </c>
      <c r="C272" s="4" t="str">
        <f>IF(Produits!C272="","",Produits!C272)</f>
        <v>1000,00,0269</v>
      </c>
      <c r="D272" s="4" t="str">
        <f>IF(Produits!D272="","",Produits!D272)</f>
        <v>AA393</v>
      </c>
      <c r="E272" s="49" t="str">
        <f>IF(Produits!F272="","",Produits!F272)</f>
        <v>6 pcs</v>
      </c>
      <c r="F272" s="50">
        <f>IF(Produits!H272="","",Produits!H272)</f>
        <v>278</v>
      </c>
      <c r="H272" s="37">
        <v>0</v>
      </c>
      <c r="I272" s="2"/>
      <c r="J272" s="69">
        <f>SUM('Archives Entrées'!$N272:$AAV272)</f>
        <v>0</v>
      </c>
      <c r="K272" s="51" t="str">
        <f t="shared" si="17"/>
        <v>0,00€</v>
      </c>
      <c r="L272" s="69">
        <f>SUM('Archives Sorties'!$M272:$AAY272)</f>
        <v>0</v>
      </c>
      <c r="M272" s="51" t="str">
        <f t="shared" si="18"/>
        <v>0,00€</v>
      </c>
      <c r="O272" s="72">
        <v>0</v>
      </c>
      <c r="P272" s="72">
        <v>0</v>
      </c>
      <c r="R272" s="185">
        <f t="shared" si="19"/>
        <v>0</v>
      </c>
      <c r="S272" s="186">
        <f t="shared" si="20"/>
        <v>0</v>
      </c>
      <c r="T272" s="187" t="str">
        <f>IF(R272="","",IF(O272=0,Famille!$D$5,IF(R272&lt;O272,Famille!$D$2,IF(R272&lt;=P272,Famille!$D$3,Famille!$D$4))))</f>
        <v>Sur commande</v>
      </c>
    </row>
    <row r="273" spans="1:20" ht="12" customHeight="1" x14ac:dyDescent="0.2">
      <c r="A273" s="4" t="str">
        <f>IF(Produits!A273="","",Produits!A273)</f>
        <v>Moveo</v>
      </c>
      <c r="B273" s="4" t="str">
        <f>IF(Produits!B273="","",Produits!B273)</f>
        <v>Cache vis</v>
      </c>
      <c r="C273" s="4" t="str">
        <f>IF(Produits!C273="","",Produits!C273)</f>
        <v>1000,00,0270</v>
      </c>
      <c r="D273" s="4" t="str">
        <f>IF(Produits!D273="","",Produits!D273)</f>
        <v>AA394</v>
      </c>
      <c r="E273" s="49" t="str">
        <f>IF(Produits!F273="","",Produits!F273)</f>
        <v>6 pcs</v>
      </c>
      <c r="F273" s="50">
        <f>IF(Produits!H273="","",Produits!H273)</f>
        <v>279</v>
      </c>
      <c r="H273" s="37">
        <v>0</v>
      </c>
      <c r="I273" s="2"/>
      <c r="J273" s="69">
        <f>SUM('Archives Entrées'!$N273:$AAV273)</f>
        <v>0</v>
      </c>
      <c r="K273" s="51" t="str">
        <f t="shared" si="17"/>
        <v>0,00€</v>
      </c>
      <c r="L273" s="69">
        <f>SUM('Archives Sorties'!$M273:$AAY273)</f>
        <v>0</v>
      </c>
      <c r="M273" s="51" t="str">
        <f t="shared" si="18"/>
        <v>0,00€</v>
      </c>
      <c r="O273" s="72">
        <v>0</v>
      </c>
      <c r="P273" s="72">
        <v>0</v>
      </c>
      <c r="R273" s="185">
        <f t="shared" si="19"/>
        <v>0</v>
      </c>
      <c r="S273" s="186">
        <f t="shared" si="20"/>
        <v>0</v>
      </c>
      <c r="T273" s="187" t="str">
        <f>IF(R273="","",IF(O273=0,Famille!$D$5,IF(R273&lt;O273,Famille!$D$2,IF(R273&lt;=P273,Famille!$D$3,Famille!$D$4))))</f>
        <v>Sur commande</v>
      </c>
    </row>
    <row r="274" spans="1:20" ht="12" customHeight="1" x14ac:dyDescent="0.2">
      <c r="A274" s="4" t="str">
        <f>IF(Produits!A274="","",Produits!A274)</f>
        <v>Moveo</v>
      </c>
      <c r="B274" s="4" t="str">
        <f>IF(Produits!B274="","",Produits!B274)</f>
        <v>Cache vis</v>
      </c>
      <c r="C274" s="4" t="str">
        <f>IF(Produits!C274="","",Produits!C274)</f>
        <v>1000,00,0271</v>
      </c>
      <c r="D274" s="4" t="str">
        <f>IF(Produits!D274="","",Produits!D274)</f>
        <v>AA395</v>
      </c>
      <c r="E274" s="49" t="str">
        <f>IF(Produits!F274="","",Produits!F274)</f>
        <v>6 pcs</v>
      </c>
      <c r="F274" s="50">
        <f>IF(Produits!H274="","",Produits!H274)</f>
        <v>280</v>
      </c>
      <c r="H274" s="37">
        <v>0</v>
      </c>
      <c r="I274" s="2"/>
      <c r="J274" s="69">
        <f>SUM('Archives Entrées'!$N274:$AAV274)</f>
        <v>0</v>
      </c>
      <c r="K274" s="51" t="str">
        <f t="shared" si="17"/>
        <v>0,00€</v>
      </c>
      <c r="L274" s="69">
        <f>SUM('Archives Sorties'!$M274:$AAY274)</f>
        <v>0</v>
      </c>
      <c r="M274" s="51" t="str">
        <f t="shared" si="18"/>
        <v>0,00€</v>
      </c>
      <c r="O274" s="72">
        <v>0</v>
      </c>
      <c r="P274" s="72">
        <v>0</v>
      </c>
      <c r="R274" s="185">
        <f t="shared" si="19"/>
        <v>0</v>
      </c>
      <c r="S274" s="186">
        <f t="shared" si="20"/>
        <v>0</v>
      </c>
      <c r="T274" s="187" t="str">
        <f>IF(R274="","",IF(O274=0,Famille!$D$5,IF(R274&lt;O274,Famille!$D$2,IF(R274&lt;=P274,Famille!$D$3,Famille!$D$4))))</f>
        <v>Sur commande</v>
      </c>
    </row>
    <row r="275" spans="1:20" ht="12" customHeight="1" x14ac:dyDescent="0.2">
      <c r="A275" s="4" t="str">
        <f>IF(Produits!A275="","",Produits!A275)</f>
        <v>Moveo</v>
      </c>
      <c r="B275" s="4" t="str">
        <f>IF(Produits!B275="","",Produits!B275)</f>
        <v>Cache vis</v>
      </c>
      <c r="C275" s="4" t="str">
        <f>IF(Produits!C275="","",Produits!C275)</f>
        <v>1000,00,0272</v>
      </c>
      <c r="D275" s="4" t="str">
        <f>IF(Produits!D275="","",Produits!D275)</f>
        <v>AA396</v>
      </c>
      <c r="E275" s="49" t="str">
        <f>IF(Produits!F275="","",Produits!F275)</f>
        <v>6 pcs</v>
      </c>
      <c r="F275" s="50">
        <f>IF(Produits!H275="","",Produits!H275)</f>
        <v>281</v>
      </c>
      <c r="H275" s="37">
        <v>0</v>
      </c>
      <c r="I275" s="2"/>
      <c r="J275" s="69">
        <f>SUM('Archives Entrées'!$N275:$AAV275)</f>
        <v>0</v>
      </c>
      <c r="K275" s="51" t="str">
        <f t="shared" si="17"/>
        <v>0,00€</v>
      </c>
      <c r="L275" s="69">
        <f>SUM('Archives Sorties'!$M275:$AAY275)</f>
        <v>0</v>
      </c>
      <c r="M275" s="51" t="str">
        <f t="shared" si="18"/>
        <v>0,00€</v>
      </c>
      <c r="O275" s="72">
        <v>0</v>
      </c>
      <c r="P275" s="72">
        <v>0</v>
      </c>
      <c r="R275" s="185">
        <f t="shared" si="19"/>
        <v>0</v>
      </c>
      <c r="S275" s="186">
        <f t="shared" si="20"/>
        <v>0</v>
      </c>
      <c r="T275" s="187" t="str">
        <f>IF(R275="","",IF(O275=0,Famille!$D$5,IF(R275&lt;O275,Famille!$D$2,IF(R275&lt;=P275,Famille!$D$3,Famille!$D$4))))</f>
        <v>Sur commande</v>
      </c>
    </row>
    <row r="276" spans="1:20" ht="12" customHeight="1" x14ac:dyDescent="0.2">
      <c r="A276" s="4" t="str">
        <f>IF(Produits!A276="","",Produits!A276)</f>
        <v>Moveo</v>
      </c>
      <c r="B276" s="4" t="str">
        <f>IF(Produits!B276="","",Produits!B276)</f>
        <v>Cache vis</v>
      </c>
      <c r="C276" s="4" t="str">
        <f>IF(Produits!C276="","",Produits!C276)</f>
        <v>1000,00,0273</v>
      </c>
      <c r="D276" s="4" t="str">
        <f>IF(Produits!D276="","",Produits!D276)</f>
        <v>AA397</v>
      </c>
      <c r="E276" s="49" t="str">
        <f>IF(Produits!F276="","",Produits!F276)</f>
        <v>6 pcs</v>
      </c>
      <c r="F276" s="50">
        <f>IF(Produits!H276="","",Produits!H276)</f>
        <v>282</v>
      </c>
      <c r="H276" s="37">
        <v>0</v>
      </c>
      <c r="I276" s="2"/>
      <c r="J276" s="69">
        <f>SUM('Archives Entrées'!$N276:$AAV276)</f>
        <v>0</v>
      </c>
      <c r="K276" s="51" t="str">
        <f t="shared" si="17"/>
        <v>0,00€</v>
      </c>
      <c r="L276" s="69">
        <f>SUM('Archives Sorties'!$M276:$AAY276)</f>
        <v>0</v>
      </c>
      <c r="M276" s="51" t="str">
        <f t="shared" si="18"/>
        <v>0,00€</v>
      </c>
      <c r="O276" s="72">
        <v>0</v>
      </c>
      <c r="P276" s="72">
        <v>0</v>
      </c>
      <c r="R276" s="185">
        <f t="shared" si="19"/>
        <v>0</v>
      </c>
      <c r="S276" s="186">
        <f t="shared" si="20"/>
        <v>0</v>
      </c>
      <c r="T276" s="187" t="str">
        <f>IF(R276="","",IF(O276=0,Famille!$D$5,IF(R276&lt;O276,Famille!$D$2,IF(R276&lt;=P276,Famille!$D$3,Famille!$D$4))))</f>
        <v>Sur commande</v>
      </c>
    </row>
    <row r="277" spans="1:20" ht="12" customHeight="1" x14ac:dyDescent="0.2">
      <c r="A277" s="4" t="str">
        <f>IF(Produits!A277="","",Produits!A277)</f>
        <v>Moveo</v>
      </c>
      <c r="B277" s="4" t="str">
        <f>IF(Produits!B277="","",Produits!B277)</f>
        <v>Cache vis</v>
      </c>
      <c r="C277" s="4" t="str">
        <f>IF(Produits!C277="","",Produits!C277)</f>
        <v>1000,00,0274</v>
      </c>
      <c r="D277" s="4" t="str">
        <f>IF(Produits!D277="","",Produits!D277)</f>
        <v>AA398</v>
      </c>
      <c r="E277" s="49" t="str">
        <f>IF(Produits!F277="","",Produits!F277)</f>
        <v>6 pcs</v>
      </c>
      <c r="F277" s="50">
        <f>IF(Produits!H277="","",Produits!H277)</f>
        <v>283</v>
      </c>
      <c r="H277" s="37">
        <v>0</v>
      </c>
      <c r="I277" s="2"/>
      <c r="J277" s="69">
        <f>SUM('Archives Entrées'!$N277:$AAV277)</f>
        <v>0</v>
      </c>
      <c r="K277" s="51" t="str">
        <f t="shared" si="17"/>
        <v>0,00€</v>
      </c>
      <c r="L277" s="69">
        <f>SUM('Archives Sorties'!$M277:$AAY277)</f>
        <v>0</v>
      </c>
      <c r="M277" s="51" t="str">
        <f t="shared" si="18"/>
        <v>0,00€</v>
      </c>
      <c r="O277" s="72">
        <v>0</v>
      </c>
      <c r="P277" s="72">
        <v>0</v>
      </c>
      <c r="R277" s="185">
        <f t="shared" si="19"/>
        <v>0</v>
      </c>
      <c r="S277" s="186">
        <f t="shared" si="20"/>
        <v>0</v>
      </c>
      <c r="T277" s="187" t="str">
        <f>IF(R277="","",IF(O277=0,Famille!$D$5,IF(R277&lt;O277,Famille!$D$2,IF(R277&lt;=P277,Famille!$D$3,Famille!$D$4))))</f>
        <v>Sur commande</v>
      </c>
    </row>
    <row r="278" spans="1:20" ht="12" customHeight="1" x14ac:dyDescent="0.2">
      <c r="A278" s="4" t="str">
        <f>IF(Produits!A278="","",Produits!A278)</f>
        <v>Variflex</v>
      </c>
      <c r="B278" s="4" t="str">
        <f>IF(Produits!B278="","",Produits!B278)</f>
        <v>VE</v>
      </c>
      <c r="C278" s="4" t="str">
        <f>IF(Produits!C278="","",Produits!C278)</f>
        <v>1000,00,0275</v>
      </c>
      <c r="D278" s="4" t="str">
        <f>IF(Produits!D278="","",Produits!D278)</f>
        <v>AA399</v>
      </c>
      <c r="E278" s="49" t="str">
        <f>IF(Produits!F278="","",Produits!F278)</f>
        <v>1 pcs</v>
      </c>
      <c r="F278" s="50">
        <f>IF(Produits!H278="","",Produits!H278)</f>
        <v>284</v>
      </c>
      <c r="H278" s="37">
        <v>0</v>
      </c>
      <c r="I278" s="2"/>
      <c r="J278" s="69">
        <f>SUM('Archives Entrées'!$N278:$AAV278)</f>
        <v>0</v>
      </c>
      <c r="K278" s="51" t="str">
        <f t="shared" si="17"/>
        <v>0,00€</v>
      </c>
      <c r="L278" s="69">
        <f>SUM('Archives Sorties'!$M278:$AAY278)</f>
        <v>0</v>
      </c>
      <c r="M278" s="51" t="str">
        <f t="shared" si="18"/>
        <v>0,00€</v>
      </c>
      <c r="O278" s="72">
        <v>0</v>
      </c>
      <c r="P278" s="72">
        <v>0</v>
      </c>
      <c r="R278" s="185">
        <f t="shared" si="19"/>
        <v>0</v>
      </c>
      <c r="S278" s="186">
        <f t="shared" si="20"/>
        <v>0</v>
      </c>
      <c r="T278" s="187" t="str">
        <f>IF(R278="","",IF(O278=0,Famille!$D$5,IF(R278&lt;O278,Famille!$D$2,IF(R278&lt;=P278,Famille!$D$3,Famille!$D$4))))</f>
        <v>Sur commande</v>
      </c>
    </row>
    <row r="279" spans="1:20" ht="12" customHeight="1" x14ac:dyDescent="0.2">
      <c r="A279" s="4" t="str">
        <f>IF(Produits!A279="","",Produits!A279)</f>
        <v>Variflex</v>
      </c>
      <c r="B279" s="4" t="str">
        <f>IF(Produits!B279="","",Produits!B279)</f>
        <v>VE</v>
      </c>
      <c r="C279" s="4" t="str">
        <f>IF(Produits!C279="","",Produits!C279)</f>
        <v>1000,00,0276</v>
      </c>
      <c r="D279" s="4" t="str">
        <f>IF(Produits!D279="","",Produits!D279)</f>
        <v>AA400</v>
      </c>
      <c r="E279" s="49" t="str">
        <f>IF(Produits!F279="","",Produits!F279)</f>
        <v>1 pcs</v>
      </c>
      <c r="F279" s="50">
        <f>IF(Produits!H279="","",Produits!H279)</f>
        <v>285</v>
      </c>
      <c r="H279" s="37">
        <v>0</v>
      </c>
      <c r="I279" s="2"/>
      <c r="J279" s="69">
        <f>SUM('Archives Entrées'!$N279:$AAV279)</f>
        <v>0</v>
      </c>
      <c r="K279" s="51" t="str">
        <f t="shared" si="17"/>
        <v>0,00€</v>
      </c>
      <c r="L279" s="69">
        <f>SUM('Archives Sorties'!$M279:$AAY279)</f>
        <v>0</v>
      </c>
      <c r="M279" s="51" t="str">
        <f t="shared" si="18"/>
        <v>0,00€</v>
      </c>
      <c r="O279" s="72">
        <v>0</v>
      </c>
      <c r="P279" s="72">
        <v>0</v>
      </c>
      <c r="R279" s="185">
        <f t="shared" si="19"/>
        <v>0</v>
      </c>
      <c r="S279" s="186">
        <f t="shared" si="20"/>
        <v>0</v>
      </c>
      <c r="T279" s="187" t="str">
        <f>IF(R279="","",IF(O279=0,Famille!$D$5,IF(R279&lt;O279,Famille!$D$2,IF(R279&lt;=P279,Famille!$D$3,Famille!$D$4))))</f>
        <v>Sur commande</v>
      </c>
    </row>
    <row r="280" spans="1:20" ht="12" customHeight="1" x14ac:dyDescent="0.2">
      <c r="A280" s="4" t="str">
        <f>IF(Produits!A280="","",Produits!A280)</f>
        <v>Variflex</v>
      </c>
      <c r="B280" s="4" t="str">
        <f>IF(Produits!B280="","",Produits!B280)</f>
        <v>VE</v>
      </c>
      <c r="C280" s="4" t="str">
        <f>IF(Produits!C280="","",Produits!C280)</f>
        <v>1000,00,0277</v>
      </c>
      <c r="D280" s="4" t="str">
        <f>IF(Produits!D280="","",Produits!D280)</f>
        <v>AA401</v>
      </c>
      <c r="E280" s="49" t="str">
        <f>IF(Produits!F280="","",Produits!F280)</f>
        <v>1 pcs</v>
      </c>
      <c r="F280" s="50">
        <f>IF(Produits!H280="","",Produits!H280)</f>
        <v>286</v>
      </c>
      <c r="H280" s="37">
        <v>0</v>
      </c>
      <c r="I280" s="2"/>
      <c r="J280" s="69">
        <f>SUM('Archives Entrées'!$N280:$AAV280)</f>
        <v>0</v>
      </c>
      <c r="K280" s="51" t="str">
        <f t="shared" si="17"/>
        <v>0,00€</v>
      </c>
      <c r="L280" s="69">
        <f>SUM('Archives Sorties'!$M280:$AAY280)</f>
        <v>0</v>
      </c>
      <c r="M280" s="51" t="str">
        <f t="shared" si="18"/>
        <v>0,00€</v>
      </c>
      <c r="O280" s="72">
        <v>0</v>
      </c>
      <c r="P280" s="72">
        <v>0</v>
      </c>
      <c r="R280" s="185">
        <f t="shared" si="19"/>
        <v>0</v>
      </c>
      <c r="S280" s="186">
        <f t="shared" si="20"/>
        <v>0</v>
      </c>
      <c r="T280" s="187" t="str">
        <f>IF(R280="","",IF(O280=0,Famille!$D$5,IF(R280&lt;O280,Famille!$D$2,IF(R280&lt;=P280,Famille!$D$3,Famille!$D$4))))</f>
        <v>Sur commande</v>
      </c>
    </row>
    <row r="281" spans="1:20" ht="12" customHeight="1" x14ac:dyDescent="0.2">
      <c r="A281" s="4" t="str">
        <f>IF(Produits!A281="","",Produits!A281)</f>
        <v>Variflex</v>
      </c>
      <c r="B281" s="4" t="str">
        <f>IF(Produits!B281="","",Produits!B281)</f>
        <v>VE</v>
      </c>
      <c r="C281" s="4" t="str">
        <f>IF(Produits!C281="","",Produits!C281)</f>
        <v>1000,00,0278</v>
      </c>
      <c r="D281" s="4" t="str">
        <f>IF(Produits!D281="","",Produits!D281)</f>
        <v>AA402</v>
      </c>
      <c r="E281" s="49" t="str">
        <f>IF(Produits!F281="","",Produits!F281)</f>
        <v>1 pcs</v>
      </c>
      <c r="F281" s="50">
        <f>IF(Produits!H281="","",Produits!H281)</f>
        <v>287</v>
      </c>
      <c r="H281" s="37">
        <v>0</v>
      </c>
      <c r="I281" s="2"/>
      <c r="J281" s="69">
        <f>SUM('Archives Entrées'!$N281:$AAV281)</f>
        <v>0</v>
      </c>
      <c r="K281" s="51" t="str">
        <f t="shared" si="17"/>
        <v>0,00€</v>
      </c>
      <c r="L281" s="69">
        <f>SUM('Archives Sorties'!$M281:$AAY281)</f>
        <v>0</v>
      </c>
      <c r="M281" s="51" t="str">
        <f t="shared" si="18"/>
        <v>0,00€</v>
      </c>
      <c r="O281" s="72">
        <v>0</v>
      </c>
      <c r="P281" s="72">
        <v>0</v>
      </c>
      <c r="R281" s="185">
        <f t="shared" si="19"/>
        <v>0</v>
      </c>
      <c r="S281" s="186">
        <f t="shared" si="20"/>
        <v>0</v>
      </c>
      <c r="T281" s="187" t="str">
        <f>IF(R281="","",IF(O281=0,Famille!$D$5,IF(R281&lt;O281,Famille!$D$2,IF(R281&lt;=P281,Famille!$D$3,Famille!$D$4))))</f>
        <v>Sur commande</v>
      </c>
    </row>
    <row r="282" spans="1:20" ht="12" customHeight="1" x14ac:dyDescent="0.2">
      <c r="A282" s="4" t="str">
        <f>IF(Produits!A282="","",Produits!A282)</f>
        <v>Variflex</v>
      </c>
      <c r="B282" s="4" t="str">
        <f>IF(Produits!B282="","",Produits!B282)</f>
        <v>VE</v>
      </c>
      <c r="C282" s="4" t="str">
        <f>IF(Produits!C282="","",Produits!C282)</f>
        <v>1000,00,0279</v>
      </c>
      <c r="D282" s="4" t="str">
        <f>IF(Produits!D282="","",Produits!D282)</f>
        <v>AA403</v>
      </c>
      <c r="E282" s="49" t="str">
        <f>IF(Produits!F282="","",Produits!F282)</f>
        <v>1 pcs</v>
      </c>
      <c r="F282" s="50">
        <f>IF(Produits!H282="","",Produits!H282)</f>
        <v>288</v>
      </c>
      <c r="H282" s="37">
        <v>0</v>
      </c>
      <c r="I282" s="2"/>
      <c r="J282" s="69">
        <f>SUM('Archives Entrées'!$N282:$AAV282)</f>
        <v>0</v>
      </c>
      <c r="K282" s="51" t="str">
        <f t="shared" si="17"/>
        <v>0,00€</v>
      </c>
      <c r="L282" s="69">
        <f>SUM('Archives Sorties'!$M282:$AAY282)</f>
        <v>0</v>
      </c>
      <c r="M282" s="51" t="str">
        <f t="shared" si="18"/>
        <v>0,00€</v>
      </c>
      <c r="O282" s="72">
        <v>0</v>
      </c>
      <c r="P282" s="72">
        <v>0</v>
      </c>
      <c r="R282" s="185">
        <f t="shared" si="19"/>
        <v>0</v>
      </c>
      <c r="S282" s="186">
        <f t="shared" si="20"/>
        <v>0</v>
      </c>
      <c r="T282" s="187" t="str">
        <f>IF(R282="","",IF(O282=0,Famille!$D$5,IF(R282&lt;O282,Famille!$D$2,IF(R282&lt;=P282,Famille!$D$3,Famille!$D$4))))</f>
        <v>Sur commande</v>
      </c>
    </row>
    <row r="283" spans="1:20" ht="12" customHeight="1" x14ac:dyDescent="0.2">
      <c r="A283" s="4" t="str">
        <f>IF(Produits!A283="","",Produits!A283)</f>
        <v>Variflex</v>
      </c>
      <c r="B283" s="4" t="str">
        <f>IF(Produits!B283="","",Produits!B283)</f>
        <v>TE</v>
      </c>
      <c r="C283" s="4" t="str">
        <f>IF(Produits!C283="","",Produits!C283)</f>
        <v>1000,00,0280</v>
      </c>
      <c r="D283" s="4" t="str">
        <f>IF(Produits!D283="","",Produits!D283)</f>
        <v>AA404</v>
      </c>
      <c r="E283" s="49" t="str">
        <f>IF(Produits!F283="","",Produits!F283)</f>
        <v>1 pcs</v>
      </c>
      <c r="F283" s="50">
        <f>IF(Produits!H283="","",Produits!H283)</f>
        <v>289</v>
      </c>
      <c r="H283" s="37">
        <v>0</v>
      </c>
      <c r="I283" s="2"/>
      <c r="J283" s="69">
        <f>SUM('Archives Entrées'!$N283:$AAV283)</f>
        <v>0</v>
      </c>
      <c r="K283" s="51" t="str">
        <f t="shared" si="17"/>
        <v>0,00€</v>
      </c>
      <c r="L283" s="69">
        <f>SUM('Archives Sorties'!$M283:$AAY283)</f>
        <v>0</v>
      </c>
      <c r="M283" s="51" t="str">
        <f t="shared" si="18"/>
        <v>0,00€</v>
      </c>
      <c r="O283" s="72">
        <v>0</v>
      </c>
      <c r="P283" s="72">
        <v>0</v>
      </c>
      <c r="R283" s="185">
        <f t="shared" si="19"/>
        <v>0</v>
      </c>
      <c r="S283" s="186">
        <f t="shared" si="20"/>
        <v>0</v>
      </c>
      <c r="T283" s="187" t="str">
        <f>IF(R283="","",IF(O283=0,Famille!$D$5,IF(R283&lt;O283,Famille!$D$2,IF(R283&lt;=P283,Famille!$D$3,Famille!$D$4))))</f>
        <v>Sur commande</v>
      </c>
    </row>
    <row r="284" spans="1:20" ht="12" customHeight="1" x14ac:dyDescent="0.2">
      <c r="A284" s="4" t="str">
        <f>IF(Produits!A284="","",Produits!A284)</f>
        <v>Variflex</v>
      </c>
      <c r="B284" s="4" t="str">
        <f>IF(Produits!B284="","",Produits!B284)</f>
        <v>TE</v>
      </c>
      <c r="C284" s="4" t="str">
        <f>IF(Produits!C284="","",Produits!C284)</f>
        <v>1000,00,0281</v>
      </c>
      <c r="D284" s="4" t="str">
        <f>IF(Produits!D284="","",Produits!D284)</f>
        <v>AA405</v>
      </c>
      <c r="E284" s="49" t="str">
        <f>IF(Produits!F284="","",Produits!F284)</f>
        <v>1 pcs</v>
      </c>
      <c r="F284" s="50">
        <f>IF(Produits!H284="","",Produits!H284)</f>
        <v>290</v>
      </c>
      <c r="H284" s="37">
        <v>0</v>
      </c>
      <c r="I284" s="2"/>
      <c r="J284" s="69">
        <f>SUM('Archives Entrées'!$N284:$AAV284)</f>
        <v>0</v>
      </c>
      <c r="K284" s="51" t="str">
        <f t="shared" si="17"/>
        <v>0,00€</v>
      </c>
      <c r="L284" s="69">
        <f>SUM('Archives Sorties'!$M284:$AAY284)</f>
        <v>0</v>
      </c>
      <c r="M284" s="51" t="str">
        <f t="shared" si="18"/>
        <v>0,00€</v>
      </c>
      <c r="O284" s="72">
        <v>0</v>
      </c>
      <c r="P284" s="72">
        <v>0</v>
      </c>
      <c r="R284" s="185">
        <f t="shared" si="19"/>
        <v>0</v>
      </c>
      <c r="S284" s="186">
        <f t="shared" si="20"/>
        <v>0</v>
      </c>
      <c r="T284" s="187" t="str">
        <f>IF(R284="","",IF(O284=0,Famille!$D$5,IF(R284&lt;O284,Famille!$D$2,IF(R284&lt;=P284,Famille!$D$3,Famille!$D$4))))</f>
        <v>Sur commande</v>
      </c>
    </row>
    <row r="285" spans="1:20" ht="12" customHeight="1" x14ac:dyDescent="0.2">
      <c r="A285" s="4" t="str">
        <f>IF(Produits!A285="","",Produits!A285)</f>
        <v>Variflex</v>
      </c>
      <c r="B285" s="4" t="str">
        <f>IF(Produits!B285="","",Produits!B285)</f>
        <v>TE</v>
      </c>
      <c r="C285" s="4" t="str">
        <f>IF(Produits!C285="","",Produits!C285)</f>
        <v>1000,00,0282</v>
      </c>
      <c r="D285" s="4" t="str">
        <f>IF(Produits!D285="","",Produits!D285)</f>
        <v>AA406</v>
      </c>
      <c r="E285" s="49" t="str">
        <f>IF(Produits!F285="","",Produits!F285)</f>
        <v>1 pcs</v>
      </c>
      <c r="F285" s="50">
        <f>IF(Produits!H285="","",Produits!H285)</f>
        <v>291</v>
      </c>
      <c r="H285" s="37">
        <v>0</v>
      </c>
      <c r="I285" s="2"/>
      <c r="J285" s="69">
        <f>SUM('Archives Entrées'!$N285:$AAV285)</f>
        <v>0</v>
      </c>
      <c r="K285" s="51" t="str">
        <f t="shared" si="17"/>
        <v>0,00€</v>
      </c>
      <c r="L285" s="69">
        <f>SUM('Archives Sorties'!$M285:$AAY285)</f>
        <v>0</v>
      </c>
      <c r="M285" s="51" t="str">
        <f t="shared" si="18"/>
        <v>0,00€</v>
      </c>
      <c r="O285" s="72">
        <v>0</v>
      </c>
      <c r="P285" s="72">
        <v>0</v>
      </c>
      <c r="R285" s="185">
        <f t="shared" si="19"/>
        <v>0</v>
      </c>
      <c r="S285" s="186">
        <f t="shared" si="20"/>
        <v>0</v>
      </c>
      <c r="T285" s="187" t="str">
        <f>IF(R285="","",IF(O285=0,Famille!$D$5,IF(R285&lt;O285,Famille!$D$2,IF(R285&lt;=P285,Famille!$D$3,Famille!$D$4))))</f>
        <v>Sur commande</v>
      </c>
    </row>
    <row r="286" spans="1:20" ht="12" customHeight="1" x14ac:dyDescent="0.2">
      <c r="A286" s="4" t="str">
        <f>IF(Produits!A286="","",Produits!A286)</f>
        <v>Variflex</v>
      </c>
      <c r="B286" s="4" t="str">
        <f>IF(Produits!B286="","",Produits!B286)</f>
        <v>TE</v>
      </c>
      <c r="C286" s="4" t="str">
        <f>IF(Produits!C286="","",Produits!C286)</f>
        <v>1000,00,0283</v>
      </c>
      <c r="D286" s="4" t="str">
        <f>IF(Produits!D286="","",Produits!D286)</f>
        <v>AA407</v>
      </c>
      <c r="E286" s="49" t="str">
        <f>IF(Produits!F286="","",Produits!F286)</f>
        <v>1 pcs</v>
      </c>
      <c r="F286" s="50">
        <f>IF(Produits!H286="","",Produits!H286)</f>
        <v>292</v>
      </c>
      <c r="H286" s="37">
        <v>0</v>
      </c>
      <c r="I286" s="2"/>
      <c r="J286" s="69">
        <f>SUM('Archives Entrées'!$N286:$AAV286)</f>
        <v>0</v>
      </c>
      <c r="K286" s="51" t="str">
        <f t="shared" si="17"/>
        <v>0,00€</v>
      </c>
      <c r="L286" s="69">
        <f>SUM('Archives Sorties'!$M286:$AAY286)</f>
        <v>0</v>
      </c>
      <c r="M286" s="51" t="str">
        <f t="shared" si="18"/>
        <v>0,00€</v>
      </c>
      <c r="O286" s="72">
        <v>0</v>
      </c>
      <c r="P286" s="72">
        <v>0</v>
      </c>
      <c r="R286" s="185">
        <f t="shared" si="19"/>
        <v>0</v>
      </c>
      <c r="S286" s="186">
        <f t="shared" si="20"/>
        <v>0</v>
      </c>
      <c r="T286" s="187" t="str">
        <f>IF(R286="","",IF(O286=0,Famille!$D$5,IF(R286&lt;O286,Famille!$D$2,IF(R286&lt;=P286,Famille!$D$3,Famille!$D$4))))</f>
        <v>Sur commande</v>
      </c>
    </row>
    <row r="287" spans="1:20" ht="12" customHeight="1" x14ac:dyDescent="0.2">
      <c r="A287" s="4" t="str">
        <f>IF(Produits!A287="","",Produits!A287)</f>
        <v>Variflex</v>
      </c>
      <c r="B287" s="4" t="str">
        <f>IF(Produits!B287="","",Produits!B287)</f>
        <v>TE</v>
      </c>
      <c r="C287" s="4" t="str">
        <f>IF(Produits!C287="","",Produits!C287)</f>
        <v>1000,00,0284</v>
      </c>
      <c r="D287" s="4" t="str">
        <f>IF(Produits!D287="","",Produits!D287)</f>
        <v>AA408</v>
      </c>
      <c r="E287" s="49" t="str">
        <f>IF(Produits!F287="","",Produits!F287)</f>
        <v>1 pcs</v>
      </c>
      <c r="F287" s="50">
        <f>IF(Produits!H287="","",Produits!H287)</f>
        <v>293</v>
      </c>
      <c r="H287" s="37">
        <v>0</v>
      </c>
      <c r="I287" s="2"/>
      <c r="J287" s="69">
        <f>SUM('Archives Entrées'!$N287:$AAV287)</f>
        <v>0</v>
      </c>
      <c r="K287" s="51" t="str">
        <f t="shared" si="17"/>
        <v>0,00€</v>
      </c>
      <c r="L287" s="69">
        <f>SUM('Archives Sorties'!$M287:$AAY287)</f>
        <v>0</v>
      </c>
      <c r="M287" s="51" t="str">
        <f t="shared" si="18"/>
        <v>0,00€</v>
      </c>
      <c r="O287" s="72">
        <v>0</v>
      </c>
      <c r="P287" s="72">
        <v>0</v>
      </c>
      <c r="R287" s="185">
        <f t="shared" si="19"/>
        <v>0</v>
      </c>
      <c r="S287" s="186">
        <f t="shared" si="20"/>
        <v>0</v>
      </c>
      <c r="T287" s="187" t="str">
        <f>IF(R287="","",IF(O287=0,Famille!$D$5,IF(R287&lt;O287,Famille!$D$2,IF(R287&lt;=P287,Famille!$D$3,Famille!$D$4))))</f>
        <v>Sur commande</v>
      </c>
    </row>
    <row r="288" spans="1:20" ht="12" customHeight="1" x14ac:dyDescent="0.2">
      <c r="A288" s="4" t="str">
        <f>IF(Produits!A288="","",Produits!A288)</f>
        <v>Variflex</v>
      </c>
      <c r="B288" s="4" t="str">
        <f>IF(Produits!B288="","",Produits!B288)</f>
        <v>TE</v>
      </c>
      <c r="C288" s="4" t="str">
        <f>IF(Produits!C288="","",Produits!C288)</f>
        <v>1000,00,0285</v>
      </c>
      <c r="D288" s="4" t="str">
        <f>IF(Produits!D288="","",Produits!D288)</f>
        <v>AA409</v>
      </c>
      <c r="E288" s="49" t="str">
        <f>IF(Produits!F288="","",Produits!F288)</f>
        <v>1 pcs</v>
      </c>
      <c r="F288" s="50">
        <f>IF(Produits!H288="","",Produits!H288)</f>
        <v>294</v>
      </c>
      <c r="H288" s="37">
        <v>0</v>
      </c>
      <c r="I288" s="2"/>
      <c r="J288" s="69">
        <f>SUM('Archives Entrées'!$N288:$AAV288)</f>
        <v>0</v>
      </c>
      <c r="K288" s="51" t="str">
        <f t="shared" si="17"/>
        <v>0,00€</v>
      </c>
      <c r="L288" s="69">
        <f>SUM('Archives Sorties'!$M288:$AAY288)</f>
        <v>0</v>
      </c>
      <c r="M288" s="51" t="str">
        <f t="shared" si="18"/>
        <v>0,00€</v>
      </c>
      <c r="O288" s="72">
        <v>0</v>
      </c>
      <c r="P288" s="72">
        <v>0</v>
      </c>
      <c r="R288" s="185">
        <f t="shared" si="19"/>
        <v>0</v>
      </c>
      <c r="S288" s="186">
        <f t="shared" si="20"/>
        <v>0</v>
      </c>
      <c r="T288" s="187" t="str">
        <f>IF(R288="","",IF(O288=0,Famille!$D$5,IF(R288&lt;O288,Famille!$D$2,IF(R288&lt;=P288,Famille!$D$3,Famille!$D$4))))</f>
        <v>Sur commande</v>
      </c>
    </row>
    <row r="289" spans="1:20" ht="12" customHeight="1" x14ac:dyDescent="0.2">
      <c r="A289" s="4" t="str">
        <f>IF(Produits!A289="","",Produits!A289)</f>
        <v>Variflex</v>
      </c>
      <c r="B289" s="4" t="str">
        <f>IF(Produits!B289="","",Produits!B289)</f>
        <v>TE</v>
      </c>
      <c r="C289" s="4" t="str">
        <f>IF(Produits!C289="","",Produits!C289)</f>
        <v>1000,00,0286</v>
      </c>
      <c r="D289" s="4" t="str">
        <f>IF(Produits!D289="","",Produits!D289)</f>
        <v>AA410</v>
      </c>
      <c r="E289" s="49" t="str">
        <f>IF(Produits!F289="","",Produits!F289)</f>
        <v>1 pcs</v>
      </c>
      <c r="F289" s="50">
        <f>IF(Produits!H289="","",Produits!H289)</f>
        <v>295</v>
      </c>
      <c r="H289" s="37">
        <v>0</v>
      </c>
      <c r="I289" s="2"/>
      <c r="J289" s="69">
        <f>SUM('Archives Entrées'!$N289:$AAV289)</f>
        <v>0</v>
      </c>
      <c r="K289" s="51" t="str">
        <f t="shared" si="17"/>
        <v>0,00€</v>
      </c>
      <c r="L289" s="69">
        <f>SUM('Archives Sorties'!$M289:$AAY289)</f>
        <v>0</v>
      </c>
      <c r="M289" s="51" t="str">
        <f t="shared" si="18"/>
        <v>0,00€</v>
      </c>
      <c r="O289" s="72">
        <v>0</v>
      </c>
      <c r="P289" s="72">
        <v>0</v>
      </c>
      <c r="R289" s="185">
        <f t="shared" si="19"/>
        <v>0</v>
      </c>
      <c r="S289" s="186">
        <f t="shared" si="20"/>
        <v>0</v>
      </c>
      <c r="T289" s="187" t="str">
        <f>IF(R289="","",IF(O289=0,Famille!$D$5,IF(R289&lt;O289,Famille!$D$2,IF(R289&lt;=P289,Famille!$D$3,Famille!$D$4))))</f>
        <v>Sur commande</v>
      </c>
    </row>
    <row r="290" spans="1:20" ht="12" customHeight="1" x14ac:dyDescent="0.2">
      <c r="A290" s="4" t="str">
        <f>IF(Produits!A290="","",Produits!A290)</f>
        <v>Variflex</v>
      </c>
      <c r="B290" s="4" t="str">
        <f>IF(Produits!B290="","",Produits!B290)</f>
        <v>TE</v>
      </c>
      <c r="C290" s="4" t="str">
        <f>IF(Produits!C290="","",Produits!C290)</f>
        <v>1000,00,0287</v>
      </c>
      <c r="D290" s="4" t="str">
        <f>IF(Produits!D290="","",Produits!D290)</f>
        <v>AA411</v>
      </c>
      <c r="E290" s="49" t="str">
        <f>IF(Produits!F290="","",Produits!F290)</f>
        <v>1 pcs</v>
      </c>
      <c r="F290" s="50">
        <f>IF(Produits!H290="","",Produits!H290)</f>
        <v>296</v>
      </c>
      <c r="H290" s="37">
        <v>0</v>
      </c>
      <c r="I290" s="2"/>
      <c r="J290" s="69">
        <f>SUM('Archives Entrées'!$N290:$AAV290)</f>
        <v>0</v>
      </c>
      <c r="K290" s="51" t="str">
        <f t="shared" si="17"/>
        <v>0,00€</v>
      </c>
      <c r="L290" s="69">
        <f>SUM('Archives Sorties'!$M290:$AAY290)</f>
        <v>0</v>
      </c>
      <c r="M290" s="51" t="str">
        <f t="shared" si="18"/>
        <v>0,00€</v>
      </c>
      <c r="O290" s="72">
        <v>0</v>
      </c>
      <c r="P290" s="72">
        <v>0</v>
      </c>
      <c r="R290" s="185">
        <f t="shared" si="19"/>
        <v>0</v>
      </c>
      <c r="S290" s="186">
        <f t="shared" si="20"/>
        <v>0</v>
      </c>
      <c r="T290" s="187" t="str">
        <f>IF(R290="","",IF(O290=0,Famille!$D$5,IF(R290&lt;O290,Famille!$D$2,IF(R290&lt;=P290,Famille!$D$3,Famille!$D$4))))</f>
        <v>Sur commande</v>
      </c>
    </row>
    <row r="291" spans="1:20" ht="12" customHeight="1" x14ac:dyDescent="0.2">
      <c r="A291" s="4" t="str">
        <f>IF(Produits!A291="","",Produits!A291)</f>
        <v>Variflex</v>
      </c>
      <c r="B291" s="4" t="str">
        <f>IF(Produits!B291="","",Produits!B291)</f>
        <v>TE</v>
      </c>
      <c r="C291" s="4" t="str">
        <f>IF(Produits!C291="","",Produits!C291)</f>
        <v>1000,00,0288</v>
      </c>
      <c r="D291" s="4" t="str">
        <f>IF(Produits!D291="","",Produits!D291)</f>
        <v>AA412</v>
      </c>
      <c r="E291" s="49" t="str">
        <f>IF(Produits!F291="","",Produits!F291)</f>
        <v>1 pcs</v>
      </c>
      <c r="F291" s="50">
        <f>IF(Produits!H291="","",Produits!H291)</f>
        <v>297</v>
      </c>
      <c r="H291" s="37">
        <v>0</v>
      </c>
      <c r="I291" s="2"/>
      <c r="J291" s="69">
        <f>SUM('Archives Entrées'!$N291:$AAV291)</f>
        <v>0</v>
      </c>
      <c r="K291" s="51" t="str">
        <f t="shared" si="17"/>
        <v>0,00€</v>
      </c>
      <c r="L291" s="69">
        <f>SUM('Archives Sorties'!$M291:$AAY291)</f>
        <v>0</v>
      </c>
      <c r="M291" s="51" t="str">
        <f t="shared" si="18"/>
        <v>0,00€</v>
      </c>
      <c r="O291" s="72">
        <v>0</v>
      </c>
      <c r="P291" s="72">
        <v>0</v>
      </c>
      <c r="R291" s="185">
        <f t="shared" si="19"/>
        <v>0</v>
      </c>
      <c r="S291" s="186">
        <f t="shared" si="20"/>
        <v>0</v>
      </c>
      <c r="T291" s="187" t="str">
        <f>IF(R291="","",IF(O291=0,Famille!$D$5,IF(R291&lt;O291,Famille!$D$2,IF(R291&lt;=P291,Famille!$D$3,Famille!$D$4))))</f>
        <v>Sur commande</v>
      </c>
    </row>
    <row r="292" spans="1:20" ht="12" customHeight="1" x14ac:dyDescent="0.2">
      <c r="A292" s="4" t="str">
        <f>IF(Produits!A292="","",Produits!A292)</f>
        <v>Variflex</v>
      </c>
      <c r="B292" s="4" t="str">
        <f>IF(Produits!B292="","",Produits!B292)</f>
        <v>TE</v>
      </c>
      <c r="C292" s="4" t="str">
        <f>IF(Produits!C292="","",Produits!C292)</f>
        <v>1000,00,0289</v>
      </c>
      <c r="D292" s="4" t="str">
        <f>IF(Produits!D292="","",Produits!D292)</f>
        <v>AA413</v>
      </c>
      <c r="E292" s="49" t="str">
        <f>IF(Produits!F292="","",Produits!F292)</f>
        <v>1 pcs</v>
      </c>
      <c r="F292" s="50">
        <f>IF(Produits!H292="","",Produits!H292)</f>
        <v>298</v>
      </c>
      <c r="H292" s="37">
        <v>0</v>
      </c>
      <c r="I292" s="2"/>
      <c r="J292" s="69">
        <f>SUM('Archives Entrées'!$N292:$AAV292)</f>
        <v>0</v>
      </c>
      <c r="K292" s="51" t="str">
        <f t="shared" si="17"/>
        <v>0,00€</v>
      </c>
      <c r="L292" s="69">
        <f>SUM('Archives Sorties'!$M292:$AAY292)</f>
        <v>0</v>
      </c>
      <c r="M292" s="51" t="str">
        <f t="shared" si="18"/>
        <v>0,00€</v>
      </c>
      <c r="O292" s="72">
        <v>0</v>
      </c>
      <c r="P292" s="72">
        <v>0</v>
      </c>
      <c r="R292" s="185">
        <f t="shared" si="19"/>
        <v>0</v>
      </c>
      <c r="S292" s="186">
        <f t="shared" si="20"/>
        <v>0</v>
      </c>
      <c r="T292" s="187" t="str">
        <f>IF(R292="","",IF(O292=0,Famille!$D$5,IF(R292&lt;O292,Famille!$D$2,IF(R292&lt;=P292,Famille!$D$3,Famille!$D$4))))</f>
        <v>Sur commande</v>
      </c>
    </row>
    <row r="293" spans="1:20" ht="12" customHeight="1" x14ac:dyDescent="0.2">
      <c r="A293" s="4" t="str">
        <f>IF(Produits!A293="","",Produits!A293)</f>
        <v>Variflex</v>
      </c>
      <c r="B293" s="4" t="str">
        <f>IF(Produits!B293="","",Produits!B293)</f>
        <v>TE Semi-auto</v>
      </c>
      <c r="C293" s="4" t="str">
        <f>IF(Produits!C293="","",Produits!C293)</f>
        <v>1000,00,0290</v>
      </c>
      <c r="D293" s="4" t="str">
        <f>IF(Produits!D293="","",Produits!D293)</f>
        <v>AA414</v>
      </c>
      <c r="E293" s="49" t="str">
        <f>IF(Produits!F293="","",Produits!F293)</f>
        <v>1 pcs</v>
      </c>
      <c r="F293" s="50">
        <f>IF(Produits!H293="","",Produits!H293)</f>
        <v>299</v>
      </c>
      <c r="H293" s="37">
        <v>0</v>
      </c>
      <c r="I293" s="2"/>
      <c r="J293" s="69">
        <f>SUM('Archives Entrées'!$N293:$AAV293)</f>
        <v>0</v>
      </c>
      <c r="K293" s="51" t="str">
        <f t="shared" si="17"/>
        <v>0,00€</v>
      </c>
      <c r="L293" s="69">
        <f>SUM('Archives Sorties'!$M293:$AAY293)</f>
        <v>0</v>
      </c>
      <c r="M293" s="51" t="str">
        <f t="shared" si="18"/>
        <v>0,00€</v>
      </c>
      <c r="O293" s="72">
        <v>0</v>
      </c>
      <c r="P293" s="72">
        <v>0</v>
      </c>
      <c r="R293" s="185">
        <f t="shared" si="19"/>
        <v>0</v>
      </c>
      <c r="S293" s="186">
        <f t="shared" si="20"/>
        <v>0</v>
      </c>
      <c r="T293" s="187" t="str">
        <f>IF(R293="","",IF(O293=0,Famille!$D$5,IF(R293&lt;O293,Famille!$D$2,IF(R293&lt;=P293,Famille!$D$3,Famille!$D$4))))</f>
        <v>Sur commande</v>
      </c>
    </row>
    <row r="294" spans="1:20" ht="12" customHeight="1" x14ac:dyDescent="0.2">
      <c r="A294" s="4" t="str">
        <f>IF(Produits!A294="","",Produits!A294)</f>
        <v>Variflex</v>
      </c>
      <c r="B294" s="4" t="str">
        <f>IF(Produits!B294="","",Produits!B294)</f>
        <v>TE Semi-auto</v>
      </c>
      <c r="C294" s="4" t="str">
        <f>IF(Produits!C294="","",Produits!C294)</f>
        <v>1000,00,0291</v>
      </c>
      <c r="D294" s="4" t="str">
        <f>IF(Produits!D294="","",Produits!D294)</f>
        <v>AA415</v>
      </c>
      <c r="E294" s="49" t="str">
        <f>IF(Produits!F294="","",Produits!F294)</f>
        <v>1 pcs</v>
      </c>
      <c r="F294" s="50">
        <f>IF(Produits!H294="","",Produits!H294)</f>
        <v>300</v>
      </c>
      <c r="H294" s="37">
        <v>0</v>
      </c>
      <c r="I294" s="2"/>
      <c r="J294" s="69">
        <f>SUM('Archives Entrées'!$N294:$AAV294)</f>
        <v>0</v>
      </c>
      <c r="K294" s="51" t="str">
        <f t="shared" si="17"/>
        <v>0,00€</v>
      </c>
      <c r="L294" s="69">
        <f>SUM('Archives Sorties'!$M294:$AAY294)</f>
        <v>0</v>
      </c>
      <c r="M294" s="51" t="str">
        <f t="shared" si="18"/>
        <v>0,00€</v>
      </c>
      <c r="O294" s="72">
        <v>0</v>
      </c>
      <c r="P294" s="72">
        <v>0</v>
      </c>
      <c r="R294" s="185">
        <f t="shared" si="19"/>
        <v>0</v>
      </c>
      <c r="S294" s="186">
        <f t="shared" si="20"/>
        <v>0</v>
      </c>
      <c r="T294" s="187" t="str">
        <f>IF(R294="","",IF(O294=0,Famille!$D$5,IF(R294&lt;O294,Famille!$D$2,IF(R294&lt;=P294,Famille!$D$3,Famille!$D$4))))</f>
        <v>Sur commande</v>
      </c>
    </row>
    <row r="295" spans="1:20" ht="12" customHeight="1" x14ac:dyDescent="0.2">
      <c r="A295" s="4" t="str">
        <f>IF(Produits!A295="","",Produits!A295)</f>
        <v>Variflex</v>
      </c>
      <c r="B295" s="4" t="str">
        <f>IF(Produits!B295="","",Produits!B295)</f>
        <v>TE Semi-auto</v>
      </c>
      <c r="C295" s="4" t="str">
        <f>IF(Produits!C295="","",Produits!C295)</f>
        <v>1000,00,0292</v>
      </c>
      <c r="D295" s="4" t="str">
        <f>IF(Produits!D295="","",Produits!D295)</f>
        <v>AA416</v>
      </c>
      <c r="E295" s="49" t="str">
        <f>IF(Produits!F295="","",Produits!F295)</f>
        <v>1 pcs</v>
      </c>
      <c r="F295" s="50">
        <f>IF(Produits!H295="","",Produits!H295)</f>
        <v>301</v>
      </c>
      <c r="H295" s="37">
        <v>0</v>
      </c>
      <c r="I295" s="2"/>
      <c r="J295" s="69">
        <f>SUM('Archives Entrées'!$N295:$AAV295)</f>
        <v>0</v>
      </c>
      <c r="K295" s="51" t="str">
        <f t="shared" si="17"/>
        <v>0,00€</v>
      </c>
      <c r="L295" s="69">
        <f>SUM('Archives Sorties'!$M295:$AAY295)</f>
        <v>0</v>
      </c>
      <c r="M295" s="51" t="str">
        <f t="shared" si="18"/>
        <v>0,00€</v>
      </c>
      <c r="O295" s="72">
        <v>0</v>
      </c>
      <c r="P295" s="72">
        <v>0</v>
      </c>
      <c r="R295" s="185">
        <f t="shared" si="19"/>
        <v>0</v>
      </c>
      <c r="S295" s="186">
        <f t="shared" si="20"/>
        <v>0</v>
      </c>
      <c r="T295" s="187" t="str">
        <f>IF(R295="","",IF(O295=0,Famille!$D$5,IF(R295&lt;O295,Famille!$D$2,IF(R295&lt;=P295,Famille!$D$3,Famille!$D$4))))</f>
        <v>Sur commande</v>
      </c>
    </row>
    <row r="296" spans="1:20" ht="12" customHeight="1" x14ac:dyDescent="0.2">
      <c r="A296" s="4" t="str">
        <f>IF(Produits!A296="","",Produits!A296)</f>
        <v>Variflex</v>
      </c>
      <c r="B296" s="4" t="str">
        <f>IF(Produits!B296="","",Produits!B296)</f>
        <v>TEF</v>
      </c>
      <c r="C296" s="4" t="str">
        <f>IF(Produits!C296="","",Produits!C296)</f>
        <v>1000,00,0293</v>
      </c>
      <c r="D296" s="4" t="str">
        <f>IF(Produits!D296="","",Produits!D296)</f>
        <v>AA417</v>
      </c>
      <c r="E296" s="49" t="str">
        <f>IF(Produits!F296="","",Produits!F296)</f>
        <v>1 pcs</v>
      </c>
      <c r="F296" s="50">
        <f>IF(Produits!H296="","",Produits!H296)</f>
        <v>302</v>
      </c>
      <c r="H296" s="37">
        <v>0</v>
      </c>
      <c r="I296" s="2"/>
      <c r="J296" s="69">
        <f>SUM('Archives Entrées'!$N296:$AAV296)</f>
        <v>0</v>
      </c>
      <c r="K296" s="51" t="str">
        <f t="shared" si="17"/>
        <v>0,00€</v>
      </c>
      <c r="L296" s="69">
        <f>SUM('Archives Sorties'!$M296:$AAY296)</f>
        <v>0</v>
      </c>
      <c r="M296" s="51" t="str">
        <f t="shared" si="18"/>
        <v>0,00€</v>
      </c>
      <c r="O296" s="72">
        <v>0</v>
      </c>
      <c r="P296" s="72">
        <v>0</v>
      </c>
      <c r="R296" s="185">
        <f t="shared" si="19"/>
        <v>0</v>
      </c>
      <c r="S296" s="186">
        <f t="shared" si="20"/>
        <v>0</v>
      </c>
      <c r="T296" s="187" t="str">
        <f>IF(R296="","",IF(O296=0,Famille!$D$5,IF(R296&lt;O296,Famille!$D$2,IF(R296&lt;=P296,Famille!$D$3,Famille!$D$4))))</f>
        <v>Sur commande</v>
      </c>
    </row>
    <row r="297" spans="1:20" ht="12" customHeight="1" x14ac:dyDescent="0.2">
      <c r="A297" s="4" t="str">
        <f>IF(Produits!A297="","",Produits!A297)</f>
        <v>Variflex</v>
      </c>
      <c r="B297" s="4" t="str">
        <f>IF(Produits!B297="","",Produits!B297)</f>
        <v>TEF</v>
      </c>
      <c r="C297" s="4" t="str">
        <f>IF(Produits!C297="","",Produits!C297)</f>
        <v>1000,00,0294</v>
      </c>
      <c r="D297" s="4" t="str">
        <f>IF(Produits!D297="","",Produits!D297)</f>
        <v>AA418</v>
      </c>
      <c r="E297" s="49" t="str">
        <f>IF(Produits!F297="","",Produits!F297)</f>
        <v>1 pcs</v>
      </c>
      <c r="F297" s="50">
        <f>IF(Produits!H297="","",Produits!H297)</f>
        <v>303</v>
      </c>
      <c r="H297" s="37">
        <v>0</v>
      </c>
      <c r="I297" s="2"/>
      <c r="J297" s="69">
        <f>SUM('Archives Entrées'!$N297:$AAV297)</f>
        <v>0</v>
      </c>
      <c r="K297" s="51" t="str">
        <f t="shared" si="17"/>
        <v>0,00€</v>
      </c>
      <c r="L297" s="69">
        <f>SUM('Archives Sorties'!$M297:$AAY297)</f>
        <v>0</v>
      </c>
      <c r="M297" s="51" t="str">
        <f t="shared" si="18"/>
        <v>0,00€</v>
      </c>
      <c r="O297" s="72">
        <v>0</v>
      </c>
      <c r="P297" s="72">
        <v>0</v>
      </c>
      <c r="R297" s="185">
        <f t="shared" si="19"/>
        <v>0</v>
      </c>
      <c r="S297" s="186">
        <f t="shared" si="20"/>
        <v>0</v>
      </c>
      <c r="T297" s="187" t="str">
        <f>IF(R297="","",IF(O297=0,Famille!$D$5,IF(R297&lt;O297,Famille!$D$2,IF(R297&lt;=P297,Famille!$D$3,Famille!$D$4))))</f>
        <v>Sur commande</v>
      </c>
    </row>
    <row r="298" spans="1:20" ht="12" customHeight="1" x14ac:dyDescent="0.2">
      <c r="A298" s="4" t="str">
        <f>IF(Produits!A298="","",Produits!A298)</f>
        <v>Variflex</v>
      </c>
      <c r="B298" s="4" t="str">
        <f>IF(Produits!B298="","",Produits!B298)</f>
        <v>TEF</v>
      </c>
      <c r="C298" s="4" t="str">
        <f>IF(Produits!C298="","",Produits!C298)</f>
        <v>1000,00,0295</v>
      </c>
      <c r="D298" s="4" t="str">
        <f>IF(Produits!D298="","",Produits!D298)</f>
        <v>AA419</v>
      </c>
      <c r="E298" s="49" t="str">
        <f>IF(Produits!F298="","",Produits!F298)</f>
        <v>1 pcs</v>
      </c>
      <c r="F298" s="50">
        <f>IF(Produits!H298="","",Produits!H298)</f>
        <v>304</v>
      </c>
      <c r="H298" s="37">
        <v>0</v>
      </c>
      <c r="I298" s="2"/>
      <c r="J298" s="69">
        <f>SUM('Archives Entrées'!$N298:$AAV298)</f>
        <v>0</v>
      </c>
      <c r="K298" s="51" t="str">
        <f t="shared" si="17"/>
        <v>0,00€</v>
      </c>
      <c r="L298" s="69">
        <f>SUM('Archives Sorties'!$M298:$AAY298)</f>
        <v>0</v>
      </c>
      <c r="M298" s="51" t="str">
        <f t="shared" si="18"/>
        <v>0,00€</v>
      </c>
      <c r="O298" s="72">
        <v>0</v>
      </c>
      <c r="P298" s="72">
        <v>0</v>
      </c>
      <c r="R298" s="185">
        <f t="shared" si="19"/>
        <v>0</v>
      </c>
      <c r="S298" s="186">
        <f t="shared" si="20"/>
        <v>0</v>
      </c>
      <c r="T298" s="187" t="str">
        <f>IF(R298="","",IF(O298=0,Famille!$D$5,IF(R298&lt;O298,Famille!$D$2,IF(R298&lt;=P298,Famille!$D$3,Famille!$D$4))))</f>
        <v>Sur commande</v>
      </c>
    </row>
    <row r="299" spans="1:20" ht="12" customHeight="1" x14ac:dyDescent="0.2">
      <c r="A299" s="4" t="str">
        <f>IF(Produits!A299="","",Produits!A299)</f>
        <v>Variflex</v>
      </c>
      <c r="B299" s="4" t="str">
        <f>IF(Produits!B299="","",Produits!B299)</f>
        <v>TEF</v>
      </c>
      <c r="C299" s="4" t="str">
        <f>IF(Produits!C299="","",Produits!C299)</f>
        <v>1000,00,0296</v>
      </c>
      <c r="D299" s="4" t="str">
        <f>IF(Produits!D299="","",Produits!D299)</f>
        <v>AA420</v>
      </c>
      <c r="E299" s="49" t="str">
        <f>IF(Produits!F299="","",Produits!F299)</f>
        <v>1 pcs</v>
      </c>
      <c r="F299" s="50">
        <f>IF(Produits!H299="","",Produits!H299)</f>
        <v>305</v>
      </c>
      <c r="H299" s="37">
        <v>0</v>
      </c>
      <c r="I299" s="2"/>
      <c r="J299" s="69">
        <f>SUM('Archives Entrées'!$N299:$AAV299)</f>
        <v>0</v>
      </c>
      <c r="K299" s="51" t="str">
        <f t="shared" si="17"/>
        <v>0,00€</v>
      </c>
      <c r="L299" s="69">
        <f>SUM('Archives Sorties'!$M299:$AAY299)</f>
        <v>0</v>
      </c>
      <c r="M299" s="51" t="str">
        <f t="shared" si="18"/>
        <v>0,00€</v>
      </c>
      <c r="O299" s="72">
        <v>0</v>
      </c>
      <c r="P299" s="72">
        <v>0</v>
      </c>
      <c r="R299" s="185">
        <f t="shared" si="19"/>
        <v>0</v>
      </c>
      <c r="S299" s="186">
        <f t="shared" si="20"/>
        <v>0</v>
      </c>
      <c r="T299" s="187" t="str">
        <f>IF(R299="","",IF(O299=0,Famille!$D$5,IF(R299&lt;O299,Famille!$D$2,IF(R299&lt;=P299,Famille!$D$3,Famille!$D$4))))</f>
        <v>Sur commande</v>
      </c>
    </row>
    <row r="300" spans="1:20" ht="12" customHeight="1" x14ac:dyDescent="0.2">
      <c r="A300" s="4" t="str">
        <f>IF(Produits!A300="","",Produits!A300)</f>
        <v>Variflex</v>
      </c>
      <c r="B300" s="4" t="str">
        <f>IF(Produits!B300="","",Produits!B300)</f>
        <v>TEF</v>
      </c>
      <c r="C300" s="4" t="str">
        <f>IF(Produits!C300="","",Produits!C300)</f>
        <v>1000,00,0297</v>
      </c>
      <c r="D300" s="4" t="str">
        <f>IF(Produits!D300="","",Produits!D300)</f>
        <v>AA421</v>
      </c>
      <c r="E300" s="49" t="str">
        <f>IF(Produits!F300="","",Produits!F300)</f>
        <v>1 pcs</v>
      </c>
      <c r="F300" s="50">
        <f>IF(Produits!H300="","",Produits!H300)</f>
        <v>306</v>
      </c>
      <c r="H300" s="37">
        <v>0</v>
      </c>
      <c r="I300" s="2"/>
      <c r="J300" s="69">
        <f>SUM('Archives Entrées'!$N300:$AAV300)</f>
        <v>0</v>
      </c>
      <c r="K300" s="51" t="str">
        <f t="shared" si="17"/>
        <v>0,00€</v>
      </c>
      <c r="L300" s="69">
        <f>SUM('Archives Sorties'!$M300:$AAY300)</f>
        <v>0</v>
      </c>
      <c r="M300" s="51" t="str">
        <f t="shared" si="18"/>
        <v>0,00€</v>
      </c>
      <c r="O300" s="72">
        <v>0</v>
      </c>
      <c r="P300" s="72">
        <v>0</v>
      </c>
      <c r="R300" s="185">
        <f t="shared" si="19"/>
        <v>0</v>
      </c>
      <c r="S300" s="186">
        <f t="shared" si="20"/>
        <v>0</v>
      </c>
      <c r="T300" s="187" t="str">
        <f>IF(R300="","",IF(O300=0,Famille!$D$5,IF(R300&lt;O300,Famille!$D$2,IF(R300&lt;=P300,Famille!$D$3,Famille!$D$4))))</f>
        <v>Sur commande</v>
      </c>
    </row>
    <row r="301" spans="1:20" ht="12" customHeight="1" x14ac:dyDescent="0.2">
      <c r="A301" s="4" t="str">
        <f>IF(Produits!A301="","",Produits!A301)</f>
        <v>Variflex</v>
      </c>
      <c r="B301" s="4" t="str">
        <f>IF(Produits!B301="","",Produits!B301)</f>
        <v>DT/DTZ</v>
      </c>
      <c r="C301" s="4" t="str">
        <f>IF(Produits!C301="","",Produits!C301)</f>
        <v>1000,00,0298</v>
      </c>
      <c r="D301" s="4" t="str">
        <f>IF(Produits!D301="","",Produits!D301)</f>
        <v>AA422</v>
      </c>
      <c r="E301" s="49" t="str">
        <f>IF(Produits!F301="","",Produits!F301)</f>
        <v>1 pcs</v>
      </c>
      <c r="F301" s="50">
        <f>IF(Produits!H301="","",Produits!H301)</f>
        <v>307</v>
      </c>
      <c r="H301" s="37">
        <v>0</v>
      </c>
      <c r="I301" s="2"/>
      <c r="J301" s="69">
        <f>SUM('Archives Entrées'!$N301:$AAV301)</f>
        <v>0</v>
      </c>
      <c r="K301" s="51" t="str">
        <f t="shared" si="17"/>
        <v>0,00€</v>
      </c>
      <c r="L301" s="69">
        <f>SUM('Archives Sorties'!$M301:$AAY301)</f>
        <v>0</v>
      </c>
      <c r="M301" s="51" t="str">
        <f t="shared" si="18"/>
        <v>0,00€</v>
      </c>
      <c r="O301" s="72">
        <v>0</v>
      </c>
      <c r="P301" s="72">
        <v>0</v>
      </c>
      <c r="R301" s="185">
        <f t="shared" si="19"/>
        <v>0</v>
      </c>
      <c r="S301" s="186">
        <f t="shared" si="20"/>
        <v>0</v>
      </c>
      <c r="T301" s="187" t="str">
        <f>IF(R301="","",IF(O301=0,Famille!$D$5,IF(R301&lt;O301,Famille!$D$2,IF(R301&lt;=P301,Famille!$D$3,Famille!$D$4))))</f>
        <v>Sur commande</v>
      </c>
    </row>
    <row r="302" spans="1:20" ht="12" customHeight="1" x14ac:dyDescent="0.2">
      <c r="A302" s="4" t="str">
        <f>IF(Produits!A302="","",Produits!A302)</f>
        <v>Variflex</v>
      </c>
      <c r="B302" s="4" t="str">
        <f>IF(Produits!B302="","",Produits!B302)</f>
        <v>DT/DTZ</v>
      </c>
      <c r="C302" s="4" t="str">
        <f>IF(Produits!C302="","",Produits!C302)</f>
        <v>1000,00,0299</v>
      </c>
      <c r="D302" s="4" t="str">
        <f>IF(Produits!D302="","",Produits!D302)</f>
        <v>AA423</v>
      </c>
      <c r="E302" s="49" t="str">
        <f>IF(Produits!F302="","",Produits!F302)</f>
        <v>1 pcs</v>
      </c>
      <c r="F302" s="50">
        <f>IF(Produits!H302="","",Produits!H302)</f>
        <v>308</v>
      </c>
      <c r="H302" s="37">
        <v>0</v>
      </c>
      <c r="I302" s="2"/>
      <c r="J302" s="69">
        <f>SUM('Archives Entrées'!$N302:$AAV302)</f>
        <v>0</v>
      </c>
      <c r="K302" s="51" t="str">
        <f t="shared" si="17"/>
        <v>0,00€</v>
      </c>
      <c r="L302" s="69">
        <f>SUM('Archives Sorties'!$M302:$AAY302)</f>
        <v>0</v>
      </c>
      <c r="M302" s="51" t="str">
        <f t="shared" si="18"/>
        <v>0,00€</v>
      </c>
      <c r="O302" s="72">
        <v>0</v>
      </c>
      <c r="P302" s="72">
        <v>0</v>
      </c>
      <c r="R302" s="185">
        <f t="shared" si="19"/>
        <v>0</v>
      </c>
      <c r="S302" s="186">
        <f t="shared" si="20"/>
        <v>0</v>
      </c>
      <c r="T302" s="187" t="str">
        <f>IF(R302="","",IF(O302=0,Famille!$D$5,IF(R302&lt;O302,Famille!$D$2,IF(R302&lt;=P302,Famille!$D$3,Famille!$D$4))))</f>
        <v>Sur commande</v>
      </c>
    </row>
    <row r="303" spans="1:20" ht="12" customHeight="1" x14ac:dyDescent="0.2">
      <c r="A303" s="4" t="str">
        <f>IF(Produits!A303="","",Produits!A303)</f>
        <v>Variflex</v>
      </c>
      <c r="B303" s="4" t="str">
        <f>IF(Produits!B303="","",Produits!B303)</f>
        <v>DT/DTZ</v>
      </c>
      <c r="C303" s="4" t="str">
        <f>IF(Produits!C303="","",Produits!C303)</f>
        <v>1000,00,0300</v>
      </c>
      <c r="D303" s="4" t="str">
        <f>IF(Produits!D303="","",Produits!D303)</f>
        <v>AA424</v>
      </c>
      <c r="E303" s="49" t="str">
        <f>IF(Produits!F303="","",Produits!F303)</f>
        <v>1 pcs</v>
      </c>
      <c r="F303" s="50">
        <f>IF(Produits!H303="","",Produits!H303)</f>
        <v>309</v>
      </c>
      <c r="H303" s="37">
        <v>0</v>
      </c>
      <c r="I303" s="2"/>
      <c r="J303" s="69">
        <f>SUM('Archives Entrées'!$N303:$AAV303)</f>
        <v>0</v>
      </c>
      <c r="K303" s="51" t="str">
        <f t="shared" si="17"/>
        <v>0,00€</v>
      </c>
      <c r="L303" s="69">
        <f>SUM('Archives Sorties'!$M303:$AAY303)</f>
        <v>0</v>
      </c>
      <c r="M303" s="51" t="str">
        <f t="shared" si="18"/>
        <v>0,00€</v>
      </c>
      <c r="O303" s="72">
        <v>0</v>
      </c>
      <c r="P303" s="72">
        <v>0</v>
      </c>
      <c r="R303" s="185">
        <f t="shared" si="19"/>
        <v>0</v>
      </c>
      <c r="S303" s="186">
        <f t="shared" si="20"/>
        <v>0</v>
      </c>
      <c r="T303" s="187" t="str">
        <f>IF(R303="","",IF(O303=0,Famille!$D$5,IF(R303&lt;O303,Famille!$D$2,IF(R303&lt;=P303,Famille!$D$3,Famille!$D$4))))</f>
        <v>Sur commande</v>
      </c>
    </row>
    <row r="304" spans="1:20" ht="12" customHeight="1" x14ac:dyDescent="0.2">
      <c r="A304" s="4" t="str">
        <f>IF(Produits!A304="","",Produits!A304)</f>
        <v>Variflex</v>
      </c>
      <c r="B304" s="4" t="str">
        <f>IF(Produits!B304="","",Produits!B304)</f>
        <v>DT/DTZ</v>
      </c>
      <c r="C304" s="4" t="str">
        <f>IF(Produits!C304="","",Produits!C304)</f>
        <v>1000,00,0301</v>
      </c>
      <c r="D304" s="4" t="str">
        <f>IF(Produits!D304="","",Produits!D304)</f>
        <v>AA425</v>
      </c>
      <c r="E304" s="49" t="str">
        <f>IF(Produits!F304="","",Produits!F304)</f>
        <v>1 pcs</v>
      </c>
      <c r="F304" s="50">
        <f>IF(Produits!H304="","",Produits!H304)</f>
        <v>310</v>
      </c>
      <c r="H304" s="37">
        <v>0</v>
      </c>
      <c r="I304" s="2"/>
      <c r="J304" s="69">
        <f>SUM('Archives Entrées'!$N304:$AAV304)</f>
        <v>0</v>
      </c>
      <c r="K304" s="51" t="str">
        <f t="shared" si="17"/>
        <v>0,00€</v>
      </c>
      <c r="L304" s="69">
        <f>SUM('Archives Sorties'!$M304:$AAY304)</f>
        <v>0</v>
      </c>
      <c r="M304" s="51" t="str">
        <f t="shared" si="18"/>
        <v>0,00€</v>
      </c>
      <c r="O304" s="72">
        <v>0</v>
      </c>
      <c r="P304" s="72">
        <v>0</v>
      </c>
      <c r="R304" s="185">
        <f t="shared" si="19"/>
        <v>0</v>
      </c>
      <c r="S304" s="186">
        <f t="shared" si="20"/>
        <v>0</v>
      </c>
      <c r="T304" s="187" t="str">
        <f>IF(R304="","",IF(O304=0,Famille!$D$5,IF(R304&lt;O304,Famille!$D$2,IF(R304&lt;=P304,Famille!$D$3,Famille!$D$4))))</f>
        <v>Sur commande</v>
      </c>
    </row>
    <row r="305" spans="1:20" ht="12" customHeight="1" x14ac:dyDescent="0.2">
      <c r="A305" s="4" t="str">
        <f>IF(Produits!A305="","",Produits!A305)</f>
        <v>Variflex</v>
      </c>
      <c r="B305" s="4" t="str">
        <f>IF(Produits!B305="","",Produits!B305)</f>
        <v>DT/DTZ</v>
      </c>
      <c r="C305" s="4" t="str">
        <f>IF(Produits!C305="","",Produits!C305)</f>
        <v>1000,00,0302</v>
      </c>
      <c r="D305" s="4" t="str">
        <f>IF(Produits!D305="","",Produits!D305)</f>
        <v>AA426</v>
      </c>
      <c r="E305" s="49" t="str">
        <f>IF(Produits!F305="","",Produits!F305)</f>
        <v>1 pcs</v>
      </c>
      <c r="F305" s="50">
        <f>IF(Produits!H305="","",Produits!H305)</f>
        <v>311</v>
      </c>
      <c r="H305" s="37">
        <v>0</v>
      </c>
      <c r="I305" s="2"/>
      <c r="J305" s="69">
        <f>SUM('Archives Entrées'!$N305:$AAV305)</f>
        <v>0</v>
      </c>
      <c r="K305" s="51" t="str">
        <f t="shared" si="17"/>
        <v>0,00€</v>
      </c>
      <c r="L305" s="69">
        <f>SUM('Archives Sorties'!$M305:$AAY305)</f>
        <v>0</v>
      </c>
      <c r="M305" s="51" t="str">
        <f t="shared" si="18"/>
        <v>0,00€</v>
      </c>
      <c r="O305" s="72">
        <v>0</v>
      </c>
      <c r="P305" s="72">
        <v>0</v>
      </c>
      <c r="R305" s="185">
        <f t="shared" si="19"/>
        <v>0</v>
      </c>
      <c r="S305" s="186">
        <f t="shared" si="20"/>
        <v>0</v>
      </c>
      <c r="T305" s="187" t="str">
        <f>IF(R305="","",IF(O305=0,Famille!$D$5,IF(R305&lt;O305,Famille!$D$2,IF(R305&lt;=P305,Famille!$D$3,Famille!$D$4))))</f>
        <v>Sur commande</v>
      </c>
    </row>
    <row r="306" spans="1:20" ht="12" customHeight="1" x14ac:dyDescent="0.2">
      <c r="A306" s="4" t="str">
        <f>IF(Produits!A306="","",Produits!A306)</f>
        <v>Variflex</v>
      </c>
      <c r="B306" s="4" t="str">
        <f>IF(Produits!B306="","",Produits!B306)</f>
        <v>DT/DTZ</v>
      </c>
      <c r="C306" s="4" t="str">
        <f>IF(Produits!C306="","",Produits!C306)</f>
        <v>1000,00,0303</v>
      </c>
      <c r="D306" s="4" t="str">
        <f>IF(Produits!D306="","",Produits!D306)</f>
        <v>AA427</v>
      </c>
      <c r="E306" s="49" t="str">
        <f>IF(Produits!F306="","",Produits!F306)</f>
        <v>1 pcs</v>
      </c>
      <c r="F306" s="50">
        <f>IF(Produits!H306="","",Produits!H306)</f>
        <v>312</v>
      </c>
      <c r="H306" s="37">
        <v>0</v>
      </c>
      <c r="I306" s="2"/>
      <c r="J306" s="69">
        <f>SUM('Archives Entrées'!$N306:$AAV306)</f>
        <v>0</v>
      </c>
      <c r="K306" s="51" t="str">
        <f t="shared" si="17"/>
        <v>0,00€</v>
      </c>
      <c r="L306" s="69">
        <f>SUM('Archives Sorties'!$M306:$AAY306)</f>
        <v>0</v>
      </c>
      <c r="M306" s="51" t="str">
        <f t="shared" si="18"/>
        <v>0,00€</v>
      </c>
      <c r="O306" s="72">
        <v>0</v>
      </c>
      <c r="P306" s="72">
        <v>0</v>
      </c>
      <c r="R306" s="185">
        <f t="shared" si="19"/>
        <v>0</v>
      </c>
      <c r="S306" s="186">
        <f t="shared" si="20"/>
        <v>0</v>
      </c>
      <c r="T306" s="187" t="str">
        <f>IF(R306="","",IF(O306=0,Famille!$D$5,IF(R306&lt;O306,Famille!$D$2,IF(R306&lt;=P306,Famille!$D$3,Famille!$D$4))))</f>
        <v>Sur commande</v>
      </c>
    </row>
    <row r="307" spans="1:20" ht="12" customHeight="1" x14ac:dyDescent="0.2">
      <c r="A307" s="4" t="str">
        <f>IF(Produits!A307="","",Produits!A307)</f>
        <v>Variflex</v>
      </c>
      <c r="B307" s="4" t="str">
        <f>IF(Produits!B307="","",Produits!B307)</f>
        <v>DT/DTZ</v>
      </c>
      <c r="C307" s="4" t="str">
        <f>IF(Produits!C307="","",Produits!C307)</f>
        <v>1000,00,0304</v>
      </c>
      <c r="D307" s="4" t="str">
        <f>IF(Produits!D307="","",Produits!D307)</f>
        <v>AA428</v>
      </c>
      <c r="E307" s="49" t="str">
        <f>IF(Produits!F307="","",Produits!F307)</f>
        <v>1 pcs</v>
      </c>
      <c r="F307" s="50">
        <f>IF(Produits!H307="","",Produits!H307)</f>
        <v>313</v>
      </c>
      <c r="H307" s="37">
        <v>0</v>
      </c>
      <c r="I307" s="2"/>
      <c r="J307" s="69">
        <f>SUM('Archives Entrées'!$N307:$AAV307)</f>
        <v>0</v>
      </c>
      <c r="K307" s="51" t="str">
        <f t="shared" si="17"/>
        <v>0,00€</v>
      </c>
      <c r="L307" s="69">
        <f>SUM('Archives Sorties'!$M307:$AAY307)</f>
        <v>0</v>
      </c>
      <c r="M307" s="51" t="str">
        <f t="shared" si="18"/>
        <v>0,00€</v>
      </c>
      <c r="O307" s="72">
        <v>0</v>
      </c>
      <c r="P307" s="72">
        <v>0</v>
      </c>
      <c r="R307" s="185">
        <f t="shared" si="19"/>
        <v>0</v>
      </c>
      <c r="S307" s="186">
        <f t="shared" si="20"/>
        <v>0</v>
      </c>
      <c r="T307" s="187" t="str">
        <f>IF(R307="","",IF(O307=0,Famille!$D$5,IF(R307&lt;O307,Famille!$D$2,IF(R307&lt;=P307,Famille!$D$3,Famille!$D$4))))</f>
        <v>Sur commande</v>
      </c>
    </row>
    <row r="308" spans="1:20" ht="12" customHeight="1" x14ac:dyDescent="0.2">
      <c r="A308" s="4" t="str">
        <f>IF(Produits!A308="","",Produits!A308)</f>
        <v>Variflex</v>
      </c>
      <c r="B308" s="4" t="str">
        <f>IF(Produits!B308="","",Produits!B308)</f>
        <v>DT/DTZ</v>
      </c>
      <c r="C308" s="4" t="str">
        <f>IF(Produits!C308="","",Produits!C308)</f>
        <v>1000,00,0305</v>
      </c>
      <c r="D308" s="4" t="str">
        <f>IF(Produits!D308="","",Produits!D308)</f>
        <v>AA429</v>
      </c>
      <c r="E308" s="49" t="str">
        <f>IF(Produits!F308="","",Produits!F308)</f>
        <v>1 pcs</v>
      </c>
      <c r="F308" s="50">
        <f>IF(Produits!H308="","",Produits!H308)</f>
        <v>314</v>
      </c>
      <c r="H308" s="37">
        <v>0</v>
      </c>
      <c r="I308" s="2"/>
      <c r="J308" s="69">
        <f>SUM('Archives Entrées'!$N308:$AAV308)</f>
        <v>0</v>
      </c>
      <c r="K308" s="51" t="str">
        <f t="shared" si="17"/>
        <v>0,00€</v>
      </c>
      <c r="L308" s="69">
        <f>SUM('Archives Sorties'!$M308:$AAY308)</f>
        <v>0</v>
      </c>
      <c r="M308" s="51" t="str">
        <f t="shared" si="18"/>
        <v>0,00€</v>
      </c>
      <c r="O308" s="72">
        <v>0</v>
      </c>
      <c r="P308" s="72">
        <v>0</v>
      </c>
      <c r="R308" s="185">
        <f t="shared" si="19"/>
        <v>0</v>
      </c>
      <c r="S308" s="186">
        <f t="shared" si="20"/>
        <v>0</v>
      </c>
      <c r="T308" s="187" t="str">
        <f>IF(R308="","",IF(O308=0,Famille!$D$5,IF(R308&lt;O308,Famille!$D$2,IF(R308&lt;=P308,Famille!$D$3,Famille!$D$4))))</f>
        <v>Sur commande</v>
      </c>
    </row>
    <row r="309" spans="1:20" ht="12" customHeight="1" x14ac:dyDescent="0.2">
      <c r="A309" s="4" t="str">
        <f>IF(Produits!A309="","",Produits!A309)</f>
        <v>Variflex</v>
      </c>
      <c r="B309" s="4" t="str">
        <f>IF(Produits!B309="","",Produits!B309)</f>
        <v>DT/DTZ</v>
      </c>
      <c r="C309" s="4" t="str">
        <f>IF(Produits!C309="","",Produits!C309)</f>
        <v>1000,00,0306</v>
      </c>
      <c r="D309" s="4" t="str">
        <f>IF(Produits!D309="","",Produits!D309)</f>
        <v>AA430</v>
      </c>
      <c r="E309" s="49" t="str">
        <f>IF(Produits!F309="","",Produits!F309)</f>
        <v>1 pcs</v>
      </c>
      <c r="F309" s="50">
        <f>IF(Produits!H309="","",Produits!H309)</f>
        <v>315</v>
      </c>
      <c r="H309" s="37">
        <v>0</v>
      </c>
      <c r="I309" s="2"/>
      <c r="J309" s="69">
        <f>SUM('Archives Entrées'!$N309:$AAV309)</f>
        <v>0</v>
      </c>
      <c r="K309" s="51" t="str">
        <f t="shared" si="17"/>
        <v>0,00€</v>
      </c>
      <c r="L309" s="69">
        <f>SUM('Archives Sorties'!$M309:$AAY309)</f>
        <v>0</v>
      </c>
      <c r="M309" s="51" t="str">
        <f t="shared" si="18"/>
        <v>0,00€</v>
      </c>
      <c r="O309" s="72">
        <v>0</v>
      </c>
      <c r="P309" s="72">
        <v>0</v>
      </c>
      <c r="R309" s="185">
        <f t="shared" si="19"/>
        <v>0</v>
      </c>
      <c r="S309" s="186">
        <f t="shared" si="20"/>
        <v>0</v>
      </c>
      <c r="T309" s="187" t="str">
        <f>IF(R309="","",IF(O309=0,Famille!$D$5,IF(R309&lt;O309,Famille!$D$2,IF(R309&lt;=P309,Famille!$D$3,Famille!$D$4))))</f>
        <v>Sur commande</v>
      </c>
    </row>
    <row r="310" spans="1:20" ht="12" customHeight="1" x14ac:dyDescent="0.2">
      <c r="A310" s="4" t="str">
        <f>IF(Produits!A310="","",Produits!A310)</f>
        <v>Variflex</v>
      </c>
      <c r="B310" s="4" t="str">
        <f>IF(Produits!B310="","",Produits!B310)</f>
        <v>DT/DTZ</v>
      </c>
      <c r="C310" s="4" t="str">
        <f>IF(Produits!C310="","",Produits!C310)</f>
        <v>1000,00,0307</v>
      </c>
      <c r="D310" s="4" t="str">
        <f>IF(Produits!D310="","",Produits!D310)</f>
        <v>AA431</v>
      </c>
      <c r="E310" s="49" t="str">
        <f>IF(Produits!F310="","",Produits!F310)</f>
        <v>1 pcs</v>
      </c>
      <c r="F310" s="50">
        <f>IF(Produits!H310="","",Produits!H310)</f>
        <v>316</v>
      </c>
      <c r="H310" s="37">
        <v>0</v>
      </c>
      <c r="I310" s="2"/>
      <c r="J310" s="69">
        <f>SUM('Archives Entrées'!$N310:$AAV310)</f>
        <v>0</v>
      </c>
      <c r="K310" s="51" t="str">
        <f t="shared" si="17"/>
        <v>0,00€</v>
      </c>
      <c r="L310" s="69">
        <f>SUM('Archives Sorties'!$M310:$AAY310)</f>
        <v>0</v>
      </c>
      <c r="M310" s="51" t="str">
        <f t="shared" si="18"/>
        <v>0,00€</v>
      </c>
      <c r="O310" s="72">
        <v>0</v>
      </c>
      <c r="P310" s="72">
        <v>0</v>
      </c>
      <c r="R310" s="185">
        <f t="shared" si="19"/>
        <v>0</v>
      </c>
      <c r="S310" s="186">
        <f t="shared" si="20"/>
        <v>0</v>
      </c>
      <c r="T310" s="187" t="str">
        <f>IF(R310="","",IF(O310=0,Famille!$D$5,IF(R310&lt;O310,Famille!$D$2,IF(R310&lt;=P310,Famille!$D$3,Famille!$D$4))))</f>
        <v>Sur commande</v>
      </c>
    </row>
    <row r="311" spans="1:20" ht="12" customHeight="1" x14ac:dyDescent="0.2">
      <c r="A311" s="4" t="str">
        <f>IF(Produits!A311="","",Produits!A311)</f>
        <v>Variflex</v>
      </c>
      <c r="B311" s="4" t="str">
        <f>IF(Produits!B311="","",Produits!B311)</f>
        <v>DT/DTZ</v>
      </c>
      <c r="C311" s="4" t="str">
        <f>IF(Produits!C311="","",Produits!C311)</f>
        <v>1000,00,0308</v>
      </c>
      <c r="D311" s="4" t="str">
        <f>IF(Produits!D311="","",Produits!D311)</f>
        <v>AA432</v>
      </c>
      <c r="E311" s="49" t="str">
        <f>IF(Produits!F311="","",Produits!F311)</f>
        <v>1 pcs</v>
      </c>
      <c r="F311" s="50">
        <f>IF(Produits!H311="","",Produits!H311)</f>
        <v>317</v>
      </c>
      <c r="H311" s="37">
        <v>0</v>
      </c>
      <c r="I311" s="2"/>
      <c r="J311" s="69">
        <f>SUM('Archives Entrées'!$N311:$AAV311)</f>
        <v>0</v>
      </c>
      <c r="K311" s="51" t="str">
        <f t="shared" si="17"/>
        <v>0,00€</v>
      </c>
      <c r="L311" s="69">
        <f>SUM('Archives Sorties'!$M311:$AAY311)</f>
        <v>0</v>
      </c>
      <c r="M311" s="51" t="str">
        <f t="shared" si="18"/>
        <v>0,00€</v>
      </c>
      <c r="O311" s="72">
        <v>0</v>
      </c>
      <c r="P311" s="72">
        <v>0</v>
      </c>
      <c r="R311" s="185">
        <f t="shared" si="19"/>
        <v>0</v>
      </c>
      <c r="S311" s="186">
        <f t="shared" si="20"/>
        <v>0</v>
      </c>
      <c r="T311" s="187" t="str">
        <f>IF(R311="","",IF(O311=0,Famille!$D$5,IF(R311&lt;O311,Famille!$D$2,IF(R311&lt;=P311,Famille!$D$3,Famille!$D$4))))</f>
        <v>Sur commande</v>
      </c>
    </row>
    <row r="312" spans="1:20" ht="12" customHeight="1" x14ac:dyDescent="0.2">
      <c r="A312" s="4" t="str">
        <f>IF(Produits!A312="","",Produits!A312)</f>
        <v>Variflex</v>
      </c>
      <c r="B312" s="4" t="str">
        <f>IF(Produits!B312="","",Produits!B312)</f>
        <v>DT/DTZ</v>
      </c>
      <c r="C312" s="4" t="str">
        <f>IF(Produits!C312="","",Produits!C312)</f>
        <v>1000,00,0309</v>
      </c>
      <c r="D312" s="4" t="str">
        <f>IF(Produits!D312="","",Produits!D312)</f>
        <v>AA433</v>
      </c>
      <c r="E312" s="49" t="str">
        <f>IF(Produits!F312="","",Produits!F312)</f>
        <v>1 pcs</v>
      </c>
      <c r="F312" s="50">
        <f>IF(Produits!H312="","",Produits!H312)</f>
        <v>318</v>
      </c>
      <c r="H312" s="37">
        <v>0</v>
      </c>
      <c r="I312" s="2"/>
      <c r="J312" s="69">
        <f>SUM('Archives Entrées'!$N312:$AAV312)</f>
        <v>0</v>
      </c>
      <c r="K312" s="51" t="str">
        <f t="shared" si="17"/>
        <v>0,00€</v>
      </c>
      <c r="L312" s="69">
        <f>SUM('Archives Sorties'!$M312:$AAY312)</f>
        <v>0</v>
      </c>
      <c r="M312" s="51" t="str">
        <f t="shared" si="18"/>
        <v>0,00€</v>
      </c>
      <c r="O312" s="72">
        <v>0</v>
      </c>
      <c r="P312" s="72">
        <v>0</v>
      </c>
      <c r="R312" s="185">
        <f t="shared" si="19"/>
        <v>0</v>
      </c>
      <c r="S312" s="186">
        <f t="shared" si="20"/>
        <v>0</v>
      </c>
      <c r="T312" s="187" t="str">
        <f>IF(R312="","",IF(O312=0,Famille!$D$5,IF(R312&lt;O312,Famille!$D$2,IF(R312&lt;=P312,Famille!$D$3,Famille!$D$4))))</f>
        <v>Sur commande</v>
      </c>
    </row>
    <row r="313" spans="1:20" ht="12" customHeight="1" x14ac:dyDescent="0.2">
      <c r="A313" s="4" t="str">
        <f>IF(Produits!A313="","",Produits!A313)</f>
        <v>Variflex</v>
      </c>
      <c r="B313" s="4" t="str">
        <f>IF(Produits!B313="","",Produits!B313)</f>
        <v>DT/DTZ</v>
      </c>
      <c r="C313" s="4" t="str">
        <f>IF(Produits!C313="","",Produits!C313)</f>
        <v>1000,00,0310</v>
      </c>
      <c r="D313" s="4" t="str">
        <f>IF(Produits!D313="","",Produits!D313)</f>
        <v>AA434</v>
      </c>
      <c r="E313" s="49" t="str">
        <f>IF(Produits!F313="","",Produits!F313)</f>
        <v>1 pcs</v>
      </c>
      <c r="F313" s="50">
        <f>IF(Produits!H313="","",Produits!H313)</f>
        <v>319</v>
      </c>
      <c r="H313" s="37">
        <v>0</v>
      </c>
      <c r="I313" s="2"/>
      <c r="J313" s="69">
        <f>SUM('Archives Entrées'!$N313:$AAV313)</f>
        <v>0</v>
      </c>
      <c r="K313" s="51" t="str">
        <f t="shared" si="17"/>
        <v>0,00€</v>
      </c>
      <c r="L313" s="69">
        <f>SUM('Archives Sorties'!$M313:$AAY313)</f>
        <v>0</v>
      </c>
      <c r="M313" s="51" t="str">
        <f t="shared" si="18"/>
        <v>0,00€</v>
      </c>
      <c r="O313" s="72">
        <v>0</v>
      </c>
      <c r="P313" s="72">
        <v>0</v>
      </c>
      <c r="R313" s="185">
        <f t="shared" si="19"/>
        <v>0</v>
      </c>
      <c r="S313" s="186">
        <f t="shared" si="20"/>
        <v>0</v>
      </c>
      <c r="T313" s="187" t="str">
        <f>IF(R313="","",IF(O313=0,Famille!$D$5,IF(R313&lt;O313,Famille!$D$2,IF(R313&lt;=P313,Famille!$D$3,Famille!$D$4))))</f>
        <v>Sur commande</v>
      </c>
    </row>
    <row r="314" spans="1:20" ht="12" customHeight="1" x14ac:dyDescent="0.2">
      <c r="A314" s="4" t="str">
        <f>IF(Produits!A314="","",Produits!A314)</f>
        <v>Variflex</v>
      </c>
      <c r="B314" s="4" t="str">
        <f>IF(Produits!B314="","",Produits!B314)</f>
        <v>DT/DTZ</v>
      </c>
      <c r="C314" s="4" t="str">
        <f>IF(Produits!C314="","",Produits!C314)</f>
        <v>1000,00,0311</v>
      </c>
      <c r="D314" s="4" t="str">
        <f>IF(Produits!D314="","",Produits!D314)</f>
        <v>AA435</v>
      </c>
      <c r="E314" s="49" t="str">
        <f>IF(Produits!F314="","",Produits!F314)</f>
        <v>1 pcs</v>
      </c>
      <c r="F314" s="50">
        <f>IF(Produits!H314="","",Produits!H314)</f>
        <v>320</v>
      </c>
      <c r="H314" s="37">
        <v>0</v>
      </c>
      <c r="I314" s="2"/>
      <c r="J314" s="69">
        <f>SUM('Archives Entrées'!$N314:$AAV314)</f>
        <v>0</v>
      </c>
      <c r="K314" s="51" t="str">
        <f t="shared" si="17"/>
        <v>0,00€</v>
      </c>
      <c r="L314" s="69">
        <f>SUM('Archives Sorties'!$M314:$AAY314)</f>
        <v>0</v>
      </c>
      <c r="M314" s="51" t="str">
        <f t="shared" si="18"/>
        <v>0,00€</v>
      </c>
      <c r="O314" s="72">
        <v>0</v>
      </c>
      <c r="P314" s="72">
        <v>0</v>
      </c>
      <c r="R314" s="185">
        <f t="shared" si="19"/>
        <v>0</v>
      </c>
      <c r="S314" s="186">
        <f t="shared" si="20"/>
        <v>0</v>
      </c>
      <c r="T314" s="187" t="str">
        <f>IF(R314="","",IF(O314=0,Famille!$D$5,IF(R314&lt;O314,Famille!$D$2,IF(R314&lt;=P314,Famille!$D$3,Famille!$D$4))))</f>
        <v>Sur commande</v>
      </c>
    </row>
    <row r="315" spans="1:20" ht="12" customHeight="1" x14ac:dyDescent="0.2">
      <c r="A315" s="4" t="str">
        <f>IF(Produits!A315="","",Produits!A315)</f>
        <v>Variflex</v>
      </c>
      <c r="B315" s="4" t="str">
        <f>IF(Produits!B315="","",Produits!B315)</f>
        <v>Semi-auto Execution</v>
      </c>
      <c r="C315" s="4" t="str">
        <f>IF(Produits!C315="","",Produits!C315)</f>
        <v>1000,00,0312</v>
      </c>
      <c r="D315" s="4" t="str">
        <f>IF(Produits!D315="","",Produits!D315)</f>
        <v>AA436</v>
      </c>
      <c r="E315" s="49" t="str">
        <f>IF(Produits!F315="","",Produits!F315)</f>
        <v>1 pcs</v>
      </c>
      <c r="F315" s="50">
        <f>IF(Produits!H315="","",Produits!H315)</f>
        <v>321</v>
      </c>
      <c r="H315" s="37">
        <v>0</v>
      </c>
      <c r="I315" s="2"/>
      <c r="J315" s="69">
        <f>SUM('Archives Entrées'!$N315:$AAV315)</f>
        <v>0</v>
      </c>
      <c r="K315" s="51" t="str">
        <f t="shared" si="17"/>
        <v>0,00€</v>
      </c>
      <c r="L315" s="69">
        <f>SUM('Archives Sorties'!$M315:$AAY315)</f>
        <v>0</v>
      </c>
      <c r="M315" s="51" t="str">
        <f t="shared" si="18"/>
        <v>0,00€</v>
      </c>
      <c r="O315" s="72">
        <v>0</v>
      </c>
      <c r="P315" s="72">
        <v>0</v>
      </c>
      <c r="R315" s="185">
        <f t="shared" si="19"/>
        <v>0</v>
      </c>
      <c r="S315" s="186">
        <f t="shared" si="20"/>
        <v>0</v>
      </c>
      <c r="T315" s="187" t="str">
        <f>IF(R315="","",IF(O315=0,Famille!$D$5,IF(R315&lt;O315,Famille!$D$2,IF(R315&lt;=P315,Famille!$D$3,Famille!$D$4))))</f>
        <v>Sur commande</v>
      </c>
    </row>
    <row r="316" spans="1:20" ht="12" customHeight="1" x14ac:dyDescent="0.2">
      <c r="A316" s="4" t="str">
        <f>IF(Produits!A316="","",Produits!A316)</f>
        <v>Variflex</v>
      </c>
      <c r="B316" s="4" t="str">
        <f>IF(Produits!B316="","",Produits!B316)</f>
        <v>Semi-auto Execution</v>
      </c>
      <c r="C316" s="4" t="str">
        <f>IF(Produits!C316="","",Produits!C316)</f>
        <v>1000,00,0313</v>
      </c>
      <c r="D316" s="4" t="str">
        <f>IF(Produits!D316="","",Produits!D316)</f>
        <v>AA437</v>
      </c>
      <c r="E316" s="49" t="str">
        <f>IF(Produits!F316="","",Produits!F316)</f>
        <v>1 pcs</v>
      </c>
      <c r="F316" s="50">
        <f>IF(Produits!H316="","",Produits!H316)</f>
        <v>322</v>
      </c>
      <c r="H316" s="37">
        <v>0</v>
      </c>
      <c r="I316" s="2"/>
      <c r="J316" s="69">
        <f>SUM('Archives Entrées'!$N316:$AAV316)</f>
        <v>0</v>
      </c>
      <c r="K316" s="51" t="str">
        <f t="shared" si="17"/>
        <v>0,00€</v>
      </c>
      <c r="L316" s="69">
        <f>SUM('Archives Sorties'!$M316:$AAY316)</f>
        <v>0</v>
      </c>
      <c r="M316" s="51" t="str">
        <f t="shared" si="18"/>
        <v>0,00€</v>
      </c>
      <c r="O316" s="72">
        <v>0</v>
      </c>
      <c r="P316" s="72">
        <v>0</v>
      </c>
      <c r="R316" s="185">
        <f t="shared" si="19"/>
        <v>0</v>
      </c>
      <c r="S316" s="186">
        <f t="shared" si="20"/>
        <v>0</v>
      </c>
      <c r="T316" s="187" t="str">
        <f>IF(R316="","",IF(O316=0,Famille!$D$5,IF(R316&lt;O316,Famille!$D$2,IF(R316&lt;=P316,Famille!$D$3,Famille!$D$4))))</f>
        <v>Sur commande</v>
      </c>
    </row>
    <row r="317" spans="1:20" ht="12" customHeight="1" x14ac:dyDescent="0.2">
      <c r="A317" s="4" t="str">
        <f>IF(Produits!A317="","",Produits!A317)</f>
        <v>Variflex</v>
      </c>
      <c r="B317" s="4" t="str">
        <f>IF(Produits!B317="","",Produits!B317)</f>
        <v>Semi-auto Execution</v>
      </c>
      <c r="C317" s="4" t="str">
        <f>IF(Produits!C317="","",Produits!C317)</f>
        <v>1000,00,0314</v>
      </c>
      <c r="D317" s="4" t="str">
        <f>IF(Produits!D317="","",Produits!D317)</f>
        <v>AA438</v>
      </c>
      <c r="E317" s="49" t="str">
        <f>IF(Produits!F317="","",Produits!F317)</f>
        <v>1 pcs</v>
      </c>
      <c r="F317" s="50">
        <f>IF(Produits!H317="","",Produits!H317)</f>
        <v>323</v>
      </c>
      <c r="H317" s="37">
        <v>0</v>
      </c>
      <c r="I317" s="2"/>
      <c r="J317" s="69">
        <f>SUM('Archives Entrées'!$N317:$AAV317)</f>
        <v>0</v>
      </c>
      <c r="K317" s="51" t="str">
        <f t="shared" si="17"/>
        <v>0,00€</v>
      </c>
      <c r="L317" s="69">
        <f>SUM('Archives Sorties'!$M317:$AAY317)</f>
        <v>0</v>
      </c>
      <c r="M317" s="51" t="str">
        <f t="shared" si="18"/>
        <v>0,00€</v>
      </c>
      <c r="O317" s="72">
        <v>0</v>
      </c>
      <c r="P317" s="72">
        <v>0</v>
      </c>
      <c r="R317" s="185">
        <f t="shared" si="19"/>
        <v>0</v>
      </c>
      <c r="S317" s="186">
        <f t="shared" si="20"/>
        <v>0</v>
      </c>
      <c r="T317" s="187" t="str">
        <f>IF(R317="","",IF(O317=0,Famille!$D$5,IF(R317&lt;O317,Famille!$D$2,IF(R317&lt;=P317,Famille!$D$3,Famille!$D$4))))</f>
        <v>Sur commande</v>
      </c>
    </row>
    <row r="318" spans="1:20" ht="12" customHeight="1" x14ac:dyDescent="0.2">
      <c r="A318" s="4" t="str">
        <f>IF(Produits!A318="","",Produits!A318)</f>
        <v>Variflex</v>
      </c>
      <c r="B318" s="4" t="str">
        <f>IF(Produits!B318="","",Produits!B318)</f>
        <v>Semi-auto Execution</v>
      </c>
      <c r="C318" s="4" t="str">
        <f>IF(Produits!C318="","",Produits!C318)</f>
        <v>1000,00,0315</v>
      </c>
      <c r="D318" s="4" t="str">
        <f>IF(Produits!D318="","",Produits!D318)</f>
        <v>AA439</v>
      </c>
      <c r="E318" s="49" t="str">
        <f>IF(Produits!F318="","",Produits!F318)</f>
        <v>1 pcs</v>
      </c>
      <c r="F318" s="50">
        <f>IF(Produits!H318="","",Produits!H318)</f>
        <v>324</v>
      </c>
      <c r="H318" s="37">
        <v>0</v>
      </c>
      <c r="I318" s="2"/>
      <c r="J318" s="69">
        <f>SUM('Archives Entrées'!$N318:$AAV318)</f>
        <v>0</v>
      </c>
      <c r="K318" s="51" t="str">
        <f t="shared" si="17"/>
        <v>0,00€</v>
      </c>
      <c r="L318" s="69">
        <f>SUM('Archives Sorties'!$M318:$AAY318)</f>
        <v>0</v>
      </c>
      <c r="M318" s="51" t="str">
        <f t="shared" si="18"/>
        <v>0,00€</v>
      </c>
      <c r="O318" s="72">
        <v>0</v>
      </c>
      <c r="P318" s="72">
        <v>0</v>
      </c>
      <c r="R318" s="185">
        <f t="shared" si="19"/>
        <v>0</v>
      </c>
      <c r="S318" s="186">
        <f t="shared" si="20"/>
        <v>0</v>
      </c>
      <c r="T318" s="187" t="str">
        <f>IF(R318="","",IF(O318=0,Famille!$D$5,IF(R318&lt;O318,Famille!$D$2,IF(R318&lt;=P318,Famille!$D$3,Famille!$D$4))))</f>
        <v>Sur commande</v>
      </c>
    </row>
    <row r="319" spans="1:20" ht="12" customHeight="1" x14ac:dyDescent="0.2">
      <c r="A319" s="4" t="str">
        <f>IF(Produits!A319="","",Produits!A319)</f>
        <v>Variflex</v>
      </c>
      <c r="B319" s="4" t="str">
        <f>IF(Produits!B319="","",Produits!B319)</f>
        <v>Semi-auto Execution</v>
      </c>
      <c r="C319" s="4" t="str">
        <f>IF(Produits!C319="","",Produits!C319)</f>
        <v>1000,00,0316</v>
      </c>
      <c r="D319" s="4" t="str">
        <f>IF(Produits!D319="","",Produits!D319)</f>
        <v>AA440</v>
      </c>
      <c r="E319" s="49" t="str">
        <f>IF(Produits!F319="","",Produits!F319)</f>
        <v>1 pcs</v>
      </c>
      <c r="F319" s="50">
        <f>IF(Produits!H319="","",Produits!H319)</f>
        <v>325</v>
      </c>
      <c r="H319" s="37">
        <v>0</v>
      </c>
      <c r="I319" s="2"/>
      <c r="J319" s="69">
        <f>SUM('Archives Entrées'!$N319:$AAV319)</f>
        <v>0</v>
      </c>
      <c r="K319" s="51" t="str">
        <f t="shared" si="17"/>
        <v>0,00€</v>
      </c>
      <c r="L319" s="69">
        <f>SUM('Archives Sorties'!$M319:$AAY319)</f>
        <v>0</v>
      </c>
      <c r="M319" s="51" t="str">
        <f t="shared" si="18"/>
        <v>0,00€</v>
      </c>
      <c r="O319" s="72">
        <v>0</v>
      </c>
      <c r="P319" s="72">
        <v>0</v>
      </c>
      <c r="R319" s="185">
        <f t="shared" si="19"/>
        <v>0</v>
      </c>
      <c r="S319" s="186">
        <f t="shared" si="20"/>
        <v>0</v>
      </c>
      <c r="T319" s="187" t="str">
        <f>IF(R319="","",IF(O319=0,Famille!$D$5,IF(R319&lt;O319,Famille!$D$2,IF(R319&lt;=P319,Famille!$D$3,Famille!$D$4))))</f>
        <v>Sur commande</v>
      </c>
    </row>
    <row r="320" spans="1:20" ht="12" customHeight="1" x14ac:dyDescent="0.2">
      <c r="A320" s="4" t="str">
        <f>IF(Produits!A320="","",Produits!A320)</f>
        <v>Variflex</v>
      </c>
      <c r="B320" s="4" t="str">
        <f>IF(Produits!B320="","",Produits!B320)</f>
        <v>Semi-auto Execution</v>
      </c>
      <c r="C320" s="4" t="str">
        <f>IF(Produits!C320="","",Produits!C320)</f>
        <v>1000,00,0317</v>
      </c>
      <c r="D320" s="4" t="str">
        <f>IF(Produits!D320="","",Produits!D320)</f>
        <v>AA441</v>
      </c>
      <c r="E320" s="49" t="str">
        <f>IF(Produits!F320="","",Produits!F320)</f>
        <v>1 pcs</v>
      </c>
      <c r="F320" s="50">
        <f>IF(Produits!H320="","",Produits!H320)</f>
        <v>326</v>
      </c>
      <c r="H320" s="37">
        <v>0</v>
      </c>
      <c r="I320" s="2"/>
      <c r="J320" s="69">
        <f>SUM('Archives Entrées'!$N320:$AAV320)</f>
        <v>0</v>
      </c>
      <c r="K320" s="51" t="str">
        <f t="shared" si="17"/>
        <v>0,00€</v>
      </c>
      <c r="L320" s="69">
        <f>SUM('Archives Sorties'!$M320:$AAY320)</f>
        <v>0</v>
      </c>
      <c r="M320" s="51" t="str">
        <f t="shared" si="18"/>
        <v>0,00€</v>
      </c>
      <c r="O320" s="72">
        <v>0</v>
      </c>
      <c r="P320" s="72">
        <v>0</v>
      </c>
      <c r="R320" s="185">
        <f t="shared" si="19"/>
        <v>0</v>
      </c>
      <c r="S320" s="186">
        <f t="shared" si="20"/>
        <v>0</v>
      </c>
      <c r="T320" s="187" t="str">
        <f>IF(R320="","",IF(O320=0,Famille!$D$5,IF(R320&lt;O320,Famille!$D$2,IF(R320&lt;=P320,Famille!$D$3,Famille!$D$4))))</f>
        <v>Sur commande</v>
      </c>
    </row>
    <row r="321" spans="1:20" ht="12" customHeight="1" x14ac:dyDescent="0.2">
      <c r="A321" s="4" t="str">
        <f>IF(Produits!A321="","",Produits!A321)</f>
        <v>Variflex</v>
      </c>
      <c r="B321" s="4" t="str">
        <f>IF(Produits!B321="","",Produits!B321)</f>
        <v>Semi-auto Execution</v>
      </c>
      <c r="C321" s="4" t="str">
        <f>IF(Produits!C321="","",Produits!C321)</f>
        <v>1000,00,0318</v>
      </c>
      <c r="D321" s="4" t="str">
        <f>IF(Produits!D321="","",Produits!D321)</f>
        <v>AA442</v>
      </c>
      <c r="E321" s="49" t="str">
        <f>IF(Produits!F321="","",Produits!F321)</f>
        <v>1 pcs</v>
      </c>
      <c r="F321" s="50">
        <f>IF(Produits!H321="","",Produits!H321)</f>
        <v>327</v>
      </c>
      <c r="H321" s="37">
        <v>0</v>
      </c>
      <c r="I321" s="2"/>
      <c r="J321" s="69">
        <f>SUM('Archives Entrées'!$N321:$AAV321)</f>
        <v>0</v>
      </c>
      <c r="K321" s="51" t="str">
        <f t="shared" si="17"/>
        <v>0,00€</v>
      </c>
      <c r="L321" s="69">
        <f>SUM('Archives Sorties'!$M321:$AAY321)</f>
        <v>0</v>
      </c>
      <c r="M321" s="51" t="str">
        <f t="shared" si="18"/>
        <v>0,00€</v>
      </c>
      <c r="O321" s="72">
        <v>0</v>
      </c>
      <c r="P321" s="72">
        <v>0</v>
      </c>
      <c r="R321" s="185">
        <f t="shared" si="19"/>
        <v>0</v>
      </c>
      <c r="S321" s="186">
        <f t="shared" si="20"/>
        <v>0</v>
      </c>
      <c r="T321" s="187" t="str">
        <f>IF(R321="","",IF(O321=0,Famille!$D$5,IF(R321&lt;O321,Famille!$D$2,IF(R321&lt;=P321,Famille!$D$3,Famille!$D$4))))</f>
        <v>Sur commande</v>
      </c>
    </row>
    <row r="322" spans="1:20" ht="12" customHeight="1" x14ac:dyDescent="0.2">
      <c r="A322" s="4" t="str">
        <f>IF(Produits!A322="","",Produits!A322)</f>
        <v>Variflex</v>
      </c>
      <c r="B322" s="4" t="str">
        <f>IF(Produits!B322="","",Produits!B322)</f>
        <v>Semi-auto Execution</v>
      </c>
      <c r="C322" s="4" t="str">
        <f>IF(Produits!C322="","",Produits!C322)</f>
        <v>1000,00,0319</v>
      </c>
      <c r="D322" s="4" t="str">
        <f>IF(Produits!D322="","",Produits!D322)</f>
        <v>AA443</v>
      </c>
      <c r="E322" s="49" t="str">
        <f>IF(Produits!F322="","",Produits!F322)</f>
        <v>1 pcs</v>
      </c>
      <c r="F322" s="50">
        <f>IF(Produits!H322="","",Produits!H322)</f>
        <v>328</v>
      </c>
      <c r="H322" s="37">
        <v>0</v>
      </c>
      <c r="I322" s="2"/>
      <c r="J322" s="69">
        <f>SUM('Archives Entrées'!$N322:$AAV322)</f>
        <v>0</v>
      </c>
      <c r="K322" s="51" t="str">
        <f t="shared" si="17"/>
        <v>0,00€</v>
      </c>
      <c r="L322" s="69">
        <f>SUM('Archives Sorties'!$M322:$AAY322)</f>
        <v>0</v>
      </c>
      <c r="M322" s="51" t="str">
        <f t="shared" si="18"/>
        <v>0,00€</v>
      </c>
      <c r="O322" s="72">
        <v>0</v>
      </c>
      <c r="P322" s="72">
        <v>0</v>
      </c>
      <c r="R322" s="185">
        <f t="shared" si="19"/>
        <v>0</v>
      </c>
      <c r="S322" s="186">
        <f t="shared" si="20"/>
        <v>0</v>
      </c>
      <c r="T322" s="187" t="str">
        <f>IF(R322="","",IF(O322=0,Famille!$D$5,IF(R322&lt;O322,Famille!$D$2,IF(R322&lt;=P322,Famille!$D$3,Famille!$D$4))))</f>
        <v>Sur commande</v>
      </c>
    </row>
    <row r="323" spans="1:20" ht="12" customHeight="1" x14ac:dyDescent="0.2">
      <c r="A323" s="4" t="str">
        <f>IF(Produits!A323="","",Produits!A323)</f>
        <v>Variflex</v>
      </c>
      <c r="B323" s="4" t="str">
        <f>IF(Produits!B323="","",Produits!B323)</f>
        <v>Semi-auto Execution</v>
      </c>
      <c r="C323" s="4" t="str">
        <f>IF(Produits!C323="","",Produits!C323)</f>
        <v>1000,00,0320</v>
      </c>
      <c r="D323" s="4" t="str">
        <f>IF(Produits!D323="","",Produits!D323)</f>
        <v>AA444</v>
      </c>
      <c r="E323" s="49" t="str">
        <f>IF(Produits!F323="","",Produits!F323)</f>
        <v>1 pcs</v>
      </c>
      <c r="F323" s="50">
        <f>IF(Produits!H323="","",Produits!H323)</f>
        <v>329</v>
      </c>
      <c r="H323" s="37">
        <v>0</v>
      </c>
      <c r="I323" s="2"/>
      <c r="J323" s="69">
        <f>SUM('Archives Entrées'!$N323:$AAV323)</f>
        <v>0</v>
      </c>
      <c r="K323" s="51" t="str">
        <f t="shared" si="17"/>
        <v>0,00€</v>
      </c>
      <c r="L323" s="69">
        <f>SUM('Archives Sorties'!$M323:$AAY323)</f>
        <v>0</v>
      </c>
      <c r="M323" s="51" t="str">
        <f t="shared" si="18"/>
        <v>0,00€</v>
      </c>
      <c r="O323" s="72">
        <v>0</v>
      </c>
      <c r="P323" s="72">
        <v>0</v>
      </c>
      <c r="R323" s="185">
        <f t="shared" si="19"/>
        <v>0</v>
      </c>
      <c r="S323" s="186">
        <f t="shared" si="20"/>
        <v>0</v>
      </c>
      <c r="T323" s="187" t="str">
        <f>IF(R323="","",IF(O323=0,Famille!$D$5,IF(R323&lt;O323,Famille!$D$2,IF(R323&lt;=P323,Famille!$D$3,Famille!$D$4))))</f>
        <v>Sur commande</v>
      </c>
    </row>
    <row r="324" spans="1:20" ht="12" customHeight="1" x14ac:dyDescent="0.2">
      <c r="A324" s="4" t="str">
        <f>IF(Produits!A324="","",Produits!A324)</f>
        <v>Variflex</v>
      </c>
      <c r="B324" s="4" t="str">
        <f>IF(Produits!B324="","",Produits!B324)</f>
        <v>Semi-auto Execution</v>
      </c>
      <c r="C324" s="4" t="str">
        <f>IF(Produits!C324="","",Produits!C324)</f>
        <v>1000,00,0321</v>
      </c>
      <c r="D324" s="4" t="str">
        <f>IF(Produits!D324="","",Produits!D324)</f>
        <v>AA445</v>
      </c>
      <c r="E324" s="49" t="str">
        <f>IF(Produits!F324="","",Produits!F324)</f>
        <v>1 pcs</v>
      </c>
      <c r="F324" s="50">
        <f>IF(Produits!H324="","",Produits!H324)</f>
        <v>330</v>
      </c>
      <c r="H324" s="37">
        <v>0</v>
      </c>
      <c r="I324" s="2"/>
      <c r="J324" s="69">
        <f>SUM('Archives Entrées'!$N324:$AAV324)</f>
        <v>0</v>
      </c>
      <c r="K324" s="51" t="str">
        <f t="shared" si="17"/>
        <v>0,00€</v>
      </c>
      <c r="L324" s="69">
        <f>SUM('Archives Sorties'!$M324:$AAY324)</f>
        <v>0</v>
      </c>
      <c r="M324" s="51" t="str">
        <f t="shared" si="18"/>
        <v>0,00€</v>
      </c>
      <c r="O324" s="72">
        <v>0</v>
      </c>
      <c r="P324" s="72">
        <v>0</v>
      </c>
      <c r="R324" s="185">
        <f t="shared" si="19"/>
        <v>0</v>
      </c>
      <c r="S324" s="186">
        <f t="shared" si="20"/>
        <v>0</v>
      </c>
      <c r="T324" s="187" t="str">
        <f>IF(R324="","",IF(O324=0,Famille!$D$5,IF(R324&lt;O324,Famille!$D$2,IF(R324&lt;=P324,Famille!$D$3,Famille!$D$4))))</f>
        <v>Sur commande</v>
      </c>
    </row>
    <row r="325" spans="1:20" ht="12" customHeight="1" x14ac:dyDescent="0.2">
      <c r="A325" s="4" t="str">
        <f>IF(Produits!A325="","",Produits!A325)</f>
        <v>Variflex</v>
      </c>
      <c r="B325" s="4" t="str">
        <f>IF(Produits!B325="","",Produits!B325)</f>
        <v>Semi-auto Execution</v>
      </c>
      <c r="C325" s="4" t="str">
        <f>IF(Produits!C325="","",Produits!C325)</f>
        <v>1000,00,0322</v>
      </c>
      <c r="D325" s="4" t="str">
        <f>IF(Produits!D325="","",Produits!D325)</f>
        <v>AA446</v>
      </c>
      <c r="E325" s="49" t="str">
        <f>IF(Produits!F325="","",Produits!F325)</f>
        <v>1 pcs</v>
      </c>
      <c r="F325" s="50">
        <f>IF(Produits!H325="","",Produits!H325)</f>
        <v>331</v>
      </c>
      <c r="H325" s="37">
        <v>0</v>
      </c>
      <c r="I325" s="2"/>
      <c r="J325" s="69">
        <f>SUM('Archives Entrées'!$N325:$AAV325)</f>
        <v>0</v>
      </c>
      <c r="K325" s="51" t="str">
        <f t="shared" ref="K325:K388" si="21">IF(J325=0,"0,00€",J325*F325)</f>
        <v>0,00€</v>
      </c>
      <c r="L325" s="69">
        <f>SUM('Archives Sorties'!$M325:$AAY325)</f>
        <v>0</v>
      </c>
      <c r="M325" s="51" t="str">
        <f t="shared" ref="M325:M388" si="22">IF(L325=0,"0,00€",L325*F325)</f>
        <v>0,00€</v>
      </c>
      <c r="O325" s="72">
        <v>0</v>
      </c>
      <c r="P325" s="72">
        <v>0</v>
      </c>
      <c r="R325" s="185">
        <f t="shared" ref="R325:R388" si="23">IF(A325="","",((J325+H325)-L325))</f>
        <v>0</v>
      </c>
      <c r="S325" s="186">
        <f t="shared" ref="S325:S388" si="24">IF(R325="","",IF(R325=0,0,IF(R325&lt;O325,0,IF(R325&lt;=P325,1,2))))</f>
        <v>0</v>
      </c>
      <c r="T325" s="187" t="str">
        <f>IF(R325="","",IF(O325=0,Famille!$D$5,IF(R325&lt;O325,Famille!$D$2,IF(R325&lt;=P325,Famille!$D$3,Famille!$D$4))))</f>
        <v>Sur commande</v>
      </c>
    </row>
    <row r="326" spans="1:20" ht="12" customHeight="1" x14ac:dyDescent="0.2">
      <c r="A326" s="4" t="str">
        <f>IF(Produits!A326="","",Produits!A326)</f>
        <v>Variflex</v>
      </c>
      <c r="B326" s="4" t="str">
        <f>IF(Produits!B326="","",Produits!B326)</f>
        <v>Divers</v>
      </c>
      <c r="C326" s="4" t="str">
        <f>IF(Produits!C326="","",Produits!C326)</f>
        <v>1000,00,0323</v>
      </c>
      <c r="D326" s="4" t="str">
        <f>IF(Produits!D326="","",Produits!D326)</f>
        <v>AA447</v>
      </c>
      <c r="E326" s="49" t="str">
        <f>IF(Produits!F326="","",Produits!F326)</f>
        <v>1 pcs</v>
      </c>
      <c r="F326" s="50">
        <f>IF(Produits!H326="","",Produits!H326)</f>
        <v>332</v>
      </c>
      <c r="H326" s="37">
        <v>5</v>
      </c>
      <c r="I326" s="2"/>
      <c r="J326" s="69">
        <f>SUM('Archives Entrées'!$N326:$AAV326)</f>
        <v>0</v>
      </c>
      <c r="K326" s="51" t="str">
        <f t="shared" si="21"/>
        <v>0,00€</v>
      </c>
      <c r="L326" s="69">
        <f>SUM('Archives Sorties'!$M326:$AAY326)</f>
        <v>0</v>
      </c>
      <c r="M326" s="51" t="str">
        <f t="shared" si="22"/>
        <v>0,00€</v>
      </c>
      <c r="O326" s="72">
        <v>15</v>
      </c>
      <c r="P326" s="72">
        <v>35</v>
      </c>
      <c r="R326" s="185">
        <f t="shared" si="23"/>
        <v>5</v>
      </c>
      <c r="S326" s="186">
        <f t="shared" si="24"/>
        <v>0</v>
      </c>
      <c r="T326" s="187" t="str">
        <f>IF(R326="","",IF(O326=0,Famille!$D$5,IF(R326&lt;O326,Famille!$D$2,IF(R326&lt;=P326,Famille!$D$3,Famille!$D$4))))</f>
        <v>A commander</v>
      </c>
    </row>
    <row r="327" spans="1:20" ht="12" customHeight="1" x14ac:dyDescent="0.2">
      <c r="A327" s="4" t="str">
        <f>IF(Produits!A327="","",Produits!A327)</f>
        <v>Variflex</v>
      </c>
      <c r="B327" s="4" t="str">
        <f>IF(Produits!B327="","",Produits!B327)</f>
        <v>Divers</v>
      </c>
      <c r="C327" s="4" t="str">
        <f>IF(Produits!C327="","",Produits!C327)</f>
        <v>1000,00,0324</v>
      </c>
      <c r="D327" s="4" t="str">
        <f>IF(Produits!D327="","",Produits!D327)</f>
        <v>AA448</v>
      </c>
      <c r="E327" s="49" t="str">
        <f>IF(Produits!F327="","",Produits!F327)</f>
        <v>1 pcs</v>
      </c>
      <c r="F327" s="50">
        <f>IF(Produits!H327="","",Produits!H327)</f>
        <v>333</v>
      </c>
      <c r="H327" s="37">
        <v>0</v>
      </c>
      <c r="I327" s="2"/>
      <c r="J327" s="69">
        <f>SUM('Archives Entrées'!$N327:$AAV327)</f>
        <v>0</v>
      </c>
      <c r="K327" s="51" t="str">
        <f t="shared" si="21"/>
        <v>0,00€</v>
      </c>
      <c r="L327" s="69">
        <f>SUM('Archives Sorties'!$M327:$AAY327)</f>
        <v>0</v>
      </c>
      <c r="M327" s="51" t="str">
        <f t="shared" si="22"/>
        <v>0,00€</v>
      </c>
      <c r="O327" s="72">
        <v>15</v>
      </c>
      <c r="P327" s="72">
        <v>35</v>
      </c>
      <c r="R327" s="185">
        <f t="shared" si="23"/>
        <v>0</v>
      </c>
      <c r="S327" s="186">
        <f t="shared" si="24"/>
        <v>0</v>
      </c>
      <c r="T327" s="187" t="str">
        <f>IF(R327="","",IF(O327=0,Famille!$D$5,IF(R327&lt;O327,Famille!$D$2,IF(R327&lt;=P327,Famille!$D$3,Famille!$D$4))))</f>
        <v>A commander</v>
      </c>
    </row>
    <row r="328" spans="1:20" ht="12" customHeight="1" x14ac:dyDescent="0.2">
      <c r="A328" s="4" t="str">
        <f>IF(Produits!A328="","",Produits!A328)</f>
        <v>Variflex</v>
      </c>
      <c r="B328" s="4" t="str">
        <f>IF(Produits!B328="","",Produits!B328)</f>
        <v>Divers</v>
      </c>
      <c r="C328" s="4" t="str">
        <f>IF(Produits!C328="","",Produits!C328)</f>
        <v>1000,00,0325</v>
      </c>
      <c r="D328" s="4" t="str">
        <f>IF(Produits!D328="","",Produits!D328)</f>
        <v>AA449</v>
      </c>
      <c r="E328" s="49" t="str">
        <f>IF(Produits!F328="","",Produits!F328)</f>
        <v>1 pcs</v>
      </c>
      <c r="F328" s="50">
        <f>IF(Produits!H328="","",Produits!H328)</f>
        <v>334</v>
      </c>
      <c r="H328" s="37">
        <v>0</v>
      </c>
      <c r="I328" s="2"/>
      <c r="J328" s="69">
        <f>SUM('Archives Entrées'!$N328:$AAV328)</f>
        <v>0</v>
      </c>
      <c r="K328" s="51" t="str">
        <f t="shared" si="21"/>
        <v>0,00€</v>
      </c>
      <c r="L328" s="69">
        <f>SUM('Archives Sorties'!$M328:$AAY328)</f>
        <v>0</v>
      </c>
      <c r="M328" s="51" t="str">
        <f t="shared" si="22"/>
        <v>0,00€</v>
      </c>
      <c r="O328" s="72">
        <v>15</v>
      </c>
      <c r="P328" s="72">
        <v>35</v>
      </c>
      <c r="R328" s="185">
        <f t="shared" si="23"/>
        <v>0</v>
      </c>
      <c r="S328" s="186">
        <f t="shared" si="24"/>
        <v>0</v>
      </c>
      <c r="T328" s="187" t="str">
        <f>IF(R328="","",IF(O328=0,Famille!$D$5,IF(R328&lt;O328,Famille!$D$2,IF(R328&lt;=P328,Famille!$D$3,Famille!$D$4))))</f>
        <v>A commander</v>
      </c>
    </row>
    <row r="329" spans="1:20" ht="12" customHeight="1" x14ac:dyDescent="0.2">
      <c r="A329" s="4" t="str">
        <f>IF(Produits!A329="","",Produits!A329)</f>
        <v>Variflex</v>
      </c>
      <c r="B329" s="4" t="str">
        <f>IF(Produits!B329="","",Produits!B329)</f>
        <v>Divers</v>
      </c>
      <c r="C329" s="4" t="str">
        <f>IF(Produits!C329="","",Produits!C329)</f>
        <v>1000,00,0326</v>
      </c>
      <c r="D329" s="4" t="str">
        <f>IF(Produits!D329="","",Produits!D329)</f>
        <v>AA450</v>
      </c>
      <c r="E329" s="49" t="str">
        <f>IF(Produits!F329="","",Produits!F329)</f>
        <v>1 pcs</v>
      </c>
      <c r="F329" s="50">
        <f>IF(Produits!H329="","",Produits!H329)</f>
        <v>335</v>
      </c>
      <c r="H329" s="37">
        <v>0</v>
      </c>
      <c r="I329" s="2"/>
      <c r="J329" s="69">
        <f>SUM('Archives Entrées'!$N329:$AAV329)</f>
        <v>0</v>
      </c>
      <c r="K329" s="51" t="str">
        <f t="shared" si="21"/>
        <v>0,00€</v>
      </c>
      <c r="L329" s="69">
        <f>SUM('Archives Sorties'!$M329:$AAY329)</f>
        <v>0</v>
      </c>
      <c r="M329" s="51" t="str">
        <f t="shared" si="22"/>
        <v>0,00€</v>
      </c>
      <c r="O329" s="72">
        <v>5</v>
      </c>
      <c r="P329" s="72">
        <v>10</v>
      </c>
      <c r="R329" s="185">
        <f t="shared" si="23"/>
        <v>0</v>
      </c>
      <c r="S329" s="186">
        <f t="shared" si="24"/>
        <v>0</v>
      </c>
      <c r="T329" s="187" t="str">
        <f>IF(R329="","",IF(O329=0,Famille!$D$5,IF(R329&lt;O329,Famille!$D$2,IF(R329&lt;=P329,Famille!$D$3,Famille!$D$4))))</f>
        <v>A commander</v>
      </c>
    </row>
    <row r="330" spans="1:20" ht="12" customHeight="1" x14ac:dyDescent="0.2">
      <c r="A330" s="4" t="str">
        <f>IF(Produits!A330="","",Produits!A330)</f>
        <v>Variflex</v>
      </c>
      <c r="B330" s="4" t="str">
        <f>IF(Produits!B330="","",Produits!B330)</f>
        <v>Divers</v>
      </c>
      <c r="C330" s="4" t="str">
        <f>IF(Produits!C330="","",Produits!C330)</f>
        <v>1000,00,0327</v>
      </c>
      <c r="D330" s="4" t="str">
        <f>IF(Produits!D330="","",Produits!D330)</f>
        <v>AA451</v>
      </c>
      <c r="E330" s="49" t="str">
        <f>IF(Produits!F330="","",Produits!F330)</f>
        <v>1 pcs</v>
      </c>
      <c r="F330" s="50">
        <f>IF(Produits!H330="","",Produits!H330)</f>
        <v>336</v>
      </c>
      <c r="H330" s="37">
        <v>0</v>
      </c>
      <c r="I330" s="2"/>
      <c r="J330" s="69">
        <f>SUM('Archives Entrées'!$N330:$AAV330)</f>
        <v>0</v>
      </c>
      <c r="K330" s="51" t="str">
        <f t="shared" si="21"/>
        <v>0,00€</v>
      </c>
      <c r="L330" s="69">
        <f>SUM('Archives Sorties'!$M330:$AAY330)</f>
        <v>0</v>
      </c>
      <c r="M330" s="51" t="str">
        <f t="shared" si="22"/>
        <v>0,00€</v>
      </c>
      <c r="O330" s="72">
        <v>5</v>
      </c>
      <c r="P330" s="72">
        <v>10</v>
      </c>
      <c r="R330" s="185">
        <f t="shared" si="23"/>
        <v>0</v>
      </c>
      <c r="S330" s="186">
        <f t="shared" si="24"/>
        <v>0</v>
      </c>
      <c r="T330" s="187" t="str">
        <f>IF(R330="","",IF(O330=0,Famille!$D$5,IF(R330&lt;O330,Famille!$D$2,IF(R330&lt;=P330,Famille!$D$3,Famille!$D$4))))</f>
        <v>A commander</v>
      </c>
    </row>
    <row r="331" spans="1:20" ht="12" customHeight="1" x14ac:dyDescent="0.2">
      <c r="A331" s="4" t="str">
        <f>IF(Produits!A331="","",Produits!A331)</f>
        <v>Variflex</v>
      </c>
      <c r="B331" s="4" t="str">
        <f>IF(Produits!B331="","",Produits!B331)</f>
        <v>Divers</v>
      </c>
      <c r="C331" s="4" t="str">
        <f>IF(Produits!C331="","",Produits!C331)</f>
        <v>1000,00,0328</v>
      </c>
      <c r="D331" s="4" t="str">
        <f>IF(Produits!D331="","",Produits!D331)</f>
        <v>AA452</v>
      </c>
      <c r="E331" s="49" t="str">
        <f>IF(Produits!F331="","",Produits!F331)</f>
        <v>1 pcs</v>
      </c>
      <c r="F331" s="50">
        <f>IF(Produits!H331="","",Produits!H331)</f>
        <v>337</v>
      </c>
      <c r="H331" s="37">
        <v>0</v>
      </c>
      <c r="I331" s="2"/>
      <c r="J331" s="69">
        <f>SUM('Archives Entrées'!$N331:$AAV331)</f>
        <v>0</v>
      </c>
      <c r="K331" s="51" t="str">
        <f t="shared" si="21"/>
        <v>0,00€</v>
      </c>
      <c r="L331" s="69">
        <f>SUM('Archives Sorties'!$M331:$AAY331)</f>
        <v>0</v>
      </c>
      <c r="M331" s="51" t="str">
        <f t="shared" si="22"/>
        <v>0,00€</v>
      </c>
      <c r="O331" s="72">
        <v>0</v>
      </c>
      <c r="P331" s="72">
        <v>0</v>
      </c>
      <c r="R331" s="185">
        <f t="shared" si="23"/>
        <v>0</v>
      </c>
      <c r="S331" s="186">
        <f t="shared" si="24"/>
        <v>0</v>
      </c>
      <c r="T331" s="187" t="str">
        <f>IF(R331="","",IF(O331=0,Famille!$D$5,IF(R331&lt;O331,Famille!$D$2,IF(R331&lt;=P331,Famille!$D$3,Famille!$D$4))))</f>
        <v>Sur commande</v>
      </c>
    </row>
    <row r="332" spans="1:20" ht="12" customHeight="1" x14ac:dyDescent="0.2">
      <c r="A332" s="4" t="str">
        <f>IF(Produits!A332="","",Produits!A332)</f>
        <v>Variflex</v>
      </c>
      <c r="B332" s="4" t="str">
        <f>IF(Produits!B332="","",Produits!B332)</f>
        <v>Divers</v>
      </c>
      <c r="C332" s="4" t="str">
        <f>IF(Produits!C332="","",Produits!C332)</f>
        <v>1000,00,0329</v>
      </c>
      <c r="D332" s="4" t="str">
        <f>IF(Produits!D332="","",Produits!D332)</f>
        <v>AA453</v>
      </c>
      <c r="E332" s="49" t="str">
        <f>IF(Produits!F332="","",Produits!F332)</f>
        <v>1 pcs</v>
      </c>
      <c r="F332" s="50">
        <f>IF(Produits!H332="","",Produits!H332)</f>
        <v>338</v>
      </c>
      <c r="H332" s="37">
        <v>0</v>
      </c>
      <c r="I332" s="2"/>
      <c r="J332" s="69">
        <f>SUM('Archives Entrées'!$N332:$AAV332)</f>
        <v>0</v>
      </c>
      <c r="K332" s="51" t="str">
        <f t="shared" si="21"/>
        <v>0,00€</v>
      </c>
      <c r="L332" s="69">
        <f>SUM('Archives Sorties'!$M332:$AAY332)</f>
        <v>0</v>
      </c>
      <c r="M332" s="51" t="str">
        <f t="shared" si="22"/>
        <v>0,00€</v>
      </c>
      <c r="O332" s="72">
        <v>0</v>
      </c>
      <c r="P332" s="72">
        <v>0</v>
      </c>
      <c r="R332" s="185">
        <f t="shared" si="23"/>
        <v>0</v>
      </c>
      <c r="S332" s="186">
        <f t="shared" si="24"/>
        <v>0</v>
      </c>
      <c r="T332" s="187" t="str">
        <f>IF(R332="","",IF(O332=0,Famille!$D$5,IF(R332&lt;O332,Famille!$D$2,IF(R332&lt;=P332,Famille!$D$3,Famille!$D$4))))</f>
        <v>Sur commande</v>
      </c>
    </row>
    <row r="333" spans="1:20" ht="12" customHeight="1" x14ac:dyDescent="0.2">
      <c r="A333" s="4" t="str">
        <f>IF(Produits!A333="","",Produits!A333)</f>
        <v>Variflex</v>
      </c>
      <c r="B333" s="4" t="str">
        <f>IF(Produits!B333="","",Produits!B333)</f>
        <v>Divers</v>
      </c>
      <c r="C333" s="4" t="str">
        <f>IF(Produits!C333="","",Produits!C333)</f>
        <v>1000,00,0330</v>
      </c>
      <c r="D333" s="4" t="str">
        <f>IF(Produits!D333="","",Produits!D333)</f>
        <v>AA454</v>
      </c>
      <c r="E333" s="49" t="str">
        <f>IF(Produits!F333="","",Produits!F333)</f>
        <v>1 pcs</v>
      </c>
      <c r="F333" s="50">
        <f>IF(Produits!H333="","",Produits!H333)</f>
        <v>339</v>
      </c>
      <c r="H333" s="37">
        <v>0</v>
      </c>
      <c r="I333" s="2"/>
      <c r="J333" s="69">
        <f>SUM('Archives Entrées'!$N333:$AAV333)</f>
        <v>0</v>
      </c>
      <c r="K333" s="51" t="str">
        <f t="shared" si="21"/>
        <v>0,00€</v>
      </c>
      <c r="L333" s="69">
        <f>SUM('Archives Sorties'!$M333:$AAY333)</f>
        <v>0</v>
      </c>
      <c r="M333" s="51" t="str">
        <f t="shared" si="22"/>
        <v>0,00€</v>
      </c>
      <c r="O333" s="72">
        <v>0</v>
      </c>
      <c r="P333" s="72">
        <v>0</v>
      </c>
      <c r="R333" s="185">
        <f t="shared" si="23"/>
        <v>0</v>
      </c>
      <c r="S333" s="186">
        <f t="shared" si="24"/>
        <v>0</v>
      </c>
      <c r="T333" s="187" t="str">
        <f>IF(R333="","",IF(O333=0,Famille!$D$5,IF(R333&lt;O333,Famille!$D$2,IF(R333&lt;=P333,Famille!$D$3,Famille!$D$4))))</f>
        <v>Sur commande</v>
      </c>
    </row>
    <row r="334" spans="1:20" ht="12" customHeight="1" x14ac:dyDescent="0.2">
      <c r="A334" s="4" t="str">
        <f>IF(Produits!A334="","",Produits!A334)</f>
        <v>Variflex</v>
      </c>
      <c r="B334" s="4" t="str">
        <f>IF(Produits!B334="","",Produits!B334)</f>
        <v>Divers</v>
      </c>
      <c r="C334" s="4" t="str">
        <f>IF(Produits!C334="","",Produits!C334)</f>
        <v>1000,00,0331</v>
      </c>
      <c r="D334" s="4" t="str">
        <f>IF(Produits!D334="","",Produits!D334)</f>
        <v>AA455</v>
      </c>
      <c r="E334" s="49" t="str">
        <f>IF(Produits!F334="","",Produits!F334)</f>
        <v>1 pcs</v>
      </c>
      <c r="F334" s="50">
        <f>IF(Produits!H334="","",Produits!H334)</f>
        <v>340</v>
      </c>
      <c r="H334" s="37">
        <v>0</v>
      </c>
      <c r="I334" s="2"/>
      <c r="J334" s="69">
        <f>SUM('Archives Entrées'!$N334:$AAV334)</f>
        <v>0</v>
      </c>
      <c r="K334" s="51" t="str">
        <f t="shared" si="21"/>
        <v>0,00€</v>
      </c>
      <c r="L334" s="69">
        <f>SUM('Archives Sorties'!$M334:$AAY334)</f>
        <v>0</v>
      </c>
      <c r="M334" s="51" t="str">
        <f t="shared" si="22"/>
        <v>0,00€</v>
      </c>
      <c r="O334" s="72">
        <v>0</v>
      </c>
      <c r="P334" s="72">
        <v>0</v>
      </c>
      <c r="R334" s="185">
        <f t="shared" si="23"/>
        <v>0</v>
      </c>
      <c r="S334" s="186">
        <f t="shared" si="24"/>
        <v>0</v>
      </c>
      <c r="T334" s="187" t="str">
        <f>IF(R334="","",IF(O334=0,Famille!$D$5,IF(R334&lt;O334,Famille!$D$2,IF(R334&lt;=P334,Famille!$D$3,Famille!$D$4))))</f>
        <v>Sur commande</v>
      </c>
    </row>
    <row r="335" spans="1:20" ht="12" customHeight="1" x14ac:dyDescent="0.2">
      <c r="A335" s="4" t="str">
        <f>IF(Produits!A335="","",Produits!A335)</f>
        <v>Variflex</v>
      </c>
      <c r="B335" s="4" t="str">
        <f>IF(Produits!B335="","",Produits!B335)</f>
        <v>Divers</v>
      </c>
      <c r="C335" s="4" t="str">
        <f>IF(Produits!C335="","",Produits!C335)</f>
        <v>1000,00,0332</v>
      </c>
      <c r="D335" s="4" t="str">
        <f>IF(Produits!D335="","",Produits!D335)</f>
        <v>AA456</v>
      </c>
      <c r="E335" s="49" t="str">
        <f>IF(Produits!F335="","",Produits!F335)</f>
        <v>1 pcs</v>
      </c>
      <c r="F335" s="50">
        <f>IF(Produits!H335="","",Produits!H335)</f>
        <v>341</v>
      </c>
      <c r="H335" s="37">
        <v>0</v>
      </c>
      <c r="I335" s="2"/>
      <c r="J335" s="69">
        <f>SUM('Archives Entrées'!$N335:$AAV335)</f>
        <v>0</v>
      </c>
      <c r="K335" s="51" t="str">
        <f t="shared" si="21"/>
        <v>0,00€</v>
      </c>
      <c r="L335" s="69">
        <f>SUM('Archives Sorties'!$M335:$AAY335)</f>
        <v>0</v>
      </c>
      <c r="M335" s="51" t="str">
        <f t="shared" si="22"/>
        <v>0,00€</v>
      </c>
      <c r="O335" s="72">
        <v>0</v>
      </c>
      <c r="P335" s="72">
        <v>0</v>
      </c>
      <c r="R335" s="185">
        <f t="shared" si="23"/>
        <v>0</v>
      </c>
      <c r="S335" s="186">
        <f t="shared" si="24"/>
        <v>0</v>
      </c>
      <c r="T335" s="187" t="str">
        <f>IF(R335="","",IF(O335=0,Famille!$D$5,IF(R335&lt;O335,Famille!$D$2,IF(R335&lt;=P335,Famille!$D$3,Famille!$D$4))))</f>
        <v>Sur commande</v>
      </c>
    </row>
    <row r="336" spans="1:20" ht="12" customHeight="1" x14ac:dyDescent="0.2">
      <c r="A336" s="4" t="str">
        <f>IF(Produits!A336="","",Produits!A336)</f>
        <v>Variflex</v>
      </c>
      <c r="B336" s="4" t="str">
        <f>IF(Produits!B336="","",Produits!B336)</f>
        <v>Divers</v>
      </c>
      <c r="C336" s="4" t="str">
        <f>IF(Produits!C336="","",Produits!C336)</f>
        <v>1000,00,0333</v>
      </c>
      <c r="D336" s="4" t="str">
        <f>IF(Produits!D336="","",Produits!D336)</f>
        <v>AA457</v>
      </c>
      <c r="E336" s="49" t="str">
        <f>IF(Produits!F336="","",Produits!F336)</f>
        <v>1 pcs</v>
      </c>
      <c r="F336" s="50">
        <f>IF(Produits!H336="","",Produits!H336)</f>
        <v>342</v>
      </c>
      <c r="H336" s="37">
        <v>0</v>
      </c>
      <c r="I336" s="2"/>
      <c r="J336" s="69">
        <f>SUM('Archives Entrées'!$N336:$AAV336)</f>
        <v>0</v>
      </c>
      <c r="K336" s="51" t="str">
        <f t="shared" si="21"/>
        <v>0,00€</v>
      </c>
      <c r="L336" s="69">
        <f>SUM('Archives Sorties'!$M336:$AAY336)</f>
        <v>0</v>
      </c>
      <c r="M336" s="51" t="str">
        <f t="shared" si="22"/>
        <v>0,00€</v>
      </c>
      <c r="O336" s="72">
        <v>0</v>
      </c>
      <c r="P336" s="72">
        <v>0</v>
      </c>
      <c r="R336" s="185">
        <f t="shared" si="23"/>
        <v>0</v>
      </c>
      <c r="S336" s="186">
        <f t="shared" si="24"/>
        <v>0</v>
      </c>
      <c r="T336" s="187" t="str">
        <f>IF(R336="","",IF(O336=0,Famille!$D$5,IF(R336&lt;O336,Famille!$D$2,IF(R336&lt;=P336,Famille!$D$3,Famille!$D$4))))</f>
        <v>Sur commande</v>
      </c>
    </row>
    <row r="337" spans="1:20" ht="12" customHeight="1" x14ac:dyDescent="0.2">
      <c r="A337" s="4" t="str">
        <f>IF(Produits!A337="","",Produits!A337)</f>
        <v>Variflex</v>
      </c>
      <c r="B337" s="4" t="str">
        <f>IF(Produits!B337="","",Produits!B337)</f>
        <v>Divers</v>
      </c>
      <c r="C337" s="4" t="str">
        <f>IF(Produits!C337="","",Produits!C337)</f>
        <v>1000,00,0334</v>
      </c>
      <c r="D337" s="4" t="str">
        <f>IF(Produits!D337="","",Produits!D337)</f>
        <v>AA458</v>
      </c>
      <c r="E337" s="49" t="str">
        <f>IF(Produits!F337="","",Produits!F337)</f>
        <v>1 pcs</v>
      </c>
      <c r="F337" s="50">
        <f>IF(Produits!H337="","",Produits!H337)</f>
        <v>343</v>
      </c>
      <c r="H337" s="37">
        <v>0</v>
      </c>
      <c r="I337" s="2"/>
      <c r="J337" s="69">
        <f>SUM('Archives Entrées'!$N337:$AAV337)</f>
        <v>0</v>
      </c>
      <c r="K337" s="51" t="str">
        <f t="shared" si="21"/>
        <v>0,00€</v>
      </c>
      <c r="L337" s="69">
        <f>SUM('Archives Sorties'!$M337:$AAY337)</f>
        <v>0</v>
      </c>
      <c r="M337" s="51" t="str">
        <f t="shared" si="22"/>
        <v>0,00€</v>
      </c>
      <c r="O337" s="72">
        <v>0</v>
      </c>
      <c r="P337" s="72">
        <v>0</v>
      </c>
      <c r="R337" s="185">
        <f t="shared" si="23"/>
        <v>0</v>
      </c>
      <c r="S337" s="186">
        <f t="shared" si="24"/>
        <v>0</v>
      </c>
      <c r="T337" s="187" t="str">
        <f>IF(R337="","",IF(O337=0,Famille!$D$5,IF(R337&lt;O337,Famille!$D$2,IF(R337&lt;=P337,Famille!$D$3,Famille!$D$4))))</f>
        <v>Sur commande</v>
      </c>
    </row>
    <row r="338" spans="1:20" ht="12" customHeight="1" x14ac:dyDescent="0.2">
      <c r="A338" s="4" t="str">
        <f>IF(Produits!A338="","",Produits!A338)</f>
        <v>Variflex</v>
      </c>
      <c r="B338" s="4" t="str">
        <f>IF(Produits!B338="","",Produits!B338)</f>
        <v>Divers</v>
      </c>
      <c r="C338" s="4" t="str">
        <f>IF(Produits!C338="","",Produits!C338)</f>
        <v>1000,00,0335</v>
      </c>
      <c r="D338" s="4" t="str">
        <f>IF(Produits!D338="","",Produits!D338)</f>
        <v>AA459</v>
      </c>
      <c r="E338" s="49" t="str">
        <f>IF(Produits!F338="","",Produits!F338)</f>
        <v>1 pcs</v>
      </c>
      <c r="F338" s="50">
        <f>IF(Produits!H338="","",Produits!H338)</f>
        <v>344</v>
      </c>
      <c r="H338" s="37">
        <v>0</v>
      </c>
      <c r="I338" s="2"/>
      <c r="J338" s="69">
        <f>SUM('Archives Entrées'!$N338:$AAV338)</f>
        <v>0</v>
      </c>
      <c r="K338" s="51" t="str">
        <f t="shared" si="21"/>
        <v>0,00€</v>
      </c>
      <c r="L338" s="69">
        <f>SUM('Archives Sorties'!$M338:$AAY338)</f>
        <v>0</v>
      </c>
      <c r="M338" s="51" t="str">
        <f t="shared" si="22"/>
        <v>0,00€</v>
      </c>
      <c r="O338" s="72">
        <v>0</v>
      </c>
      <c r="P338" s="72">
        <v>0</v>
      </c>
      <c r="R338" s="185">
        <f t="shared" si="23"/>
        <v>0</v>
      </c>
      <c r="S338" s="186">
        <f t="shared" si="24"/>
        <v>0</v>
      </c>
      <c r="T338" s="187" t="str">
        <f>IF(R338="","",IF(O338=0,Famille!$D$5,IF(R338&lt;O338,Famille!$D$2,IF(R338&lt;=P338,Famille!$D$3,Famille!$D$4))))</f>
        <v>Sur commande</v>
      </c>
    </row>
    <row r="339" spans="1:20" ht="12" customHeight="1" x14ac:dyDescent="0.2">
      <c r="A339" s="4" t="str">
        <f>IF(Produits!A339="","",Produits!A339)</f>
        <v>Variflex</v>
      </c>
      <c r="B339" s="4" t="str">
        <f>IF(Produits!B339="","",Produits!B339)</f>
        <v>Divers</v>
      </c>
      <c r="C339" s="4" t="str">
        <f>IF(Produits!C339="","",Produits!C339)</f>
        <v>1000,00,0336</v>
      </c>
      <c r="D339" s="4" t="str">
        <f>IF(Produits!D339="","",Produits!D339)</f>
        <v>AA460</v>
      </c>
      <c r="E339" s="49" t="str">
        <f>IF(Produits!F339="","",Produits!F339)</f>
        <v>1 pcs</v>
      </c>
      <c r="F339" s="50">
        <f>IF(Produits!H339="","",Produits!H339)</f>
        <v>345</v>
      </c>
      <c r="H339" s="37">
        <v>0</v>
      </c>
      <c r="I339" s="2"/>
      <c r="J339" s="69">
        <f>SUM('Archives Entrées'!$N339:$AAV339)</f>
        <v>0</v>
      </c>
      <c r="K339" s="51" t="str">
        <f t="shared" si="21"/>
        <v>0,00€</v>
      </c>
      <c r="L339" s="69">
        <f>SUM('Archives Sorties'!$M339:$AAY339)</f>
        <v>0</v>
      </c>
      <c r="M339" s="51" t="str">
        <f t="shared" si="22"/>
        <v>0,00€</v>
      </c>
      <c r="O339" s="72">
        <v>0</v>
      </c>
      <c r="P339" s="72">
        <v>0</v>
      </c>
      <c r="R339" s="185">
        <f t="shared" si="23"/>
        <v>0</v>
      </c>
      <c r="S339" s="186">
        <f t="shared" si="24"/>
        <v>0</v>
      </c>
      <c r="T339" s="187" t="str">
        <f>IF(R339="","",IF(O339=0,Famille!$D$5,IF(R339&lt;O339,Famille!$D$2,IF(R339&lt;=P339,Famille!$D$3,Famille!$D$4))))</f>
        <v>Sur commande</v>
      </c>
    </row>
    <row r="340" spans="1:20" ht="12" customHeight="1" x14ac:dyDescent="0.2">
      <c r="A340" s="4" t="str">
        <f>IF(Produits!A340="","",Produits!A340)</f>
        <v>Variflex</v>
      </c>
      <c r="B340" s="4" t="str">
        <f>IF(Produits!B340="","",Produits!B340)</f>
        <v>Divers</v>
      </c>
      <c r="C340" s="4" t="str">
        <f>IF(Produits!C340="","",Produits!C340)</f>
        <v>1000,00,0337</v>
      </c>
      <c r="D340" s="4" t="str">
        <f>IF(Produits!D340="","",Produits!D340)</f>
        <v>AA461</v>
      </c>
      <c r="E340" s="49" t="str">
        <f>IF(Produits!F340="","",Produits!F340)</f>
        <v>1 pcs</v>
      </c>
      <c r="F340" s="50">
        <f>IF(Produits!H340="","",Produits!H340)</f>
        <v>346</v>
      </c>
      <c r="H340" s="37">
        <v>0</v>
      </c>
      <c r="I340" s="2"/>
      <c r="J340" s="69">
        <f>SUM('Archives Entrées'!$N340:$AAV340)</f>
        <v>0</v>
      </c>
      <c r="K340" s="51" t="str">
        <f t="shared" si="21"/>
        <v>0,00€</v>
      </c>
      <c r="L340" s="69">
        <f>SUM('Archives Sorties'!$M340:$AAY340)</f>
        <v>0</v>
      </c>
      <c r="M340" s="51" t="str">
        <f t="shared" si="22"/>
        <v>0,00€</v>
      </c>
      <c r="O340" s="72">
        <v>0</v>
      </c>
      <c r="P340" s="72">
        <v>0</v>
      </c>
      <c r="R340" s="185">
        <f t="shared" si="23"/>
        <v>0</v>
      </c>
      <c r="S340" s="186">
        <f t="shared" si="24"/>
        <v>0</v>
      </c>
      <c r="T340" s="187" t="str">
        <f>IF(R340="","",IF(O340=0,Famille!$D$5,IF(R340&lt;O340,Famille!$D$2,IF(R340&lt;=P340,Famille!$D$3,Famille!$D$4))))</f>
        <v>Sur commande</v>
      </c>
    </row>
    <row r="341" spans="1:20" ht="12" customHeight="1" x14ac:dyDescent="0.2">
      <c r="A341" s="4" t="str">
        <f>IF(Produits!A341="","",Produits!A341)</f>
        <v>Variflex</v>
      </c>
      <c r="B341" s="4" t="str">
        <f>IF(Produits!B341="","",Produits!B341)</f>
        <v>Divers</v>
      </c>
      <c r="C341" s="4" t="str">
        <f>IF(Produits!C341="","",Produits!C341)</f>
        <v>1000,00,0338</v>
      </c>
      <c r="D341" s="4" t="str">
        <f>IF(Produits!D341="","",Produits!D341)</f>
        <v>AA462</v>
      </c>
      <c r="E341" s="49" t="str">
        <f>IF(Produits!F341="","",Produits!F341)</f>
        <v>1 pcs</v>
      </c>
      <c r="F341" s="50">
        <f>IF(Produits!H341="","",Produits!H341)</f>
        <v>347</v>
      </c>
      <c r="H341" s="37">
        <v>0</v>
      </c>
      <c r="I341" s="2"/>
      <c r="J341" s="69">
        <f>SUM('Archives Entrées'!$N341:$AAV341)</f>
        <v>0</v>
      </c>
      <c r="K341" s="51" t="str">
        <f t="shared" si="21"/>
        <v>0,00€</v>
      </c>
      <c r="L341" s="69">
        <f>SUM('Archives Sorties'!$M341:$AAY341)</f>
        <v>0</v>
      </c>
      <c r="M341" s="51" t="str">
        <f t="shared" si="22"/>
        <v>0,00€</v>
      </c>
      <c r="O341" s="72">
        <v>0</v>
      </c>
      <c r="P341" s="72">
        <v>0</v>
      </c>
      <c r="R341" s="185">
        <f t="shared" si="23"/>
        <v>0</v>
      </c>
      <c r="S341" s="186">
        <f t="shared" si="24"/>
        <v>0</v>
      </c>
      <c r="T341" s="187" t="str">
        <f>IF(R341="","",IF(O341=0,Famille!$D$5,IF(R341&lt;O341,Famille!$D$2,IF(R341&lt;=P341,Famille!$D$3,Famille!$D$4))))</f>
        <v>Sur commande</v>
      </c>
    </row>
    <row r="342" spans="1:20" ht="12" customHeight="1" x14ac:dyDescent="0.2">
      <c r="A342" s="4" t="str">
        <f>IF(Produits!A342="","",Produits!A342)</f>
        <v>Variflex</v>
      </c>
      <c r="B342" s="4" t="str">
        <f>IF(Produits!B342="","",Produits!B342)</f>
        <v>Divers</v>
      </c>
      <c r="C342" s="4" t="str">
        <f>IF(Produits!C342="","",Produits!C342)</f>
        <v>1000,00,0339</v>
      </c>
      <c r="D342" s="4" t="str">
        <f>IF(Produits!D342="","",Produits!D342)</f>
        <v>AA463</v>
      </c>
      <c r="E342" s="49" t="str">
        <f>IF(Produits!F342="","",Produits!F342)</f>
        <v>1 pcs</v>
      </c>
      <c r="F342" s="50">
        <f>IF(Produits!H342="","",Produits!H342)</f>
        <v>348</v>
      </c>
      <c r="H342" s="37">
        <v>0</v>
      </c>
      <c r="I342" s="2"/>
      <c r="J342" s="69">
        <f>SUM('Archives Entrées'!$N342:$AAV342)</f>
        <v>0</v>
      </c>
      <c r="K342" s="51" t="str">
        <f t="shared" si="21"/>
        <v>0,00€</v>
      </c>
      <c r="L342" s="69">
        <f>SUM('Archives Sorties'!$M342:$AAY342)</f>
        <v>0</v>
      </c>
      <c r="M342" s="51" t="str">
        <f t="shared" si="22"/>
        <v>0,00€</v>
      </c>
      <c r="O342" s="72">
        <v>0</v>
      </c>
      <c r="P342" s="72">
        <v>0</v>
      </c>
      <c r="R342" s="185">
        <f t="shared" si="23"/>
        <v>0</v>
      </c>
      <c r="S342" s="186">
        <f t="shared" si="24"/>
        <v>0</v>
      </c>
      <c r="T342" s="187" t="str">
        <f>IF(R342="","",IF(O342=0,Famille!$D$5,IF(R342&lt;O342,Famille!$D$2,IF(R342&lt;=P342,Famille!$D$3,Famille!$D$4))))</f>
        <v>Sur commande</v>
      </c>
    </row>
    <row r="343" spans="1:20" ht="12" customHeight="1" x14ac:dyDescent="0.2">
      <c r="A343" s="4" t="str">
        <f>IF(Produits!A343="","",Produits!A343)</f>
        <v>Variflex</v>
      </c>
      <c r="B343" s="4" t="str">
        <f>IF(Produits!B343="","",Produits!B343)</f>
        <v>Divers</v>
      </c>
      <c r="C343" s="4" t="str">
        <f>IF(Produits!C343="","",Produits!C343)</f>
        <v>1000,00,0340</v>
      </c>
      <c r="D343" s="4" t="str">
        <f>IF(Produits!D343="","",Produits!D343)</f>
        <v>AA464</v>
      </c>
      <c r="E343" s="49" t="str">
        <f>IF(Produits!F343="","",Produits!F343)</f>
        <v>1 pcs</v>
      </c>
      <c r="F343" s="50">
        <f>IF(Produits!H343="","",Produits!H343)</f>
        <v>349</v>
      </c>
      <c r="H343" s="37">
        <v>0</v>
      </c>
      <c r="I343" s="2"/>
      <c r="J343" s="69">
        <f>SUM('Archives Entrées'!$N343:$AAV343)</f>
        <v>0</v>
      </c>
      <c r="K343" s="51" t="str">
        <f t="shared" si="21"/>
        <v>0,00€</v>
      </c>
      <c r="L343" s="69">
        <f>SUM('Archives Sorties'!$M343:$AAY343)</f>
        <v>0</v>
      </c>
      <c r="M343" s="51" t="str">
        <f t="shared" si="22"/>
        <v>0,00€</v>
      </c>
      <c r="O343" s="72">
        <v>0</v>
      </c>
      <c r="P343" s="72">
        <v>0</v>
      </c>
      <c r="R343" s="185">
        <f t="shared" si="23"/>
        <v>0</v>
      </c>
      <c r="S343" s="186">
        <f t="shared" si="24"/>
        <v>0</v>
      </c>
      <c r="T343" s="187" t="str">
        <f>IF(R343="","",IF(O343=0,Famille!$D$5,IF(R343&lt;O343,Famille!$D$2,IF(R343&lt;=P343,Famille!$D$3,Famille!$D$4))))</f>
        <v>Sur commande</v>
      </c>
    </row>
    <row r="344" spans="1:20" ht="12" customHeight="1" x14ac:dyDescent="0.2">
      <c r="A344" s="4" t="str">
        <f>IF(Produits!A344="","",Produits!A344)</f>
        <v>ComfortDrive</v>
      </c>
      <c r="B344" s="4" t="str">
        <f>IF(Produits!B344="","",Produits!B344)</f>
        <v>Ceiling Track</v>
      </c>
      <c r="C344" s="4" t="str">
        <f>IF(Produits!C344="","",Produits!C344)</f>
        <v>1000,00,0341</v>
      </c>
      <c r="D344" s="4" t="str">
        <f>IF(Produits!D344="","",Produits!D344)</f>
        <v>AA465</v>
      </c>
      <c r="E344" s="49" t="str">
        <f>IF(Produits!F344="","",Produits!F344)</f>
        <v>1 pcs</v>
      </c>
      <c r="F344" s="50">
        <f>IF(Produits!H344="","",Produits!H344)</f>
        <v>350</v>
      </c>
      <c r="H344" s="37">
        <v>0</v>
      </c>
      <c r="I344" s="2"/>
      <c r="J344" s="69">
        <f>SUM('Archives Entrées'!$N344:$AAV344)</f>
        <v>0</v>
      </c>
      <c r="K344" s="51" t="str">
        <f t="shared" si="21"/>
        <v>0,00€</v>
      </c>
      <c r="L344" s="69">
        <f>SUM('Archives Sorties'!$M344:$AAY344)</f>
        <v>0</v>
      </c>
      <c r="M344" s="51" t="str">
        <f t="shared" si="22"/>
        <v>0,00€</v>
      </c>
      <c r="O344" s="72">
        <v>0</v>
      </c>
      <c r="P344" s="72">
        <v>0</v>
      </c>
      <c r="R344" s="185">
        <f t="shared" si="23"/>
        <v>0</v>
      </c>
      <c r="S344" s="186">
        <f t="shared" si="24"/>
        <v>0</v>
      </c>
      <c r="T344" s="187" t="str">
        <f>IF(R344="","",IF(O344=0,Famille!$D$5,IF(R344&lt;O344,Famille!$D$2,IF(R344&lt;=P344,Famille!$D$3,Famille!$D$4))))</f>
        <v>Sur commande</v>
      </c>
    </row>
    <row r="345" spans="1:20" ht="12" customHeight="1" x14ac:dyDescent="0.2">
      <c r="A345" s="4" t="str">
        <f>IF(Produits!A345="","",Produits!A345)</f>
        <v>ComfortDrive</v>
      </c>
      <c r="B345" s="4" t="str">
        <f>IF(Produits!B345="","",Produits!B345)</f>
        <v>Ceiling Track</v>
      </c>
      <c r="C345" s="4" t="str">
        <f>IF(Produits!C345="","",Produits!C345)</f>
        <v>1000,00,0342</v>
      </c>
      <c r="D345" s="4" t="str">
        <f>IF(Produits!D345="","",Produits!D345)</f>
        <v>AA466</v>
      </c>
      <c r="E345" s="49" t="str">
        <f>IF(Produits!F345="","",Produits!F345)</f>
        <v>1 pcs</v>
      </c>
      <c r="F345" s="50">
        <f>IF(Produits!H345="","",Produits!H345)</f>
        <v>351</v>
      </c>
      <c r="H345" s="37">
        <v>0</v>
      </c>
      <c r="I345" s="2"/>
      <c r="J345" s="69">
        <f>SUM('Archives Entrées'!$N345:$AAV345)</f>
        <v>0</v>
      </c>
      <c r="K345" s="51" t="str">
        <f t="shared" si="21"/>
        <v>0,00€</v>
      </c>
      <c r="L345" s="69">
        <f>SUM('Archives Sorties'!$M345:$AAY345)</f>
        <v>0</v>
      </c>
      <c r="M345" s="51" t="str">
        <f t="shared" si="22"/>
        <v>0,00€</v>
      </c>
      <c r="O345" s="72">
        <v>0</v>
      </c>
      <c r="P345" s="72">
        <v>0</v>
      </c>
      <c r="R345" s="185">
        <f t="shared" si="23"/>
        <v>0</v>
      </c>
      <c r="S345" s="186">
        <f t="shared" si="24"/>
        <v>0</v>
      </c>
      <c r="T345" s="187" t="str">
        <f>IF(R345="","",IF(O345=0,Famille!$D$5,IF(R345&lt;O345,Famille!$D$2,IF(R345&lt;=P345,Famille!$D$3,Famille!$D$4))))</f>
        <v>Sur commande</v>
      </c>
    </row>
    <row r="346" spans="1:20" ht="12" customHeight="1" x14ac:dyDescent="0.2">
      <c r="A346" s="4" t="str">
        <f>IF(Produits!A346="","",Produits!A346)</f>
        <v>ComfortDrive</v>
      </c>
      <c r="B346" s="4" t="str">
        <f>IF(Produits!B346="","",Produits!B346)</f>
        <v>Ceiling Track</v>
      </c>
      <c r="C346" s="4" t="str">
        <f>IF(Produits!C346="","",Produits!C346)</f>
        <v>1000,00,0343</v>
      </c>
      <c r="D346" s="4" t="str">
        <f>IF(Produits!D346="","",Produits!D346)</f>
        <v>AA467</v>
      </c>
      <c r="E346" s="49" t="str">
        <f>IF(Produits!F346="","",Produits!F346)</f>
        <v>1 pcs</v>
      </c>
      <c r="F346" s="50">
        <f>IF(Produits!H346="","",Produits!H346)</f>
        <v>352</v>
      </c>
      <c r="H346" s="37">
        <v>0</v>
      </c>
      <c r="I346" s="2"/>
      <c r="J346" s="69">
        <f>SUM('Archives Entrées'!$N346:$AAV346)</f>
        <v>0</v>
      </c>
      <c r="K346" s="51" t="str">
        <f t="shared" si="21"/>
        <v>0,00€</v>
      </c>
      <c r="L346" s="69">
        <f>SUM('Archives Sorties'!$M346:$AAY346)</f>
        <v>0</v>
      </c>
      <c r="M346" s="51" t="str">
        <f t="shared" si="22"/>
        <v>0,00€</v>
      </c>
      <c r="O346" s="72">
        <v>0</v>
      </c>
      <c r="P346" s="72">
        <v>0</v>
      </c>
      <c r="R346" s="185">
        <f t="shared" si="23"/>
        <v>0</v>
      </c>
      <c r="S346" s="186">
        <f t="shared" si="24"/>
        <v>0</v>
      </c>
      <c r="T346" s="187" t="str">
        <f>IF(R346="","",IF(O346=0,Famille!$D$5,IF(R346&lt;O346,Famille!$D$2,IF(R346&lt;=P346,Famille!$D$3,Famille!$D$4))))</f>
        <v>Sur commande</v>
      </c>
    </row>
    <row r="347" spans="1:20" ht="12" customHeight="1" x14ac:dyDescent="0.2">
      <c r="A347" s="4" t="str">
        <f>IF(Produits!A347="","",Produits!A347)</f>
        <v>ComfortDrive</v>
      </c>
      <c r="B347" s="4" t="str">
        <f>IF(Produits!B347="","",Produits!B347)</f>
        <v>Ceiling Track</v>
      </c>
      <c r="C347" s="4" t="str">
        <f>IF(Produits!C347="","",Produits!C347)</f>
        <v>1000,00,0344</v>
      </c>
      <c r="D347" s="4" t="str">
        <f>IF(Produits!D347="","",Produits!D347)</f>
        <v>AA468</v>
      </c>
      <c r="E347" s="49" t="str">
        <f>IF(Produits!F347="","",Produits!F347)</f>
        <v>1 pcs</v>
      </c>
      <c r="F347" s="50">
        <f>IF(Produits!H347="","",Produits!H347)</f>
        <v>353</v>
      </c>
      <c r="H347" s="37">
        <v>0</v>
      </c>
      <c r="I347" s="2"/>
      <c r="J347" s="69">
        <f>SUM('Archives Entrées'!$N347:$AAV347)</f>
        <v>0</v>
      </c>
      <c r="K347" s="51" t="str">
        <f t="shared" si="21"/>
        <v>0,00€</v>
      </c>
      <c r="L347" s="69">
        <f>SUM('Archives Sorties'!$M347:$AAY347)</f>
        <v>0</v>
      </c>
      <c r="M347" s="51" t="str">
        <f t="shared" si="22"/>
        <v>0,00€</v>
      </c>
      <c r="O347" s="72">
        <v>0</v>
      </c>
      <c r="P347" s="72">
        <v>0</v>
      </c>
      <c r="R347" s="185">
        <f t="shared" si="23"/>
        <v>0</v>
      </c>
      <c r="S347" s="186">
        <f t="shared" si="24"/>
        <v>0</v>
      </c>
      <c r="T347" s="187" t="str">
        <f>IF(R347="","",IF(O347=0,Famille!$D$5,IF(R347&lt;O347,Famille!$D$2,IF(R347&lt;=P347,Famille!$D$3,Famille!$D$4))))</f>
        <v>Sur commande</v>
      </c>
    </row>
    <row r="348" spans="1:20" ht="12" customHeight="1" x14ac:dyDescent="0.2">
      <c r="A348" s="4" t="str">
        <f>IF(Produits!A348="","",Produits!A348)</f>
        <v>ComfortDrive</v>
      </c>
      <c r="B348" s="4" t="str">
        <f>IF(Produits!B348="","",Produits!B348)</f>
        <v>Ceiling Track</v>
      </c>
      <c r="C348" s="4" t="str">
        <f>IF(Produits!C348="","",Produits!C348)</f>
        <v>1000,00,0345</v>
      </c>
      <c r="D348" s="4" t="str">
        <f>IF(Produits!D348="","",Produits!D348)</f>
        <v>AA469</v>
      </c>
      <c r="E348" s="49" t="str">
        <f>IF(Produits!F348="","",Produits!F348)</f>
        <v>1 pcs</v>
      </c>
      <c r="F348" s="50">
        <f>IF(Produits!H348="","",Produits!H348)</f>
        <v>354</v>
      </c>
      <c r="H348" s="37">
        <v>0</v>
      </c>
      <c r="I348" s="2"/>
      <c r="J348" s="69">
        <f>SUM('Archives Entrées'!$N348:$AAV348)</f>
        <v>0</v>
      </c>
      <c r="K348" s="51" t="str">
        <f t="shared" si="21"/>
        <v>0,00€</v>
      </c>
      <c r="L348" s="69">
        <f>SUM('Archives Sorties'!$M348:$AAY348)</f>
        <v>0</v>
      </c>
      <c r="M348" s="51" t="str">
        <f t="shared" si="22"/>
        <v>0,00€</v>
      </c>
      <c r="O348" s="72">
        <v>0</v>
      </c>
      <c r="P348" s="72">
        <v>0</v>
      </c>
      <c r="R348" s="185">
        <f t="shared" si="23"/>
        <v>0</v>
      </c>
      <c r="S348" s="186">
        <f t="shared" si="24"/>
        <v>0</v>
      </c>
      <c r="T348" s="187" t="str">
        <f>IF(R348="","",IF(O348=0,Famille!$D$5,IF(R348&lt;O348,Famille!$D$2,IF(R348&lt;=P348,Famille!$D$3,Famille!$D$4))))</f>
        <v>Sur commande</v>
      </c>
    </row>
    <row r="349" spans="1:20" ht="12" customHeight="1" x14ac:dyDescent="0.2">
      <c r="A349" s="4" t="str">
        <f>IF(Produits!A349="","",Produits!A349)</f>
        <v>ComfortDrive</v>
      </c>
      <c r="B349" s="4" t="str">
        <f>IF(Produits!B349="","",Produits!B349)</f>
        <v>Ceiling Track</v>
      </c>
      <c r="C349" s="4" t="str">
        <f>IF(Produits!C349="","",Produits!C349)</f>
        <v>1000,00,0346</v>
      </c>
      <c r="D349" s="4" t="str">
        <f>IF(Produits!D349="","",Produits!D349)</f>
        <v>AA470</v>
      </c>
      <c r="E349" s="49" t="str">
        <f>IF(Produits!F349="","",Produits!F349)</f>
        <v>1 pcs</v>
      </c>
      <c r="F349" s="50">
        <f>IF(Produits!H349="","",Produits!H349)</f>
        <v>355</v>
      </c>
      <c r="H349" s="37">
        <v>0</v>
      </c>
      <c r="I349" s="2"/>
      <c r="J349" s="69">
        <f>SUM('Archives Entrées'!$N349:$AAV349)</f>
        <v>0</v>
      </c>
      <c r="K349" s="51" t="str">
        <f t="shared" si="21"/>
        <v>0,00€</v>
      </c>
      <c r="L349" s="69">
        <f>SUM('Archives Sorties'!$M349:$AAY349)</f>
        <v>0</v>
      </c>
      <c r="M349" s="51" t="str">
        <f t="shared" si="22"/>
        <v>0,00€</v>
      </c>
      <c r="O349" s="72">
        <v>0</v>
      </c>
      <c r="P349" s="72">
        <v>0</v>
      </c>
      <c r="R349" s="185">
        <f t="shared" si="23"/>
        <v>0</v>
      </c>
      <c r="S349" s="186">
        <f t="shared" si="24"/>
        <v>0</v>
      </c>
      <c r="T349" s="187" t="str">
        <f>IF(R349="","",IF(O349=0,Famille!$D$5,IF(R349&lt;O349,Famille!$D$2,IF(R349&lt;=P349,Famille!$D$3,Famille!$D$4))))</f>
        <v>Sur commande</v>
      </c>
    </row>
    <row r="350" spans="1:20" ht="12" customHeight="1" x14ac:dyDescent="0.2">
      <c r="A350" s="4" t="str">
        <f>IF(Produits!A350="","",Produits!A350)</f>
        <v>ComfortDrive</v>
      </c>
      <c r="B350" s="4" t="str">
        <f>IF(Produits!B350="","",Produits!B350)</f>
        <v>Ceiling Track</v>
      </c>
      <c r="C350" s="4" t="str">
        <f>IF(Produits!C350="","",Produits!C350)</f>
        <v>1000,00,0347</v>
      </c>
      <c r="D350" s="4" t="str">
        <f>IF(Produits!D350="","",Produits!D350)</f>
        <v>AA471</v>
      </c>
      <c r="E350" s="49" t="str">
        <f>IF(Produits!F350="","",Produits!F350)</f>
        <v>1 pcs</v>
      </c>
      <c r="F350" s="50">
        <f>IF(Produits!H350="","",Produits!H350)</f>
        <v>356</v>
      </c>
      <c r="H350" s="37">
        <v>0</v>
      </c>
      <c r="I350" s="2"/>
      <c r="J350" s="69">
        <f>SUM('Archives Entrées'!$N350:$AAV350)</f>
        <v>0</v>
      </c>
      <c r="K350" s="51" t="str">
        <f t="shared" si="21"/>
        <v>0,00€</v>
      </c>
      <c r="L350" s="69">
        <f>SUM('Archives Sorties'!$M350:$AAY350)</f>
        <v>0</v>
      </c>
      <c r="M350" s="51" t="str">
        <f t="shared" si="22"/>
        <v>0,00€</v>
      </c>
      <c r="O350" s="72">
        <v>0</v>
      </c>
      <c r="P350" s="72">
        <v>0</v>
      </c>
      <c r="R350" s="185">
        <f t="shared" si="23"/>
        <v>0</v>
      </c>
      <c r="S350" s="186">
        <f t="shared" si="24"/>
        <v>0</v>
      </c>
      <c r="T350" s="187" t="str">
        <f>IF(R350="","",IF(O350=0,Famille!$D$5,IF(R350&lt;O350,Famille!$D$2,IF(R350&lt;=P350,Famille!$D$3,Famille!$D$4))))</f>
        <v>Sur commande</v>
      </c>
    </row>
    <row r="351" spans="1:20" ht="12" customHeight="1" x14ac:dyDescent="0.2">
      <c r="A351" s="4" t="str">
        <f>IF(Produits!A351="","",Produits!A351)</f>
        <v>ComfortDrive</v>
      </c>
      <c r="B351" s="4" t="str">
        <f>IF(Produits!B351="","",Produits!B351)</f>
        <v>Element</v>
      </c>
      <c r="C351" s="4" t="str">
        <f>IF(Produits!C351="","",Produits!C351)</f>
        <v>1000,00,0348</v>
      </c>
      <c r="D351" s="4" t="str">
        <f>IF(Produits!D351="","",Produits!D351)</f>
        <v>AA472</v>
      </c>
      <c r="E351" s="49" t="str">
        <f>IF(Produits!F351="","",Produits!F351)</f>
        <v>1 pcs</v>
      </c>
      <c r="F351" s="50">
        <f>IF(Produits!H351="","",Produits!H351)</f>
        <v>357</v>
      </c>
      <c r="H351" s="37">
        <v>0</v>
      </c>
      <c r="I351" s="2"/>
      <c r="J351" s="69">
        <f>SUM('Archives Entrées'!$N351:$AAV351)</f>
        <v>0</v>
      </c>
      <c r="K351" s="51" t="str">
        <f t="shared" si="21"/>
        <v>0,00€</v>
      </c>
      <c r="L351" s="69">
        <f>SUM('Archives Sorties'!$M351:$AAY351)</f>
        <v>0</v>
      </c>
      <c r="M351" s="51" t="str">
        <f t="shared" si="22"/>
        <v>0,00€</v>
      </c>
      <c r="O351" s="72">
        <v>0</v>
      </c>
      <c r="P351" s="72">
        <v>0</v>
      </c>
      <c r="R351" s="185">
        <f t="shared" si="23"/>
        <v>0</v>
      </c>
      <c r="S351" s="186">
        <f t="shared" si="24"/>
        <v>0</v>
      </c>
      <c r="T351" s="187" t="str">
        <f>IF(R351="","",IF(O351=0,Famille!$D$5,IF(R351&lt;O351,Famille!$D$2,IF(R351&lt;=P351,Famille!$D$3,Famille!$D$4))))</f>
        <v>Sur commande</v>
      </c>
    </row>
    <row r="352" spans="1:20" ht="12" customHeight="1" x14ac:dyDescent="0.2">
      <c r="A352" s="4" t="str">
        <f>IF(Produits!A352="","",Produits!A352)</f>
        <v>ComfortDrive</v>
      </c>
      <c r="B352" s="4" t="str">
        <f>IF(Produits!B352="","",Produits!B352)</f>
        <v>Element</v>
      </c>
      <c r="C352" s="4" t="str">
        <f>IF(Produits!C352="","",Produits!C352)</f>
        <v>1000,00,0349</v>
      </c>
      <c r="D352" s="4" t="str">
        <f>IF(Produits!D352="","",Produits!D352)</f>
        <v>AA473</v>
      </c>
      <c r="E352" s="49" t="str">
        <f>IF(Produits!F352="","",Produits!F352)</f>
        <v>1 pcs</v>
      </c>
      <c r="F352" s="50">
        <f>IF(Produits!H352="","",Produits!H352)</f>
        <v>358</v>
      </c>
      <c r="H352" s="37">
        <v>0</v>
      </c>
      <c r="I352" s="2"/>
      <c r="J352" s="69">
        <f>SUM('Archives Entrées'!$N352:$AAV352)</f>
        <v>0</v>
      </c>
      <c r="K352" s="51" t="str">
        <f t="shared" si="21"/>
        <v>0,00€</v>
      </c>
      <c r="L352" s="69">
        <f>SUM('Archives Sorties'!$M352:$AAY352)</f>
        <v>0</v>
      </c>
      <c r="M352" s="51" t="str">
        <f t="shared" si="22"/>
        <v>0,00€</v>
      </c>
      <c r="O352" s="72">
        <v>0</v>
      </c>
      <c r="P352" s="72">
        <v>0</v>
      </c>
      <c r="R352" s="185">
        <f t="shared" si="23"/>
        <v>0</v>
      </c>
      <c r="S352" s="186">
        <f t="shared" si="24"/>
        <v>0</v>
      </c>
      <c r="T352" s="187" t="str">
        <f>IF(R352="","",IF(O352=0,Famille!$D$5,IF(R352&lt;O352,Famille!$D$2,IF(R352&lt;=P352,Famille!$D$3,Famille!$D$4))))</f>
        <v>Sur commande</v>
      </c>
    </row>
    <row r="353" spans="1:20" ht="12" customHeight="1" x14ac:dyDescent="0.2">
      <c r="A353" s="4" t="str">
        <f>IF(Produits!A353="","",Produits!A353)</f>
        <v>ComfortDrive</v>
      </c>
      <c r="B353" s="4" t="str">
        <f>IF(Produits!B353="","",Produits!B353)</f>
        <v>Element</v>
      </c>
      <c r="C353" s="4" t="str">
        <f>IF(Produits!C353="","",Produits!C353)</f>
        <v>1000,00,0350</v>
      </c>
      <c r="D353" s="4" t="str">
        <f>IF(Produits!D353="","",Produits!D353)</f>
        <v>AA474</v>
      </c>
      <c r="E353" s="49" t="str">
        <f>IF(Produits!F353="","",Produits!F353)</f>
        <v>1 pcs</v>
      </c>
      <c r="F353" s="50">
        <f>IF(Produits!H353="","",Produits!H353)</f>
        <v>359</v>
      </c>
      <c r="H353" s="37">
        <v>0</v>
      </c>
      <c r="I353" s="2"/>
      <c r="J353" s="69">
        <f>SUM('Archives Entrées'!$N353:$AAV353)</f>
        <v>0</v>
      </c>
      <c r="K353" s="51" t="str">
        <f t="shared" si="21"/>
        <v>0,00€</v>
      </c>
      <c r="L353" s="69">
        <f>SUM('Archives Sorties'!$M353:$AAY353)</f>
        <v>0</v>
      </c>
      <c r="M353" s="51" t="str">
        <f t="shared" si="22"/>
        <v>0,00€</v>
      </c>
      <c r="O353" s="72">
        <v>0</v>
      </c>
      <c r="P353" s="72">
        <v>0</v>
      </c>
      <c r="R353" s="185">
        <f t="shared" si="23"/>
        <v>0</v>
      </c>
      <c r="S353" s="186">
        <f t="shared" si="24"/>
        <v>0</v>
      </c>
      <c r="T353" s="187" t="str">
        <f>IF(R353="","",IF(O353=0,Famille!$D$5,IF(R353&lt;O353,Famille!$D$2,IF(R353&lt;=P353,Famille!$D$3,Famille!$D$4))))</f>
        <v>Sur commande</v>
      </c>
    </row>
    <row r="354" spans="1:20" ht="12" customHeight="1" x14ac:dyDescent="0.2">
      <c r="A354" s="4" t="str">
        <f>IF(Produits!A354="","",Produits!A354)</f>
        <v>ComfortDrive</v>
      </c>
      <c r="B354" s="4" t="str">
        <f>IF(Produits!B354="","",Produits!B354)</f>
        <v>Contrôle</v>
      </c>
      <c r="C354" s="4" t="str">
        <f>IF(Produits!C354="","",Produits!C354)</f>
        <v>1000,00,0351</v>
      </c>
      <c r="D354" s="4" t="str">
        <f>IF(Produits!D354="","",Produits!D354)</f>
        <v>AA475</v>
      </c>
      <c r="E354" s="49" t="str">
        <f>IF(Produits!F354="","",Produits!F354)</f>
        <v>1 pcs</v>
      </c>
      <c r="F354" s="50">
        <f>IF(Produits!H354="","",Produits!H354)</f>
        <v>360</v>
      </c>
      <c r="H354" s="37">
        <v>0</v>
      </c>
      <c r="I354" s="2"/>
      <c r="J354" s="69">
        <f>SUM('Archives Entrées'!$N354:$AAV354)</f>
        <v>0</v>
      </c>
      <c r="K354" s="51" t="str">
        <f t="shared" si="21"/>
        <v>0,00€</v>
      </c>
      <c r="L354" s="69">
        <f>SUM('Archives Sorties'!$M354:$AAY354)</f>
        <v>0</v>
      </c>
      <c r="M354" s="51" t="str">
        <f t="shared" si="22"/>
        <v>0,00€</v>
      </c>
      <c r="O354" s="72">
        <v>0</v>
      </c>
      <c r="P354" s="72">
        <v>0</v>
      </c>
      <c r="R354" s="185">
        <f t="shared" si="23"/>
        <v>0</v>
      </c>
      <c r="S354" s="186">
        <f t="shared" si="24"/>
        <v>0</v>
      </c>
      <c r="T354" s="187" t="str">
        <f>IF(R354="","",IF(O354=0,Famille!$D$5,IF(R354&lt;O354,Famille!$D$2,IF(R354&lt;=P354,Famille!$D$3,Famille!$D$4))))</f>
        <v>Sur commande</v>
      </c>
    </row>
    <row r="355" spans="1:20" ht="12" customHeight="1" x14ac:dyDescent="0.2">
      <c r="A355" s="4" t="str">
        <f>IF(Produits!A355="","",Produits!A355)</f>
        <v>ComfortDrive</v>
      </c>
      <c r="B355" s="4" t="str">
        <f>IF(Produits!B355="","",Produits!B355)</f>
        <v>Contrôle</v>
      </c>
      <c r="C355" s="4" t="str">
        <f>IF(Produits!C355="","",Produits!C355)</f>
        <v>1000,00,0352</v>
      </c>
      <c r="D355" s="4" t="str">
        <f>IF(Produits!D355="","",Produits!D355)</f>
        <v>AA476</v>
      </c>
      <c r="E355" s="49" t="str">
        <f>IF(Produits!F355="","",Produits!F355)</f>
        <v>1 pcs</v>
      </c>
      <c r="F355" s="50">
        <f>IF(Produits!H355="","",Produits!H355)</f>
        <v>361</v>
      </c>
      <c r="H355" s="37">
        <v>0</v>
      </c>
      <c r="I355" s="2"/>
      <c r="J355" s="69">
        <f>SUM('Archives Entrées'!$N355:$AAV355)</f>
        <v>0</v>
      </c>
      <c r="K355" s="51" t="str">
        <f t="shared" si="21"/>
        <v>0,00€</v>
      </c>
      <c r="L355" s="69">
        <f>SUM('Archives Sorties'!$M355:$AAY355)</f>
        <v>0</v>
      </c>
      <c r="M355" s="51" t="str">
        <f t="shared" si="22"/>
        <v>0,00€</v>
      </c>
      <c r="O355" s="72">
        <v>0</v>
      </c>
      <c r="P355" s="72">
        <v>0</v>
      </c>
      <c r="R355" s="185">
        <f t="shared" si="23"/>
        <v>0</v>
      </c>
      <c r="S355" s="186">
        <f t="shared" si="24"/>
        <v>0</v>
      </c>
      <c r="T355" s="187" t="str">
        <f>IF(R355="","",IF(O355=0,Famille!$D$5,IF(R355&lt;O355,Famille!$D$2,IF(R355&lt;=P355,Famille!$D$3,Famille!$D$4))))</f>
        <v>Sur commande</v>
      </c>
    </row>
    <row r="356" spans="1:20" ht="12" customHeight="1" x14ac:dyDescent="0.2">
      <c r="A356" s="4" t="str">
        <f>IF(Produits!A356="","",Produits!A356)</f>
        <v>ComfortDrive</v>
      </c>
      <c r="B356" s="4" t="str">
        <f>IF(Produits!B356="","",Produits!B356)</f>
        <v>Contrôle</v>
      </c>
      <c r="C356" s="4" t="str">
        <f>IF(Produits!C356="","",Produits!C356)</f>
        <v>1000,00,0353</v>
      </c>
      <c r="D356" s="4" t="str">
        <f>IF(Produits!D356="","",Produits!D356)</f>
        <v>AA477</v>
      </c>
      <c r="E356" s="49" t="str">
        <f>IF(Produits!F356="","",Produits!F356)</f>
        <v>1 pcs</v>
      </c>
      <c r="F356" s="50">
        <f>IF(Produits!H356="","",Produits!H356)</f>
        <v>362</v>
      </c>
      <c r="H356" s="37">
        <v>0</v>
      </c>
      <c r="I356" s="2"/>
      <c r="J356" s="69">
        <f>SUM('Archives Entrées'!$N356:$AAV356)</f>
        <v>0</v>
      </c>
      <c r="K356" s="51" t="str">
        <f t="shared" si="21"/>
        <v>0,00€</v>
      </c>
      <c r="L356" s="69">
        <f>SUM('Archives Sorties'!$M356:$AAY356)</f>
        <v>0</v>
      </c>
      <c r="M356" s="51" t="str">
        <f t="shared" si="22"/>
        <v>0,00€</v>
      </c>
      <c r="O356" s="72">
        <v>0</v>
      </c>
      <c r="P356" s="72">
        <v>0</v>
      </c>
      <c r="R356" s="185">
        <f t="shared" si="23"/>
        <v>0</v>
      </c>
      <c r="S356" s="186">
        <f t="shared" si="24"/>
        <v>0</v>
      </c>
      <c r="T356" s="187" t="str">
        <f>IF(R356="","",IF(O356=0,Famille!$D$5,IF(R356&lt;O356,Famille!$D$2,IF(R356&lt;=P356,Famille!$D$3,Famille!$D$4))))</f>
        <v>Sur commande</v>
      </c>
    </row>
    <row r="357" spans="1:20" ht="12" customHeight="1" x14ac:dyDescent="0.2">
      <c r="A357" s="4" t="str">
        <f>IF(Produits!A357="","",Produits!A357)</f>
        <v>ComfortDrive</v>
      </c>
      <c r="B357" s="4" t="str">
        <f>IF(Produits!B357="","",Produits!B357)</f>
        <v>Contrôle</v>
      </c>
      <c r="C357" s="4" t="str">
        <f>IF(Produits!C357="","",Produits!C357)</f>
        <v>1000,00,0354</v>
      </c>
      <c r="D357" s="4" t="str">
        <f>IF(Produits!D357="","",Produits!D357)</f>
        <v>AA478</v>
      </c>
      <c r="E357" s="49" t="str">
        <f>IF(Produits!F357="","",Produits!F357)</f>
        <v>1 pcs</v>
      </c>
      <c r="F357" s="50">
        <f>IF(Produits!H357="","",Produits!H357)</f>
        <v>363</v>
      </c>
      <c r="H357" s="37">
        <v>0</v>
      </c>
      <c r="I357" s="2"/>
      <c r="J357" s="69">
        <f>SUM('Archives Entrées'!$N357:$AAV357)</f>
        <v>0</v>
      </c>
      <c r="K357" s="51" t="str">
        <f t="shared" si="21"/>
        <v>0,00€</v>
      </c>
      <c r="L357" s="69">
        <f>SUM('Archives Sorties'!$M357:$AAY357)</f>
        <v>0</v>
      </c>
      <c r="M357" s="51" t="str">
        <f t="shared" si="22"/>
        <v>0,00€</v>
      </c>
      <c r="O357" s="72">
        <v>0</v>
      </c>
      <c r="P357" s="72">
        <v>0</v>
      </c>
      <c r="R357" s="185">
        <f t="shared" si="23"/>
        <v>0</v>
      </c>
      <c r="S357" s="186">
        <f t="shared" si="24"/>
        <v>0</v>
      </c>
      <c r="T357" s="187" t="str">
        <f>IF(R357="","",IF(O357=0,Famille!$D$5,IF(R357&lt;O357,Famille!$D$2,IF(R357&lt;=P357,Famille!$D$3,Famille!$D$4))))</f>
        <v>Sur commande</v>
      </c>
    </row>
    <row r="358" spans="1:20" ht="12" customHeight="1" x14ac:dyDescent="0.2">
      <c r="A358" s="4" t="str">
        <f>IF(Produits!A358="","",Produits!A358)</f>
        <v>ComfortDrive</v>
      </c>
      <c r="B358" s="4" t="str">
        <f>IF(Produits!B358="","",Produits!B358)</f>
        <v>Câble</v>
      </c>
      <c r="C358" s="4" t="str">
        <f>IF(Produits!C358="","",Produits!C358)</f>
        <v>1000,00,0355</v>
      </c>
      <c r="D358" s="4" t="str">
        <f>IF(Produits!D358="","",Produits!D358)</f>
        <v>AA479</v>
      </c>
      <c r="E358" s="49" t="str">
        <f>IF(Produits!F358="","",Produits!F358)</f>
        <v>1 pcs</v>
      </c>
      <c r="F358" s="50">
        <f>IF(Produits!H358="","",Produits!H358)</f>
        <v>364</v>
      </c>
      <c r="H358" s="37">
        <v>0</v>
      </c>
      <c r="I358" s="2"/>
      <c r="J358" s="69">
        <f>SUM('Archives Entrées'!$N358:$AAV358)</f>
        <v>0</v>
      </c>
      <c r="K358" s="51" t="str">
        <f t="shared" si="21"/>
        <v>0,00€</v>
      </c>
      <c r="L358" s="69">
        <f>SUM('Archives Sorties'!$M358:$AAY358)</f>
        <v>0</v>
      </c>
      <c r="M358" s="51" t="str">
        <f t="shared" si="22"/>
        <v>0,00€</v>
      </c>
      <c r="O358" s="72">
        <v>0</v>
      </c>
      <c r="P358" s="72">
        <v>0</v>
      </c>
      <c r="R358" s="185">
        <f t="shared" si="23"/>
        <v>0</v>
      </c>
      <c r="S358" s="186">
        <f t="shared" si="24"/>
        <v>0</v>
      </c>
      <c r="T358" s="187" t="str">
        <f>IF(R358="","",IF(O358=0,Famille!$D$5,IF(R358&lt;O358,Famille!$D$2,IF(R358&lt;=P358,Famille!$D$3,Famille!$D$4))))</f>
        <v>Sur commande</v>
      </c>
    </row>
    <row r="359" spans="1:20" ht="12" customHeight="1" x14ac:dyDescent="0.2">
      <c r="A359" s="4" t="str">
        <f>IF(Produits!A359="","",Produits!A359)</f>
        <v>ComfortDrive</v>
      </c>
      <c r="B359" s="4" t="str">
        <f>IF(Produits!B359="","",Produits!B359)</f>
        <v>Câble</v>
      </c>
      <c r="C359" s="4" t="str">
        <f>IF(Produits!C359="","",Produits!C359)</f>
        <v>1000,00,0356</v>
      </c>
      <c r="D359" s="4" t="str">
        <f>IF(Produits!D359="","",Produits!D359)</f>
        <v>AA480</v>
      </c>
      <c r="E359" s="49" t="str">
        <f>IF(Produits!F359="","",Produits!F359)</f>
        <v>1 pcs</v>
      </c>
      <c r="F359" s="50">
        <f>IF(Produits!H359="","",Produits!H359)</f>
        <v>365</v>
      </c>
      <c r="H359" s="37">
        <v>0</v>
      </c>
      <c r="I359" s="2"/>
      <c r="J359" s="69">
        <f>SUM('Archives Entrées'!$N359:$AAV359)</f>
        <v>0</v>
      </c>
      <c r="K359" s="51" t="str">
        <f t="shared" si="21"/>
        <v>0,00€</v>
      </c>
      <c r="L359" s="69">
        <f>SUM('Archives Sorties'!$M359:$AAY359)</f>
        <v>0</v>
      </c>
      <c r="M359" s="51" t="str">
        <f t="shared" si="22"/>
        <v>0,00€</v>
      </c>
      <c r="O359" s="72">
        <v>0</v>
      </c>
      <c r="P359" s="72">
        <v>0</v>
      </c>
      <c r="R359" s="185">
        <f t="shared" si="23"/>
        <v>0</v>
      </c>
      <c r="S359" s="186">
        <f t="shared" si="24"/>
        <v>0</v>
      </c>
      <c r="T359" s="187" t="str">
        <f>IF(R359="","",IF(O359=0,Famille!$D$5,IF(R359&lt;O359,Famille!$D$2,IF(R359&lt;=P359,Famille!$D$3,Famille!$D$4))))</f>
        <v>Sur commande</v>
      </c>
    </row>
    <row r="360" spans="1:20" ht="12" customHeight="1" x14ac:dyDescent="0.2">
      <c r="A360" s="4" t="str">
        <f>IF(Produits!A360="","",Produits!A360)</f>
        <v>ComfortDrive</v>
      </c>
      <c r="B360" s="4" t="str">
        <f>IF(Produits!B360="","",Produits!B360)</f>
        <v>Câble</v>
      </c>
      <c r="C360" s="4" t="str">
        <f>IF(Produits!C360="","",Produits!C360)</f>
        <v>1000,00,0357</v>
      </c>
      <c r="D360" s="4" t="str">
        <f>IF(Produits!D360="","",Produits!D360)</f>
        <v>AA481</v>
      </c>
      <c r="E360" s="49" t="str">
        <f>IF(Produits!F360="","",Produits!F360)</f>
        <v>1 pcs</v>
      </c>
      <c r="F360" s="50">
        <f>IF(Produits!H360="","",Produits!H360)</f>
        <v>366</v>
      </c>
      <c r="H360" s="37">
        <v>0</v>
      </c>
      <c r="I360" s="2"/>
      <c r="J360" s="69">
        <f>SUM('Archives Entrées'!$N360:$AAV360)</f>
        <v>0</v>
      </c>
      <c r="K360" s="51" t="str">
        <f t="shared" si="21"/>
        <v>0,00€</v>
      </c>
      <c r="L360" s="69">
        <f>SUM('Archives Sorties'!$M360:$AAY360)</f>
        <v>0</v>
      </c>
      <c r="M360" s="51" t="str">
        <f t="shared" si="22"/>
        <v>0,00€</v>
      </c>
      <c r="O360" s="72">
        <v>0</v>
      </c>
      <c r="P360" s="72">
        <v>0</v>
      </c>
      <c r="R360" s="185">
        <f t="shared" si="23"/>
        <v>0</v>
      </c>
      <c r="S360" s="186">
        <f t="shared" si="24"/>
        <v>0</v>
      </c>
      <c r="T360" s="187" t="str">
        <f>IF(R360="","",IF(O360=0,Famille!$D$5,IF(R360&lt;O360,Famille!$D$2,IF(R360&lt;=P360,Famille!$D$3,Famille!$D$4))))</f>
        <v>Sur commande</v>
      </c>
    </row>
    <row r="361" spans="1:20" ht="12" customHeight="1" x14ac:dyDescent="0.2">
      <c r="A361" s="4" t="str">
        <f>IF(Produits!A361="","",Produits!A361)</f>
        <v>ComfortDrive</v>
      </c>
      <c r="B361" s="4" t="str">
        <f>IF(Produits!B361="","",Produits!B361)</f>
        <v>Câble</v>
      </c>
      <c r="C361" s="4" t="str">
        <f>IF(Produits!C361="","",Produits!C361)</f>
        <v>1000,00,0358</v>
      </c>
      <c r="D361" s="4" t="str">
        <f>IF(Produits!D361="","",Produits!D361)</f>
        <v>AA482</v>
      </c>
      <c r="E361" s="49" t="str">
        <f>IF(Produits!F361="","",Produits!F361)</f>
        <v>1 pcs</v>
      </c>
      <c r="F361" s="50">
        <f>IF(Produits!H361="","",Produits!H361)</f>
        <v>367</v>
      </c>
      <c r="H361" s="37">
        <v>0</v>
      </c>
      <c r="I361" s="2"/>
      <c r="J361" s="69">
        <f>SUM('Archives Entrées'!$N361:$AAV361)</f>
        <v>0</v>
      </c>
      <c r="K361" s="51" t="str">
        <f t="shared" si="21"/>
        <v>0,00€</v>
      </c>
      <c r="L361" s="69">
        <f>SUM('Archives Sorties'!$M361:$AAY361)</f>
        <v>0</v>
      </c>
      <c r="M361" s="51" t="str">
        <f t="shared" si="22"/>
        <v>0,00€</v>
      </c>
      <c r="O361" s="72">
        <v>0</v>
      </c>
      <c r="P361" s="72">
        <v>0</v>
      </c>
      <c r="R361" s="185">
        <f t="shared" si="23"/>
        <v>0</v>
      </c>
      <c r="S361" s="186">
        <f t="shared" si="24"/>
        <v>0</v>
      </c>
      <c r="T361" s="187" t="str">
        <f>IF(R361="","",IF(O361=0,Famille!$D$5,IF(R361&lt;O361,Famille!$D$2,IF(R361&lt;=P361,Famille!$D$3,Famille!$D$4))))</f>
        <v>Sur commande</v>
      </c>
    </row>
    <row r="362" spans="1:20" ht="12" customHeight="1" x14ac:dyDescent="0.2">
      <c r="A362" s="4" t="str">
        <f>IF(Produits!A362="","",Produits!A362)</f>
        <v>ComfortDrive</v>
      </c>
      <c r="B362" s="4" t="str">
        <f>IF(Produits!B362="","",Produits!B362)</f>
        <v>Câble</v>
      </c>
      <c r="C362" s="4" t="str">
        <f>IF(Produits!C362="","",Produits!C362)</f>
        <v>1000,00,0359</v>
      </c>
      <c r="D362" s="4" t="str">
        <f>IF(Produits!D362="","",Produits!D362)</f>
        <v>AA483</v>
      </c>
      <c r="E362" s="49" t="str">
        <f>IF(Produits!F362="","",Produits!F362)</f>
        <v>1 pcs</v>
      </c>
      <c r="F362" s="50">
        <f>IF(Produits!H362="","",Produits!H362)</f>
        <v>368</v>
      </c>
      <c r="H362" s="37">
        <v>0</v>
      </c>
      <c r="I362" s="2"/>
      <c r="J362" s="69">
        <f>SUM('Archives Entrées'!$N362:$AAV362)</f>
        <v>0</v>
      </c>
      <c r="K362" s="51" t="str">
        <f t="shared" si="21"/>
        <v>0,00€</v>
      </c>
      <c r="L362" s="69">
        <f>SUM('Archives Sorties'!$M362:$AAY362)</f>
        <v>0</v>
      </c>
      <c r="M362" s="51" t="str">
        <f t="shared" si="22"/>
        <v>0,00€</v>
      </c>
      <c r="O362" s="72">
        <v>0</v>
      </c>
      <c r="P362" s="72">
        <v>0</v>
      </c>
      <c r="R362" s="185">
        <f t="shared" si="23"/>
        <v>0</v>
      </c>
      <c r="S362" s="186">
        <f t="shared" si="24"/>
        <v>0</v>
      </c>
      <c r="T362" s="187" t="str">
        <f>IF(R362="","",IF(O362=0,Famille!$D$5,IF(R362&lt;O362,Famille!$D$2,IF(R362&lt;=P362,Famille!$D$3,Famille!$D$4))))</f>
        <v>Sur commande</v>
      </c>
    </row>
    <row r="363" spans="1:20" ht="12" customHeight="1" x14ac:dyDescent="0.2">
      <c r="A363" s="4" t="str">
        <f>IF(Produits!A363="","",Produits!A363)</f>
        <v>ComfortDrive</v>
      </c>
      <c r="B363" s="4" t="str">
        <f>IF(Produits!B363="","",Produits!B363)</f>
        <v>Câble</v>
      </c>
      <c r="C363" s="4" t="str">
        <f>IF(Produits!C363="","",Produits!C363)</f>
        <v>1000,00,0360</v>
      </c>
      <c r="D363" s="4" t="str">
        <f>IF(Produits!D363="","",Produits!D363)</f>
        <v>AA484</v>
      </c>
      <c r="E363" s="49" t="str">
        <f>IF(Produits!F363="","",Produits!F363)</f>
        <v>1 pcs</v>
      </c>
      <c r="F363" s="50">
        <f>IF(Produits!H363="","",Produits!H363)</f>
        <v>369</v>
      </c>
      <c r="H363" s="37">
        <v>0</v>
      </c>
      <c r="I363" s="2"/>
      <c r="J363" s="69">
        <f>SUM('Archives Entrées'!$N363:$AAV363)</f>
        <v>0</v>
      </c>
      <c r="K363" s="51" t="str">
        <f t="shared" si="21"/>
        <v>0,00€</v>
      </c>
      <c r="L363" s="69">
        <f>SUM('Archives Sorties'!$M363:$AAY363)</f>
        <v>0</v>
      </c>
      <c r="M363" s="51" t="str">
        <f t="shared" si="22"/>
        <v>0,00€</v>
      </c>
      <c r="O363" s="72">
        <v>0</v>
      </c>
      <c r="P363" s="72">
        <v>0</v>
      </c>
      <c r="R363" s="185">
        <f t="shared" si="23"/>
        <v>0</v>
      </c>
      <c r="S363" s="186">
        <f t="shared" si="24"/>
        <v>0</v>
      </c>
      <c r="T363" s="187" t="str">
        <f>IF(R363="","",IF(O363=0,Famille!$D$5,IF(R363&lt;O363,Famille!$D$2,IF(R363&lt;=P363,Famille!$D$3,Famille!$D$4))))</f>
        <v>Sur commande</v>
      </c>
    </row>
    <row r="364" spans="1:20" ht="12" customHeight="1" x14ac:dyDescent="0.2">
      <c r="A364" s="4" t="str">
        <f>IF(Produits!A364="","",Produits!A364)</f>
        <v>ComfortDrive</v>
      </c>
      <c r="B364" s="4" t="str">
        <f>IF(Produits!B364="","",Produits!B364)</f>
        <v>Câble</v>
      </c>
      <c r="C364" s="4" t="str">
        <f>IF(Produits!C364="","",Produits!C364)</f>
        <v>1000,00,0361</v>
      </c>
      <c r="D364" s="4" t="str">
        <f>IF(Produits!D364="","",Produits!D364)</f>
        <v>AA485</v>
      </c>
      <c r="E364" s="49" t="str">
        <f>IF(Produits!F364="","",Produits!F364)</f>
        <v>1 pcs</v>
      </c>
      <c r="F364" s="50">
        <f>IF(Produits!H364="","",Produits!H364)</f>
        <v>370</v>
      </c>
      <c r="H364" s="37">
        <v>0</v>
      </c>
      <c r="I364" s="2"/>
      <c r="J364" s="69">
        <f>SUM('Archives Entrées'!$N364:$AAV364)</f>
        <v>0</v>
      </c>
      <c r="K364" s="51" t="str">
        <f t="shared" si="21"/>
        <v>0,00€</v>
      </c>
      <c r="L364" s="69">
        <f>SUM('Archives Sorties'!$M364:$AAY364)</f>
        <v>0</v>
      </c>
      <c r="M364" s="51" t="str">
        <f t="shared" si="22"/>
        <v>0,00€</v>
      </c>
      <c r="O364" s="72">
        <v>0</v>
      </c>
      <c r="P364" s="72">
        <v>0</v>
      </c>
      <c r="R364" s="185">
        <f t="shared" si="23"/>
        <v>0</v>
      </c>
      <c r="S364" s="186">
        <f t="shared" si="24"/>
        <v>0</v>
      </c>
      <c r="T364" s="187" t="str">
        <f>IF(R364="","",IF(O364=0,Famille!$D$5,IF(R364&lt;O364,Famille!$D$2,IF(R364&lt;=P364,Famille!$D$3,Famille!$D$4))))</f>
        <v>Sur commande</v>
      </c>
    </row>
    <row r="365" spans="1:20" ht="12" customHeight="1" x14ac:dyDescent="0.2">
      <c r="A365" s="4" t="str">
        <f>IF(Produits!A365="","",Produits!A365)</f>
        <v>ComfortDrive</v>
      </c>
      <c r="B365" s="4" t="str">
        <f>IF(Produits!B365="","",Produits!B365)</f>
        <v>Câble</v>
      </c>
      <c r="C365" s="4" t="str">
        <f>IF(Produits!C365="","",Produits!C365)</f>
        <v>1000,00,0362</v>
      </c>
      <c r="D365" s="4" t="str">
        <f>IF(Produits!D365="","",Produits!D365)</f>
        <v>AA486</v>
      </c>
      <c r="E365" s="49" t="str">
        <f>IF(Produits!F365="","",Produits!F365)</f>
        <v>1 pcs</v>
      </c>
      <c r="F365" s="50">
        <f>IF(Produits!H365="","",Produits!H365)</f>
        <v>371</v>
      </c>
      <c r="H365" s="37">
        <v>0</v>
      </c>
      <c r="I365" s="2"/>
      <c r="J365" s="69">
        <f>SUM('Archives Entrées'!$N365:$AAV365)</f>
        <v>0</v>
      </c>
      <c r="K365" s="51" t="str">
        <f t="shared" si="21"/>
        <v>0,00€</v>
      </c>
      <c r="L365" s="69">
        <f>SUM('Archives Sorties'!$M365:$AAY365)</f>
        <v>0</v>
      </c>
      <c r="M365" s="51" t="str">
        <f t="shared" si="22"/>
        <v>0,00€</v>
      </c>
      <c r="O365" s="72">
        <v>0</v>
      </c>
      <c r="P365" s="72">
        <v>0</v>
      </c>
      <c r="R365" s="185">
        <f t="shared" si="23"/>
        <v>0</v>
      </c>
      <c r="S365" s="186">
        <f t="shared" si="24"/>
        <v>0</v>
      </c>
      <c r="T365" s="187" t="str">
        <f>IF(R365="","",IF(O365=0,Famille!$D$5,IF(R365&lt;O365,Famille!$D$2,IF(R365&lt;=P365,Famille!$D$3,Famille!$D$4))))</f>
        <v>Sur commande</v>
      </c>
    </row>
    <row r="366" spans="1:20" ht="12" customHeight="1" x14ac:dyDescent="0.2">
      <c r="A366" s="4" t="str">
        <f>IF(Produits!A366="","",Produits!A366)</f>
        <v>ComfortDrive</v>
      </c>
      <c r="B366" s="4" t="str">
        <f>IF(Produits!B366="","",Produits!B366)</f>
        <v>Câble</v>
      </c>
      <c r="C366" s="4" t="str">
        <f>IF(Produits!C366="","",Produits!C366)</f>
        <v>1000,00,0363</v>
      </c>
      <c r="D366" s="4" t="str">
        <f>IF(Produits!D366="","",Produits!D366)</f>
        <v>AA487</v>
      </c>
      <c r="E366" s="49" t="str">
        <f>IF(Produits!F366="","",Produits!F366)</f>
        <v>1 pcs</v>
      </c>
      <c r="F366" s="50">
        <f>IF(Produits!H366="","",Produits!H366)</f>
        <v>372</v>
      </c>
      <c r="H366" s="37">
        <v>0</v>
      </c>
      <c r="I366" s="2"/>
      <c r="J366" s="69">
        <f>SUM('Archives Entrées'!$N366:$AAV366)</f>
        <v>0</v>
      </c>
      <c r="K366" s="51" t="str">
        <f t="shared" si="21"/>
        <v>0,00€</v>
      </c>
      <c r="L366" s="69">
        <f>SUM('Archives Sorties'!$M366:$AAY366)</f>
        <v>0</v>
      </c>
      <c r="M366" s="51" t="str">
        <f t="shared" si="22"/>
        <v>0,00€</v>
      </c>
      <c r="O366" s="72">
        <v>0</v>
      </c>
      <c r="P366" s="72">
        <v>0</v>
      </c>
      <c r="R366" s="185">
        <f t="shared" si="23"/>
        <v>0</v>
      </c>
      <c r="S366" s="186">
        <f t="shared" si="24"/>
        <v>0</v>
      </c>
      <c r="T366" s="187" t="str">
        <f>IF(R366="","",IF(O366=0,Famille!$D$5,IF(R366&lt;O366,Famille!$D$2,IF(R366&lt;=P366,Famille!$D$3,Famille!$D$4))))</f>
        <v>Sur commande</v>
      </c>
    </row>
    <row r="367" spans="1:20" ht="12" customHeight="1" x14ac:dyDescent="0.2">
      <c r="A367" s="4" t="str">
        <f>IF(Produits!A367="","",Produits!A367)</f>
        <v>ComfortDrive</v>
      </c>
      <c r="B367" s="4" t="str">
        <f>IF(Produits!B367="","",Produits!B367)</f>
        <v>Câble</v>
      </c>
      <c r="C367" s="4" t="str">
        <f>IF(Produits!C367="","",Produits!C367)</f>
        <v>1000,00,0364</v>
      </c>
      <c r="D367" s="4" t="str">
        <f>IF(Produits!D367="","",Produits!D367)</f>
        <v>AA488</v>
      </c>
      <c r="E367" s="49" t="str">
        <f>IF(Produits!F367="","",Produits!F367)</f>
        <v>1 pcs</v>
      </c>
      <c r="F367" s="50">
        <f>IF(Produits!H367="","",Produits!H367)</f>
        <v>373</v>
      </c>
      <c r="H367" s="37">
        <v>0</v>
      </c>
      <c r="I367" s="2"/>
      <c r="J367" s="69">
        <f>SUM('Archives Entrées'!$N367:$AAV367)</f>
        <v>0</v>
      </c>
      <c r="K367" s="51" t="str">
        <f t="shared" si="21"/>
        <v>0,00€</v>
      </c>
      <c r="L367" s="69">
        <f>SUM('Archives Sorties'!$M367:$AAY367)</f>
        <v>0</v>
      </c>
      <c r="M367" s="51" t="str">
        <f t="shared" si="22"/>
        <v>0,00€</v>
      </c>
      <c r="O367" s="72">
        <v>0</v>
      </c>
      <c r="P367" s="72">
        <v>0</v>
      </c>
      <c r="R367" s="185">
        <f t="shared" si="23"/>
        <v>0</v>
      </c>
      <c r="S367" s="186">
        <f t="shared" si="24"/>
        <v>0</v>
      </c>
      <c r="T367" s="187" t="str">
        <f>IF(R367="","",IF(O367=0,Famille!$D$5,IF(R367&lt;O367,Famille!$D$2,IF(R367&lt;=P367,Famille!$D$3,Famille!$D$4))))</f>
        <v>Sur commande</v>
      </c>
    </row>
    <row r="368" spans="1:20" ht="12" customHeight="1" x14ac:dyDescent="0.2">
      <c r="A368" s="4" t="str">
        <f>IF(Produits!A368="","",Produits!A368)</f>
        <v>ComfortDrive</v>
      </c>
      <c r="B368" s="4" t="str">
        <f>IF(Produits!B368="","",Produits!B368)</f>
        <v>Câble</v>
      </c>
      <c r="C368" s="4" t="str">
        <f>IF(Produits!C368="","",Produits!C368)</f>
        <v>1000,00,0365</v>
      </c>
      <c r="D368" s="4" t="str">
        <f>IF(Produits!D368="","",Produits!D368)</f>
        <v>AA489</v>
      </c>
      <c r="E368" s="49" t="str">
        <f>IF(Produits!F368="","",Produits!F368)</f>
        <v>1 pcs</v>
      </c>
      <c r="F368" s="50">
        <f>IF(Produits!H368="","",Produits!H368)</f>
        <v>374</v>
      </c>
      <c r="H368" s="37">
        <v>0</v>
      </c>
      <c r="I368" s="2"/>
      <c r="J368" s="69">
        <f>SUM('Archives Entrées'!$N368:$AAV368)</f>
        <v>0</v>
      </c>
      <c r="K368" s="51" t="str">
        <f t="shared" si="21"/>
        <v>0,00€</v>
      </c>
      <c r="L368" s="69">
        <f>SUM('Archives Sorties'!$M368:$AAY368)</f>
        <v>0</v>
      </c>
      <c r="M368" s="51" t="str">
        <f t="shared" si="22"/>
        <v>0,00€</v>
      </c>
      <c r="O368" s="72">
        <v>0</v>
      </c>
      <c r="P368" s="72">
        <v>0</v>
      </c>
      <c r="R368" s="185">
        <f t="shared" si="23"/>
        <v>0</v>
      </c>
      <c r="S368" s="186">
        <f t="shared" si="24"/>
        <v>0</v>
      </c>
      <c r="T368" s="187" t="str">
        <f>IF(R368="","",IF(O368=0,Famille!$D$5,IF(R368&lt;O368,Famille!$D$2,IF(R368&lt;=P368,Famille!$D$3,Famille!$D$4))))</f>
        <v>Sur commande</v>
      </c>
    </row>
    <row r="369" spans="1:20" ht="12" customHeight="1" x14ac:dyDescent="0.2">
      <c r="A369" s="4" t="str">
        <f>IF(Produits!A369="","",Produits!A369)</f>
        <v>ComfortDrive</v>
      </c>
      <c r="B369" s="4" t="str">
        <f>IF(Produits!B369="","",Produits!B369)</f>
        <v>Câble</v>
      </c>
      <c r="C369" s="4" t="str">
        <f>IF(Produits!C369="","",Produits!C369)</f>
        <v>1000,00,0366</v>
      </c>
      <c r="D369" s="4" t="str">
        <f>IF(Produits!D369="","",Produits!D369)</f>
        <v>AA490</v>
      </c>
      <c r="E369" s="49" t="str">
        <f>IF(Produits!F369="","",Produits!F369)</f>
        <v>1 pcs</v>
      </c>
      <c r="F369" s="50">
        <f>IF(Produits!H369="","",Produits!H369)</f>
        <v>375</v>
      </c>
      <c r="H369" s="37">
        <v>0</v>
      </c>
      <c r="I369" s="2"/>
      <c r="J369" s="69">
        <f>SUM('Archives Entrées'!$N369:$AAV369)</f>
        <v>0</v>
      </c>
      <c r="K369" s="51" t="str">
        <f t="shared" si="21"/>
        <v>0,00€</v>
      </c>
      <c r="L369" s="69">
        <f>SUM('Archives Sorties'!$M369:$AAY369)</f>
        <v>0</v>
      </c>
      <c r="M369" s="51" t="str">
        <f t="shared" si="22"/>
        <v>0,00€</v>
      </c>
      <c r="O369" s="72">
        <v>0</v>
      </c>
      <c r="P369" s="72">
        <v>0</v>
      </c>
      <c r="R369" s="185">
        <f t="shared" si="23"/>
        <v>0</v>
      </c>
      <c r="S369" s="186">
        <f t="shared" si="24"/>
        <v>0</v>
      </c>
      <c r="T369" s="187" t="str">
        <f>IF(R369="","",IF(O369=0,Famille!$D$5,IF(R369&lt;O369,Famille!$D$2,IF(R369&lt;=P369,Famille!$D$3,Famille!$D$4))))</f>
        <v>Sur commande</v>
      </c>
    </row>
    <row r="370" spans="1:20" ht="12" customHeight="1" x14ac:dyDescent="0.2">
      <c r="A370" s="4" t="str">
        <f>IF(Produits!A370="","",Produits!A370)</f>
        <v>ComfortDrive</v>
      </c>
      <c r="B370" s="4" t="str">
        <f>IF(Produits!B370="","",Produits!B370)</f>
        <v>Câble</v>
      </c>
      <c r="C370" s="4" t="str">
        <f>IF(Produits!C370="","",Produits!C370)</f>
        <v>1000,00,0367</v>
      </c>
      <c r="D370" s="4" t="str">
        <f>IF(Produits!D370="","",Produits!D370)</f>
        <v>AA491</v>
      </c>
      <c r="E370" s="49" t="str">
        <f>IF(Produits!F370="","",Produits!F370)</f>
        <v>1 pcs</v>
      </c>
      <c r="F370" s="50">
        <f>IF(Produits!H370="","",Produits!H370)</f>
        <v>376</v>
      </c>
      <c r="H370" s="37">
        <v>0</v>
      </c>
      <c r="I370" s="2"/>
      <c r="J370" s="69">
        <f>SUM('Archives Entrées'!$N370:$AAV370)</f>
        <v>0</v>
      </c>
      <c r="K370" s="51" t="str">
        <f t="shared" si="21"/>
        <v>0,00€</v>
      </c>
      <c r="L370" s="69">
        <f>SUM('Archives Sorties'!$M370:$AAY370)</f>
        <v>0</v>
      </c>
      <c r="M370" s="51" t="str">
        <f t="shared" si="22"/>
        <v>0,00€</v>
      </c>
      <c r="O370" s="72">
        <v>0</v>
      </c>
      <c r="P370" s="72">
        <v>0</v>
      </c>
      <c r="R370" s="185">
        <f t="shared" si="23"/>
        <v>0</v>
      </c>
      <c r="S370" s="186">
        <f t="shared" si="24"/>
        <v>0</v>
      </c>
      <c r="T370" s="187" t="str">
        <f>IF(R370="","",IF(O370=0,Famille!$D$5,IF(R370&lt;O370,Famille!$D$2,IF(R370&lt;=P370,Famille!$D$3,Famille!$D$4))))</f>
        <v>Sur commande</v>
      </c>
    </row>
    <row r="371" spans="1:20" ht="12" customHeight="1" x14ac:dyDescent="0.2">
      <c r="A371" s="4" t="str">
        <f>IF(Produits!A371="","",Produits!A371)</f>
        <v>ComfortDrive</v>
      </c>
      <c r="B371" s="4" t="str">
        <f>IF(Produits!B371="","",Produits!B371)</f>
        <v>Câble</v>
      </c>
      <c r="C371" s="4" t="str">
        <f>IF(Produits!C371="","",Produits!C371)</f>
        <v>1000,00,0368</v>
      </c>
      <c r="D371" s="4" t="str">
        <f>IF(Produits!D371="","",Produits!D371)</f>
        <v>AA492</v>
      </c>
      <c r="E371" s="49" t="str">
        <f>IF(Produits!F371="","",Produits!F371)</f>
        <v>1 pcs</v>
      </c>
      <c r="F371" s="50">
        <f>IF(Produits!H371="","",Produits!H371)</f>
        <v>377</v>
      </c>
      <c r="H371" s="37">
        <v>0</v>
      </c>
      <c r="I371" s="2"/>
      <c r="J371" s="69">
        <f>SUM('Archives Entrées'!$N371:$AAV371)</f>
        <v>0</v>
      </c>
      <c r="K371" s="51" t="str">
        <f t="shared" si="21"/>
        <v>0,00€</v>
      </c>
      <c r="L371" s="69">
        <f>SUM('Archives Sorties'!$M371:$AAY371)</f>
        <v>0</v>
      </c>
      <c r="M371" s="51" t="str">
        <f t="shared" si="22"/>
        <v>0,00€</v>
      </c>
      <c r="O371" s="72">
        <v>0</v>
      </c>
      <c r="P371" s="72">
        <v>0</v>
      </c>
      <c r="R371" s="185">
        <f t="shared" si="23"/>
        <v>0</v>
      </c>
      <c r="S371" s="186">
        <f t="shared" si="24"/>
        <v>0</v>
      </c>
      <c r="T371" s="187" t="str">
        <f>IF(R371="","",IF(O371=0,Famille!$D$5,IF(R371&lt;O371,Famille!$D$2,IF(R371&lt;=P371,Famille!$D$3,Famille!$D$4))))</f>
        <v>Sur commande</v>
      </c>
    </row>
    <row r="372" spans="1:20" ht="12" customHeight="1" x14ac:dyDescent="0.2">
      <c r="A372" s="4" t="str">
        <f>IF(Produits!A372="","",Produits!A372)</f>
        <v>ComfortDrive</v>
      </c>
      <c r="B372" s="4" t="str">
        <f>IF(Produits!B372="","",Produits!B372)</f>
        <v>Câble</v>
      </c>
      <c r="C372" s="4" t="str">
        <f>IF(Produits!C372="","",Produits!C372)</f>
        <v>1000,00,0369</v>
      </c>
      <c r="D372" s="4" t="str">
        <f>IF(Produits!D372="","",Produits!D372)</f>
        <v>AA493</v>
      </c>
      <c r="E372" s="49" t="str">
        <f>IF(Produits!F372="","",Produits!F372)</f>
        <v>1 pcs</v>
      </c>
      <c r="F372" s="50">
        <f>IF(Produits!H372="","",Produits!H372)</f>
        <v>378</v>
      </c>
      <c r="H372" s="37">
        <v>6</v>
      </c>
      <c r="I372" s="2"/>
      <c r="J372" s="69">
        <f>SUM('Archives Entrées'!$N372:$AAV372)</f>
        <v>0</v>
      </c>
      <c r="K372" s="51" t="str">
        <f t="shared" si="21"/>
        <v>0,00€</v>
      </c>
      <c r="L372" s="69">
        <f>SUM('Archives Sorties'!$M372:$AAY372)</f>
        <v>0</v>
      </c>
      <c r="M372" s="51" t="str">
        <f t="shared" si="22"/>
        <v>0,00€</v>
      </c>
      <c r="O372" s="72">
        <v>5</v>
      </c>
      <c r="P372" s="72">
        <v>10</v>
      </c>
      <c r="R372" s="185">
        <f t="shared" si="23"/>
        <v>6</v>
      </c>
      <c r="S372" s="186">
        <f t="shared" si="24"/>
        <v>1</v>
      </c>
      <c r="T372" s="187" t="str">
        <f>IF(R372="","",IF(O372=0,Famille!$D$5,IF(R372&lt;O372,Famille!$D$2,IF(R372&lt;=P372,Famille!$D$3,Famille!$D$4))))</f>
        <v>En Stock</v>
      </c>
    </row>
    <row r="373" spans="1:20" ht="12" customHeight="1" x14ac:dyDescent="0.2">
      <c r="A373" s="4" t="str">
        <f>IF(Produits!A373="","",Produits!A373)</f>
        <v>ComfortDrive</v>
      </c>
      <c r="B373" s="4" t="str">
        <f>IF(Produits!B373="","",Produits!B373)</f>
        <v>Outils</v>
      </c>
      <c r="C373" s="4" t="str">
        <f>IF(Produits!C373="","",Produits!C373)</f>
        <v>1000,00,0370</v>
      </c>
      <c r="D373" s="4" t="str">
        <f>IF(Produits!D373="","",Produits!D373)</f>
        <v>AA494</v>
      </c>
      <c r="E373" s="49" t="str">
        <f>IF(Produits!F373="","",Produits!F373)</f>
        <v>1 pcs</v>
      </c>
      <c r="F373" s="50">
        <f>IF(Produits!H373="","",Produits!H373)</f>
        <v>379</v>
      </c>
      <c r="H373" s="37">
        <v>0</v>
      </c>
      <c r="I373" s="2"/>
      <c r="J373" s="69">
        <f>SUM('Archives Entrées'!$N373:$AAV373)</f>
        <v>0</v>
      </c>
      <c r="K373" s="51" t="str">
        <f t="shared" si="21"/>
        <v>0,00€</v>
      </c>
      <c r="L373" s="69">
        <f>SUM('Archives Sorties'!$M373:$AAY373)</f>
        <v>0</v>
      </c>
      <c r="M373" s="51" t="str">
        <f t="shared" si="22"/>
        <v>0,00€</v>
      </c>
      <c r="O373" s="72">
        <v>0</v>
      </c>
      <c r="P373" s="72">
        <v>0</v>
      </c>
      <c r="R373" s="185">
        <f t="shared" si="23"/>
        <v>0</v>
      </c>
      <c r="S373" s="186">
        <f t="shared" si="24"/>
        <v>0</v>
      </c>
      <c r="T373" s="187" t="str">
        <f>IF(R373="","",IF(O373=0,Famille!$D$5,IF(R373&lt;O373,Famille!$D$2,IF(R373&lt;=P373,Famille!$D$3,Famille!$D$4))))</f>
        <v>Sur commande</v>
      </c>
    </row>
    <row r="374" spans="1:20" ht="12" customHeight="1" x14ac:dyDescent="0.2">
      <c r="A374" s="4" t="str">
        <f>IF(Produits!A374="","",Produits!A374)</f>
        <v>ComfortDrive</v>
      </c>
      <c r="B374" s="4" t="str">
        <f>IF(Produits!B374="","",Produits!B374)</f>
        <v>Outils</v>
      </c>
      <c r="C374" s="4" t="str">
        <f>IF(Produits!C374="","",Produits!C374)</f>
        <v>1000,00,0371</v>
      </c>
      <c r="D374" s="4" t="str">
        <f>IF(Produits!D374="","",Produits!D374)</f>
        <v>AA495</v>
      </c>
      <c r="E374" s="49" t="str">
        <f>IF(Produits!F374="","",Produits!F374)</f>
        <v>1 pcs</v>
      </c>
      <c r="F374" s="50">
        <f>IF(Produits!H374="","",Produits!H374)</f>
        <v>380</v>
      </c>
      <c r="H374" s="37">
        <v>0</v>
      </c>
      <c r="I374" s="2"/>
      <c r="J374" s="69">
        <f>SUM('Archives Entrées'!$N374:$AAV374)</f>
        <v>0</v>
      </c>
      <c r="K374" s="51" t="str">
        <f t="shared" si="21"/>
        <v>0,00€</v>
      </c>
      <c r="L374" s="69">
        <f>SUM('Archives Sorties'!$M374:$AAY374)</f>
        <v>0</v>
      </c>
      <c r="M374" s="51" t="str">
        <f t="shared" si="22"/>
        <v>0,00€</v>
      </c>
      <c r="O374" s="72">
        <v>0</v>
      </c>
      <c r="P374" s="72">
        <v>0</v>
      </c>
      <c r="R374" s="185">
        <f t="shared" si="23"/>
        <v>0</v>
      </c>
      <c r="S374" s="186">
        <f t="shared" si="24"/>
        <v>0</v>
      </c>
      <c r="T374" s="187" t="str">
        <f>IF(R374="","",IF(O374=0,Famille!$D$5,IF(R374&lt;O374,Famille!$D$2,IF(R374&lt;=P374,Famille!$D$3,Famille!$D$4))))</f>
        <v>Sur commande</v>
      </c>
    </row>
    <row r="375" spans="1:20" ht="12" customHeight="1" x14ac:dyDescent="0.2">
      <c r="A375" s="4" t="str">
        <f>IF(Produits!A375="","",Produits!A375)</f>
        <v>ComfortDrive</v>
      </c>
      <c r="B375" s="4" t="str">
        <f>IF(Produits!B375="","",Produits!B375)</f>
        <v>Outils</v>
      </c>
      <c r="C375" s="4" t="str">
        <f>IF(Produits!C375="","",Produits!C375)</f>
        <v>1000,00,0372</v>
      </c>
      <c r="D375" s="4" t="str">
        <f>IF(Produits!D375="","",Produits!D375)</f>
        <v>AA496</v>
      </c>
      <c r="E375" s="49" t="str">
        <f>IF(Produits!F375="","",Produits!F375)</f>
        <v>1 pcs</v>
      </c>
      <c r="F375" s="50">
        <f>IF(Produits!H375="","",Produits!H375)</f>
        <v>381</v>
      </c>
      <c r="H375" s="37">
        <v>0</v>
      </c>
      <c r="I375" s="2"/>
      <c r="J375" s="69">
        <f>SUM('Archives Entrées'!$N375:$AAV375)</f>
        <v>0</v>
      </c>
      <c r="K375" s="51" t="str">
        <f t="shared" si="21"/>
        <v>0,00€</v>
      </c>
      <c r="L375" s="69">
        <f>SUM('Archives Sorties'!$M375:$AAY375)</f>
        <v>0</v>
      </c>
      <c r="M375" s="51" t="str">
        <f t="shared" si="22"/>
        <v>0,00€</v>
      </c>
      <c r="O375" s="72">
        <v>0</v>
      </c>
      <c r="P375" s="72">
        <v>0</v>
      </c>
      <c r="R375" s="185">
        <f t="shared" si="23"/>
        <v>0</v>
      </c>
      <c r="S375" s="186">
        <f t="shared" si="24"/>
        <v>0</v>
      </c>
      <c r="T375" s="187" t="str">
        <f>IF(R375="","",IF(O375=0,Famille!$D$5,IF(R375&lt;O375,Famille!$D$2,IF(R375&lt;=P375,Famille!$D$3,Famille!$D$4))))</f>
        <v>Sur commande</v>
      </c>
    </row>
    <row r="376" spans="1:20" ht="12" customHeight="1" x14ac:dyDescent="0.2">
      <c r="A376" s="4" t="str">
        <f>IF(Produits!A376="","",Produits!A376)</f>
        <v>ComfortDrive</v>
      </c>
      <c r="B376" s="4" t="str">
        <f>IF(Produits!B376="","",Produits!B376)</f>
        <v>Variflex</v>
      </c>
      <c r="C376" s="4" t="str">
        <f>IF(Produits!C376="","",Produits!C376)</f>
        <v>1000,00,0373</v>
      </c>
      <c r="D376" s="4" t="str">
        <f>IF(Produits!D376="","",Produits!D376)</f>
        <v>AA497</v>
      </c>
      <c r="E376" s="49" t="str">
        <f>IF(Produits!F376="","",Produits!F376)</f>
        <v>1 pcs</v>
      </c>
      <c r="F376" s="50">
        <f>IF(Produits!H376="","",Produits!H376)</f>
        <v>382</v>
      </c>
      <c r="H376" s="37">
        <v>0</v>
      </c>
      <c r="I376" s="2"/>
      <c r="J376" s="69">
        <f>SUM('Archives Entrées'!$N376:$AAV376)</f>
        <v>0</v>
      </c>
      <c r="K376" s="51" t="str">
        <f t="shared" si="21"/>
        <v>0,00€</v>
      </c>
      <c r="L376" s="69">
        <f>SUM('Archives Sorties'!$M376:$AAY376)</f>
        <v>0</v>
      </c>
      <c r="M376" s="51" t="str">
        <f t="shared" si="22"/>
        <v>0,00€</v>
      </c>
      <c r="O376" s="72">
        <v>0</v>
      </c>
      <c r="P376" s="72">
        <v>0</v>
      </c>
      <c r="R376" s="185">
        <f t="shared" si="23"/>
        <v>0</v>
      </c>
      <c r="S376" s="186">
        <f t="shared" si="24"/>
        <v>0</v>
      </c>
      <c r="T376" s="187" t="str">
        <f>IF(R376="","",IF(O376=0,Famille!$D$5,IF(R376&lt;O376,Famille!$D$2,IF(R376&lt;=P376,Famille!$D$3,Famille!$D$4))))</f>
        <v>Sur commande</v>
      </c>
    </row>
    <row r="377" spans="1:20" ht="12" customHeight="1" x14ac:dyDescent="0.2">
      <c r="A377" s="4" t="str">
        <f>IF(Produits!A377="","",Produits!A377)</f>
        <v>ComfortDrive</v>
      </c>
      <c r="B377" s="4" t="str">
        <f>IF(Produits!B377="","",Produits!B377)</f>
        <v>Variflex</v>
      </c>
      <c r="C377" s="4" t="str">
        <f>IF(Produits!C377="","",Produits!C377)</f>
        <v>1000,00,0374</v>
      </c>
      <c r="D377" s="4" t="str">
        <f>IF(Produits!D377="","",Produits!D377)</f>
        <v>AA498</v>
      </c>
      <c r="E377" s="49" t="str">
        <f>IF(Produits!F377="","",Produits!F377)</f>
        <v>1 pcs</v>
      </c>
      <c r="F377" s="50">
        <f>IF(Produits!H377="","",Produits!H377)</f>
        <v>383</v>
      </c>
      <c r="H377" s="37">
        <v>0</v>
      </c>
      <c r="I377" s="2"/>
      <c r="J377" s="69">
        <f>SUM('Archives Entrées'!$N377:$AAV377)</f>
        <v>0</v>
      </c>
      <c r="K377" s="51" t="str">
        <f t="shared" si="21"/>
        <v>0,00€</v>
      </c>
      <c r="L377" s="69">
        <f>SUM('Archives Sorties'!$M377:$AAY377)</f>
        <v>0</v>
      </c>
      <c r="M377" s="51" t="str">
        <f t="shared" si="22"/>
        <v>0,00€</v>
      </c>
      <c r="O377" s="72">
        <v>0</v>
      </c>
      <c r="P377" s="72">
        <v>0</v>
      </c>
      <c r="R377" s="185">
        <f t="shared" si="23"/>
        <v>0</v>
      </c>
      <c r="S377" s="186">
        <f t="shared" si="24"/>
        <v>0</v>
      </c>
      <c r="T377" s="187" t="str">
        <f>IF(R377="","",IF(O377=0,Famille!$D$5,IF(R377&lt;O377,Famille!$D$2,IF(R377&lt;=P377,Famille!$D$3,Famille!$D$4))))</f>
        <v>Sur commande</v>
      </c>
    </row>
    <row r="378" spans="1:20" ht="12" customHeight="1" x14ac:dyDescent="0.2">
      <c r="A378" s="4" t="str">
        <f>IF(Produits!A378="","",Produits!A378)</f>
        <v>ComfortDrive</v>
      </c>
      <c r="B378" s="4" t="str">
        <f>IF(Produits!B378="","",Produits!B378)</f>
        <v>Variflex</v>
      </c>
      <c r="C378" s="4" t="str">
        <f>IF(Produits!C378="","",Produits!C378)</f>
        <v>1000,00,0375</v>
      </c>
      <c r="D378" s="4" t="str">
        <f>IF(Produits!D378="","",Produits!D378)</f>
        <v>AA499</v>
      </c>
      <c r="E378" s="49" t="str">
        <f>IF(Produits!F378="","",Produits!F378)</f>
        <v>1 pcs</v>
      </c>
      <c r="F378" s="50">
        <f>IF(Produits!H378="","",Produits!H378)</f>
        <v>384</v>
      </c>
      <c r="H378" s="37">
        <v>0</v>
      </c>
      <c r="I378" s="2"/>
      <c r="J378" s="69">
        <f>SUM('Archives Entrées'!$N378:$AAV378)</f>
        <v>0</v>
      </c>
      <c r="K378" s="51" t="str">
        <f t="shared" si="21"/>
        <v>0,00€</v>
      </c>
      <c r="L378" s="69">
        <f>SUM('Archives Sorties'!$M378:$AAY378)</f>
        <v>0</v>
      </c>
      <c r="M378" s="51" t="str">
        <f t="shared" si="22"/>
        <v>0,00€</v>
      </c>
      <c r="O378" s="72">
        <v>0</v>
      </c>
      <c r="P378" s="72">
        <v>0</v>
      </c>
      <c r="R378" s="185">
        <f t="shared" si="23"/>
        <v>0</v>
      </c>
      <c r="S378" s="186">
        <f t="shared" si="24"/>
        <v>0</v>
      </c>
      <c r="T378" s="187" t="str">
        <f>IF(R378="","",IF(O378=0,Famille!$D$5,IF(R378&lt;O378,Famille!$D$2,IF(R378&lt;=P378,Famille!$D$3,Famille!$D$4))))</f>
        <v>Sur commande</v>
      </c>
    </row>
    <row r="379" spans="1:20" ht="12" customHeight="1" x14ac:dyDescent="0.2">
      <c r="A379" s="4" t="str">
        <f>IF(Produits!A379="","",Produits!A379)</f>
        <v>ComfortDrive</v>
      </c>
      <c r="B379" s="4" t="str">
        <f>IF(Produits!B379="","",Produits!B379)</f>
        <v>Variflex</v>
      </c>
      <c r="C379" s="4" t="str">
        <f>IF(Produits!C379="","",Produits!C379)</f>
        <v>1000,00,0376</v>
      </c>
      <c r="D379" s="4" t="str">
        <f>IF(Produits!D379="","",Produits!D379)</f>
        <v>AA500</v>
      </c>
      <c r="E379" s="49" t="str">
        <f>IF(Produits!F379="","",Produits!F379)</f>
        <v>1 pcs</v>
      </c>
      <c r="F379" s="50">
        <f>IF(Produits!H379="","",Produits!H379)</f>
        <v>385</v>
      </c>
      <c r="H379" s="37">
        <v>0</v>
      </c>
      <c r="I379" s="2"/>
      <c r="J379" s="69">
        <f>SUM('Archives Entrées'!$N379:$AAV379)</f>
        <v>0</v>
      </c>
      <c r="K379" s="51" t="str">
        <f t="shared" si="21"/>
        <v>0,00€</v>
      </c>
      <c r="L379" s="69">
        <f>SUM('Archives Sorties'!$M379:$AAY379)</f>
        <v>0</v>
      </c>
      <c r="M379" s="51" t="str">
        <f t="shared" si="22"/>
        <v>0,00€</v>
      </c>
      <c r="O379" s="72">
        <v>0</v>
      </c>
      <c r="P379" s="72">
        <v>0</v>
      </c>
      <c r="R379" s="185">
        <f t="shared" si="23"/>
        <v>0</v>
      </c>
      <c r="S379" s="186">
        <f t="shared" si="24"/>
        <v>0</v>
      </c>
      <c r="T379" s="187" t="str">
        <f>IF(R379="","",IF(O379=0,Famille!$D$5,IF(R379&lt;O379,Famille!$D$2,IF(R379&lt;=P379,Famille!$D$3,Famille!$D$4))))</f>
        <v>Sur commande</v>
      </c>
    </row>
    <row r="380" spans="1:20" ht="12" customHeight="1" x14ac:dyDescent="0.2">
      <c r="A380" s="4" t="str">
        <f>IF(Produits!A380="","",Produits!A380)</f>
        <v>ComfortDrive</v>
      </c>
      <c r="B380" s="4" t="str">
        <f>IF(Produits!B380="","",Produits!B380)</f>
        <v>Variflex</v>
      </c>
      <c r="C380" s="4" t="str">
        <f>IF(Produits!C380="","",Produits!C380)</f>
        <v>1000,00,0377</v>
      </c>
      <c r="D380" s="4" t="str">
        <f>IF(Produits!D380="","",Produits!D380)</f>
        <v>AA501</v>
      </c>
      <c r="E380" s="49" t="str">
        <f>IF(Produits!F380="","",Produits!F380)</f>
        <v>1 pcs</v>
      </c>
      <c r="F380" s="50">
        <f>IF(Produits!H380="","",Produits!H380)</f>
        <v>386</v>
      </c>
      <c r="H380" s="37">
        <v>0</v>
      </c>
      <c r="I380" s="2"/>
      <c r="J380" s="69">
        <f>SUM('Archives Entrées'!$N380:$AAV380)</f>
        <v>0</v>
      </c>
      <c r="K380" s="51" t="str">
        <f t="shared" si="21"/>
        <v>0,00€</v>
      </c>
      <c r="L380" s="69">
        <f>SUM('Archives Sorties'!$M380:$AAY380)</f>
        <v>0</v>
      </c>
      <c r="M380" s="51" t="str">
        <f t="shared" si="22"/>
        <v>0,00€</v>
      </c>
      <c r="O380" s="72">
        <v>0</v>
      </c>
      <c r="P380" s="72">
        <v>0</v>
      </c>
      <c r="R380" s="185">
        <f t="shared" si="23"/>
        <v>0</v>
      </c>
      <c r="S380" s="186">
        <f t="shared" si="24"/>
        <v>0</v>
      </c>
      <c r="T380" s="187" t="str">
        <f>IF(R380="","",IF(O380=0,Famille!$D$5,IF(R380&lt;O380,Famille!$D$2,IF(R380&lt;=P380,Famille!$D$3,Famille!$D$4))))</f>
        <v>Sur commande</v>
      </c>
    </row>
    <row r="381" spans="1:20" ht="12" customHeight="1" x14ac:dyDescent="0.2">
      <c r="A381" s="4" t="str">
        <f>IF(Produits!A381="","",Produits!A381)</f>
        <v>ComfortDrive</v>
      </c>
      <c r="B381" s="4" t="str">
        <f>IF(Produits!B381="","",Produits!B381)</f>
        <v>Variflex</v>
      </c>
      <c r="C381" s="4" t="str">
        <f>IF(Produits!C381="","",Produits!C381)</f>
        <v>1000,00,0378</v>
      </c>
      <c r="D381" s="4" t="str">
        <f>IF(Produits!D381="","",Produits!D381)</f>
        <v>AA502</v>
      </c>
      <c r="E381" s="49" t="str">
        <f>IF(Produits!F381="","",Produits!F381)</f>
        <v>1 pcs</v>
      </c>
      <c r="F381" s="50">
        <f>IF(Produits!H381="","",Produits!H381)</f>
        <v>387</v>
      </c>
      <c r="H381" s="37">
        <v>0</v>
      </c>
      <c r="I381" s="2"/>
      <c r="J381" s="69">
        <f>SUM('Archives Entrées'!$N381:$AAV381)</f>
        <v>0</v>
      </c>
      <c r="K381" s="51" t="str">
        <f t="shared" si="21"/>
        <v>0,00€</v>
      </c>
      <c r="L381" s="69">
        <f>SUM('Archives Sorties'!$M381:$AAY381)</f>
        <v>0</v>
      </c>
      <c r="M381" s="51" t="str">
        <f t="shared" si="22"/>
        <v>0,00€</v>
      </c>
      <c r="O381" s="72">
        <v>0</v>
      </c>
      <c r="P381" s="72">
        <v>0</v>
      </c>
      <c r="R381" s="185">
        <f t="shared" si="23"/>
        <v>0</v>
      </c>
      <c r="S381" s="186">
        <f t="shared" si="24"/>
        <v>0</v>
      </c>
      <c r="T381" s="187" t="str">
        <f>IF(R381="","",IF(O381=0,Famille!$D$5,IF(R381&lt;O381,Famille!$D$2,IF(R381&lt;=P381,Famille!$D$3,Famille!$D$4))))</f>
        <v>Sur commande</v>
      </c>
    </row>
    <row r="382" spans="1:20" ht="12" customHeight="1" x14ac:dyDescent="0.2">
      <c r="A382" s="4" t="str">
        <f>IF(Produits!A382="","",Produits!A382)</f>
        <v>ComfortDrive</v>
      </c>
      <c r="B382" s="4" t="str">
        <f>IF(Produits!B382="","",Produits!B382)</f>
        <v>Variflex</v>
      </c>
      <c r="C382" s="4" t="str">
        <f>IF(Produits!C382="","",Produits!C382)</f>
        <v>1000,00,0379</v>
      </c>
      <c r="D382" s="4" t="str">
        <f>IF(Produits!D382="","",Produits!D382)</f>
        <v>AA503</v>
      </c>
      <c r="E382" s="49" t="str">
        <f>IF(Produits!F382="","",Produits!F382)</f>
        <v>1 pcs</v>
      </c>
      <c r="F382" s="50">
        <f>IF(Produits!H382="","",Produits!H382)</f>
        <v>388</v>
      </c>
      <c r="H382" s="37">
        <v>0</v>
      </c>
      <c r="I382" s="2"/>
      <c r="J382" s="69">
        <f>SUM('Archives Entrées'!$N382:$AAV382)</f>
        <v>0</v>
      </c>
      <c r="K382" s="51" t="str">
        <f t="shared" si="21"/>
        <v>0,00€</v>
      </c>
      <c r="L382" s="69">
        <f>SUM('Archives Sorties'!$M382:$AAY382)</f>
        <v>0</v>
      </c>
      <c r="M382" s="51" t="str">
        <f t="shared" si="22"/>
        <v>0,00€</v>
      </c>
      <c r="O382" s="72">
        <v>0</v>
      </c>
      <c r="P382" s="72">
        <v>0</v>
      </c>
      <c r="R382" s="185">
        <f t="shared" si="23"/>
        <v>0</v>
      </c>
      <c r="S382" s="186">
        <f t="shared" si="24"/>
        <v>0</v>
      </c>
      <c r="T382" s="187" t="str">
        <f>IF(R382="","",IF(O382=0,Famille!$D$5,IF(R382&lt;O382,Famille!$D$2,IF(R382&lt;=P382,Famille!$D$3,Famille!$D$4))))</f>
        <v>Sur commande</v>
      </c>
    </row>
    <row r="383" spans="1:20" ht="12" customHeight="1" x14ac:dyDescent="0.2">
      <c r="A383" s="4" t="str">
        <f>IF(Produits!A383="","",Produits!A383)</f>
        <v>ComfortDrive</v>
      </c>
      <c r="B383" s="4" t="str">
        <f>IF(Produits!B383="","",Produits!B383)</f>
        <v>Variflex</v>
      </c>
      <c r="C383" s="4" t="str">
        <f>IF(Produits!C383="","",Produits!C383)</f>
        <v>1000,00,0380</v>
      </c>
      <c r="D383" s="4" t="str">
        <f>IF(Produits!D383="","",Produits!D383)</f>
        <v>AA504</v>
      </c>
      <c r="E383" s="49" t="str">
        <f>IF(Produits!F383="","",Produits!F383)</f>
        <v>1 pcs</v>
      </c>
      <c r="F383" s="50">
        <f>IF(Produits!H383="","",Produits!H383)</f>
        <v>389</v>
      </c>
      <c r="H383" s="37">
        <v>0</v>
      </c>
      <c r="I383" s="2"/>
      <c r="J383" s="69">
        <f>SUM('Archives Entrées'!$N383:$AAV383)</f>
        <v>0</v>
      </c>
      <c r="K383" s="51" t="str">
        <f t="shared" si="21"/>
        <v>0,00€</v>
      </c>
      <c r="L383" s="69">
        <f>SUM('Archives Sorties'!$M383:$AAY383)</f>
        <v>0</v>
      </c>
      <c r="M383" s="51" t="str">
        <f t="shared" si="22"/>
        <v>0,00€</v>
      </c>
      <c r="O383" s="72">
        <v>0</v>
      </c>
      <c r="P383" s="72">
        <v>0</v>
      </c>
      <c r="R383" s="185">
        <f t="shared" si="23"/>
        <v>0</v>
      </c>
      <c r="S383" s="186">
        <f t="shared" si="24"/>
        <v>0</v>
      </c>
      <c r="T383" s="187" t="str">
        <f>IF(R383="","",IF(O383=0,Famille!$D$5,IF(R383&lt;O383,Famille!$D$2,IF(R383&lt;=P383,Famille!$D$3,Famille!$D$4))))</f>
        <v>Sur commande</v>
      </c>
    </row>
    <row r="384" spans="1:20" ht="12" customHeight="1" x14ac:dyDescent="0.2">
      <c r="A384" s="4" t="str">
        <f>IF(Produits!A384="","",Produits!A384)</f>
        <v>ComfortDrive</v>
      </c>
      <c r="B384" s="4" t="str">
        <f>IF(Produits!B384="","",Produits!B384)</f>
        <v>Moveo</v>
      </c>
      <c r="C384" s="4" t="str">
        <f>IF(Produits!C384="","",Produits!C384)</f>
        <v>1000,00,0381</v>
      </c>
      <c r="D384" s="4" t="str">
        <f>IF(Produits!D384="","",Produits!D384)</f>
        <v>AA505</v>
      </c>
      <c r="E384" s="49" t="str">
        <f>IF(Produits!F384="","",Produits!F384)</f>
        <v>1 pcs</v>
      </c>
      <c r="F384" s="50">
        <f>IF(Produits!H384="","",Produits!H384)</f>
        <v>390</v>
      </c>
      <c r="H384" s="37">
        <v>0</v>
      </c>
      <c r="I384" s="2"/>
      <c r="J384" s="69">
        <f>SUM('Archives Entrées'!$N384:$AAV384)</f>
        <v>0</v>
      </c>
      <c r="K384" s="51" t="str">
        <f t="shared" si="21"/>
        <v>0,00€</v>
      </c>
      <c r="L384" s="69">
        <f>SUM('Archives Sorties'!$M384:$AAY384)</f>
        <v>0</v>
      </c>
      <c r="M384" s="51" t="str">
        <f t="shared" si="22"/>
        <v>0,00€</v>
      </c>
      <c r="O384" s="72">
        <v>0</v>
      </c>
      <c r="P384" s="72">
        <v>0</v>
      </c>
      <c r="R384" s="185">
        <f t="shared" si="23"/>
        <v>0</v>
      </c>
      <c r="S384" s="186">
        <f t="shared" si="24"/>
        <v>0</v>
      </c>
      <c r="T384" s="187" t="str">
        <f>IF(R384="","",IF(O384=0,Famille!$D$5,IF(R384&lt;O384,Famille!$D$2,IF(R384&lt;=P384,Famille!$D$3,Famille!$D$4))))</f>
        <v>Sur commande</v>
      </c>
    </row>
    <row r="385" spans="1:20" ht="12" customHeight="1" x14ac:dyDescent="0.2">
      <c r="A385" s="4" t="str">
        <f>IF(Produits!A385="","",Produits!A385)</f>
        <v>ComfortDrive</v>
      </c>
      <c r="B385" s="4" t="str">
        <f>IF(Produits!B385="","",Produits!B385)</f>
        <v>Moveo</v>
      </c>
      <c r="C385" s="4" t="str">
        <f>IF(Produits!C385="","",Produits!C385)</f>
        <v>1000,00,0382</v>
      </c>
      <c r="D385" s="4" t="str">
        <f>IF(Produits!D385="","",Produits!D385)</f>
        <v>AA506</v>
      </c>
      <c r="E385" s="49" t="str">
        <f>IF(Produits!F385="","",Produits!F385)</f>
        <v>1 pcs</v>
      </c>
      <c r="F385" s="50">
        <f>IF(Produits!H385="","",Produits!H385)</f>
        <v>391</v>
      </c>
      <c r="H385" s="37">
        <v>0</v>
      </c>
      <c r="I385" s="2"/>
      <c r="J385" s="69">
        <f>SUM('Archives Entrées'!$N385:$AAV385)</f>
        <v>0</v>
      </c>
      <c r="K385" s="51" t="str">
        <f t="shared" si="21"/>
        <v>0,00€</v>
      </c>
      <c r="L385" s="69">
        <f>SUM('Archives Sorties'!$M385:$AAY385)</f>
        <v>0</v>
      </c>
      <c r="M385" s="51" t="str">
        <f t="shared" si="22"/>
        <v>0,00€</v>
      </c>
      <c r="O385" s="72">
        <v>0</v>
      </c>
      <c r="P385" s="72">
        <v>0</v>
      </c>
      <c r="R385" s="185">
        <f t="shared" si="23"/>
        <v>0</v>
      </c>
      <c r="S385" s="186">
        <f t="shared" si="24"/>
        <v>0</v>
      </c>
      <c r="T385" s="187" t="str">
        <f>IF(R385="","",IF(O385=0,Famille!$D$5,IF(R385&lt;O385,Famille!$D$2,IF(R385&lt;=P385,Famille!$D$3,Famille!$D$4))))</f>
        <v>Sur commande</v>
      </c>
    </row>
    <row r="386" spans="1:20" ht="12" customHeight="1" x14ac:dyDescent="0.2">
      <c r="A386" s="4" t="str">
        <f>IF(Produits!A386="","",Produits!A386)</f>
        <v>ComfortDrive</v>
      </c>
      <c r="B386" s="4" t="str">
        <f>IF(Produits!B386="","",Produits!B386)</f>
        <v>Moveo</v>
      </c>
      <c r="C386" s="4" t="str">
        <f>IF(Produits!C386="","",Produits!C386)</f>
        <v>1000,00,0383</v>
      </c>
      <c r="D386" s="4" t="str">
        <f>IF(Produits!D386="","",Produits!D386)</f>
        <v>AA507</v>
      </c>
      <c r="E386" s="49" t="str">
        <f>IF(Produits!F386="","",Produits!F386)</f>
        <v>1 pcs</v>
      </c>
      <c r="F386" s="50">
        <f>IF(Produits!H386="","",Produits!H386)</f>
        <v>392</v>
      </c>
      <c r="H386" s="37">
        <v>0</v>
      </c>
      <c r="I386" s="2"/>
      <c r="J386" s="69">
        <f>SUM('Archives Entrées'!$N386:$AAV386)</f>
        <v>0</v>
      </c>
      <c r="K386" s="51" t="str">
        <f t="shared" si="21"/>
        <v>0,00€</v>
      </c>
      <c r="L386" s="69">
        <f>SUM('Archives Sorties'!$M386:$AAY386)</f>
        <v>0</v>
      </c>
      <c r="M386" s="51" t="str">
        <f t="shared" si="22"/>
        <v>0,00€</v>
      </c>
      <c r="O386" s="72">
        <v>0</v>
      </c>
      <c r="P386" s="72">
        <v>0</v>
      </c>
      <c r="R386" s="185">
        <f t="shared" si="23"/>
        <v>0</v>
      </c>
      <c r="S386" s="186">
        <f t="shared" si="24"/>
        <v>0</v>
      </c>
      <c r="T386" s="187" t="str">
        <f>IF(R386="","",IF(O386=0,Famille!$D$5,IF(R386&lt;O386,Famille!$D$2,IF(R386&lt;=P386,Famille!$D$3,Famille!$D$4))))</f>
        <v>Sur commande</v>
      </c>
    </row>
    <row r="387" spans="1:20" ht="12" customHeight="1" x14ac:dyDescent="0.2">
      <c r="A387" s="4" t="str">
        <f>IF(Produits!A387="","",Produits!A387)</f>
        <v>ComfortDrive</v>
      </c>
      <c r="B387" s="4" t="str">
        <f>IF(Produits!B387="","",Produits!B387)</f>
        <v>Moveo</v>
      </c>
      <c r="C387" s="4" t="str">
        <f>IF(Produits!C387="","",Produits!C387)</f>
        <v>1000,00,0384</v>
      </c>
      <c r="D387" s="4" t="str">
        <f>IF(Produits!D387="","",Produits!D387)</f>
        <v>AA508</v>
      </c>
      <c r="E387" s="49" t="str">
        <f>IF(Produits!F387="","",Produits!F387)</f>
        <v>1 pcs</v>
      </c>
      <c r="F387" s="50">
        <f>IF(Produits!H387="","",Produits!H387)</f>
        <v>393</v>
      </c>
      <c r="H387" s="37">
        <v>0</v>
      </c>
      <c r="I387" s="2"/>
      <c r="J387" s="69">
        <f>SUM('Archives Entrées'!$N387:$AAV387)</f>
        <v>0</v>
      </c>
      <c r="K387" s="51" t="str">
        <f t="shared" si="21"/>
        <v>0,00€</v>
      </c>
      <c r="L387" s="69">
        <f>SUM('Archives Sorties'!$M387:$AAY387)</f>
        <v>0</v>
      </c>
      <c r="M387" s="51" t="str">
        <f t="shared" si="22"/>
        <v>0,00€</v>
      </c>
      <c r="O387" s="72">
        <v>0</v>
      </c>
      <c r="P387" s="72">
        <v>0</v>
      </c>
      <c r="R387" s="185">
        <f t="shared" si="23"/>
        <v>0</v>
      </c>
      <c r="S387" s="186">
        <f t="shared" si="24"/>
        <v>0</v>
      </c>
      <c r="T387" s="187" t="str">
        <f>IF(R387="","",IF(O387=0,Famille!$D$5,IF(R387&lt;O387,Famille!$D$2,IF(R387&lt;=P387,Famille!$D$3,Famille!$D$4))))</f>
        <v>Sur commande</v>
      </c>
    </row>
    <row r="388" spans="1:20" ht="12" customHeight="1" x14ac:dyDescent="0.2">
      <c r="A388" s="4" t="str">
        <f>IF(Produits!A388="","",Produits!A388)</f>
        <v>ComfortDrive</v>
      </c>
      <c r="B388" s="4" t="str">
        <f>IF(Produits!B388="","",Produits!B388)</f>
        <v>Moveo</v>
      </c>
      <c r="C388" s="4" t="str">
        <f>IF(Produits!C388="","",Produits!C388)</f>
        <v>1000,00,0385</v>
      </c>
      <c r="D388" s="4" t="str">
        <f>IF(Produits!D388="","",Produits!D388)</f>
        <v>AA509</v>
      </c>
      <c r="E388" s="49" t="str">
        <f>IF(Produits!F388="","",Produits!F388)</f>
        <v>1 pcs</v>
      </c>
      <c r="F388" s="50">
        <f>IF(Produits!H388="","",Produits!H388)</f>
        <v>394</v>
      </c>
      <c r="H388" s="37">
        <v>0</v>
      </c>
      <c r="I388" s="2"/>
      <c r="J388" s="69">
        <f>SUM('Archives Entrées'!$N388:$AAV388)</f>
        <v>0</v>
      </c>
      <c r="K388" s="51" t="str">
        <f t="shared" si="21"/>
        <v>0,00€</v>
      </c>
      <c r="L388" s="69">
        <f>SUM('Archives Sorties'!$M388:$AAY388)</f>
        <v>0</v>
      </c>
      <c r="M388" s="51" t="str">
        <f t="shared" si="22"/>
        <v>0,00€</v>
      </c>
      <c r="O388" s="72">
        <v>0</v>
      </c>
      <c r="P388" s="72">
        <v>0</v>
      </c>
      <c r="R388" s="185">
        <f t="shared" si="23"/>
        <v>0</v>
      </c>
      <c r="S388" s="186">
        <f t="shared" si="24"/>
        <v>0</v>
      </c>
      <c r="T388" s="187" t="str">
        <f>IF(R388="","",IF(O388=0,Famille!$D$5,IF(R388&lt;O388,Famille!$D$2,IF(R388&lt;=P388,Famille!$D$3,Famille!$D$4))))</f>
        <v>Sur commande</v>
      </c>
    </row>
    <row r="389" spans="1:20" ht="12" customHeight="1" x14ac:dyDescent="0.2">
      <c r="A389" s="4" t="str">
        <f>IF(Produits!A389="","",Produits!A389)</f>
        <v>ComfortDrive</v>
      </c>
      <c r="B389" s="4" t="str">
        <f>IF(Produits!B389="","",Produits!B389)</f>
        <v>Moveo</v>
      </c>
      <c r="C389" s="4" t="str">
        <f>IF(Produits!C389="","",Produits!C389)</f>
        <v>1000,00,0386</v>
      </c>
      <c r="D389" s="4" t="str">
        <f>IF(Produits!D389="","",Produits!D389)</f>
        <v>AA510</v>
      </c>
      <c r="E389" s="49" t="str">
        <f>IF(Produits!F389="","",Produits!F389)</f>
        <v>1 pcs</v>
      </c>
      <c r="F389" s="50">
        <f>IF(Produits!H389="","",Produits!H389)</f>
        <v>395</v>
      </c>
      <c r="H389" s="37">
        <v>0</v>
      </c>
      <c r="I389" s="2"/>
      <c r="J389" s="69">
        <f>SUM('Archives Entrées'!$N389:$AAV389)</f>
        <v>0</v>
      </c>
      <c r="K389" s="51" t="str">
        <f t="shared" ref="K389:K452" si="25">IF(J389=0,"0,00€",J389*F389)</f>
        <v>0,00€</v>
      </c>
      <c r="L389" s="69">
        <f>SUM('Archives Sorties'!$M389:$AAY389)</f>
        <v>0</v>
      </c>
      <c r="M389" s="51" t="str">
        <f t="shared" ref="M389:M452" si="26">IF(L389=0,"0,00€",L389*F389)</f>
        <v>0,00€</v>
      </c>
      <c r="O389" s="72">
        <v>0</v>
      </c>
      <c r="P389" s="72">
        <v>0</v>
      </c>
      <c r="R389" s="185">
        <f t="shared" ref="R389:R452" si="27">IF(A389="","",((J389+H389)-L389))</f>
        <v>0</v>
      </c>
      <c r="S389" s="186">
        <f t="shared" ref="S389:S452" si="28">IF(R389="","",IF(R389=0,0,IF(R389&lt;O389,0,IF(R389&lt;=P389,1,2))))</f>
        <v>0</v>
      </c>
      <c r="T389" s="187" t="str">
        <f>IF(R389="","",IF(O389=0,Famille!$D$5,IF(R389&lt;O389,Famille!$D$2,IF(R389&lt;=P389,Famille!$D$3,Famille!$D$4))))</f>
        <v>Sur commande</v>
      </c>
    </row>
    <row r="390" spans="1:20" ht="12" customHeight="1" x14ac:dyDescent="0.2">
      <c r="A390" s="4" t="str">
        <f>IF(Produits!A390="","",Produits!A390)</f>
        <v>ComfortDrive</v>
      </c>
      <c r="B390" s="4" t="str">
        <f>IF(Produits!B390="","",Produits!B390)</f>
        <v>Moveo</v>
      </c>
      <c r="C390" s="4" t="str">
        <f>IF(Produits!C390="","",Produits!C390)</f>
        <v>1000,00,0387</v>
      </c>
      <c r="D390" s="4" t="str">
        <f>IF(Produits!D390="","",Produits!D390)</f>
        <v>AA511</v>
      </c>
      <c r="E390" s="49" t="str">
        <f>IF(Produits!F390="","",Produits!F390)</f>
        <v>1 pcs</v>
      </c>
      <c r="F390" s="50">
        <f>IF(Produits!H390="","",Produits!H390)</f>
        <v>396</v>
      </c>
      <c r="H390" s="37">
        <v>0</v>
      </c>
      <c r="I390" s="2"/>
      <c r="J390" s="69">
        <f>SUM('Archives Entrées'!$N390:$AAV390)</f>
        <v>0</v>
      </c>
      <c r="K390" s="51" t="str">
        <f t="shared" si="25"/>
        <v>0,00€</v>
      </c>
      <c r="L390" s="69">
        <f>SUM('Archives Sorties'!$M390:$AAY390)</f>
        <v>0</v>
      </c>
      <c r="M390" s="51" t="str">
        <f t="shared" si="26"/>
        <v>0,00€</v>
      </c>
      <c r="O390" s="72">
        <v>0</v>
      </c>
      <c r="P390" s="72">
        <v>0</v>
      </c>
      <c r="R390" s="185">
        <f t="shared" si="27"/>
        <v>0</v>
      </c>
      <c r="S390" s="186">
        <f t="shared" si="28"/>
        <v>0</v>
      </c>
      <c r="T390" s="187" t="str">
        <f>IF(R390="","",IF(O390=0,Famille!$D$5,IF(R390&lt;O390,Famille!$D$2,IF(R390&lt;=P390,Famille!$D$3,Famille!$D$4))))</f>
        <v>Sur commande</v>
      </c>
    </row>
    <row r="391" spans="1:20" ht="12" customHeight="1" x14ac:dyDescent="0.2">
      <c r="A391" s="4" t="str">
        <f>IF(Produits!A391="","",Produits!A391)</f>
        <v>Varitrans</v>
      </c>
      <c r="B391" s="4" t="str">
        <f>IF(Produits!B391="","",Produits!B391)</f>
        <v>VE</v>
      </c>
      <c r="C391" s="4" t="str">
        <f>IF(Produits!C391="","",Produits!C391)</f>
        <v>1000,00,0388</v>
      </c>
      <c r="D391" s="4" t="str">
        <f>IF(Produits!D391="","",Produits!D391)</f>
        <v>AA512</v>
      </c>
      <c r="E391" s="49" t="str">
        <f>IF(Produits!F391="","",Produits!F391)</f>
        <v>1 pcs</v>
      </c>
      <c r="F391" s="50">
        <f>IF(Produits!H391="","",Produits!H391)</f>
        <v>397</v>
      </c>
      <c r="H391" s="37">
        <v>0</v>
      </c>
      <c r="I391" s="2"/>
      <c r="J391" s="69">
        <f>SUM('Archives Entrées'!$N391:$AAV391)</f>
        <v>0</v>
      </c>
      <c r="K391" s="51" t="str">
        <f t="shared" si="25"/>
        <v>0,00€</v>
      </c>
      <c r="L391" s="69">
        <f>SUM('Archives Sorties'!$M391:$AAY391)</f>
        <v>0</v>
      </c>
      <c r="M391" s="51" t="str">
        <f t="shared" si="26"/>
        <v>0,00€</v>
      </c>
      <c r="O391" s="72">
        <v>0</v>
      </c>
      <c r="P391" s="72">
        <v>0</v>
      </c>
      <c r="R391" s="185">
        <f t="shared" si="27"/>
        <v>0</v>
      </c>
      <c r="S391" s="186">
        <f t="shared" si="28"/>
        <v>0</v>
      </c>
      <c r="T391" s="187" t="str">
        <f>IF(R391="","",IF(O391=0,Famille!$D$5,IF(R391&lt;O391,Famille!$D$2,IF(R391&lt;=P391,Famille!$D$3,Famille!$D$4))))</f>
        <v>Sur commande</v>
      </c>
    </row>
    <row r="392" spans="1:20" ht="12" customHeight="1" x14ac:dyDescent="0.2">
      <c r="A392" s="4" t="str">
        <f>IF(Produits!A392="","",Produits!A392)</f>
        <v>Varitrans</v>
      </c>
      <c r="B392" s="4" t="str">
        <f>IF(Produits!B392="","",Produits!B392)</f>
        <v>VE</v>
      </c>
      <c r="C392" s="4" t="str">
        <f>IF(Produits!C392="","",Produits!C392)</f>
        <v>1000,00,0389</v>
      </c>
      <c r="D392" s="4" t="str">
        <f>IF(Produits!D392="","",Produits!D392)</f>
        <v>AA513</v>
      </c>
      <c r="E392" s="49" t="str">
        <f>IF(Produits!F392="","",Produits!F392)</f>
        <v>1 pcs</v>
      </c>
      <c r="F392" s="50">
        <f>IF(Produits!H392="","",Produits!H392)</f>
        <v>398</v>
      </c>
      <c r="H392" s="37">
        <v>0</v>
      </c>
      <c r="I392" s="2"/>
      <c r="J392" s="69">
        <f>SUM('Archives Entrées'!$N392:$AAV392)</f>
        <v>0</v>
      </c>
      <c r="K392" s="51" t="str">
        <f t="shared" si="25"/>
        <v>0,00€</v>
      </c>
      <c r="L392" s="69">
        <f>SUM('Archives Sorties'!$M392:$AAY392)</f>
        <v>0</v>
      </c>
      <c r="M392" s="51" t="str">
        <f t="shared" si="26"/>
        <v>0,00€</v>
      </c>
      <c r="O392" s="72">
        <v>0</v>
      </c>
      <c r="P392" s="72">
        <v>0</v>
      </c>
      <c r="R392" s="185">
        <f t="shared" si="27"/>
        <v>0</v>
      </c>
      <c r="S392" s="186">
        <f t="shared" si="28"/>
        <v>0</v>
      </c>
      <c r="T392" s="187" t="str">
        <f>IF(R392="","",IF(O392=0,Famille!$D$5,IF(R392&lt;O392,Famille!$D$2,IF(R392&lt;=P392,Famille!$D$3,Famille!$D$4))))</f>
        <v>Sur commande</v>
      </c>
    </row>
    <row r="393" spans="1:20" ht="12" customHeight="1" x14ac:dyDescent="0.2">
      <c r="A393" s="4" t="str">
        <f>IF(Produits!A393="","",Produits!A393)</f>
        <v>Varitrans</v>
      </c>
      <c r="B393" s="4" t="str">
        <f>IF(Produits!B393="","",Produits!B393)</f>
        <v>VE</v>
      </c>
      <c r="C393" s="4" t="str">
        <f>IF(Produits!C393="","",Produits!C393)</f>
        <v>1000,00,0390</v>
      </c>
      <c r="D393" s="4" t="str">
        <f>IF(Produits!D393="","",Produits!D393)</f>
        <v>AA514</v>
      </c>
      <c r="E393" s="49" t="str">
        <f>IF(Produits!F393="","",Produits!F393)</f>
        <v>1 pcs</v>
      </c>
      <c r="F393" s="50">
        <f>IF(Produits!H393="","",Produits!H393)</f>
        <v>399</v>
      </c>
      <c r="H393" s="37">
        <v>0</v>
      </c>
      <c r="I393" s="2"/>
      <c r="J393" s="69">
        <f>SUM('Archives Entrées'!$N393:$AAV393)</f>
        <v>0</v>
      </c>
      <c r="K393" s="51" t="str">
        <f t="shared" si="25"/>
        <v>0,00€</v>
      </c>
      <c r="L393" s="69">
        <f>SUM('Archives Sorties'!$M393:$AAY393)</f>
        <v>0</v>
      </c>
      <c r="M393" s="51" t="str">
        <f t="shared" si="26"/>
        <v>0,00€</v>
      </c>
      <c r="O393" s="72">
        <v>0</v>
      </c>
      <c r="P393" s="72">
        <v>0</v>
      </c>
      <c r="R393" s="185">
        <f t="shared" si="27"/>
        <v>0</v>
      </c>
      <c r="S393" s="186">
        <f t="shared" si="28"/>
        <v>0</v>
      </c>
      <c r="T393" s="187" t="str">
        <f>IF(R393="","",IF(O393=0,Famille!$D$5,IF(R393&lt;O393,Famille!$D$2,IF(R393&lt;=P393,Famille!$D$3,Famille!$D$4))))</f>
        <v>Sur commande</v>
      </c>
    </row>
    <row r="394" spans="1:20" ht="12" customHeight="1" x14ac:dyDescent="0.2">
      <c r="A394" s="4" t="str">
        <f>IF(Produits!A394="","",Produits!A394)</f>
        <v>Varitrans</v>
      </c>
      <c r="B394" s="4" t="str">
        <f>IF(Produits!B394="","",Produits!B394)</f>
        <v>VE</v>
      </c>
      <c r="C394" s="4" t="str">
        <f>IF(Produits!C394="","",Produits!C394)</f>
        <v>1000,00,0391</v>
      </c>
      <c r="D394" s="4" t="str">
        <f>IF(Produits!D394="","",Produits!D394)</f>
        <v>AA515</v>
      </c>
      <c r="E394" s="49" t="str">
        <f>IF(Produits!F394="","",Produits!F394)</f>
        <v>1 pcs</v>
      </c>
      <c r="F394" s="50">
        <f>IF(Produits!H394="","",Produits!H394)</f>
        <v>400</v>
      </c>
      <c r="H394" s="37">
        <v>0</v>
      </c>
      <c r="I394" s="2"/>
      <c r="J394" s="69">
        <f>SUM('Archives Entrées'!$N394:$AAV394)</f>
        <v>0</v>
      </c>
      <c r="K394" s="51" t="str">
        <f t="shared" si="25"/>
        <v>0,00€</v>
      </c>
      <c r="L394" s="69">
        <f>SUM('Archives Sorties'!$M394:$AAY394)</f>
        <v>0</v>
      </c>
      <c r="M394" s="51" t="str">
        <f t="shared" si="26"/>
        <v>0,00€</v>
      </c>
      <c r="O394" s="72">
        <v>0</v>
      </c>
      <c r="P394" s="72">
        <v>0</v>
      </c>
      <c r="R394" s="185">
        <f t="shared" si="27"/>
        <v>0</v>
      </c>
      <c r="S394" s="186">
        <f t="shared" si="28"/>
        <v>0</v>
      </c>
      <c r="T394" s="187" t="str">
        <f>IF(R394="","",IF(O394=0,Famille!$D$5,IF(R394&lt;O394,Famille!$D$2,IF(R394&lt;=P394,Famille!$D$3,Famille!$D$4))))</f>
        <v>Sur commande</v>
      </c>
    </row>
    <row r="395" spans="1:20" ht="12" customHeight="1" x14ac:dyDescent="0.2">
      <c r="A395" s="4" t="str">
        <f>IF(Produits!A395="","",Produits!A395)</f>
        <v>Varitrans</v>
      </c>
      <c r="B395" s="4" t="str">
        <f>IF(Produits!B395="","",Produits!B395)</f>
        <v>VE</v>
      </c>
      <c r="C395" s="4" t="str">
        <f>IF(Produits!C395="","",Produits!C395)</f>
        <v>1000,00,0392</v>
      </c>
      <c r="D395" s="4" t="str">
        <f>IF(Produits!D395="","",Produits!D395)</f>
        <v>AA516</v>
      </c>
      <c r="E395" s="49" t="str">
        <f>IF(Produits!F395="","",Produits!F395)</f>
        <v>1 pcs</v>
      </c>
      <c r="F395" s="50">
        <f>IF(Produits!H395="","",Produits!H395)</f>
        <v>401</v>
      </c>
      <c r="H395" s="37">
        <v>0</v>
      </c>
      <c r="I395" s="2"/>
      <c r="J395" s="69">
        <f>SUM('Archives Entrées'!$N395:$AAV395)</f>
        <v>0</v>
      </c>
      <c r="K395" s="51" t="str">
        <f t="shared" si="25"/>
        <v>0,00€</v>
      </c>
      <c r="L395" s="69">
        <f>SUM('Archives Sorties'!$M395:$AAY395)</f>
        <v>0</v>
      </c>
      <c r="M395" s="51" t="str">
        <f t="shared" si="26"/>
        <v>0,00€</v>
      </c>
      <c r="O395" s="72">
        <v>0</v>
      </c>
      <c r="P395" s="72">
        <v>0</v>
      </c>
      <c r="R395" s="185">
        <f t="shared" si="27"/>
        <v>0</v>
      </c>
      <c r="S395" s="186">
        <f t="shared" si="28"/>
        <v>0</v>
      </c>
      <c r="T395" s="187" t="str">
        <f>IF(R395="","",IF(O395=0,Famille!$D$5,IF(R395&lt;O395,Famille!$D$2,IF(R395&lt;=P395,Famille!$D$3,Famille!$D$4))))</f>
        <v>Sur commande</v>
      </c>
    </row>
    <row r="396" spans="1:20" ht="12" customHeight="1" x14ac:dyDescent="0.2">
      <c r="A396" s="4" t="str">
        <f>IF(Produits!A396="","",Produits!A396)</f>
        <v>Varitrans</v>
      </c>
      <c r="B396" s="4" t="str">
        <f>IF(Produits!B396="","",Produits!B396)</f>
        <v>VE</v>
      </c>
      <c r="C396" s="4" t="str">
        <f>IF(Produits!C396="","",Produits!C396)</f>
        <v>1000,00,0393</v>
      </c>
      <c r="D396" s="4" t="str">
        <f>IF(Produits!D396="","",Produits!D396)</f>
        <v>AA517</v>
      </c>
      <c r="E396" s="49" t="str">
        <f>IF(Produits!F396="","",Produits!F396)</f>
        <v>1 pcs</v>
      </c>
      <c r="F396" s="50">
        <f>IF(Produits!H396="","",Produits!H396)</f>
        <v>402</v>
      </c>
      <c r="H396" s="37">
        <v>0</v>
      </c>
      <c r="I396" s="2"/>
      <c r="J396" s="69">
        <f>SUM('Archives Entrées'!$N396:$AAV396)</f>
        <v>0</v>
      </c>
      <c r="K396" s="51" t="str">
        <f t="shared" si="25"/>
        <v>0,00€</v>
      </c>
      <c r="L396" s="69">
        <f>SUM('Archives Sorties'!$M396:$AAY396)</f>
        <v>0</v>
      </c>
      <c r="M396" s="51" t="str">
        <f t="shared" si="26"/>
        <v>0,00€</v>
      </c>
      <c r="O396" s="72">
        <v>0</v>
      </c>
      <c r="P396" s="72">
        <v>0</v>
      </c>
      <c r="R396" s="185">
        <f t="shared" si="27"/>
        <v>0</v>
      </c>
      <c r="S396" s="186">
        <f t="shared" si="28"/>
        <v>0</v>
      </c>
      <c r="T396" s="187" t="str">
        <f>IF(R396="","",IF(O396=0,Famille!$D$5,IF(R396&lt;O396,Famille!$D$2,IF(R396&lt;=P396,Famille!$D$3,Famille!$D$4))))</f>
        <v>Sur commande</v>
      </c>
    </row>
    <row r="397" spans="1:20" ht="12" customHeight="1" x14ac:dyDescent="0.2">
      <c r="A397" s="4" t="str">
        <f>IF(Produits!A397="","",Produits!A397)</f>
        <v>Varitrans</v>
      </c>
      <c r="B397" s="4" t="str">
        <f>IF(Produits!B397="","",Produits!B397)</f>
        <v>VE</v>
      </c>
      <c r="C397" s="4" t="str">
        <f>IF(Produits!C397="","",Produits!C397)</f>
        <v>1000,00,0394</v>
      </c>
      <c r="D397" s="4" t="str">
        <f>IF(Produits!D397="","",Produits!D397)</f>
        <v>AA518</v>
      </c>
      <c r="E397" s="49" t="str">
        <f>IF(Produits!F397="","",Produits!F397)</f>
        <v>1 pcs</v>
      </c>
      <c r="F397" s="50">
        <f>IF(Produits!H397="","",Produits!H397)</f>
        <v>403</v>
      </c>
      <c r="H397" s="37">
        <v>0</v>
      </c>
      <c r="I397" s="2"/>
      <c r="J397" s="69">
        <f>SUM('Archives Entrées'!$N397:$AAV397)</f>
        <v>0</v>
      </c>
      <c r="K397" s="51" t="str">
        <f t="shared" si="25"/>
        <v>0,00€</v>
      </c>
      <c r="L397" s="69">
        <f>SUM('Archives Sorties'!$M397:$AAY397)</f>
        <v>0</v>
      </c>
      <c r="M397" s="51" t="str">
        <f t="shared" si="26"/>
        <v>0,00€</v>
      </c>
      <c r="O397" s="72">
        <v>0</v>
      </c>
      <c r="P397" s="72">
        <v>0</v>
      </c>
      <c r="R397" s="185">
        <f t="shared" si="27"/>
        <v>0</v>
      </c>
      <c r="S397" s="186">
        <f t="shared" si="28"/>
        <v>0</v>
      </c>
      <c r="T397" s="187" t="str">
        <f>IF(R397="","",IF(O397=0,Famille!$D$5,IF(R397&lt;O397,Famille!$D$2,IF(R397&lt;=P397,Famille!$D$3,Famille!$D$4))))</f>
        <v>Sur commande</v>
      </c>
    </row>
    <row r="398" spans="1:20" ht="12" customHeight="1" x14ac:dyDescent="0.2">
      <c r="A398" s="4" t="str">
        <f>IF(Produits!A398="","",Produits!A398)</f>
        <v>Varitrans</v>
      </c>
      <c r="B398" s="4" t="str">
        <f>IF(Produits!B398="","",Produits!B398)</f>
        <v>VE</v>
      </c>
      <c r="C398" s="4" t="str">
        <f>IF(Produits!C398="","",Produits!C398)</f>
        <v>1000,00,0395</v>
      </c>
      <c r="D398" s="4" t="str">
        <f>IF(Produits!D398="","",Produits!D398)</f>
        <v>AA519</v>
      </c>
      <c r="E398" s="49" t="str">
        <f>IF(Produits!F398="","",Produits!F398)</f>
        <v>1 pcs</v>
      </c>
      <c r="F398" s="50">
        <f>IF(Produits!H398="","",Produits!H398)</f>
        <v>404</v>
      </c>
      <c r="H398" s="37">
        <v>0</v>
      </c>
      <c r="I398" s="2"/>
      <c r="J398" s="69">
        <f>SUM('Archives Entrées'!$N398:$AAV398)</f>
        <v>0</v>
      </c>
      <c r="K398" s="51" t="str">
        <f t="shared" si="25"/>
        <v>0,00€</v>
      </c>
      <c r="L398" s="69">
        <f>SUM('Archives Sorties'!$M398:$AAY398)</f>
        <v>0</v>
      </c>
      <c r="M398" s="51" t="str">
        <f t="shared" si="26"/>
        <v>0,00€</v>
      </c>
      <c r="O398" s="72">
        <v>0</v>
      </c>
      <c r="P398" s="72">
        <v>0</v>
      </c>
      <c r="R398" s="185">
        <f t="shared" si="27"/>
        <v>0</v>
      </c>
      <c r="S398" s="186">
        <f t="shared" si="28"/>
        <v>0</v>
      </c>
      <c r="T398" s="187" t="str">
        <f>IF(R398="","",IF(O398=0,Famille!$D$5,IF(R398&lt;O398,Famille!$D$2,IF(R398&lt;=P398,Famille!$D$3,Famille!$D$4))))</f>
        <v>Sur commande</v>
      </c>
    </row>
    <row r="399" spans="1:20" ht="12" customHeight="1" x14ac:dyDescent="0.2">
      <c r="A399" s="4" t="str">
        <f>IF(Produits!A399="","",Produits!A399)</f>
        <v>Varitrans</v>
      </c>
      <c r="B399" s="4" t="str">
        <f>IF(Produits!B399="","",Produits!B399)</f>
        <v>VE</v>
      </c>
      <c r="C399" s="4" t="str">
        <f>IF(Produits!C399="","",Produits!C399)</f>
        <v>1000,00,0396</v>
      </c>
      <c r="D399" s="4" t="str">
        <f>IF(Produits!D399="","",Produits!D399)</f>
        <v>AA520</v>
      </c>
      <c r="E399" s="49" t="str">
        <f>IF(Produits!F399="","",Produits!F399)</f>
        <v>1 pcs</v>
      </c>
      <c r="F399" s="50">
        <f>IF(Produits!H399="","",Produits!H399)</f>
        <v>405</v>
      </c>
      <c r="H399" s="37">
        <v>0</v>
      </c>
      <c r="I399" s="2"/>
      <c r="J399" s="69">
        <f>SUM('Archives Entrées'!$N399:$AAV399)</f>
        <v>0</v>
      </c>
      <c r="K399" s="51" t="str">
        <f t="shared" si="25"/>
        <v>0,00€</v>
      </c>
      <c r="L399" s="69">
        <f>SUM('Archives Sorties'!$M399:$AAY399)</f>
        <v>0</v>
      </c>
      <c r="M399" s="51" t="str">
        <f t="shared" si="26"/>
        <v>0,00€</v>
      </c>
      <c r="O399" s="72">
        <v>0</v>
      </c>
      <c r="P399" s="72">
        <v>0</v>
      </c>
      <c r="R399" s="185">
        <f t="shared" si="27"/>
        <v>0</v>
      </c>
      <c r="S399" s="186">
        <f t="shared" si="28"/>
        <v>0</v>
      </c>
      <c r="T399" s="187" t="str">
        <f>IF(R399="","",IF(O399=0,Famille!$D$5,IF(R399&lt;O399,Famille!$D$2,IF(R399&lt;=P399,Famille!$D$3,Famille!$D$4))))</f>
        <v>Sur commande</v>
      </c>
    </row>
    <row r="400" spans="1:20" ht="12" customHeight="1" x14ac:dyDescent="0.2">
      <c r="A400" s="4" t="str">
        <f>IF(Produits!A400="","",Produits!A400)</f>
        <v>Varitrans</v>
      </c>
      <c r="B400" s="4" t="str">
        <f>IF(Produits!B400="","",Produits!B400)</f>
        <v>VE</v>
      </c>
      <c r="C400" s="4" t="str">
        <f>IF(Produits!C400="","",Produits!C400)</f>
        <v>1000,00,0397</v>
      </c>
      <c r="D400" s="4" t="str">
        <f>IF(Produits!D400="","",Produits!D400)</f>
        <v>AA521</v>
      </c>
      <c r="E400" s="49" t="str">
        <f>IF(Produits!F400="","",Produits!F400)</f>
        <v>1 pcs</v>
      </c>
      <c r="F400" s="50">
        <f>IF(Produits!H400="","",Produits!H400)</f>
        <v>406</v>
      </c>
      <c r="H400" s="37">
        <v>0</v>
      </c>
      <c r="I400" s="2"/>
      <c r="J400" s="69">
        <f>SUM('Archives Entrées'!$N400:$AAV400)</f>
        <v>0</v>
      </c>
      <c r="K400" s="51" t="str">
        <f t="shared" si="25"/>
        <v>0,00€</v>
      </c>
      <c r="L400" s="69">
        <f>SUM('Archives Sorties'!$M400:$AAY400)</f>
        <v>0</v>
      </c>
      <c r="M400" s="51" t="str">
        <f t="shared" si="26"/>
        <v>0,00€</v>
      </c>
      <c r="O400" s="72">
        <v>0</v>
      </c>
      <c r="P400" s="72">
        <v>0</v>
      </c>
      <c r="R400" s="185">
        <f t="shared" si="27"/>
        <v>0</v>
      </c>
      <c r="S400" s="186">
        <f t="shared" si="28"/>
        <v>0</v>
      </c>
      <c r="T400" s="187" t="str">
        <f>IF(R400="","",IF(O400=0,Famille!$D$5,IF(R400&lt;O400,Famille!$D$2,IF(R400&lt;=P400,Famille!$D$3,Famille!$D$4))))</f>
        <v>Sur commande</v>
      </c>
    </row>
    <row r="401" spans="1:20" ht="12" customHeight="1" x14ac:dyDescent="0.2">
      <c r="A401" s="4" t="str">
        <f>IF(Produits!A401="","",Produits!A401)</f>
        <v>Varitrans</v>
      </c>
      <c r="B401" s="4" t="str">
        <f>IF(Produits!B401="","",Produits!B401)</f>
        <v>VE</v>
      </c>
      <c r="C401" s="4" t="str">
        <f>IF(Produits!C401="","",Produits!C401)</f>
        <v>1000,00,0398</v>
      </c>
      <c r="D401" s="4" t="str">
        <f>IF(Produits!D401="","",Produits!D401)</f>
        <v>AA522</v>
      </c>
      <c r="E401" s="49" t="str">
        <f>IF(Produits!F401="","",Produits!F401)</f>
        <v>1 pcs</v>
      </c>
      <c r="F401" s="50">
        <f>IF(Produits!H401="","",Produits!H401)</f>
        <v>407</v>
      </c>
      <c r="H401" s="37">
        <v>0</v>
      </c>
      <c r="I401" s="2"/>
      <c r="J401" s="69">
        <f>SUM('Archives Entrées'!$N401:$AAV401)</f>
        <v>0</v>
      </c>
      <c r="K401" s="51" t="str">
        <f t="shared" si="25"/>
        <v>0,00€</v>
      </c>
      <c r="L401" s="69">
        <f>SUM('Archives Sorties'!$M401:$AAY401)</f>
        <v>0</v>
      </c>
      <c r="M401" s="51" t="str">
        <f t="shared" si="26"/>
        <v>0,00€</v>
      </c>
      <c r="O401" s="72">
        <v>0</v>
      </c>
      <c r="P401" s="72">
        <v>0</v>
      </c>
      <c r="R401" s="185">
        <f t="shared" si="27"/>
        <v>0</v>
      </c>
      <c r="S401" s="186">
        <f t="shared" si="28"/>
        <v>0</v>
      </c>
      <c r="T401" s="187" t="str">
        <f>IF(R401="","",IF(O401=0,Famille!$D$5,IF(R401&lt;O401,Famille!$D$2,IF(R401&lt;=P401,Famille!$D$3,Famille!$D$4))))</f>
        <v>Sur commande</v>
      </c>
    </row>
    <row r="402" spans="1:20" ht="12" customHeight="1" x14ac:dyDescent="0.2">
      <c r="A402" s="4" t="str">
        <f>IF(Produits!A402="","",Produits!A402)</f>
        <v>Varitrans</v>
      </c>
      <c r="B402" s="4" t="str">
        <f>IF(Produits!B402="","",Produits!B402)</f>
        <v>VE</v>
      </c>
      <c r="C402" s="4" t="str">
        <f>IF(Produits!C402="","",Produits!C402)</f>
        <v>1000,00,0399</v>
      </c>
      <c r="D402" s="4" t="str">
        <f>IF(Produits!D402="","",Produits!D402)</f>
        <v>AA523</v>
      </c>
      <c r="E402" s="49" t="str">
        <f>IF(Produits!F402="","",Produits!F402)</f>
        <v>1 pcs</v>
      </c>
      <c r="F402" s="50">
        <f>IF(Produits!H402="","",Produits!H402)</f>
        <v>408</v>
      </c>
      <c r="H402" s="37">
        <v>0</v>
      </c>
      <c r="I402" s="2"/>
      <c r="J402" s="69">
        <f>SUM('Archives Entrées'!$N402:$AAV402)</f>
        <v>0</v>
      </c>
      <c r="K402" s="51" t="str">
        <f t="shared" si="25"/>
        <v>0,00€</v>
      </c>
      <c r="L402" s="69">
        <f>SUM('Archives Sorties'!$M402:$AAY402)</f>
        <v>0</v>
      </c>
      <c r="M402" s="51" t="str">
        <f t="shared" si="26"/>
        <v>0,00€</v>
      </c>
      <c r="O402" s="72">
        <v>0</v>
      </c>
      <c r="P402" s="72">
        <v>0</v>
      </c>
      <c r="R402" s="185">
        <f t="shared" si="27"/>
        <v>0</v>
      </c>
      <c r="S402" s="186">
        <f t="shared" si="28"/>
        <v>0</v>
      </c>
      <c r="T402" s="187" t="str">
        <f>IF(R402="","",IF(O402=0,Famille!$D$5,IF(R402&lt;O402,Famille!$D$2,IF(R402&lt;=P402,Famille!$D$3,Famille!$D$4))))</f>
        <v>Sur commande</v>
      </c>
    </row>
    <row r="403" spans="1:20" ht="12" customHeight="1" x14ac:dyDescent="0.2">
      <c r="A403" s="4" t="str">
        <f>IF(Produits!A403="","",Produits!A403)</f>
        <v>Varitrans</v>
      </c>
      <c r="B403" s="4" t="str">
        <f>IF(Produits!B403="","",Produits!B403)</f>
        <v>VE</v>
      </c>
      <c r="C403" s="4" t="str">
        <f>IF(Produits!C403="","",Produits!C403)</f>
        <v>1000,00,0400</v>
      </c>
      <c r="D403" s="4" t="str">
        <f>IF(Produits!D403="","",Produits!D403)</f>
        <v>AA524</v>
      </c>
      <c r="E403" s="49" t="str">
        <f>IF(Produits!F403="","",Produits!F403)</f>
        <v>1 pcs</v>
      </c>
      <c r="F403" s="50">
        <f>IF(Produits!H403="","",Produits!H403)</f>
        <v>409</v>
      </c>
      <c r="H403" s="37">
        <v>0</v>
      </c>
      <c r="I403" s="2"/>
      <c r="J403" s="69">
        <f>SUM('Archives Entrées'!$N403:$AAV403)</f>
        <v>0</v>
      </c>
      <c r="K403" s="51" t="str">
        <f t="shared" si="25"/>
        <v>0,00€</v>
      </c>
      <c r="L403" s="69">
        <f>SUM('Archives Sorties'!$M403:$AAY403)</f>
        <v>0</v>
      </c>
      <c r="M403" s="51" t="str">
        <f t="shared" si="26"/>
        <v>0,00€</v>
      </c>
      <c r="O403" s="72">
        <v>0</v>
      </c>
      <c r="P403" s="72">
        <v>0</v>
      </c>
      <c r="R403" s="185">
        <f t="shared" si="27"/>
        <v>0</v>
      </c>
      <c r="S403" s="186">
        <f t="shared" si="28"/>
        <v>0</v>
      </c>
      <c r="T403" s="187" t="str">
        <f>IF(R403="","",IF(O403=0,Famille!$D$5,IF(R403&lt;O403,Famille!$D$2,IF(R403&lt;=P403,Famille!$D$3,Famille!$D$4))))</f>
        <v>Sur commande</v>
      </c>
    </row>
    <row r="404" spans="1:20" ht="12" customHeight="1" x14ac:dyDescent="0.2">
      <c r="A404" s="4" t="str">
        <f>IF(Produits!A404="","",Produits!A404)</f>
        <v>Varitrans</v>
      </c>
      <c r="B404" s="4" t="str">
        <f>IF(Produits!B404="","",Produits!B404)</f>
        <v>VE</v>
      </c>
      <c r="C404" s="4" t="str">
        <f>IF(Produits!C404="","",Produits!C404)</f>
        <v>1000,00,0401</v>
      </c>
      <c r="D404" s="4" t="str">
        <f>IF(Produits!D404="","",Produits!D404)</f>
        <v>AA525</v>
      </c>
      <c r="E404" s="49" t="str">
        <f>IF(Produits!F404="","",Produits!F404)</f>
        <v>1 pcs</v>
      </c>
      <c r="F404" s="50">
        <f>IF(Produits!H404="","",Produits!H404)</f>
        <v>410</v>
      </c>
      <c r="H404" s="37">
        <v>0</v>
      </c>
      <c r="I404" s="2"/>
      <c r="J404" s="69">
        <f>SUM('Archives Entrées'!$N404:$AAV404)</f>
        <v>0</v>
      </c>
      <c r="K404" s="51" t="str">
        <f t="shared" si="25"/>
        <v>0,00€</v>
      </c>
      <c r="L404" s="69">
        <f>SUM('Archives Sorties'!$M404:$AAY404)</f>
        <v>0</v>
      </c>
      <c r="M404" s="51" t="str">
        <f t="shared" si="26"/>
        <v>0,00€</v>
      </c>
      <c r="O404" s="72">
        <v>0</v>
      </c>
      <c r="P404" s="72">
        <v>0</v>
      </c>
      <c r="R404" s="185">
        <f t="shared" si="27"/>
        <v>0</v>
      </c>
      <c r="S404" s="186">
        <f t="shared" si="28"/>
        <v>0</v>
      </c>
      <c r="T404" s="187" t="str">
        <f>IF(R404="","",IF(O404=0,Famille!$D$5,IF(R404&lt;O404,Famille!$D$2,IF(R404&lt;=P404,Famille!$D$3,Famille!$D$4))))</f>
        <v>Sur commande</v>
      </c>
    </row>
    <row r="405" spans="1:20" ht="12" customHeight="1" x14ac:dyDescent="0.2">
      <c r="A405" s="4" t="str">
        <f>IF(Produits!A405="","",Produits!A405)</f>
        <v>Varitrans</v>
      </c>
      <c r="B405" s="4" t="str">
        <f>IF(Produits!B405="","",Produits!B405)</f>
        <v>DT</v>
      </c>
      <c r="C405" s="4" t="str">
        <f>IF(Produits!C405="","",Produits!C405)</f>
        <v>1000,00,0402</v>
      </c>
      <c r="D405" s="4" t="str">
        <f>IF(Produits!D405="","",Produits!D405)</f>
        <v>AA526</v>
      </c>
      <c r="E405" s="49" t="str">
        <f>IF(Produits!F405="","",Produits!F405)</f>
        <v>1 pcs</v>
      </c>
      <c r="F405" s="50">
        <f>IF(Produits!H405="","",Produits!H405)</f>
        <v>411</v>
      </c>
      <c r="H405" s="37">
        <v>0</v>
      </c>
      <c r="I405" s="2"/>
      <c r="J405" s="69">
        <f>SUM('Archives Entrées'!$N405:$AAV405)</f>
        <v>0</v>
      </c>
      <c r="K405" s="51" t="str">
        <f t="shared" si="25"/>
        <v>0,00€</v>
      </c>
      <c r="L405" s="69">
        <f>SUM('Archives Sorties'!$M405:$AAY405)</f>
        <v>0</v>
      </c>
      <c r="M405" s="51" t="str">
        <f t="shared" si="26"/>
        <v>0,00€</v>
      </c>
      <c r="O405" s="72">
        <v>0</v>
      </c>
      <c r="P405" s="72">
        <v>0</v>
      </c>
      <c r="R405" s="185">
        <f t="shared" si="27"/>
        <v>0</v>
      </c>
      <c r="S405" s="186">
        <f t="shared" si="28"/>
        <v>0</v>
      </c>
      <c r="T405" s="187" t="str">
        <f>IF(R405="","",IF(O405=0,Famille!$D$5,IF(R405&lt;O405,Famille!$D$2,IF(R405&lt;=P405,Famille!$D$3,Famille!$D$4))))</f>
        <v>Sur commande</v>
      </c>
    </row>
    <row r="406" spans="1:20" ht="12" customHeight="1" x14ac:dyDescent="0.2">
      <c r="A406" s="4" t="str">
        <f>IF(Produits!A406="","",Produits!A406)</f>
        <v>Varitrans</v>
      </c>
      <c r="B406" s="4" t="str">
        <f>IF(Produits!B406="","",Produits!B406)</f>
        <v>DT</v>
      </c>
      <c r="C406" s="4" t="str">
        <f>IF(Produits!C406="","",Produits!C406)</f>
        <v>1000,00,0403</v>
      </c>
      <c r="D406" s="4" t="str">
        <f>IF(Produits!D406="","",Produits!D406)</f>
        <v>AA527</v>
      </c>
      <c r="E406" s="49" t="str">
        <f>IF(Produits!F406="","",Produits!F406)</f>
        <v>1 pcs</v>
      </c>
      <c r="F406" s="50">
        <f>IF(Produits!H406="","",Produits!H406)</f>
        <v>412</v>
      </c>
      <c r="H406" s="37">
        <v>0</v>
      </c>
      <c r="I406" s="2"/>
      <c r="J406" s="69">
        <f>SUM('Archives Entrées'!$N406:$AAV406)</f>
        <v>0</v>
      </c>
      <c r="K406" s="51" t="str">
        <f t="shared" si="25"/>
        <v>0,00€</v>
      </c>
      <c r="L406" s="69">
        <f>SUM('Archives Sorties'!$M406:$AAY406)</f>
        <v>0</v>
      </c>
      <c r="M406" s="51" t="str">
        <f t="shared" si="26"/>
        <v>0,00€</v>
      </c>
      <c r="O406" s="72">
        <v>0</v>
      </c>
      <c r="P406" s="72">
        <v>0</v>
      </c>
      <c r="R406" s="185">
        <f t="shared" si="27"/>
        <v>0</v>
      </c>
      <c r="S406" s="186">
        <f t="shared" si="28"/>
        <v>0</v>
      </c>
      <c r="T406" s="187" t="str">
        <f>IF(R406="","",IF(O406=0,Famille!$D$5,IF(R406&lt;O406,Famille!$D$2,IF(R406&lt;=P406,Famille!$D$3,Famille!$D$4))))</f>
        <v>Sur commande</v>
      </c>
    </row>
    <row r="407" spans="1:20" ht="12" customHeight="1" x14ac:dyDescent="0.2">
      <c r="A407" s="4" t="str">
        <f>IF(Produits!A407="","",Produits!A407)</f>
        <v>Varitrans</v>
      </c>
      <c r="B407" s="4" t="str">
        <f>IF(Produits!B407="","",Produits!B407)</f>
        <v>DT</v>
      </c>
      <c r="C407" s="4" t="str">
        <f>IF(Produits!C407="","",Produits!C407)</f>
        <v>1000,00,0404</v>
      </c>
      <c r="D407" s="4" t="str">
        <f>IF(Produits!D407="","",Produits!D407)</f>
        <v>AA528</v>
      </c>
      <c r="E407" s="49" t="str">
        <f>IF(Produits!F407="","",Produits!F407)</f>
        <v>1 pcs</v>
      </c>
      <c r="F407" s="50">
        <f>IF(Produits!H407="","",Produits!H407)</f>
        <v>413</v>
      </c>
      <c r="H407" s="37">
        <v>0</v>
      </c>
      <c r="I407" s="2"/>
      <c r="J407" s="69">
        <f>SUM('Archives Entrées'!$N407:$AAV407)</f>
        <v>0</v>
      </c>
      <c r="K407" s="51" t="str">
        <f t="shared" si="25"/>
        <v>0,00€</v>
      </c>
      <c r="L407" s="69">
        <f>SUM('Archives Sorties'!$M407:$AAY407)</f>
        <v>0</v>
      </c>
      <c r="M407" s="51" t="str">
        <f t="shared" si="26"/>
        <v>0,00€</v>
      </c>
      <c r="O407" s="72">
        <v>0</v>
      </c>
      <c r="P407" s="72">
        <v>0</v>
      </c>
      <c r="R407" s="185">
        <f t="shared" si="27"/>
        <v>0</v>
      </c>
      <c r="S407" s="186">
        <f t="shared" si="28"/>
        <v>0</v>
      </c>
      <c r="T407" s="187" t="str">
        <f>IF(R407="","",IF(O407=0,Famille!$D$5,IF(R407&lt;O407,Famille!$D$2,IF(R407&lt;=P407,Famille!$D$3,Famille!$D$4))))</f>
        <v>Sur commande</v>
      </c>
    </row>
    <row r="408" spans="1:20" ht="12" customHeight="1" x14ac:dyDescent="0.2">
      <c r="A408" s="4" t="str">
        <f>IF(Produits!A408="","",Produits!A408)</f>
        <v>Varitrans</v>
      </c>
      <c r="B408" s="4" t="str">
        <f>IF(Produits!B408="","",Produits!B408)</f>
        <v>DT</v>
      </c>
      <c r="C408" s="4" t="str">
        <f>IF(Produits!C408="","",Produits!C408)</f>
        <v>1000,00,0405</v>
      </c>
      <c r="D408" s="4" t="str">
        <f>IF(Produits!D408="","",Produits!D408)</f>
        <v>AA529</v>
      </c>
      <c r="E408" s="49" t="str">
        <f>IF(Produits!F408="","",Produits!F408)</f>
        <v>1 pcs</v>
      </c>
      <c r="F408" s="50">
        <f>IF(Produits!H408="","",Produits!H408)</f>
        <v>414</v>
      </c>
      <c r="H408" s="37">
        <v>0</v>
      </c>
      <c r="I408" s="2"/>
      <c r="J408" s="69">
        <f>SUM('Archives Entrées'!$N408:$AAV408)</f>
        <v>0</v>
      </c>
      <c r="K408" s="51" t="str">
        <f t="shared" si="25"/>
        <v>0,00€</v>
      </c>
      <c r="L408" s="69">
        <f>SUM('Archives Sorties'!$M408:$AAY408)</f>
        <v>0</v>
      </c>
      <c r="M408" s="51" t="str">
        <f t="shared" si="26"/>
        <v>0,00€</v>
      </c>
      <c r="O408" s="72">
        <v>0</v>
      </c>
      <c r="P408" s="72">
        <v>0</v>
      </c>
      <c r="R408" s="185">
        <f t="shared" si="27"/>
        <v>0</v>
      </c>
      <c r="S408" s="186">
        <f t="shared" si="28"/>
        <v>0</v>
      </c>
      <c r="T408" s="187" t="str">
        <f>IF(R408="","",IF(O408=0,Famille!$D$5,IF(R408&lt;O408,Famille!$D$2,IF(R408&lt;=P408,Famille!$D$3,Famille!$D$4))))</f>
        <v>Sur commande</v>
      </c>
    </row>
    <row r="409" spans="1:20" ht="12" customHeight="1" x14ac:dyDescent="0.2">
      <c r="A409" s="4" t="str">
        <f>IF(Produits!A409="","",Produits!A409)</f>
        <v>Varitrans</v>
      </c>
      <c r="B409" s="4" t="str">
        <f>IF(Produits!B409="","",Produits!B409)</f>
        <v>DT</v>
      </c>
      <c r="C409" s="4" t="str">
        <f>IF(Produits!C409="","",Produits!C409)</f>
        <v>1000,00,0406</v>
      </c>
      <c r="D409" s="4" t="str">
        <f>IF(Produits!D409="","",Produits!D409)</f>
        <v>AA530</v>
      </c>
      <c r="E409" s="49" t="str">
        <f>IF(Produits!F409="","",Produits!F409)</f>
        <v>1 pcs</v>
      </c>
      <c r="F409" s="50">
        <f>IF(Produits!H409="","",Produits!H409)</f>
        <v>415</v>
      </c>
      <c r="H409" s="37">
        <v>0</v>
      </c>
      <c r="I409" s="2"/>
      <c r="J409" s="69">
        <f>SUM('Archives Entrées'!$N409:$AAV409)</f>
        <v>0</v>
      </c>
      <c r="K409" s="51" t="str">
        <f t="shared" si="25"/>
        <v>0,00€</v>
      </c>
      <c r="L409" s="69">
        <f>SUM('Archives Sorties'!$M409:$AAY409)</f>
        <v>0</v>
      </c>
      <c r="M409" s="51" t="str">
        <f t="shared" si="26"/>
        <v>0,00€</v>
      </c>
      <c r="O409" s="72">
        <v>0</v>
      </c>
      <c r="P409" s="72">
        <v>0</v>
      </c>
      <c r="R409" s="185">
        <f t="shared" si="27"/>
        <v>0</v>
      </c>
      <c r="S409" s="186">
        <f t="shared" si="28"/>
        <v>0</v>
      </c>
      <c r="T409" s="187" t="str">
        <f>IF(R409="","",IF(O409=0,Famille!$D$5,IF(R409&lt;O409,Famille!$D$2,IF(R409&lt;=P409,Famille!$D$3,Famille!$D$4))))</f>
        <v>Sur commande</v>
      </c>
    </row>
    <row r="410" spans="1:20" ht="12" customHeight="1" x14ac:dyDescent="0.2">
      <c r="A410" s="4" t="str">
        <f>IF(Produits!A410="","",Produits!A410)</f>
        <v>Varitrans</v>
      </c>
      <c r="B410" s="4" t="str">
        <f>IF(Produits!B410="","",Produits!B410)</f>
        <v>DT</v>
      </c>
      <c r="C410" s="4" t="str">
        <f>IF(Produits!C410="","",Produits!C410)</f>
        <v>1000,00,0407</v>
      </c>
      <c r="D410" s="4" t="str">
        <f>IF(Produits!D410="","",Produits!D410)</f>
        <v>AA531</v>
      </c>
      <c r="E410" s="49" t="str">
        <f>IF(Produits!F410="","",Produits!F410)</f>
        <v>1 pcs</v>
      </c>
      <c r="F410" s="50">
        <f>IF(Produits!H410="","",Produits!H410)</f>
        <v>416</v>
      </c>
      <c r="H410" s="37">
        <v>0</v>
      </c>
      <c r="I410" s="2"/>
      <c r="J410" s="69">
        <f>SUM('Archives Entrées'!$N410:$AAV410)</f>
        <v>0</v>
      </c>
      <c r="K410" s="51" t="str">
        <f t="shared" si="25"/>
        <v>0,00€</v>
      </c>
      <c r="L410" s="69">
        <f>SUM('Archives Sorties'!$M410:$AAY410)</f>
        <v>0</v>
      </c>
      <c r="M410" s="51" t="str">
        <f t="shared" si="26"/>
        <v>0,00€</v>
      </c>
      <c r="O410" s="72">
        <v>0</v>
      </c>
      <c r="P410" s="72">
        <v>0</v>
      </c>
      <c r="R410" s="185">
        <f t="shared" si="27"/>
        <v>0</v>
      </c>
      <c r="S410" s="186">
        <f t="shared" si="28"/>
        <v>0</v>
      </c>
      <c r="T410" s="187" t="str">
        <f>IF(R410="","",IF(O410=0,Famille!$D$5,IF(R410&lt;O410,Famille!$D$2,IF(R410&lt;=P410,Famille!$D$3,Famille!$D$4))))</f>
        <v>Sur commande</v>
      </c>
    </row>
    <row r="411" spans="1:20" ht="12" customHeight="1" x14ac:dyDescent="0.2">
      <c r="A411" s="4" t="str">
        <f>IF(Produits!A411="","",Produits!A411)</f>
        <v>Varitrans</v>
      </c>
      <c r="B411" s="4" t="str">
        <f>IF(Produits!B411="","",Produits!B411)</f>
        <v>DT</v>
      </c>
      <c r="C411" s="4" t="str">
        <f>IF(Produits!C411="","",Produits!C411)</f>
        <v>1000,00,0408</v>
      </c>
      <c r="D411" s="4" t="str">
        <f>IF(Produits!D411="","",Produits!D411)</f>
        <v>AA532</v>
      </c>
      <c r="E411" s="49" t="str">
        <f>IF(Produits!F411="","",Produits!F411)</f>
        <v>1 pcs</v>
      </c>
      <c r="F411" s="50">
        <f>IF(Produits!H411="","",Produits!H411)</f>
        <v>417</v>
      </c>
      <c r="H411" s="37">
        <v>0</v>
      </c>
      <c r="I411" s="2"/>
      <c r="J411" s="69">
        <f>SUM('Archives Entrées'!$N411:$AAV411)</f>
        <v>0</v>
      </c>
      <c r="K411" s="51" t="str">
        <f t="shared" si="25"/>
        <v>0,00€</v>
      </c>
      <c r="L411" s="69">
        <f>SUM('Archives Sorties'!$M411:$AAY411)</f>
        <v>0</v>
      </c>
      <c r="M411" s="51" t="str">
        <f t="shared" si="26"/>
        <v>0,00€</v>
      </c>
      <c r="O411" s="72">
        <v>0</v>
      </c>
      <c r="P411" s="72">
        <v>0</v>
      </c>
      <c r="R411" s="185">
        <f t="shared" si="27"/>
        <v>0</v>
      </c>
      <c r="S411" s="186">
        <f t="shared" si="28"/>
        <v>0</v>
      </c>
      <c r="T411" s="187" t="str">
        <f>IF(R411="","",IF(O411=0,Famille!$D$5,IF(R411&lt;O411,Famille!$D$2,IF(R411&lt;=P411,Famille!$D$3,Famille!$D$4))))</f>
        <v>Sur commande</v>
      </c>
    </row>
    <row r="412" spans="1:20" ht="12" customHeight="1" x14ac:dyDescent="0.2">
      <c r="A412" s="4" t="str">
        <f>IF(Produits!A412="","",Produits!A412)</f>
        <v>Varitrans</v>
      </c>
      <c r="B412" s="4" t="str">
        <f>IF(Produits!B412="","",Produits!B412)</f>
        <v>DT</v>
      </c>
      <c r="C412" s="4" t="str">
        <f>IF(Produits!C412="","",Produits!C412)</f>
        <v>1000,00,0409</v>
      </c>
      <c r="D412" s="4" t="str">
        <f>IF(Produits!D412="","",Produits!D412)</f>
        <v>AA533</v>
      </c>
      <c r="E412" s="49" t="str">
        <f>IF(Produits!F412="","",Produits!F412)</f>
        <v>1 pcs</v>
      </c>
      <c r="F412" s="50">
        <f>IF(Produits!H412="","",Produits!H412)</f>
        <v>418</v>
      </c>
      <c r="H412" s="37">
        <v>0</v>
      </c>
      <c r="I412" s="2"/>
      <c r="J412" s="69">
        <f>SUM('Archives Entrées'!$N412:$AAV412)</f>
        <v>0</v>
      </c>
      <c r="K412" s="51" t="str">
        <f t="shared" si="25"/>
        <v>0,00€</v>
      </c>
      <c r="L412" s="69">
        <f>SUM('Archives Sorties'!$M412:$AAY412)</f>
        <v>0</v>
      </c>
      <c r="M412" s="51" t="str">
        <f t="shared" si="26"/>
        <v>0,00€</v>
      </c>
      <c r="O412" s="72">
        <v>0</v>
      </c>
      <c r="P412" s="72">
        <v>0</v>
      </c>
      <c r="R412" s="185">
        <f t="shared" si="27"/>
        <v>0</v>
      </c>
      <c r="S412" s="186">
        <f t="shared" si="28"/>
        <v>0</v>
      </c>
      <c r="T412" s="187" t="str">
        <f>IF(R412="","",IF(O412=0,Famille!$D$5,IF(R412&lt;O412,Famille!$D$2,IF(R412&lt;=P412,Famille!$D$3,Famille!$D$4))))</f>
        <v>Sur commande</v>
      </c>
    </row>
    <row r="413" spans="1:20" ht="12" customHeight="1" x14ac:dyDescent="0.2">
      <c r="A413" s="4" t="str">
        <f>IF(Produits!A413="","",Produits!A413)</f>
        <v>Varitrans</v>
      </c>
      <c r="B413" s="4" t="str">
        <f>IF(Produits!B413="","",Produits!B413)</f>
        <v>DT</v>
      </c>
      <c r="C413" s="4" t="str">
        <f>IF(Produits!C413="","",Produits!C413)</f>
        <v>1000,00,0410</v>
      </c>
      <c r="D413" s="4" t="str">
        <f>IF(Produits!D413="","",Produits!D413)</f>
        <v>AA534</v>
      </c>
      <c r="E413" s="49" t="str">
        <f>IF(Produits!F413="","",Produits!F413)</f>
        <v>1 pcs</v>
      </c>
      <c r="F413" s="50">
        <f>IF(Produits!H413="","",Produits!H413)</f>
        <v>419</v>
      </c>
      <c r="H413" s="37">
        <v>0</v>
      </c>
      <c r="I413" s="2"/>
      <c r="J413" s="69">
        <f>SUM('Archives Entrées'!$N413:$AAV413)</f>
        <v>0</v>
      </c>
      <c r="K413" s="51" t="str">
        <f t="shared" si="25"/>
        <v>0,00€</v>
      </c>
      <c r="L413" s="69">
        <f>SUM('Archives Sorties'!$M413:$AAY413)</f>
        <v>0</v>
      </c>
      <c r="M413" s="51" t="str">
        <f t="shared" si="26"/>
        <v>0,00€</v>
      </c>
      <c r="O413" s="72">
        <v>0</v>
      </c>
      <c r="P413" s="72">
        <v>0</v>
      </c>
      <c r="R413" s="185">
        <f t="shared" si="27"/>
        <v>0</v>
      </c>
      <c r="S413" s="186">
        <f t="shared" si="28"/>
        <v>0</v>
      </c>
      <c r="T413" s="187" t="str">
        <f>IF(R413="","",IF(O413=0,Famille!$D$5,IF(R413&lt;O413,Famille!$D$2,IF(R413&lt;=P413,Famille!$D$3,Famille!$D$4))))</f>
        <v>Sur commande</v>
      </c>
    </row>
    <row r="414" spans="1:20" ht="12" customHeight="1" x14ac:dyDescent="0.2">
      <c r="A414" s="4" t="str">
        <f>IF(Produits!A414="","",Produits!A414)</f>
        <v>Varitrans</v>
      </c>
      <c r="B414" s="4" t="str">
        <f>IF(Produits!B414="","",Produits!B414)</f>
        <v>DT</v>
      </c>
      <c r="C414" s="4" t="str">
        <f>IF(Produits!C414="","",Produits!C414)</f>
        <v>1000,00,0411</v>
      </c>
      <c r="D414" s="4" t="str">
        <f>IF(Produits!D414="","",Produits!D414)</f>
        <v>AA535</v>
      </c>
      <c r="E414" s="49" t="str">
        <f>IF(Produits!F414="","",Produits!F414)</f>
        <v>1 pcs</v>
      </c>
      <c r="F414" s="50">
        <f>IF(Produits!H414="","",Produits!H414)</f>
        <v>420</v>
      </c>
      <c r="H414" s="37">
        <v>0</v>
      </c>
      <c r="I414" s="2"/>
      <c r="J414" s="69">
        <f>SUM('Archives Entrées'!$N414:$AAV414)</f>
        <v>0</v>
      </c>
      <c r="K414" s="51" t="str">
        <f t="shared" si="25"/>
        <v>0,00€</v>
      </c>
      <c r="L414" s="69">
        <f>SUM('Archives Sorties'!$M414:$AAY414)</f>
        <v>0</v>
      </c>
      <c r="M414" s="51" t="str">
        <f t="shared" si="26"/>
        <v>0,00€</v>
      </c>
      <c r="O414" s="72">
        <v>0</v>
      </c>
      <c r="P414" s="72">
        <v>0</v>
      </c>
      <c r="R414" s="185">
        <f t="shared" si="27"/>
        <v>0</v>
      </c>
      <c r="S414" s="186">
        <f t="shared" si="28"/>
        <v>0</v>
      </c>
      <c r="T414" s="187" t="str">
        <f>IF(R414="","",IF(O414=0,Famille!$D$5,IF(R414&lt;O414,Famille!$D$2,IF(R414&lt;=P414,Famille!$D$3,Famille!$D$4))))</f>
        <v>Sur commande</v>
      </c>
    </row>
    <row r="415" spans="1:20" ht="12" customHeight="1" x14ac:dyDescent="0.2">
      <c r="A415" s="4" t="str">
        <f>IF(Produits!A415="","",Produits!A415)</f>
        <v>Varitrans</v>
      </c>
      <c r="B415" s="4" t="str">
        <f>IF(Produits!B415="","",Produits!B415)</f>
        <v>DT</v>
      </c>
      <c r="C415" s="4" t="str">
        <f>IF(Produits!C415="","",Produits!C415)</f>
        <v>1000,00,0412</v>
      </c>
      <c r="D415" s="4" t="str">
        <f>IF(Produits!D415="","",Produits!D415)</f>
        <v>AA536</v>
      </c>
      <c r="E415" s="49" t="str">
        <f>IF(Produits!F415="","",Produits!F415)</f>
        <v>1 pcs</v>
      </c>
      <c r="F415" s="50">
        <f>IF(Produits!H415="","",Produits!H415)</f>
        <v>421</v>
      </c>
      <c r="H415" s="37">
        <v>0</v>
      </c>
      <c r="I415" s="2"/>
      <c r="J415" s="69">
        <f>SUM('Archives Entrées'!$N415:$AAV415)</f>
        <v>0</v>
      </c>
      <c r="K415" s="51" t="str">
        <f t="shared" si="25"/>
        <v>0,00€</v>
      </c>
      <c r="L415" s="69">
        <f>SUM('Archives Sorties'!$M415:$AAY415)</f>
        <v>0</v>
      </c>
      <c r="M415" s="51" t="str">
        <f t="shared" si="26"/>
        <v>0,00€</v>
      </c>
      <c r="O415" s="72">
        <v>0</v>
      </c>
      <c r="P415" s="72">
        <v>0</v>
      </c>
      <c r="R415" s="185">
        <f t="shared" si="27"/>
        <v>0</v>
      </c>
      <c r="S415" s="186">
        <f t="shared" si="28"/>
        <v>0</v>
      </c>
      <c r="T415" s="187" t="str">
        <f>IF(R415="","",IF(O415=0,Famille!$D$5,IF(R415&lt;O415,Famille!$D$2,IF(R415&lt;=P415,Famille!$D$3,Famille!$D$4))))</f>
        <v>Sur commande</v>
      </c>
    </row>
    <row r="416" spans="1:20" ht="12" customHeight="1" x14ac:dyDescent="0.2">
      <c r="A416" s="4" t="str">
        <f>IF(Produits!A416="","",Produits!A416)</f>
        <v>Varitrans</v>
      </c>
      <c r="B416" s="4" t="str">
        <f>IF(Produits!B416="","",Produits!B416)</f>
        <v>Corner Element</v>
      </c>
      <c r="C416" s="4" t="str">
        <f>IF(Produits!C416="","",Produits!C416)</f>
        <v>1000,00,0413</v>
      </c>
      <c r="D416" s="4" t="str">
        <f>IF(Produits!D416="","",Produits!D416)</f>
        <v>AA537</v>
      </c>
      <c r="E416" s="49" t="str">
        <f>IF(Produits!F416="","",Produits!F416)</f>
        <v>1 pcs</v>
      </c>
      <c r="F416" s="50">
        <f>IF(Produits!H416="","",Produits!H416)</f>
        <v>422</v>
      </c>
      <c r="H416" s="37">
        <v>0</v>
      </c>
      <c r="I416" s="2"/>
      <c r="J416" s="69">
        <f>SUM('Archives Entrées'!$N416:$AAV416)</f>
        <v>0</v>
      </c>
      <c r="K416" s="51" t="str">
        <f t="shared" si="25"/>
        <v>0,00€</v>
      </c>
      <c r="L416" s="69">
        <f>SUM('Archives Sorties'!$M416:$AAY416)</f>
        <v>0</v>
      </c>
      <c r="M416" s="51" t="str">
        <f t="shared" si="26"/>
        <v>0,00€</v>
      </c>
      <c r="O416" s="72">
        <v>0</v>
      </c>
      <c r="P416" s="72">
        <v>0</v>
      </c>
      <c r="R416" s="185">
        <f t="shared" si="27"/>
        <v>0</v>
      </c>
      <c r="S416" s="186">
        <f t="shared" si="28"/>
        <v>0</v>
      </c>
      <c r="T416" s="187" t="str">
        <f>IF(R416="","",IF(O416=0,Famille!$D$5,IF(R416&lt;O416,Famille!$D$2,IF(R416&lt;=P416,Famille!$D$3,Famille!$D$4))))</f>
        <v>Sur commande</v>
      </c>
    </row>
    <row r="417" spans="1:20" ht="12" customHeight="1" x14ac:dyDescent="0.2">
      <c r="A417" s="4" t="str">
        <f>IF(Produits!A417="","",Produits!A417)</f>
        <v>Varitrans</v>
      </c>
      <c r="B417" s="4" t="str">
        <f>IF(Produits!B417="","",Produits!B417)</f>
        <v>Corner Element</v>
      </c>
      <c r="C417" s="4" t="str">
        <f>IF(Produits!C417="","",Produits!C417)</f>
        <v>1000,00,0414</v>
      </c>
      <c r="D417" s="4" t="str">
        <f>IF(Produits!D417="","",Produits!D417)</f>
        <v>AA538</v>
      </c>
      <c r="E417" s="49" t="str">
        <f>IF(Produits!F417="","",Produits!F417)</f>
        <v>1 pcs</v>
      </c>
      <c r="F417" s="50">
        <f>IF(Produits!H417="","",Produits!H417)</f>
        <v>423</v>
      </c>
      <c r="H417" s="37">
        <v>0</v>
      </c>
      <c r="I417" s="2"/>
      <c r="J417" s="69">
        <f>SUM('Archives Entrées'!$N417:$AAV417)</f>
        <v>0</v>
      </c>
      <c r="K417" s="51" t="str">
        <f t="shared" si="25"/>
        <v>0,00€</v>
      </c>
      <c r="L417" s="69">
        <f>SUM('Archives Sorties'!$M417:$AAY417)</f>
        <v>0</v>
      </c>
      <c r="M417" s="51" t="str">
        <f t="shared" si="26"/>
        <v>0,00€</v>
      </c>
      <c r="O417" s="72">
        <v>0</v>
      </c>
      <c r="P417" s="72">
        <v>0</v>
      </c>
      <c r="R417" s="185">
        <f t="shared" si="27"/>
        <v>0</v>
      </c>
      <c r="S417" s="186">
        <f t="shared" si="28"/>
        <v>0</v>
      </c>
      <c r="T417" s="187" t="str">
        <f>IF(R417="","",IF(O417=0,Famille!$D$5,IF(R417&lt;O417,Famille!$D$2,IF(R417&lt;=P417,Famille!$D$3,Famille!$D$4))))</f>
        <v>Sur commande</v>
      </c>
    </row>
    <row r="418" spans="1:20" ht="12" customHeight="1" x14ac:dyDescent="0.2">
      <c r="A418" s="4" t="str">
        <f>IF(Produits!A418="","",Produits!A418)</f>
        <v>Varitrans</v>
      </c>
      <c r="B418" s="4" t="str">
        <f>IF(Produits!B418="","",Produits!B418)</f>
        <v>Corner Element</v>
      </c>
      <c r="C418" s="4" t="str">
        <f>IF(Produits!C418="","",Produits!C418)</f>
        <v>1000,00,0415</v>
      </c>
      <c r="D418" s="4" t="str">
        <f>IF(Produits!D418="","",Produits!D418)</f>
        <v>AA539</v>
      </c>
      <c r="E418" s="49" t="str">
        <f>IF(Produits!F418="","",Produits!F418)</f>
        <v>1 pcs</v>
      </c>
      <c r="F418" s="50">
        <f>IF(Produits!H418="","",Produits!H418)</f>
        <v>424</v>
      </c>
      <c r="H418" s="37">
        <v>0</v>
      </c>
      <c r="I418" s="2"/>
      <c r="J418" s="69">
        <f>SUM('Archives Entrées'!$N418:$AAV418)</f>
        <v>0</v>
      </c>
      <c r="K418" s="51" t="str">
        <f t="shared" si="25"/>
        <v>0,00€</v>
      </c>
      <c r="L418" s="69">
        <f>SUM('Archives Sorties'!$M418:$AAY418)</f>
        <v>0</v>
      </c>
      <c r="M418" s="51" t="str">
        <f t="shared" si="26"/>
        <v>0,00€</v>
      </c>
      <c r="O418" s="72">
        <v>0</v>
      </c>
      <c r="P418" s="72">
        <v>0</v>
      </c>
      <c r="R418" s="185">
        <f t="shared" si="27"/>
        <v>0</v>
      </c>
      <c r="S418" s="186">
        <f t="shared" si="28"/>
        <v>0</v>
      </c>
      <c r="T418" s="187" t="str">
        <f>IF(R418="","",IF(O418=0,Famille!$D$5,IF(R418&lt;O418,Famille!$D$2,IF(R418&lt;=P418,Famille!$D$3,Famille!$D$4))))</f>
        <v>Sur commande</v>
      </c>
    </row>
    <row r="419" spans="1:20" ht="12" customHeight="1" x14ac:dyDescent="0.2">
      <c r="A419" s="4" t="str">
        <f>IF(Produits!A419="","",Produits!A419)</f>
        <v>Varitrans</v>
      </c>
      <c r="B419" s="4" t="str">
        <f>IF(Produits!B419="","",Produits!B419)</f>
        <v>Corner Element</v>
      </c>
      <c r="C419" s="4" t="str">
        <f>IF(Produits!C419="","",Produits!C419)</f>
        <v>1000,00,0416</v>
      </c>
      <c r="D419" s="4" t="str">
        <f>IF(Produits!D419="","",Produits!D419)</f>
        <v>AA540</v>
      </c>
      <c r="E419" s="49" t="str">
        <f>IF(Produits!F419="","",Produits!F419)</f>
        <v>1 pcs</v>
      </c>
      <c r="F419" s="50">
        <f>IF(Produits!H419="","",Produits!H419)</f>
        <v>425</v>
      </c>
      <c r="H419" s="37">
        <v>0</v>
      </c>
      <c r="I419" s="2"/>
      <c r="J419" s="69">
        <f>SUM('Archives Entrées'!$N419:$AAV419)</f>
        <v>0</v>
      </c>
      <c r="K419" s="51" t="str">
        <f t="shared" si="25"/>
        <v>0,00€</v>
      </c>
      <c r="L419" s="69">
        <f>SUM('Archives Sorties'!$M419:$AAY419)</f>
        <v>0</v>
      </c>
      <c r="M419" s="51" t="str">
        <f t="shared" si="26"/>
        <v>0,00€</v>
      </c>
      <c r="O419" s="72">
        <v>0</v>
      </c>
      <c r="P419" s="72">
        <v>0</v>
      </c>
      <c r="R419" s="185">
        <f t="shared" si="27"/>
        <v>0</v>
      </c>
      <c r="S419" s="186">
        <f t="shared" si="28"/>
        <v>0</v>
      </c>
      <c r="T419" s="187" t="str">
        <f>IF(R419="","",IF(O419=0,Famille!$D$5,IF(R419&lt;O419,Famille!$D$2,IF(R419&lt;=P419,Famille!$D$3,Famille!$D$4))))</f>
        <v>Sur commande</v>
      </c>
    </row>
    <row r="420" spans="1:20" ht="12" customHeight="1" x14ac:dyDescent="0.2">
      <c r="A420" s="4" t="str">
        <f>IF(Produits!A420="","",Produits!A420)</f>
        <v>Varitrans</v>
      </c>
      <c r="B420" s="4" t="str">
        <f>IF(Produits!B420="","",Produits!B420)</f>
        <v>Corner Element</v>
      </c>
      <c r="C420" s="4" t="str">
        <f>IF(Produits!C420="","",Produits!C420)</f>
        <v>1000,00,0417</v>
      </c>
      <c r="D420" s="4" t="str">
        <f>IF(Produits!D420="","",Produits!D420)</f>
        <v>AA541</v>
      </c>
      <c r="E420" s="49" t="str">
        <f>IF(Produits!F420="","",Produits!F420)</f>
        <v>1 pcs</v>
      </c>
      <c r="F420" s="50">
        <f>IF(Produits!H420="","",Produits!H420)</f>
        <v>426</v>
      </c>
      <c r="H420" s="37">
        <v>0</v>
      </c>
      <c r="I420" s="2"/>
      <c r="J420" s="69">
        <f>SUM('Archives Entrées'!$N420:$AAV420)</f>
        <v>0</v>
      </c>
      <c r="K420" s="51" t="str">
        <f t="shared" si="25"/>
        <v>0,00€</v>
      </c>
      <c r="L420" s="69">
        <f>SUM('Archives Sorties'!$M420:$AAY420)</f>
        <v>0</v>
      </c>
      <c r="M420" s="51" t="str">
        <f t="shared" si="26"/>
        <v>0,00€</v>
      </c>
      <c r="O420" s="72">
        <v>0</v>
      </c>
      <c r="P420" s="72">
        <v>0</v>
      </c>
      <c r="R420" s="185">
        <f t="shared" si="27"/>
        <v>0</v>
      </c>
      <c r="S420" s="186">
        <f t="shared" si="28"/>
        <v>0</v>
      </c>
      <c r="T420" s="187" t="str">
        <f>IF(R420="","",IF(O420=0,Famille!$D$5,IF(R420&lt;O420,Famille!$D$2,IF(R420&lt;=P420,Famille!$D$3,Famille!$D$4))))</f>
        <v>Sur commande</v>
      </c>
    </row>
    <row r="421" spans="1:20" ht="12" customHeight="1" x14ac:dyDescent="0.2">
      <c r="A421" s="4" t="str">
        <f>IF(Produits!A421="","",Produits!A421)</f>
        <v>Varitrans</v>
      </c>
      <c r="B421" s="4" t="str">
        <f>IF(Produits!B421="","",Produits!B421)</f>
        <v>Corner Element</v>
      </c>
      <c r="C421" s="4" t="str">
        <f>IF(Produits!C421="","",Produits!C421)</f>
        <v>1000,00,0418</v>
      </c>
      <c r="D421" s="4" t="str">
        <f>IF(Produits!D421="","",Produits!D421)</f>
        <v>AA542</v>
      </c>
      <c r="E421" s="49" t="str">
        <f>IF(Produits!F421="","",Produits!F421)</f>
        <v>1 pcs</v>
      </c>
      <c r="F421" s="50">
        <f>IF(Produits!H421="","",Produits!H421)</f>
        <v>427</v>
      </c>
      <c r="H421" s="37">
        <v>0</v>
      </c>
      <c r="I421" s="2"/>
      <c r="J421" s="69">
        <f>SUM('Archives Entrées'!$N421:$AAV421)</f>
        <v>0</v>
      </c>
      <c r="K421" s="51" t="str">
        <f t="shared" si="25"/>
        <v>0,00€</v>
      </c>
      <c r="L421" s="69">
        <f>SUM('Archives Sorties'!$M421:$AAY421)</f>
        <v>0</v>
      </c>
      <c r="M421" s="51" t="str">
        <f t="shared" si="26"/>
        <v>0,00€</v>
      </c>
      <c r="O421" s="72">
        <v>0</v>
      </c>
      <c r="P421" s="72">
        <v>0</v>
      </c>
      <c r="R421" s="185">
        <f t="shared" si="27"/>
        <v>0</v>
      </c>
      <c r="S421" s="186">
        <f t="shared" si="28"/>
        <v>0</v>
      </c>
      <c r="T421" s="187" t="str">
        <f>IF(R421="","",IF(O421=0,Famille!$D$5,IF(R421&lt;O421,Famille!$D$2,IF(R421&lt;=P421,Famille!$D$3,Famille!$D$4))))</f>
        <v>Sur commande</v>
      </c>
    </row>
    <row r="422" spans="1:20" ht="12" customHeight="1" x14ac:dyDescent="0.2">
      <c r="A422" s="4" t="str">
        <f>IF(Produits!A422="","",Produits!A422)</f>
        <v>Varitrans</v>
      </c>
      <c r="B422" s="4" t="str">
        <f>IF(Produits!B422="","",Produits!B422)</f>
        <v>Corner Element</v>
      </c>
      <c r="C422" s="4" t="str">
        <f>IF(Produits!C422="","",Produits!C422)</f>
        <v>1000,00,0419</v>
      </c>
      <c r="D422" s="4" t="str">
        <f>IF(Produits!D422="","",Produits!D422)</f>
        <v>AA543</v>
      </c>
      <c r="E422" s="49" t="str">
        <f>IF(Produits!F422="","",Produits!F422)</f>
        <v>1 pcs</v>
      </c>
      <c r="F422" s="50">
        <f>IF(Produits!H422="","",Produits!H422)</f>
        <v>428</v>
      </c>
      <c r="H422" s="37">
        <v>0</v>
      </c>
      <c r="I422" s="2"/>
      <c r="J422" s="69">
        <f>SUM('Archives Entrées'!$N422:$AAV422)</f>
        <v>0</v>
      </c>
      <c r="K422" s="51" t="str">
        <f t="shared" si="25"/>
        <v>0,00€</v>
      </c>
      <c r="L422" s="69">
        <f>SUM('Archives Sorties'!$M422:$AAY422)</f>
        <v>0</v>
      </c>
      <c r="M422" s="51" t="str">
        <f t="shared" si="26"/>
        <v>0,00€</v>
      </c>
      <c r="O422" s="72">
        <v>0</v>
      </c>
      <c r="P422" s="72">
        <v>0</v>
      </c>
      <c r="R422" s="185">
        <f t="shared" si="27"/>
        <v>0</v>
      </c>
      <c r="S422" s="186">
        <f t="shared" si="28"/>
        <v>0</v>
      </c>
      <c r="T422" s="187" t="str">
        <f>IF(R422="","",IF(O422=0,Famille!$D$5,IF(R422&lt;O422,Famille!$D$2,IF(R422&lt;=P422,Famille!$D$3,Famille!$D$4))))</f>
        <v>Sur commande</v>
      </c>
    </row>
    <row r="423" spans="1:20" ht="12" customHeight="1" x14ac:dyDescent="0.2">
      <c r="A423" s="4" t="str">
        <f>IF(Produits!A423="","",Produits!A423)</f>
        <v>Varitrans</v>
      </c>
      <c r="B423" s="4" t="str">
        <f>IF(Produits!B423="","",Produits!B423)</f>
        <v>Corner Element</v>
      </c>
      <c r="C423" s="4" t="str">
        <f>IF(Produits!C423="","",Produits!C423)</f>
        <v>1000,00,0420</v>
      </c>
      <c r="D423" s="4" t="str">
        <f>IF(Produits!D423="","",Produits!D423)</f>
        <v>AA544</v>
      </c>
      <c r="E423" s="49" t="str">
        <f>IF(Produits!F423="","",Produits!F423)</f>
        <v>1 pcs</v>
      </c>
      <c r="F423" s="50">
        <f>IF(Produits!H423="","",Produits!H423)</f>
        <v>429</v>
      </c>
      <c r="H423" s="37">
        <v>0</v>
      </c>
      <c r="I423" s="2"/>
      <c r="J423" s="69">
        <f>SUM('Archives Entrées'!$N423:$AAV423)</f>
        <v>0</v>
      </c>
      <c r="K423" s="51" t="str">
        <f t="shared" si="25"/>
        <v>0,00€</v>
      </c>
      <c r="L423" s="69">
        <f>SUM('Archives Sorties'!$M423:$AAY423)</f>
        <v>0</v>
      </c>
      <c r="M423" s="51" t="str">
        <f t="shared" si="26"/>
        <v>0,00€</v>
      </c>
      <c r="O423" s="72">
        <v>0</v>
      </c>
      <c r="P423" s="72">
        <v>0</v>
      </c>
      <c r="R423" s="185">
        <f t="shared" si="27"/>
        <v>0</v>
      </c>
      <c r="S423" s="186">
        <f t="shared" si="28"/>
        <v>0</v>
      </c>
      <c r="T423" s="187" t="str">
        <f>IF(R423="","",IF(O423=0,Famille!$D$5,IF(R423&lt;O423,Famille!$D$2,IF(R423&lt;=P423,Famille!$D$3,Famille!$D$4))))</f>
        <v>Sur commande</v>
      </c>
    </row>
    <row r="424" spans="1:20" ht="12" customHeight="1" x14ac:dyDescent="0.2">
      <c r="A424" s="4" t="str">
        <f>IF(Produits!A424="","",Produits!A424)</f>
        <v>Varitrans</v>
      </c>
      <c r="B424" s="4" t="str">
        <f>IF(Produits!B424="","",Produits!B424)</f>
        <v>Corner Element</v>
      </c>
      <c r="C424" s="4" t="str">
        <f>IF(Produits!C424="","",Produits!C424)</f>
        <v>1000,00,0421</v>
      </c>
      <c r="D424" s="4" t="str">
        <f>IF(Produits!D424="","",Produits!D424)</f>
        <v>AA545</v>
      </c>
      <c r="E424" s="49" t="str">
        <f>IF(Produits!F424="","",Produits!F424)</f>
        <v>1 pcs</v>
      </c>
      <c r="F424" s="50">
        <f>IF(Produits!H424="","",Produits!H424)</f>
        <v>430</v>
      </c>
      <c r="H424" s="37">
        <v>0</v>
      </c>
      <c r="I424" s="2"/>
      <c r="J424" s="69">
        <f>SUM('Archives Entrées'!$N424:$AAV424)</f>
        <v>0</v>
      </c>
      <c r="K424" s="51" t="str">
        <f t="shared" si="25"/>
        <v>0,00€</v>
      </c>
      <c r="L424" s="69">
        <f>SUM('Archives Sorties'!$M424:$AAY424)</f>
        <v>0</v>
      </c>
      <c r="M424" s="51" t="str">
        <f t="shared" si="26"/>
        <v>0,00€</v>
      </c>
      <c r="O424" s="72">
        <v>0</v>
      </c>
      <c r="P424" s="72">
        <v>0</v>
      </c>
      <c r="R424" s="185">
        <f t="shared" si="27"/>
        <v>0</v>
      </c>
      <c r="S424" s="186">
        <f t="shared" si="28"/>
        <v>0</v>
      </c>
      <c r="T424" s="187" t="str">
        <f>IF(R424="","",IF(O424=0,Famille!$D$5,IF(R424&lt;O424,Famille!$D$2,IF(R424&lt;=P424,Famille!$D$3,Famille!$D$4))))</f>
        <v>Sur commande</v>
      </c>
    </row>
    <row r="425" spans="1:20" ht="12" customHeight="1" x14ac:dyDescent="0.2">
      <c r="A425" s="4" t="str">
        <f>IF(Produits!A425="","",Produits!A425)</f>
        <v>Varitrans</v>
      </c>
      <c r="B425" s="4" t="str">
        <f>IF(Produits!B425="","",Produits!B425)</f>
        <v>Corner Element</v>
      </c>
      <c r="C425" s="4" t="str">
        <f>IF(Produits!C425="","",Produits!C425)</f>
        <v>1000,00,0422</v>
      </c>
      <c r="D425" s="4" t="str">
        <f>IF(Produits!D425="","",Produits!D425)</f>
        <v>AA546</v>
      </c>
      <c r="E425" s="49" t="str">
        <f>IF(Produits!F425="","",Produits!F425)</f>
        <v>1 pcs</v>
      </c>
      <c r="F425" s="50">
        <f>IF(Produits!H425="","",Produits!H425)</f>
        <v>431</v>
      </c>
      <c r="H425" s="37">
        <v>0</v>
      </c>
      <c r="I425" s="2"/>
      <c r="J425" s="69">
        <f>SUM('Archives Entrées'!$N425:$AAV425)</f>
        <v>0</v>
      </c>
      <c r="K425" s="51" t="str">
        <f t="shared" si="25"/>
        <v>0,00€</v>
      </c>
      <c r="L425" s="69">
        <f>SUM('Archives Sorties'!$M425:$AAY425)</f>
        <v>0</v>
      </c>
      <c r="M425" s="51" t="str">
        <f t="shared" si="26"/>
        <v>0,00€</v>
      </c>
      <c r="O425" s="72">
        <v>0</v>
      </c>
      <c r="P425" s="72">
        <v>0</v>
      </c>
      <c r="R425" s="185">
        <f t="shared" si="27"/>
        <v>0</v>
      </c>
      <c r="S425" s="186">
        <f t="shared" si="28"/>
        <v>0</v>
      </c>
      <c r="T425" s="187" t="str">
        <f>IF(R425="","",IF(O425=0,Famille!$D$5,IF(R425&lt;O425,Famille!$D$2,IF(R425&lt;=P425,Famille!$D$3,Famille!$D$4))))</f>
        <v>Sur commande</v>
      </c>
    </row>
    <row r="426" spans="1:20" ht="12" customHeight="1" x14ac:dyDescent="0.2">
      <c r="A426" s="4" t="str">
        <f>IF(Produits!A426="","",Produits!A426)</f>
        <v>Varitrans</v>
      </c>
      <c r="B426" s="4" t="str">
        <f>IF(Produits!B426="","",Produits!B426)</f>
        <v>Swing Door</v>
      </c>
      <c r="C426" s="4" t="str">
        <f>IF(Produits!C426="","",Produits!C426)</f>
        <v>1000,00,0423</v>
      </c>
      <c r="D426" s="4" t="str">
        <f>IF(Produits!D426="","",Produits!D426)</f>
        <v>AA547</v>
      </c>
      <c r="E426" s="49" t="str">
        <f>IF(Produits!F426="","",Produits!F426)</f>
        <v>1 pcs</v>
      </c>
      <c r="F426" s="50">
        <f>IF(Produits!H426="","",Produits!H426)</f>
        <v>432</v>
      </c>
      <c r="H426" s="37">
        <v>0</v>
      </c>
      <c r="I426" s="2"/>
      <c r="J426" s="69">
        <f>SUM('Archives Entrées'!$N426:$AAV426)</f>
        <v>0</v>
      </c>
      <c r="K426" s="51" t="str">
        <f t="shared" si="25"/>
        <v>0,00€</v>
      </c>
      <c r="L426" s="69">
        <f>SUM('Archives Sorties'!$M426:$AAY426)</f>
        <v>0</v>
      </c>
      <c r="M426" s="51" t="str">
        <f t="shared" si="26"/>
        <v>0,00€</v>
      </c>
      <c r="O426" s="72">
        <v>0</v>
      </c>
      <c r="P426" s="72">
        <v>0</v>
      </c>
      <c r="R426" s="185">
        <f t="shared" si="27"/>
        <v>0</v>
      </c>
      <c r="S426" s="186">
        <f t="shared" si="28"/>
        <v>0</v>
      </c>
      <c r="T426" s="187" t="str">
        <f>IF(R426="","",IF(O426=0,Famille!$D$5,IF(R426&lt;O426,Famille!$D$2,IF(R426&lt;=P426,Famille!$D$3,Famille!$D$4))))</f>
        <v>Sur commande</v>
      </c>
    </row>
    <row r="427" spans="1:20" ht="12" customHeight="1" x14ac:dyDescent="0.2">
      <c r="A427" s="4" t="str">
        <f>IF(Produits!A427="","",Produits!A427)</f>
        <v>Varitrans</v>
      </c>
      <c r="B427" s="4" t="str">
        <f>IF(Produits!B427="","",Produits!B427)</f>
        <v>Swing Door</v>
      </c>
      <c r="C427" s="4" t="str">
        <f>IF(Produits!C427="","",Produits!C427)</f>
        <v>1000,00,0424</v>
      </c>
      <c r="D427" s="4" t="str">
        <f>IF(Produits!D427="","",Produits!D427)</f>
        <v>AA548</v>
      </c>
      <c r="E427" s="49" t="str">
        <f>IF(Produits!F427="","",Produits!F427)</f>
        <v>1 pcs</v>
      </c>
      <c r="F427" s="50">
        <f>IF(Produits!H427="","",Produits!H427)</f>
        <v>433</v>
      </c>
      <c r="H427" s="37">
        <v>0</v>
      </c>
      <c r="I427" s="2"/>
      <c r="J427" s="69">
        <f>SUM('Archives Entrées'!$N427:$AAV427)</f>
        <v>0</v>
      </c>
      <c r="K427" s="51" t="str">
        <f t="shared" si="25"/>
        <v>0,00€</v>
      </c>
      <c r="L427" s="69">
        <f>SUM('Archives Sorties'!$M427:$AAY427)</f>
        <v>0</v>
      </c>
      <c r="M427" s="51" t="str">
        <f t="shared" si="26"/>
        <v>0,00€</v>
      </c>
      <c r="O427" s="72">
        <v>0</v>
      </c>
      <c r="P427" s="72">
        <v>0</v>
      </c>
      <c r="R427" s="185">
        <f t="shared" si="27"/>
        <v>0</v>
      </c>
      <c r="S427" s="186">
        <f t="shared" si="28"/>
        <v>0</v>
      </c>
      <c r="T427" s="187" t="str">
        <f>IF(R427="","",IF(O427=0,Famille!$D$5,IF(R427&lt;O427,Famille!$D$2,IF(R427&lt;=P427,Famille!$D$3,Famille!$D$4))))</f>
        <v>Sur commande</v>
      </c>
    </row>
    <row r="428" spans="1:20" ht="12" customHeight="1" x14ac:dyDescent="0.2">
      <c r="A428" s="4" t="str">
        <f>IF(Produits!A428="","",Produits!A428)</f>
        <v>Varitrans</v>
      </c>
      <c r="B428" s="4" t="str">
        <f>IF(Produits!B428="","",Produits!B428)</f>
        <v>Swing Door</v>
      </c>
      <c r="C428" s="4" t="str">
        <f>IF(Produits!C428="","",Produits!C428)</f>
        <v>1000,00,0425</v>
      </c>
      <c r="D428" s="4" t="str">
        <f>IF(Produits!D428="","",Produits!D428)</f>
        <v>AA549</v>
      </c>
      <c r="E428" s="49" t="str">
        <f>IF(Produits!F428="","",Produits!F428)</f>
        <v>1 pcs</v>
      </c>
      <c r="F428" s="50">
        <f>IF(Produits!H428="","",Produits!H428)</f>
        <v>434</v>
      </c>
      <c r="H428" s="37">
        <v>0</v>
      </c>
      <c r="I428" s="2"/>
      <c r="J428" s="69">
        <f>SUM('Archives Entrées'!$N428:$AAV428)</f>
        <v>0</v>
      </c>
      <c r="K428" s="51" t="str">
        <f t="shared" si="25"/>
        <v>0,00€</v>
      </c>
      <c r="L428" s="69">
        <f>SUM('Archives Sorties'!$M428:$AAY428)</f>
        <v>0</v>
      </c>
      <c r="M428" s="51" t="str">
        <f t="shared" si="26"/>
        <v>0,00€</v>
      </c>
      <c r="O428" s="72">
        <v>0</v>
      </c>
      <c r="P428" s="72">
        <v>0</v>
      </c>
      <c r="R428" s="185">
        <f t="shared" si="27"/>
        <v>0</v>
      </c>
      <c r="S428" s="186">
        <f t="shared" si="28"/>
        <v>0</v>
      </c>
      <c r="T428" s="187" t="str">
        <f>IF(R428="","",IF(O428=0,Famille!$D$5,IF(R428&lt;O428,Famille!$D$2,IF(R428&lt;=P428,Famille!$D$3,Famille!$D$4))))</f>
        <v>Sur commande</v>
      </c>
    </row>
    <row r="429" spans="1:20" ht="12" customHeight="1" x14ac:dyDescent="0.2">
      <c r="A429" s="4" t="str">
        <f>IF(Produits!A429="","",Produits!A429)</f>
        <v>Varitrans</v>
      </c>
      <c r="B429" s="4" t="str">
        <f>IF(Produits!B429="","",Produits!B429)</f>
        <v>Swing Door</v>
      </c>
      <c r="C429" s="4" t="str">
        <f>IF(Produits!C429="","",Produits!C429)</f>
        <v>1000,00,0426</v>
      </c>
      <c r="D429" s="4" t="str">
        <f>IF(Produits!D429="","",Produits!D429)</f>
        <v>AA550</v>
      </c>
      <c r="E429" s="49" t="str">
        <f>IF(Produits!F429="","",Produits!F429)</f>
        <v>1 pcs</v>
      </c>
      <c r="F429" s="50">
        <f>IF(Produits!H429="","",Produits!H429)</f>
        <v>435</v>
      </c>
      <c r="H429" s="37">
        <v>0</v>
      </c>
      <c r="I429" s="2"/>
      <c r="J429" s="69">
        <f>SUM('Archives Entrées'!$N429:$AAV429)</f>
        <v>0</v>
      </c>
      <c r="K429" s="51" t="str">
        <f t="shared" si="25"/>
        <v>0,00€</v>
      </c>
      <c r="L429" s="69">
        <f>SUM('Archives Sorties'!$M429:$AAY429)</f>
        <v>0</v>
      </c>
      <c r="M429" s="51" t="str">
        <f t="shared" si="26"/>
        <v>0,00€</v>
      </c>
      <c r="O429" s="72">
        <v>0</v>
      </c>
      <c r="P429" s="72">
        <v>0</v>
      </c>
      <c r="R429" s="185">
        <f t="shared" si="27"/>
        <v>0</v>
      </c>
      <c r="S429" s="186">
        <f t="shared" si="28"/>
        <v>0</v>
      </c>
      <c r="T429" s="187" t="str">
        <f>IF(R429="","",IF(O429=0,Famille!$D$5,IF(R429&lt;O429,Famille!$D$2,IF(R429&lt;=P429,Famille!$D$3,Famille!$D$4))))</f>
        <v>Sur commande</v>
      </c>
    </row>
    <row r="430" spans="1:20" ht="12" customHeight="1" x14ac:dyDescent="0.2">
      <c r="A430" s="4" t="str">
        <f>IF(Produits!A430="","",Produits!A430)</f>
        <v>Varitrans</v>
      </c>
      <c r="B430" s="4" t="str">
        <f>IF(Produits!B430="","",Produits!B430)</f>
        <v>Swing Door</v>
      </c>
      <c r="C430" s="4" t="str">
        <f>IF(Produits!C430="","",Produits!C430)</f>
        <v>1000,00,0427</v>
      </c>
      <c r="D430" s="4" t="str">
        <f>IF(Produits!D430="","",Produits!D430)</f>
        <v>AA551</v>
      </c>
      <c r="E430" s="49" t="str">
        <f>IF(Produits!F430="","",Produits!F430)</f>
        <v>1 pcs</v>
      </c>
      <c r="F430" s="50">
        <f>IF(Produits!H430="","",Produits!H430)</f>
        <v>436</v>
      </c>
      <c r="H430" s="37">
        <v>0</v>
      </c>
      <c r="I430" s="2"/>
      <c r="J430" s="69">
        <f>SUM('Archives Entrées'!$N430:$AAV430)</f>
        <v>0</v>
      </c>
      <c r="K430" s="51" t="str">
        <f t="shared" si="25"/>
        <v>0,00€</v>
      </c>
      <c r="L430" s="69">
        <f>SUM('Archives Sorties'!$M430:$AAY430)</f>
        <v>0</v>
      </c>
      <c r="M430" s="51" t="str">
        <f t="shared" si="26"/>
        <v>0,00€</v>
      </c>
      <c r="O430" s="72">
        <v>0</v>
      </c>
      <c r="P430" s="72">
        <v>0</v>
      </c>
      <c r="R430" s="185">
        <f t="shared" si="27"/>
        <v>0</v>
      </c>
      <c r="S430" s="186">
        <f t="shared" si="28"/>
        <v>0</v>
      </c>
      <c r="T430" s="187" t="str">
        <f>IF(R430="","",IF(O430=0,Famille!$D$5,IF(R430&lt;O430,Famille!$D$2,IF(R430&lt;=P430,Famille!$D$3,Famille!$D$4))))</f>
        <v>Sur commande</v>
      </c>
    </row>
    <row r="431" spans="1:20" ht="12" customHeight="1" x14ac:dyDescent="0.2">
      <c r="A431" s="4" t="str">
        <f>IF(Produits!A431="","",Produits!A431)</f>
        <v>Varitrans</v>
      </c>
      <c r="B431" s="4" t="str">
        <f>IF(Produits!B431="","",Produits!B431)</f>
        <v>Profile Cylinder</v>
      </c>
      <c r="C431" s="4" t="str">
        <f>IF(Produits!C431="","",Produits!C431)</f>
        <v>1000,00,0428</v>
      </c>
      <c r="D431" s="4" t="str">
        <f>IF(Produits!D431="","",Produits!D431)</f>
        <v>AA552</v>
      </c>
      <c r="E431" s="49" t="str">
        <f>IF(Produits!F431="","",Produits!F431)</f>
        <v>1 pcs</v>
      </c>
      <c r="F431" s="50">
        <f>IF(Produits!H431="","",Produits!H431)</f>
        <v>437</v>
      </c>
      <c r="H431" s="37">
        <v>0</v>
      </c>
      <c r="I431" s="2"/>
      <c r="J431" s="69">
        <f>SUM('Archives Entrées'!$N431:$AAV431)</f>
        <v>0</v>
      </c>
      <c r="K431" s="51" t="str">
        <f t="shared" si="25"/>
        <v>0,00€</v>
      </c>
      <c r="L431" s="69">
        <f>SUM('Archives Sorties'!$M431:$AAY431)</f>
        <v>0</v>
      </c>
      <c r="M431" s="51" t="str">
        <f t="shared" si="26"/>
        <v>0,00€</v>
      </c>
      <c r="O431" s="72">
        <v>0</v>
      </c>
      <c r="P431" s="72">
        <v>0</v>
      </c>
      <c r="R431" s="185">
        <f t="shared" si="27"/>
        <v>0</v>
      </c>
      <c r="S431" s="186">
        <f t="shared" si="28"/>
        <v>0</v>
      </c>
      <c r="T431" s="187" t="str">
        <f>IF(R431="","",IF(O431=0,Famille!$D$5,IF(R431&lt;O431,Famille!$D$2,IF(R431&lt;=P431,Famille!$D$3,Famille!$D$4))))</f>
        <v>Sur commande</v>
      </c>
    </row>
    <row r="432" spans="1:20" ht="12" customHeight="1" x14ac:dyDescent="0.2">
      <c r="A432" s="4" t="str">
        <f>IF(Produits!A432="","",Produits!A432)</f>
        <v>Varitrans</v>
      </c>
      <c r="B432" s="4" t="str">
        <f>IF(Produits!B432="","",Produits!B432)</f>
        <v>Profile Cylinder</v>
      </c>
      <c r="C432" s="4" t="str">
        <f>IF(Produits!C432="","",Produits!C432)</f>
        <v>1000,00,0429</v>
      </c>
      <c r="D432" s="4" t="str">
        <f>IF(Produits!D432="","",Produits!D432)</f>
        <v>AA553</v>
      </c>
      <c r="E432" s="49" t="str">
        <f>IF(Produits!F432="","",Produits!F432)</f>
        <v>1 pcs</v>
      </c>
      <c r="F432" s="50">
        <f>IF(Produits!H432="","",Produits!H432)</f>
        <v>438</v>
      </c>
      <c r="H432" s="37">
        <v>0</v>
      </c>
      <c r="I432" s="2"/>
      <c r="J432" s="69">
        <f>SUM('Archives Entrées'!$N432:$AAV432)</f>
        <v>0</v>
      </c>
      <c r="K432" s="51" t="str">
        <f t="shared" si="25"/>
        <v>0,00€</v>
      </c>
      <c r="L432" s="69">
        <f>SUM('Archives Sorties'!$M432:$AAY432)</f>
        <v>0</v>
      </c>
      <c r="M432" s="51" t="str">
        <f t="shared" si="26"/>
        <v>0,00€</v>
      </c>
      <c r="O432" s="72">
        <v>0</v>
      </c>
      <c r="P432" s="72">
        <v>0</v>
      </c>
      <c r="R432" s="185">
        <f t="shared" si="27"/>
        <v>0</v>
      </c>
      <c r="S432" s="186">
        <f t="shared" si="28"/>
        <v>0</v>
      </c>
      <c r="T432" s="187" t="str">
        <f>IF(R432="","",IF(O432=0,Famille!$D$5,IF(R432&lt;O432,Famille!$D$2,IF(R432&lt;=P432,Famille!$D$3,Famille!$D$4))))</f>
        <v>Sur commande</v>
      </c>
    </row>
    <row r="433" spans="1:20" ht="12" customHeight="1" x14ac:dyDescent="0.2">
      <c r="A433" s="4" t="str">
        <f>IF(Produits!A433="","",Produits!A433)</f>
        <v>Varitrans</v>
      </c>
      <c r="B433" s="4" t="str">
        <f>IF(Produits!B433="","",Produits!B433)</f>
        <v>Profile Cylinder</v>
      </c>
      <c r="C433" s="4" t="str">
        <f>IF(Produits!C433="","",Produits!C433)</f>
        <v>1000,00,0430</v>
      </c>
      <c r="D433" s="4" t="str">
        <f>IF(Produits!D433="","",Produits!D433)</f>
        <v>AA554</v>
      </c>
      <c r="E433" s="49" t="str">
        <f>IF(Produits!F433="","",Produits!F433)</f>
        <v>1 pcs</v>
      </c>
      <c r="F433" s="50">
        <f>IF(Produits!H433="","",Produits!H433)</f>
        <v>439</v>
      </c>
      <c r="H433" s="37">
        <v>0</v>
      </c>
      <c r="I433" s="2"/>
      <c r="J433" s="69">
        <f>SUM('Archives Entrées'!$N433:$AAV433)</f>
        <v>0</v>
      </c>
      <c r="K433" s="51" t="str">
        <f t="shared" si="25"/>
        <v>0,00€</v>
      </c>
      <c r="L433" s="69">
        <f>SUM('Archives Sorties'!$M433:$AAY433)</f>
        <v>0</v>
      </c>
      <c r="M433" s="51" t="str">
        <f t="shared" si="26"/>
        <v>0,00€</v>
      </c>
      <c r="O433" s="72">
        <v>0</v>
      </c>
      <c r="P433" s="72">
        <v>0</v>
      </c>
      <c r="R433" s="185">
        <f t="shared" si="27"/>
        <v>0</v>
      </c>
      <c r="S433" s="186">
        <f t="shared" si="28"/>
        <v>0</v>
      </c>
      <c r="T433" s="187" t="str">
        <f>IF(R433="","",IF(O433=0,Famille!$D$5,IF(R433&lt;O433,Famille!$D$2,IF(R433&lt;=P433,Famille!$D$3,Famille!$D$4))))</f>
        <v>Sur commande</v>
      </c>
    </row>
    <row r="434" spans="1:20" ht="12" customHeight="1" x14ac:dyDescent="0.2">
      <c r="A434" s="4" t="str">
        <f>IF(Produits!A434="","",Produits!A434)</f>
        <v>Varitrans</v>
      </c>
      <c r="B434" s="4" t="str">
        <f>IF(Produits!B434="","",Produits!B434)</f>
        <v>Profile Cylinder</v>
      </c>
      <c r="C434" s="4" t="str">
        <f>IF(Produits!C434="","",Produits!C434)</f>
        <v>1000,00,0431</v>
      </c>
      <c r="D434" s="4" t="str">
        <f>IF(Produits!D434="","",Produits!D434)</f>
        <v>AA555</v>
      </c>
      <c r="E434" s="49" t="str">
        <f>IF(Produits!F434="","",Produits!F434)</f>
        <v>1 pcs</v>
      </c>
      <c r="F434" s="50">
        <f>IF(Produits!H434="","",Produits!H434)</f>
        <v>440</v>
      </c>
      <c r="H434" s="37">
        <v>0</v>
      </c>
      <c r="I434" s="2"/>
      <c r="J434" s="69">
        <f>SUM('Archives Entrées'!$N434:$AAV434)</f>
        <v>0</v>
      </c>
      <c r="K434" s="51" t="str">
        <f t="shared" si="25"/>
        <v>0,00€</v>
      </c>
      <c r="L434" s="69">
        <f>SUM('Archives Sorties'!$M434:$AAY434)</f>
        <v>0</v>
      </c>
      <c r="M434" s="51" t="str">
        <f t="shared" si="26"/>
        <v>0,00€</v>
      </c>
      <c r="O434" s="72">
        <v>0</v>
      </c>
      <c r="P434" s="72">
        <v>0</v>
      </c>
      <c r="R434" s="185">
        <f t="shared" si="27"/>
        <v>0</v>
      </c>
      <c r="S434" s="186">
        <f t="shared" si="28"/>
        <v>0</v>
      </c>
      <c r="T434" s="187" t="str">
        <f>IF(R434="","",IF(O434=0,Famille!$D$5,IF(R434&lt;O434,Famille!$D$2,IF(R434&lt;=P434,Famille!$D$3,Famille!$D$4))))</f>
        <v>Sur commande</v>
      </c>
    </row>
    <row r="435" spans="1:20" ht="12" customHeight="1" x14ac:dyDescent="0.2">
      <c r="A435" s="4" t="str">
        <f>IF(Produits!A435="","",Produits!A435)</f>
        <v>Varitrans</v>
      </c>
      <c r="B435" s="4" t="str">
        <f>IF(Produits!B435="","",Produits!B435)</f>
        <v>Profile Cylinder</v>
      </c>
      <c r="C435" s="4" t="str">
        <f>IF(Produits!C435="","",Produits!C435)</f>
        <v>1000,00,0432</v>
      </c>
      <c r="D435" s="4" t="str">
        <f>IF(Produits!D435="","",Produits!D435)</f>
        <v>AA556</v>
      </c>
      <c r="E435" s="49" t="str">
        <f>IF(Produits!F435="","",Produits!F435)</f>
        <v>1 pcs</v>
      </c>
      <c r="F435" s="50">
        <f>IF(Produits!H435="","",Produits!H435)</f>
        <v>441</v>
      </c>
      <c r="H435" s="37">
        <v>0</v>
      </c>
      <c r="I435" s="2"/>
      <c r="J435" s="69">
        <f>SUM('Archives Entrées'!$N435:$AAV435)</f>
        <v>0</v>
      </c>
      <c r="K435" s="51" t="str">
        <f t="shared" si="25"/>
        <v>0,00€</v>
      </c>
      <c r="L435" s="69">
        <f>SUM('Archives Sorties'!$M435:$AAY435)</f>
        <v>0</v>
      </c>
      <c r="M435" s="51" t="str">
        <f t="shared" si="26"/>
        <v>0,00€</v>
      </c>
      <c r="O435" s="72">
        <v>0</v>
      </c>
      <c r="P435" s="72">
        <v>0</v>
      </c>
      <c r="R435" s="185">
        <f t="shared" si="27"/>
        <v>0</v>
      </c>
      <c r="S435" s="186">
        <f t="shared" si="28"/>
        <v>0</v>
      </c>
      <c r="T435" s="187" t="str">
        <f>IF(R435="","",IF(O435=0,Famille!$D$5,IF(R435&lt;O435,Famille!$D$2,IF(R435&lt;=P435,Famille!$D$3,Famille!$D$4))))</f>
        <v>Sur commande</v>
      </c>
    </row>
    <row r="436" spans="1:20" ht="12" customHeight="1" x14ac:dyDescent="0.2">
      <c r="A436" s="4" t="str">
        <f>IF(Produits!A436="","",Produits!A436)</f>
        <v>Varitrans</v>
      </c>
      <c r="B436" s="4" t="str">
        <f>IF(Produits!B436="","",Produits!B436)</f>
        <v>Profile Cylinder</v>
      </c>
      <c r="C436" s="4" t="str">
        <f>IF(Produits!C436="","",Produits!C436)</f>
        <v>1000,00,0433</v>
      </c>
      <c r="D436" s="4" t="str">
        <f>IF(Produits!D436="","",Produits!D436)</f>
        <v>AA557</v>
      </c>
      <c r="E436" s="49" t="str">
        <f>IF(Produits!F436="","",Produits!F436)</f>
        <v>1 pcs</v>
      </c>
      <c r="F436" s="50">
        <f>IF(Produits!H436="","",Produits!H436)</f>
        <v>442</v>
      </c>
      <c r="H436" s="37">
        <v>0</v>
      </c>
      <c r="I436" s="2"/>
      <c r="J436" s="69">
        <f>SUM('Archives Entrées'!$N436:$AAV436)</f>
        <v>0</v>
      </c>
      <c r="K436" s="51" t="str">
        <f t="shared" si="25"/>
        <v>0,00€</v>
      </c>
      <c r="L436" s="69">
        <f>SUM('Archives Sorties'!$M436:$AAY436)</f>
        <v>0</v>
      </c>
      <c r="M436" s="51" t="str">
        <f t="shared" si="26"/>
        <v>0,00€</v>
      </c>
      <c r="O436" s="72">
        <v>0</v>
      </c>
      <c r="P436" s="72">
        <v>0</v>
      </c>
      <c r="R436" s="185">
        <f t="shared" si="27"/>
        <v>0</v>
      </c>
      <c r="S436" s="186">
        <f t="shared" si="28"/>
        <v>0</v>
      </c>
      <c r="T436" s="187" t="str">
        <f>IF(R436="","",IF(O436=0,Famille!$D$5,IF(R436&lt;O436,Famille!$D$2,IF(R436&lt;=P436,Famille!$D$3,Famille!$D$4))))</f>
        <v>Sur commande</v>
      </c>
    </row>
    <row r="437" spans="1:20" ht="12" customHeight="1" x14ac:dyDescent="0.2">
      <c r="A437" s="4" t="str">
        <f>IF(Produits!A437="","",Produits!A437)</f>
        <v>Varitrans</v>
      </c>
      <c r="B437" s="4" t="str">
        <f>IF(Produits!B437="","",Produits!B437)</f>
        <v>Profile Cylinder</v>
      </c>
      <c r="C437" s="4" t="str">
        <f>IF(Produits!C437="","",Produits!C437)</f>
        <v>1000,00,0434</v>
      </c>
      <c r="D437" s="4" t="str">
        <f>IF(Produits!D437="","",Produits!D437)</f>
        <v>AA558</v>
      </c>
      <c r="E437" s="49" t="str">
        <f>IF(Produits!F437="","",Produits!F437)</f>
        <v>1 pcs</v>
      </c>
      <c r="F437" s="50">
        <f>IF(Produits!H437="","",Produits!H437)</f>
        <v>443</v>
      </c>
      <c r="H437" s="37">
        <v>0</v>
      </c>
      <c r="I437" s="2"/>
      <c r="J437" s="69">
        <f>SUM('Archives Entrées'!$N437:$AAV437)</f>
        <v>0</v>
      </c>
      <c r="K437" s="51" t="str">
        <f t="shared" si="25"/>
        <v>0,00€</v>
      </c>
      <c r="L437" s="69">
        <f>SUM('Archives Sorties'!$M437:$AAY437)</f>
        <v>0</v>
      </c>
      <c r="M437" s="51" t="str">
        <f t="shared" si="26"/>
        <v>0,00€</v>
      </c>
      <c r="O437" s="72">
        <v>0</v>
      </c>
      <c r="P437" s="72">
        <v>0</v>
      </c>
      <c r="R437" s="185">
        <f t="shared" si="27"/>
        <v>0</v>
      </c>
      <c r="S437" s="186">
        <f t="shared" si="28"/>
        <v>0</v>
      </c>
      <c r="T437" s="187" t="str">
        <f>IF(R437="","",IF(O437=0,Famille!$D$5,IF(R437&lt;O437,Famille!$D$2,IF(R437&lt;=P437,Famille!$D$3,Famille!$D$4))))</f>
        <v>Sur commande</v>
      </c>
    </row>
    <row r="438" spans="1:20" ht="12" customHeight="1" x14ac:dyDescent="0.2">
      <c r="A438" s="4" t="str">
        <f>IF(Produits!A438="","",Produits!A438)</f>
        <v>Varitrans</v>
      </c>
      <c r="B438" s="4" t="str">
        <f>IF(Produits!B438="","",Produits!B438)</f>
        <v>Profile Cylinder</v>
      </c>
      <c r="C438" s="4" t="str">
        <f>IF(Produits!C438="","",Produits!C438)</f>
        <v>1000,00,0435</v>
      </c>
      <c r="D438" s="4" t="str">
        <f>IF(Produits!D438="","",Produits!D438)</f>
        <v>AA559</v>
      </c>
      <c r="E438" s="49" t="str">
        <f>IF(Produits!F438="","",Produits!F438)</f>
        <v>1 pcs</v>
      </c>
      <c r="F438" s="50">
        <f>IF(Produits!H438="","",Produits!H438)</f>
        <v>444</v>
      </c>
      <c r="H438" s="37">
        <v>0</v>
      </c>
      <c r="I438" s="2"/>
      <c r="J438" s="69">
        <f>SUM('Archives Entrées'!$N438:$AAV438)</f>
        <v>0</v>
      </c>
      <c r="K438" s="51" t="str">
        <f t="shared" si="25"/>
        <v>0,00€</v>
      </c>
      <c r="L438" s="69">
        <f>SUM('Archives Sorties'!$M438:$AAY438)</f>
        <v>0</v>
      </c>
      <c r="M438" s="51" t="str">
        <f t="shared" si="26"/>
        <v>0,00€</v>
      </c>
      <c r="O438" s="72">
        <v>0</v>
      </c>
      <c r="P438" s="72">
        <v>0</v>
      </c>
      <c r="R438" s="185">
        <f t="shared" si="27"/>
        <v>0</v>
      </c>
      <c r="S438" s="186">
        <f t="shared" si="28"/>
        <v>0</v>
      </c>
      <c r="T438" s="187" t="str">
        <f>IF(R438="","",IF(O438=0,Famille!$D$5,IF(R438&lt;O438,Famille!$D$2,IF(R438&lt;=P438,Famille!$D$3,Famille!$D$4))))</f>
        <v>Sur commande</v>
      </c>
    </row>
    <row r="439" spans="1:20" ht="12" customHeight="1" x14ac:dyDescent="0.2">
      <c r="A439" s="4" t="str">
        <f>IF(Produits!A439="","",Produits!A439)</f>
        <v>Varitrans</v>
      </c>
      <c r="B439" s="4" t="str">
        <f>IF(Produits!B439="","",Produits!B439)</f>
        <v>Profile Cylinder</v>
      </c>
      <c r="C439" s="4" t="str">
        <f>IF(Produits!C439="","",Produits!C439)</f>
        <v>1000,00,0436</v>
      </c>
      <c r="D439" s="4" t="str">
        <f>IF(Produits!D439="","",Produits!D439)</f>
        <v>AA560</v>
      </c>
      <c r="E439" s="49" t="str">
        <f>IF(Produits!F439="","",Produits!F439)</f>
        <v>1 pcs</v>
      </c>
      <c r="F439" s="50">
        <f>IF(Produits!H439="","",Produits!H439)</f>
        <v>445</v>
      </c>
      <c r="H439" s="37">
        <v>0</v>
      </c>
      <c r="I439" s="2"/>
      <c r="J439" s="69">
        <f>SUM('Archives Entrées'!$N439:$AAV439)</f>
        <v>0</v>
      </c>
      <c r="K439" s="51" t="str">
        <f t="shared" si="25"/>
        <v>0,00€</v>
      </c>
      <c r="L439" s="69">
        <f>SUM('Archives Sorties'!$M439:$AAY439)</f>
        <v>0</v>
      </c>
      <c r="M439" s="51" t="str">
        <f t="shared" si="26"/>
        <v>0,00€</v>
      </c>
      <c r="O439" s="72">
        <v>0</v>
      </c>
      <c r="P439" s="72">
        <v>0</v>
      </c>
      <c r="R439" s="185">
        <f t="shared" si="27"/>
        <v>0</v>
      </c>
      <c r="S439" s="186">
        <f t="shared" si="28"/>
        <v>0</v>
      </c>
      <c r="T439" s="187" t="str">
        <f>IF(R439="","",IF(O439=0,Famille!$D$5,IF(R439&lt;O439,Famille!$D$2,IF(R439&lt;=P439,Famille!$D$3,Famille!$D$4))))</f>
        <v>Sur commande</v>
      </c>
    </row>
    <row r="440" spans="1:20" ht="12" customHeight="1" x14ac:dyDescent="0.2">
      <c r="A440" s="4" t="str">
        <f>IF(Produits!A440="","",Produits!A440)</f>
        <v>Porte</v>
      </c>
      <c r="B440" s="4" t="str">
        <f>IF(Produits!B440="","",Produits!B440)</f>
        <v/>
      </c>
      <c r="C440" s="4" t="str">
        <f>IF(Produits!C440="","",Produits!C440)</f>
        <v>1000,00,0437</v>
      </c>
      <c r="D440" s="4" t="str">
        <f>IF(Produits!D440="","",Produits!D440)</f>
        <v>AA561</v>
      </c>
      <c r="E440" s="49" t="str">
        <f>IF(Produits!F440="","",Produits!F440)</f>
        <v>1 pcs</v>
      </c>
      <c r="F440" s="50">
        <f>IF(Produits!H440="","",Produits!H440)</f>
        <v>446</v>
      </c>
      <c r="H440" s="37">
        <v>0</v>
      </c>
      <c r="I440" s="2"/>
      <c r="J440" s="69">
        <f>SUM('Archives Entrées'!$N440:$AAV440)</f>
        <v>0</v>
      </c>
      <c r="K440" s="51" t="str">
        <f t="shared" si="25"/>
        <v>0,00€</v>
      </c>
      <c r="L440" s="69">
        <f>SUM('Archives Sorties'!$M440:$AAY440)</f>
        <v>0</v>
      </c>
      <c r="M440" s="51" t="str">
        <f t="shared" si="26"/>
        <v>0,00€</v>
      </c>
      <c r="O440" s="72">
        <v>0</v>
      </c>
      <c r="P440" s="72">
        <v>0</v>
      </c>
      <c r="R440" s="185">
        <f t="shared" si="27"/>
        <v>0</v>
      </c>
      <c r="S440" s="186">
        <f t="shared" si="28"/>
        <v>0</v>
      </c>
      <c r="T440" s="187" t="str">
        <f>IF(R440="","",IF(O440=0,Famille!$D$5,IF(R440&lt;O440,Famille!$D$2,IF(R440&lt;=P440,Famille!$D$3,Famille!$D$4))))</f>
        <v>Sur commande</v>
      </c>
    </row>
    <row r="441" spans="1:20" ht="12" customHeight="1" x14ac:dyDescent="0.2">
      <c r="A441" s="4" t="str">
        <f>IF(Produits!A441="","",Produits!A441)</f>
        <v>Porte</v>
      </c>
      <c r="B441" s="4" t="str">
        <f>IF(Produits!B441="","",Produits!B441)</f>
        <v/>
      </c>
      <c r="C441" s="4" t="str">
        <f>IF(Produits!C441="","",Produits!C441)</f>
        <v>1000,00,0438</v>
      </c>
      <c r="D441" s="4" t="str">
        <f>IF(Produits!D441="","",Produits!D441)</f>
        <v>AA562</v>
      </c>
      <c r="E441" s="49" t="str">
        <f>IF(Produits!F441="","",Produits!F441)</f>
        <v>1 pcs</v>
      </c>
      <c r="F441" s="50">
        <f>IF(Produits!H441="","",Produits!H441)</f>
        <v>447</v>
      </c>
      <c r="H441" s="37">
        <v>0</v>
      </c>
      <c r="I441" s="2"/>
      <c r="J441" s="69">
        <f>SUM('Archives Entrées'!$N441:$AAV441)</f>
        <v>0</v>
      </c>
      <c r="K441" s="51" t="str">
        <f t="shared" si="25"/>
        <v>0,00€</v>
      </c>
      <c r="L441" s="69">
        <f>SUM('Archives Sorties'!$M441:$AAY441)</f>
        <v>0</v>
      </c>
      <c r="M441" s="51" t="str">
        <f t="shared" si="26"/>
        <v>0,00€</v>
      </c>
      <c r="O441" s="72">
        <v>0</v>
      </c>
      <c r="P441" s="72">
        <v>0</v>
      </c>
      <c r="R441" s="185">
        <f t="shared" si="27"/>
        <v>0</v>
      </c>
      <c r="S441" s="186">
        <f t="shared" si="28"/>
        <v>0</v>
      </c>
      <c r="T441" s="187" t="str">
        <f>IF(R441="","",IF(O441=0,Famille!$D$5,IF(R441&lt;O441,Famille!$D$2,IF(R441&lt;=P441,Famille!$D$3,Famille!$D$4))))</f>
        <v>Sur commande</v>
      </c>
    </row>
    <row r="442" spans="1:20" ht="12" customHeight="1" x14ac:dyDescent="0.2">
      <c r="A442" s="4" t="str">
        <f>IF(Produits!A442="","",Produits!A442)</f>
        <v>Porte</v>
      </c>
      <c r="B442" s="4" t="str">
        <f>IF(Produits!B442="","",Produits!B442)</f>
        <v/>
      </c>
      <c r="C442" s="4" t="str">
        <f>IF(Produits!C442="","",Produits!C442)</f>
        <v>1000,00,0439</v>
      </c>
      <c r="D442" s="4" t="str">
        <f>IF(Produits!D442="","",Produits!D442)</f>
        <v>AA563</v>
      </c>
      <c r="E442" s="49" t="str">
        <f>IF(Produits!F442="","",Produits!F442)</f>
        <v>1 pcs</v>
      </c>
      <c r="F442" s="50">
        <f>IF(Produits!H442="","",Produits!H442)</f>
        <v>448</v>
      </c>
      <c r="H442" s="37">
        <v>0</v>
      </c>
      <c r="I442" s="2"/>
      <c r="J442" s="69">
        <f>SUM('Archives Entrées'!$N442:$AAV442)</f>
        <v>0</v>
      </c>
      <c r="K442" s="51" t="str">
        <f t="shared" si="25"/>
        <v>0,00€</v>
      </c>
      <c r="L442" s="69">
        <f>SUM('Archives Sorties'!$M442:$AAY442)</f>
        <v>0</v>
      </c>
      <c r="M442" s="51" t="str">
        <f t="shared" si="26"/>
        <v>0,00€</v>
      </c>
      <c r="O442" s="72">
        <v>0</v>
      </c>
      <c r="P442" s="72">
        <v>0</v>
      </c>
      <c r="R442" s="185">
        <f t="shared" si="27"/>
        <v>0</v>
      </c>
      <c r="S442" s="186">
        <f t="shared" si="28"/>
        <v>0</v>
      </c>
      <c r="T442" s="187" t="str">
        <f>IF(R442="","",IF(O442=0,Famille!$D$5,IF(R442&lt;O442,Famille!$D$2,IF(R442&lt;=P442,Famille!$D$3,Famille!$D$4))))</f>
        <v>Sur commande</v>
      </c>
    </row>
    <row r="443" spans="1:20" ht="12" customHeight="1" x14ac:dyDescent="0.2">
      <c r="A443" s="4" t="str">
        <f>IF(Produits!A443="","",Produits!A443)</f>
        <v>Capot</v>
      </c>
      <c r="B443" s="4" t="str">
        <f>IF(Produits!B443="","",Produits!B443)</f>
        <v>RAL 9010</v>
      </c>
      <c r="C443" s="4" t="str">
        <f>IF(Produits!C443="","",Produits!C443)</f>
        <v>1000,00,0440</v>
      </c>
      <c r="D443" s="4" t="str">
        <f>IF(Produits!D443="","",Produits!D443)</f>
        <v>AA564</v>
      </c>
      <c r="E443" s="49" t="str">
        <f>IF(Produits!F443="","",Produits!F443)</f>
        <v>1 pcs</v>
      </c>
      <c r="F443" s="50">
        <f>IF(Produits!H443="","",Produits!H443)</f>
        <v>449</v>
      </c>
      <c r="H443" s="37">
        <v>3</v>
      </c>
      <c r="I443" s="2"/>
      <c r="J443" s="69">
        <f>SUM('Archives Entrées'!$N443:$AAV443)</f>
        <v>0</v>
      </c>
      <c r="K443" s="51" t="str">
        <f t="shared" si="25"/>
        <v>0,00€</v>
      </c>
      <c r="L443" s="69">
        <f>SUM('Archives Sorties'!$M443:$AAY443)</f>
        <v>0</v>
      </c>
      <c r="M443" s="51" t="str">
        <f t="shared" si="26"/>
        <v>0,00€</v>
      </c>
      <c r="O443" s="72">
        <v>2</v>
      </c>
      <c r="P443" s="72">
        <v>5</v>
      </c>
      <c r="R443" s="185">
        <f t="shared" si="27"/>
        <v>3</v>
      </c>
      <c r="S443" s="186">
        <f t="shared" si="28"/>
        <v>1</v>
      </c>
      <c r="T443" s="187" t="str">
        <f>IF(R443="","",IF(O443=0,Famille!$D$5,IF(R443&lt;O443,Famille!$D$2,IF(R443&lt;=P443,Famille!$D$3,Famille!$D$4))))</f>
        <v>En Stock</v>
      </c>
    </row>
    <row r="444" spans="1:20" ht="12" customHeight="1" x14ac:dyDescent="0.2">
      <c r="A444" s="4" t="str">
        <f>IF(Produits!A444="","",Produits!A444)</f>
        <v>Capot</v>
      </c>
      <c r="B444" s="4" t="str">
        <f>IF(Produits!B444="","",Produits!B444)</f>
        <v>RAL 9010</v>
      </c>
      <c r="C444" s="4" t="str">
        <f>IF(Produits!C444="","",Produits!C444)</f>
        <v>1000,00,0441</v>
      </c>
      <c r="D444" s="4" t="str">
        <f>IF(Produits!D444="","",Produits!D444)</f>
        <v>AA565</v>
      </c>
      <c r="E444" s="49" t="str">
        <f>IF(Produits!F444="","",Produits!F444)</f>
        <v>1 pcs</v>
      </c>
      <c r="F444" s="50">
        <f>IF(Produits!H444="","",Produits!H444)</f>
        <v>450</v>
      </c>
      <c r="H444" s="37">
        <v>3</v>
      </c>
      <c r="I444" s="2"/>
      <c r="J444" s="69">
        <f>SUM('Archives Entrées'!$N444:$AAV444)</f>
        <v>0</v>
      </c>
      <c r="K444" s="51" t="str">
        <f t="shared" si="25"/>
        <v>0,00€</v>
      </c>
      <c r="L444" s="69">
        <f>SUM('Archives Sorties'!$M444:$AAY444)</f>
        <v>0</v>
      </c>
      <c r="M444" s="51" t="str">
        <f t="shared" si="26"/>
        <v>0,00€</v>
      </c>
      <c r="O444" s="72">
        <v>2</v>
      </c>
      <c r="P444" s="72">
        <v>5</v>
      </c>
      <c r="R444" s="185">
        <f t="shared" si="27"/>
        <v>3</v>
      </c>
      <c r="S444" s="186">
        <f t="shared" si="28"/>
        <v>1</v>
      </c>
      <c r="T444" s="187" t="str">
        <f>IF(R444="","",IF(O444=0,Famille!$D$5,IF(R444&lt;O444,Famille!$D$2,IF(R444&lt;=P444,Famille!$D$3,Famille!$D$4))))</f>
        <v>En Stock</v>
      </c>
    </row>
    <row r="445" spans="1:20" ht="12" customHeight="1" x14ac:dyDescent="0.2">
      <c r="A445" s="4" t="str">
        <f>IF(Produits!A445="","",Produits!A445)</f>
        <v>Capot</v>
      </c>
      <c r="B445" s="4" t="str">
        <f>IF(Produits!B445="","",Produits!B445)</f>
        <v>RAL 9010</v>
      </c>
      <c r="C445" s="4" t="str">
        <f>IF(Produits!C445="","",Produits!C445)</f>
        <v>1000,00,0442</v>
      </c>
      <c r="D445" s="4" t="str">
        <f>IF(Produits!D445="","",Produits!D445)</f>
        <v>AA566</v>
      </c>
      <c r="E445" s="49" t="str">
        <f>IF(Produits!F445="","",Produits!F445)</f>
        <v>1 pcs</v>
      </c>
      <c r="F445" s="50">
        <f>IF(Produits!H445="","",Produits!H445)</f>
        <v>451</v>
      </c>
      <c r="H445" s="37">
        <v>3</v>
      </c>
      <c r="I445" s="2"/>
      <c r="J445" s="69">
        <f>SUM('Archives Entrées'!$N445:$AAV445)</f>
        <v>0</v>
      </c>
      <c r="K445" s="51" t="str">
        <f t="shared" si="25"/>
        <v>0,00€</v>
      </c>
      <c r="L445" s="69">
        <f>SUM('Archives Sorties'!$M445:$AAY445)</f>
        <v>0</v>
      </c>
      <c r="M445" s="51" t="str">
        <f t="shared" si="26"/>
        <v>0,00€</v>
      </c>
      <c r="O445" s="72">
        <v>2</v>
      </c>
      <c r="P445" s="72">
        <v>5</v>
      </c>
      <c r="R445" s="185">
        <f t="shared" si="27"/>
        <v>3</v>
      </c>
      <c r="S445" s="186">
        <f t="shared" si="28"/>
        <v>1</v>
      </c>
      <c r="T445" s="187" t="str">
        <f>IF(R445="","",IF(O445=0,Famille!$D$5,IF(R445&lt;O445,Famille!$D$2,IF(R445&lt;=P445,Famille!$D$3,Famille!$D$4))))</f>
        <v>En Stock</v>
      </c>
    </row>
    <row r="446" spans="1:20" ht="12" customHeight="1" x14ac:dyDescent="0.2">
      <c r="A446" s="4" t="str">
        <f>IF(Produits!A446="","",Produits!A446)</f>
        <v>Capot</v>
      </c>
      <c r="B446" s="4" t="str">
        <f>IF(Produits!B446="","",Produits!B446)</f>
        <v>RAL 9010</v>
      </c>
      <c r="C446" s="4" t="str">
        <f>IF(Produits!C446="","",Produits!C446)</f>
        <v>1000,00,0443</v>
      </c>
      <c r="D446" s="4" t="str">
        <f>IF(Produits!D446="","",Produits!D446)</f>
        <v>AA567</v>
      </c>
      <c r="E446" s="49" t="str">
        <f>IF(Produits!F446="","",Produits!F446)</f>
        <v>1 pcs</v>
      </c>
      <c r="F446" s="50">
        <f>IF(Produits!H446="","",Produits!H446)</f>
        <v>452</v>
      </c>
      <c r="H446" s="37">
        <v>5</v>
      </c>
      <c r="I446" s="2"/>
      <c r="J446" s="69">
        <f>SUM('Archives Entrées'!$N446:$AAV446)</f>
        <v>0</v>
      </c>
      <c r="K446" s="51" t="str">
        <f t="shared" si="25"/>
        <v>0,00€</v>
      </c>
      <c r="L446" s="69">
        <f>SUM('Archives Sorties'!$M446:$AAY446)</f>
        <v>0</v>
      </c>
      <c r="M446" s="51" t="str">
        <f t="shared" si="26"/>
        <v>0,00€</v>
      </c>
      <c r="O446" s="72">
        <v>2</v>
      </c>
      <c r="P446" s="72">
        <v>5</v>
      </c>
      <c r="R446" s="185">
        <f t="shared" si="27"/>
        <v>5</v>
      </c>
      <c r="S446" s="186">
        <f t="shared" si="28"/>
        <v>1</v>
      </c>
      <c r="T446" s="187" t="str">
        <f>IF(R446="","",IF(O446=0,Famille!$D$5,IF(R446&lt;O446,Famille!$D$2,IF(R446&lt;=P446,Famille!$D$3,Famille!$D$4))))</f>
        <v>En Stock</v>
      </c>
    </row>
    <row r="447" spans="1:20" ht="12" customHeight="1" x14ac:dyDescent="0.2">
      <c r="A447" s="4" t="str">
        <f>IF(Produits!A447="","",Produits!A447)</f>
        <v>Capot</v>
      </c>
      <c r="B447" s="4" t="str">
        <f>IF(Produits!B447="","",Produits!B447)</f>
        <v>RAL 9010</v>
      </c>
      <c r="C447" s="4" t="str">
        <f>IF(Produits!C447="","",Produits!C447)</f>
        <v>1000,00,0444</v>
      </c>
      <c r="D447" s="4" t="str">
        <f>IF(Produits!D447="","",Produits!D447)</f>
        <v>AA568</v>
      </c>
      <c r="E447" s="49" t="str">
        <f>IF(Produits!F447="","",Produits!F447)</f>
        <v>1 pcs</v>
      </c>
      <c r="F447" s="50">
        <f>IF(Produits!H447="","",Produits!H447)</f>
        <v>453</v>
      </c>
      <c r="H447" s="37">
        <v>7</v>
      </c>
      <c r="I447" s="2"/>
      <c r="J447" s="69">
        <f>SUM('Archives Entrées'!$N447:$AAV447)</f>
        <v>0</v>
      </c>
      <c r="K447" s="51" t="str">
        <f t="shared" si="25"/>
        <v>0,00€</v>
      </c>
      <c r="L447" s="69">
        <f>SUM('Archives Sorties'!$M447:$AAY447)</f>
        <v>0</v>
      </c>
      <c r="M447" s="51" t="str">
        <f t="shared" si="26"/>
        <v>0,00€</v>
      </c>
      <c r="O447" s="72">
        <v>2</v>
      </c>
      <c r="P447" s="72">
        <v>5</v>
      </c>
      <c r="R447" s="185">
        <f t="shared" si="27"/>
        <v>7</v>
      </c>
      <c r="S447" s="186">
        <f t="shared" si="28"/>
        <v>2</v>
      </c>
      <c r="T447" s="187" t="str">
        <f>IF(R447="","",IF(O447=0,Famille!$D$5,IF(R447&lt;O447,Famille!$D$2,IF(R447&lt;=P447,Famille!$D$3,Famille!$D$4))))</f>
        <v>Surstockage</v>
      </c>
    </row>
    <row r="448" spans="1:20" ht="12" customHeight="1" x14ac:dyDescent="0.2">
      <c r="A448" s="4" t="str">
        <f>IF(Produits!A448="","",Produits!A448)</f>
        <v>Capot</v>
      </c>
      <c r="B448" s="4" t="str">
        <f>IF(Produits!B448="","",Produits!B448)</f>
        <v>RAL 9003</v>
      </c>
      <c r="C448" s="4" t="str">
        <f>IF(Produits!C448="","",Produits!C448)</f>
        <v>1000,00,0445</v>
      </c>
      <c r="D448" s="4" t="str">
        <f>IF(Produits!D448="","",Produits!D448)</f>
        <v>AA569</v>
      </c>
      <c r="E448" s="49" t="str">
        <f>IF(Produits!F448="","",Produits!F448)</f>
        <v>1 pcs</v>
      </c>
      <c r="F448" s="50">
        <f>IF(Produits!H448="","",Produits!H448)</f>
        <v>454</v>
      </c>
      <c r="H448" s="37">
        <v>0</v>
      </c>
      <c r="I448" s="2"/>
      <c r="J448" s="69">
        <f>SUM('Archives Entrées'!$N448:$AAV448)</f>
        <v>0</v>
      </c>
      <c r="K448" s="51" t="str">
        <f t="shared" si="25"/>
        <v>0,00€</v>
      </c>
      <c r="L448" s="69">
        <f>SUM('Archives Sorties'!$M448:$AAY448)</f>
        <v>0</v>
      </c>
      <c r="M448" s="51" t="str">
        <f t="shared" si="26"/>
        <v>0,00€</v>
      </c>
      <c r="O448" s="72">
        <v>0</v>
      </c>
      <c r="P448" s="72">
        <v>3</v>
      </c>
      <c r="R448" s="185">
        <f t="shared" si="27"/>
        <v>0</v>
      </c>
      <c r="S448" s="186">
        <f t="shared" si="28"/>
        <v>0</v>
      </c>
      <c r="T448" s="187" t="str">
        <f>IF(R448="","",IF(O448=0,Famille!$D$5,IF(R448&lt;O448,Famille!$D$2,IF(R448&lt;=P448,Famille!$D$3,Famille!$D$4))))</f>
        <v>Sur commande</v>
      </c>
    </row>
    <row r="449" spans="1:20" ht="12" customHeight="1" x14ac:dyDescent="0.2">
      <c r="A449" s="4" t="str">
        <f>IF(Produits!A449="","",Produits!A449)</f>
        <v>Capot</v>
      </c>
      <c r="B449" s="4" t="str">
        <f>IF(Produits!B449="","",Produits!B449)</f>
        <v>RAL 9003</v>
      </c>
      <c r="C449" s="4" t="str">
        <f>IF(Produits!C449="","",Produits!C449)</f>
        <v>1000,00,0446</v>
      </c>
      <c r="D449" s="4" t="str">
        <f>IF(Produits!D449="","",Produits!D449)</f>
        <v>AA570</v>
      </c>
      <c r="E449" s="49" t="str">
        <f>IF(Produits!F449="","",Produits!F449)</f>
        <v>1 pcs</v>
      </c>
      <c r="F449" s="50">
        <f>IF(Produits!H449="","",Produits!H449)</f>
        <v>455</v>
      </c>
      <c r="H449" s="37">
        <v>3</v>
      </c>
      <c r="I449" s="2"/>
      <c r="J449" s="69">
        <f>SUM('Archives Entrées'!$N449:$AAV449)</f>
        <v>0</v>
      </c>
      <c r="K449" s="51" t="str">
        <f t="shared" si="25"/>
        <v>0,00€</v>
      </c>
      <c r="L449" s="69">
        <f>SUM('Archives Sorties'!$M449:$AAY449)</f>
        <v>0</v>
      </c>
      <c r="M449" s="51" t="str">
        <f t="shared" si="26"/>
        <v>0,00€</v>
      </c>
      <c r="O449" s="72">
        <v>0</v>
      </c>
      <c r="P449" s="72">
        <v>3</v>
      </c>
      <c r="R449" s="185">
        <f t="shared" si="27"/>
        <v>3</v>
      </c>
      <c r="S449" s="186">
        <f t="shared" si="28"/>
        <v>1</v>
      </c>
      <c r="T449" s="187" t="str">
        <f>IF(R449="","",IF(O449=0,Famille!$D$5,IF(R449&lt;O449,Famille!$D$2,IF(R449&lt;=P449,Famille!$D$3,Famille!$D$4))))</f>
        <v>Sur commande</v>
      </c>
    </row>
    <row r="450" spans="1:20" ht="12" customHeight="1" x14ac:dyDescent="0.2">
      <c r="A450" s="4" t="str">
        <f>IF(Produits!A450="","",Produits!A450)</f>
        <v>Capot</v>
      </c>
      <c r="B450" s="4" t="str">
        <f>IF(Produits!B450="","",Produits!B450)</f>
        <v>RAL 9003</v>
      </c>
      <c r="C450" s="4" t="str">
        <f>IF(Produits!C450="","",Produits!C450)</f>
        <v>1000,00,0447</v>
      </c>
      <c r="D450" s="4" t="str">
        <f>IF(Produits!D450="","",Produits!D450)</f>
        <v>AA571</v>
      </c>
      <c r="E450" s="49" t="str">
        <f>IF(Produits!F450="","",Produits!F450)</f>
        <v>1 pcs</v>
      </c>
      <c r="F450" s="50">
        <f>IF(Produits!H450="","",Produits!H450)</f>
        <v>456</v>
      </c>
      <c r="H450" s="37">
        <v>3</v>
      </c>
      <c r="I450" s="2"/>
      <c r="J450" s="69">
        <f>SUM('Archives Entrées'!$N450:$AAV450)</f>
        <v>0</v>
      </c>
      <c r="K450" s="51" t="str">
        <f t="shared" si="25"/>
        <v>0,00€</v>
      </c>
      <c r="L450" s="69">
        <f>SUM('Archives Sorties'!$M450:$AAY450)</f>
        <v>0</v>
      </c>
      <c r="M450" s="51" t="str">
        <f t="shared" si="26"/>
        <v>0,00€</v>
      </c>
      <c r="O450" s="72">
        <v>0</v>
      </c>
      <c r="P450" s="72">
        <v>3</v>
      </c>
      <c r="R450" s="185">
        <f t="shared" si="27"/>
        <v>3</v>
      </c>
      <c r="S450" s="186">
        <f t="shared" si="28"/>
        <v>1</v>
      </c>
      <c r="T450" s="187" t="str">
        <f>IF(R450="","",IF(O450=0,Famille!$D$5,IF(R450&lt;O450,Famille!$D$2,IF(R450&lt;=P450,Famille!$D$3,Famille!$D$4))))</f>
        <v>Sur commande</v>
      </c>
    </row>
    <row r="451" spans="1:20" ht="12" customHeight="1" x14ac:dyDescent="0.2">
      <c r="A451" s="4" t="str">
        <f>IF(Produits!A451="","",Produits!A451)</f>
        <v>Capot</v>
      </c>
      <c r="B451" s="4" t="str">
        <f>IF(Produits!B451="","",Produits!B451)</f>
        <v>RAL 9003</v>
      </c>
      <c r="C451" s="4" t="str">
        <f>IF(Produits!C451="","",Produits!C451)</f>
        <v>1000,00,0448</v>
      </c>
      <c r="D451" s="4" t="str">
        <f>IF(Produits!D451="","",Produits!D451)</f>
        <v>AA572</v>
      </c>
      <c r="E451" s="49" t="str">
        <f>IF(Produits!F451="","",Produits!F451)</f>
        <v>1 pcs</v>
      </c>
      <c r="F451" s="50">
        <f>IF(Produits!H451="","",Produits!H451)</f>
        <v>457</v>
      </c>
      <c r="H451" s="37">
        <v>0</v>
      </c>
      <c r="I451" s="2"/>
      <c r="J451" s="69">
        <f>SUM('Archives Entrées'!$N451:$AAV451)</f>
        <v>0</v>
      </c>
      <c r="K451" s="51" t="str">
        <f t="shared" si="25"/>
        <v>0,00€</v>
      </c>
      <c r="L451" s="69">
        <f>SUM('Archives Sorties'!$M451:$AAY451)</f>
        <v>0</v>
      </c>
      <c r="M451" s="51" t="str">
        <f t="shared" si="26"/>
        <v>0,00€</v>
      </c>
      <c r="O451" s="72">
        <v>0</v>
      </c>
      <c r="P451" s="72">
        <v>3</v>
      </c>
      <c r="R451" s="185">
        <f t="shared" si="27"/>
        <v>0</v>
      </c>
      <c r="S451" s="186">
        <f t="shared" si="28"/>
        <v>0</v>
      </c>
      <c r="T451" s="187" t="str">
        <f>IF(R451="","",IF(O451=0,Famille!$D$5,IF(R451&lt;O451,Famille!$D$2,IF(R451&lt;=P451,Famille!$D$3,Famille!$D$4))))</f>
        <v>Sur commande</v>
      </c>
    </row>
    <row r="452" spans="1:20" ht="12" customHeight="1" x14ac:dyDescent="0.2">
      <c r="A452" s="4" t="str">
        <f>IF(Produits!A452="","",Produits!A452)</f>
        <v>Capot</v>
      </c>
      <c r="B452" s="4" t="str">
        <f>IF(Produits!B452="","",Produits!B452)</f>
        <v>RAL 9003</v>
      </c>
      <c r="C452" s="4" t="str">
        <f>IF(Produits!C452="","",Produits!C452)</f>
        <v>1000,00,0449</v>
      </c>
      <c r="D452" s="4" t="str">
        <f>IF(Produits!D452="","",Produits!D452)</f>
        <v>AA573</v>
      </c>
      <c r="E452" s="49" t="str">
        <f>IF(Produits!F452="","",Produits!F452)</f>
        <v>1 pcs</v>
      </c>
      <c r="F452" s="50">
        <f>IF(Produits!H452="","",Produits!H452)</f>
        <v>458</v>
      </c>
      <c r="H452" s="37">
        <v>0</v>
      </c>
      <c r="I452" s="2"/>
      <c r="J452" s="69">
        <f>SUM('Archives Entrées'!$N452:$AAV452)</f>
        <v>0</v>
      </c>
      <c r="K452" s="51" t="str">
        <f t="shared" si="25"/>
        <v>0,00€</v>
      </c>
      <c r="L452" s="69">
        <f>SUM('Archives Sorties'!$M452:$AAY452)</f>
        <v>0</v>
      </c>
      <c r="M452" s="51" t="str">
        <f t="shared" si="26"/>
        <v>0,00€</v>
      </c>
      <c r="O452" s="72">
        <v>0</v>
      </c>
      <c r="P452" s="72">
        <v>3</v>
      </c>
      <c r="R452" s="185">
        <f t="shared" si="27"/>
        <v>0</v>
      </c>
      <c r="S452" s="186">
        <f t="shared" si="28"/>
        <v>0</v>
      </c>
      <c r="T452" s="187" t="str">
        <f>IF(R452="","",IF(O452=0,Famille!$D$5,IF(R452&lt;O452,Famille!$D$2,IF(R452&lt;=P452,Famille!$D$3,Famille!$D$4))))</f>
        <v>Sur commande</v>
      </c>
    </row>
    <row r="453" spans="1:20" ht="12" customHeight="1" x14ac:dyDescent="0.2">
      <c r="A453" s="4"/>
      <c r="B453" s="4"/>
      <c r="C453" s="4"/>
      <c r="D453" s="4"/>
      <c r="E453" s="49"/>
      <c r="F453" s="50"/>
      <c r="H453" s="37">
        <v>0</v>
      </c>
      <c r="I453" s="2"/>
      <c r="J453" s="69">
        <f>SUM('Archives Entrées'!$N453:$AAV453)</f>
        <v>0</v>
      </c>
      <c r="K453" s="51" t="str">
        <f t="shared" ref="K453:K516" si="29">IF(J453=0,"0,00€",J453*F453)</f>
        <v>0,00€</v>
      </c>
      <c r="L453" s="69">
        <f>SUM('Archives Sorties'!$M453:$AAY453)</f>
        <v>0</v>
      </c>
      <c r="M453" s="51" t="str">
        <f t="shared" ref="M453:M516" si="30">IF(L453=0,"0,00€",L453*F453)</f>
        <v>0,00€</v>
      </c>
      <c r="O453" s="72">
        <v>0</v>
      </c>
      <c r="P453" s="72">
        <v>0</v>
      </c>
      <c r="R453" s="185" t="str">
        <f t="shared" ref="R453:R516" si="31">IF(A453="","",((J453+H453)-L453))</f>
        <v/>
      </c>
      <c r="S453" s="186" t="str">
        <f t="shared" ref="S453:S516" si="32">IF(R453="","",IF(R453=0,0,IF(R453&lt;O453,0,IF(R453&lt;=P453,1,2))))</f>
        <v/>
      </c>
      <c r="T453" s="187" t="str">
        <f>IF(R453="","",IF(O453=0,Famille!$D$5,IF(R453&lt;O453,Famille!$D$2,IF(R453&lt;=P453,Famille!$D$3,Famille!$D$4))))</f>
        <v/>
      </c>
    </row>
    <row r="454" spans="1:20" ht="12" customHeight="1" x14ac:dyDescent="0.2">
      <c r="A454" s="4"/>
      <c r="B454" s="4"/>
      <c r="C454" s="4"/>
      <c r="D454" s="4"/>
      <c r="E454" s="49"/>
      <c r="F454" s="50"/>
      <c r="H454" s="37">
        <v>0</v>
      </c>
      <c r="I454" s="2"/>
      <c r="J454" s="69">
        <f>SUM('Archives Entrées'!$N454:$AAV454)</f>
        <v>0</v>
      </c>
      <c r="K454" s="51" t="str">
        <f t="shared" si="29"/>
        <v>0,00€</v>
      </c>
      <c r="L454" s="69">
        <f>SUM('Archives Sorties'!$M454:$AAY454)</f>
        <v>0</v>
      </c>
      <c r="M454" s="51" t="str">
        <f t="shared" si="30"/>
        <v>0,00€</v>
      </c>
      <c r="O454" s="72">
        <v>0</v>
      </c>
      <c r="P454" s="72">
        <v>0</v>
      </c>
      <c r="R454" s="185" t="str">
        <f t="shared" si="31"/>
        <v/>
      </c>
      <c r="S454" s="186" t="str">
        <f t="shared" si="32"/>
        <v/>
      </c>
      <c r="T454" s="187" t="str">
        <f>IF(R454="","",IF(O454=0,Famille!$D$5,IF(R454&lt;O454,Famille!$D$2,IF(R454&lt;=P454,Famille!$D$3,Famille!$D$4))))</f>
        <v/>
      </c>
    </row>
    <row r="455" spans="1:20" ht="12" customHeight="1" x14ac:dyDescent="0.2">
      <c r="A455" s="4"/>
      <c r="B455" s="4"/>
      <c r="C455" s="4"/>
      <c r="D455" s="4"/>
      <c r="E455" s="49"/>
      <c r="F455" s="50"/>
      <c r="H455" s="37">
        <v>0</v>
      </c>
      <c r="I455" s="2"/>
      <c r="J455" s="69">
        <f>SUM('Archives Entrées'!$N455:$AAV455)</f>
        <v>0</v>
      </c>
      <c r="K455" s="51" t="str">
        <f t="shared" si="29"/>
        <v>0,00€</v>
      </c>
      <c r="L455" s="69">
        <f>SUM('Archives Sorties'!$M455:$AAY455)</f>
        <v>0</v>
      </c>
      <c r="M455" s="51" t="str">
        <f t="shared" si="30"/>
        <v>0,00€</v>
      </c>
      <c r="O455" s="72">
        <v>0</v>
      </c>
      <c r="P455" s="72">
        <v>0</v>
      </c>
      <c r="R455" s="185" t="str">
        <f t="shared" si="31"/>
        <v/>
      </c>
      <c r="S455" s="186" t="str">
        <f t="shared" si="32"/>
        <v/>
      </c>
      <c r="T455" s="187" t="str">
        <f>IF(R455="","",IF(O455=0,Famille!$D$5,IF(R455&lt;O455,Famille!$D$2,IF(R455&lt;=P455,Famille!$D$3,Famille!$D$4))))</f>
        <v/>
      </c>
    </row>
    <row r="456" spans="1:20" ht="12" customHeight="1" x14ac:dyDescent="0.2">
      <c r="A456" s="4"/>
      <c r="B456" s="4"/>
      <c r="C456" s="4"/>
      <c r="D456" s="4"/>
      <c r="E456" s="49"/>
      <c r="F456" s="50"/>
      <c r="H456" s="37">
        <v>0</v>
      </c>
      <c r="I456" s="2"/>
      <c r="J456" s="69">
        <f>SUM('Archives Entrées'!$N456:$AAV456)</f>
        <v>0</v>
      </c>
      <c r="K456" s="51" t="str">
        <f t="shared" si="29"/>
        <v>0,00€</v>
      </c>
      <c r="L456" s="69">
        <f>SUM('Archives Sorties'!$M456:$AAY456)</f>
        <v>0</v>
      </c>
      <c r="M456" s="51" t="str">
        <f t="shared" si="30"/>
        <v>0,00€</v>
      </c>
      <c r="O456" s="72">
        <v>0</v>
      </c>
      <c r="P456" s="72">
        <v>0</v>
      </c>
      <c r="R456" s="185" t="str">
        <f t="shared" si="31"/>
        <v/>
      </c>
      <c r="S456" s="186" t="str">
        <f t="shared" si="32"/>
        <v/>
      </c>
      <c r="T456" s="187" t="str">
        <f>IF(R456="","",IF(O456=0,Famille!$D$5,IF(R456&lt;O456,Famille!$D$2,IF(R456&lt;=P456,Famille!$D$3,Famille!$D$4))))</f>
        <v/>
      </c>
    </row>
    <row r="457" spans="1:20" ht="12" customHeight="1" x14ac:dyDescent="0.2">
      <c r="A457" s="4"/>
      <c r="B457" s="4"/>
      <c r="C457" s="4"/>
      <c r="D457" s="4"/>
      <c r="E457" s="49"/>
      <c r="F457" s="50"/>
      <c r="H457" s="37">
        <v>0</v>
      </c>
      <c r="I457" s="2"/>
      <c r="J457" s="69">
        <f>SUM('Archives Entrées'!$N457:$AAV457)</f>
        <v>0</v>
      </c>
      <c r="K457" s="51" t="str">
        <f t="shared" si="29"/>
        <v>0,00€</v>
      </c>
      <c r="L457" s="69">
        <f>SUM('Archives Sorties'!$M457:$AAY457)</f>
        <v>0</v>
      </c>
      <c r="M457" s="51" t="str">
        <f t="shared" si="30"/>
        <v>0,00€</v>
      </c>
      <c r="O457" s="72">
        <v>0</v>
      </c>
      <c r="P457" s="72">
        <v>0</v>
      </c>
      <c r="R457" s="185" t="str">
        <f t="shared" si="31"/>
        <v/>
      </c>
      <c r="S457" s="186" t="str">
        <f t="shared" si="32"/>
        <v/>
      </c>
      <c r="T457" s="187" t="str">
        <f>IF(R457="","",IF(O457=0,Famille!$D$5,IF(R457&lt;O457,Famille!$D$2,IF(R457&lt;=P457,Famille!$D$3,Famille!$D$4))))</f>
        <v/>
      </c>
    </row>
    <row r="458" spans="1:20" ht="12" customHeight="1" x14ac:dyDescent="0.2">
      <c r="A458" s="4"/>
      <c r="B458" s="4"/>
      <c r="C458" s="4"/>
      <c r="D458" s="4"/>
      <c r="E458" s="49"/>
      <c r="F458" s="50"/>
      <c r="H458" s="37">
        <v>0</v>
      </c>
      <c r="I458" s="2"/>
      <c r="J458" s="69">
        <f>SUM('Archives Entrées'!$N458:$AAV458)</f>
        <v>0</v>
      </c>
      <c r="K458" s="51" t="str">
        <f t="shared" si="29"/>
        <v>0,00€</v>
      </c>
      <c r="L458" s="69">
        <f>SUM('Archives Sorties'!$M458:$AAY458)</f>
        <v>0</v>
      </c>
      <c r="M458" s="51" t="str">
        <f t="shared" si="30"/>
        <v>0,00€</v>
      </c>
      <c r="O458" s="72">
        <v>0</v>
      </c>
      <c r="P458" s="72">
        <v>0</v>
      </c>
      <c r="R458" s="185" t="str">
        <f t="shared" si="31"/>
        <v/>
      </c>
      <c r="S458" s="186" t="str">
        <f t="shared" si="32"/>
        <v/>
      </c>
      <c r="T458" s="187" t="str">
        <f>IF(R458="","",IF(O458=0,Famille!$D$5,IF(R458&lt;O458,Famille!$D$2,IF(R458&lt;=P458,Famille!$D$3,Famille!$D$4))))</f>
        <v/>
      </c>
    </row>
    <row r="459" spans="1:20" ht="12" customHeight="1" x14ac:dyDescent="0.2">
      <c r="A459" s="4"/>
      <c r="B459" s="4"/>
      <c r="C459" s="4"/>
      <c r="D459" s="4"/>
      <c r="E459" s="49"/>
      <c r="F459" s="50"/>
      <c r="H459" s="37">
        <v>0</v>
      </c>
      <c r="I459" s="2"/>
      <c r="J459" s="69">
        <f>SUM('Archives Entrées'!$N459:$AAV459)</f>
        <v>0</v>
      </c>
      <c r="K459" s="51" t="str">
        <f t="shared" si="29"/>
        <v>0,00€</v>
      </c>
      <c r="L459" s="69">
        <f>SUM('Archives Sorties'!$M459:$AAY459)</f>
        <v>0</v>
      </c>
      <c r="M459" s="51" t="str">
        <f t="shared" si="30"/>
        <v>0,00€</v>
      </c>
      <c r="O459" s="72">
        <v>0</v>
      </c>
      <c r="P459" s="72">
        <v>0</v>
      </c>
      <c r="R459" s="185" t="str">
        <f t="shared" si="31"/>
        <v/>
      </c>
      <c r="S459" s="186" t="str">
        <f t="shared" si="32"/>
        <v/>
      </c>
      <c r="T459" s="187" t="str">
        <f>IF(R459="","",IF(O459=0,Famille!$D$5,IF(R459&lt;O459,Famille!$D$2,IF(R459&lt;=P459,Famille!$D$3,Famille!$D$4))))</f>
        <v/>
      </c>
    </row>
    <row r="460" spans="1:20" ht="12" customHeight="1" x14ac:dyDescent="0.2">
      <c r="A460" s="4"/>
      <c r="B460" s="4"/>
      <c r="C460" s="4"/>
      <c r="D460" s="4"/>
      <c r="E460" s="49"/>
      <c r="F460" s="50"/>
      <c r="H460" s="37">
        <v>0</v>
      </c>
      <c r="I460" s="2"/>
      <c r="J460" s="69">
        <f>SUM('Archives Entrées'!$N460:$AAV460)</f>
        <v>0</v>
      </c>
      <c r="K460" s="51" t="str">
        <f t="shared" si="29"/>
        <v>0,00€</v>
      </c>
      <c r="L460" s="69">
        <f>SUM('Archives Sorties'!$M460:$AAY460)</f>
        <v>0</v>
      </c>
      <c r="M460" s="51" t="str">
        <f t="shared" si="30"/>
        <v>0,00€</v>
      </c>
      <c r="O460" s="72">
        <v>0</v>
      </c>
      <c r="P460" s="72">
        <v>0</v>
      </c>
      <c r="R460" s="185" t="str">
        <f t="shared" si="31"/>
        <v/>
      </c>
      <c r="S460" s="186" t="str">
        <f t="shared" si="32"/>
        <v/>
      </c>
      <c r="T460" s="187" t="str">
        <f>IF(R460="","",IF(O460=0,Famille!$D$5,IF(R460&lt;O460,Famille!$D$2,IF(R460&lt;=P460,Famille!$D$3,Famille!$D$4))))</f>
        <v/>
      </c>
    </row>
    <row r="461" spans="1:20" ht="12" customHeight="1" x14ac:dyDescent="0.2">
      <c r="A461" s="4"/>
      <c r="B461" s="4"/>
      <c r="C461" s="4"/>
      <c r="D461" s="4"/>
      <c r="E461" s="49"/>
      <c r="F461" s="50"/>
      <c r="H461" s="37">
        <v>0</v>
      </c>
      <c r="I461" s="2"/>
      <c r="J461" s="69">
        <f>SUM('Archives Entrées'!$N461:$AAV461)</f>
        <v>0</v>
      </c>
      <c r="K461" s="51" t="str">
        <f t="shared" si="29"/>
        <v>0,00€</v>
      </c>
      <c r="L461" s="69">
        <f>SUM('Archives Sorties'!$M461:$AAY461)</f>
        <v>0</v>
      </c>
      <c r="M461" s="51" t="str">
        <f t="shared" si="30"/>
        <v>0,00€</v>
      </c>
      <c r="O461" s="72">
        <v>0</v>
      </c>
      <c r="P461" s="72">
        <v>0</v>
      </c>
      <c r="R461" s="185" t="str">
        <f t="shared" si="31"/>
        <v/>
      </c>
      <c r="S461" s="186" t="str">
        <f t="shared" si="32"/>
        <v/>
      </c>
      <c r="T461" s="187" t="str">
        <f>IF(R461="","",IF(O461=0,Famille!$D$5,IF(R461&lt;O461,Famille!$D$2,IF(R461&lt;=P461,Famille!$D$3,Famille!$D$4))))</f>
        <v/>
      </c>
    </row>
    <row r="462" spans="1:20" ht="12" customHeight="1" x14ac:dyDescent="0.2">
      <c r="A462" s="4"/>
      <c r="B462" s="4"/>
      <c r="C462" s="4"/>
      <c r="D462" s="4"/>
      <c r="E462" s="49"/>
      <c r="F462" s="50"/>
      <c r="H462" s="37">
        <v>0</v>
      </c>
      <c r="I462" s="2"/>
      <c r="J462" s="69">
        <f>SUM('Archives Entrées'!$N462:$AAV462)</f>
        <v>0</v>
      </c>
      <c r="K462" s="51" t="str">
        <f t="shared" si="29"/>
        <v>0,00€</v>
      </c>
      <c r="L462" s="69">
        <f>SUM('Archives Sorties'!$M462:$AAY462)</f>
        <v>0</v>
      </c>
      <c r="M462" s="51" t="str">
        <f t="shared" si="30"/>
        <v>0,00€</v>
      </c>
      <c r="O462" s="72">
        <v>0</v>
      </c>
      <c r="P462" s="72">
        <v>0</v>
      </c>
      <c r="R462" s="185" t="str">
        <f t="shared" si="31"/>
        <v/>
      </c>
      <c r="S462" s="186" t="str">
        <f t="shared" si="32"/>
        <v/>
      </c>
      <c r="T462" s="187" t="str">
        <f>IF(R462="","",IF(O462=0,Famille!$D$5,IF(R462&lt;O462,Famille!$D$2,IF(R462&lt;=P462,Famille!$D$3,Famille!$D$4))))</f>
        <v/>
      </c>
    </row>
    <row r="463" spans="1:20" ht="12" customHeight="1" x14ac:dyDescent="0.2">
      <c r="A463" s="4"/>
      <c r="B463" s="4"/>
      <c r="C463" s="4"/>
      <c r="D463" s="4"/>
      <c r="E463" s="49"/>
      <c r="F463" s="50"/>
      <c r="H463" s="37">
        <v>0</v>
      </c>
      <c r="I463" s="2"/>
      <c r="J463" s="69">
        <f>SUM('Archives Entrées'!$N463:$AAV463)</f>
        <v>0</v>
      </c>
      <c r="K463" s="51" t="str">
        <f t="shared" si="29"/>
        <v>0,00€</v>
      </c>
      <c r="L463" s="69">
        <f>SUM('Archives Sorties'!$M463:$AAY463)</f>
        <v>0</v>
      </c>
      <c r="M463" s="51" t="str">
        <f t="shared" si="30"/>
        <v>0,00€</v>
      </c>
      <c r="O463" s="72">
        <v>0</v>
      </c>
      <c r="P463" s="72">
        <v>0</v>
      </c>
      <c r="R463" s="185" t="str">
        <f t="shared" si="31"/>
        <v/>
      </c>
      <c r="S463" s="186" t="str">
        <f t="shared" si="32"/>
        <v/>
      </c>
      <c r="T463" s="187" t="str">
        <f>IF(R463="","",IF(O463=0,Famille!$D$5,IF(R463&lt;O463,Famille!$D$2,IF(R463&lt;=P463,Famille!$D$3,Famille!$D$4))))</f>
        <v/>
      </c>
    </row>
    <row r="464" spans="1:20" ht="12" customHeight="1" x14ac:dyDescent="0.2">
      <c r="A464" s="4"/>
      <c r="B464" s="4"/>
      <c r="C464" s="4"/>
      <c r="D464" s="4"/>
      <c r="E464" s="49"/>
      <c r="F464" s="50"/>
      <c r="H464" s="37">
        <v>0</v>
      </c>
      <c r="I464" s="2"/>
      <c r="J464" s="69">
        <f>SUM('Archives Entrées'!$N464:$AAV464)</f>
        <v>0</v>
      </c>
      <c r="K464" s="51" t="str">
        <f t="shared" si="29"/>
        <v>0,00€</v>
      </c>
      <c r="L464" s="69">
        <f>SUM('Archives Sorties'!$M464:$AAY464)</f>
        <v>0</v>
      </c>
      <c r="M464" s="51" t="str">
        <f t="shared" si="30"/>
        <v>0,00€</v>
      </c>
      <c r="O464" s="72">
        <v>0</v>
      </c>
      <c r="P464" s="72">
        <v>0</v>
      </c>
      <c r="R464" s="185" t="str">
        <f t="shared" si="31"/>
        <v/>
      </c>
      <c r="S464" s="186" t="str">
        <f t="shared" si="32"/>
        <v/>
      </c>
      <c r="T464" s="187" t="str">
        <f>IF(R464="","",IF(O464=0,Famille!$D$5,IF(R464&lt;O464,Famille!$D$2,IF(R464&lt;=P464,Famille!$D$3,Famille!$D$4))))</f>
        <v/>
      </c>
    </row>
    <row r="465" spans="1:20" ht="12" customHeight="1" x14ac:dyDescent="0.2">
      <c r="A465" s="4"/>
      <c r="B465" s="4"/>
      <c r="C465" s="4"/>
      <c r="D465" s="4"/>
      <c r="E465" s="49"/>
      <c r="F465" s="50"/>
      <c r="H465" s="37">
        <v>0</v>
      </c>
      <c r="I465" s="2"/>
      <c r="J465" s="69">
        <f>SUM('Archives Entrées'!$N465:$AAV465)</f>
        <v>0</v>
      </c>
      <c r="K465" s="51" t="str">
        <f t="shared" si="29"/>
        <v>0,00€</v>
      </c>
      <c r="L465" s="69">
        <f>SUM('Archives Sorties'!$M465:$AAY465)</f>
        <v>0</v>
      </c>
      <c r="M465" s="51" t="str">
        <f t="shared" si="30"/>
        <v>0,00€</v>
      </c>
      <c r="O465" s="72">
        <v>0</v>
      </c>
      <c r="P465" s="72">
        <v>0</v>
      </c>
      <c r="R465" s="185" t="str">
        <f t="shared" si="31"/>
        <v/>
      </c>
      <c r="S465" s="186" t="str">
        <f t="shared" si="32"/>
        <v/>
      </c>
      <c r="T465" s="187" t="str">
        <f>IF(R465="","",IF(O465=0,Famille!$D$5,IF(R465&lt;O465,Famille!$D$2,IF(R465&lt;=P465,Famille!$D$3,Famille!$D$4))))</f>
        <v/>
      </c>
    </row>
    <row r="466" spans="1:20" ht="12" customHeight="1" x14ac:dyDescent="0.2">
      <c r="A466" s="4"/>
      <c r="B466" s="4"/>
      <c r="C466" s="4"/>
      <c r="D466" s="4"/>
      <c r="E466" s="49"/>
      <c r="F466" s="50"/>
      <c r="H466" s="37">
        <v>0</v>
      </c>
      <c r="I466" s="2"/>
      <c r="J466" s="69">
        <f>SUM('Archives Entrées'!$N466:$AAV466)</f>
        <v>0</v>
      </c>
      <c r="K466" s="51" t="str">
        <f t="shared" si="29"/>
        <v>0,00€</v>
      </c>
      <c r="L466" s="69">
        <f>SUM('Archives Sorties'!$M466:$AAY466)</f>
        <v>0</v>
      </c>
      <c r="M466" s="51" t="str">
        <f t="shared" si="30"/>
        <v>0,00€</v>
      </c>
      <c r="O466" s="72">
        <v>0</v>
      </c>
      <c r="P466" s="72">
        <v>0</v>
      </c>
      <c r="R466" s="185" t="str">
        <f t="shared" si="31"/>
        <v/>
      </c>
      <c r="S466" s="186" t="str">
        <f t="shared" si="32"/>
        <v/>
      </c>
      <c r="T466" s="187" t="str">
        <f>IF(R466="","",IF(O466=0,Famille!$D$5,IF(R466&lt;O466,Famille!$D$2,IF(R466&lt;=P466,Famille!$D$3,Famille!$D$4))))</f>
        <v/>
      </c>
    </row>
    <row r="467" spans="1:20" ht="12" customHeight="1" x14ac:dyDescent="0.2">
      <c r="A467" s="4"/>
      <c r="B467" s="4"/>
      <c r="C467" s="4"/>
      <c r="D467" s="4"/>
      <c r="E467" s="49"/>
      <c r="F467" s="50"/>
      <c r="H467" s="37">
        <v>0</v>
      </c>
      <c r="I467" s="2"/>
      <c r="J467" s="69">
        <f>SUM('Archives Entrées'!$N467:$AAV467)</f>
        <v>0</v>
      </c>
      <c r="K467" s="51" t="str">
        <f t="shared" si="29"/>
        <v>0,00€</v>
      </c>
      <c r="L467" s="69">
        <f>SUM('Archives Sorties'!$M467:$AAY467)</f>
        <v>0</v>
      </c>
      <c r="M467" s="51" t="str">
        <f t="shared" si="30"/>
        <v>0,00€</v>
      </c>
      <c r="O467" s="72">
        <v>0</v>
      </c>
      <c r="P467" s="72">
        <v>0</v>
      </c>
      <c r="R467" s="185" t="str">
        <f t="shared" si="31"/>
        <v/>
      </c>
      <c r="S467" s="186" t="str">
        <f t="shared" si="32"/>
        <v/>
      </c>
      <c r="T467" s="187" t="str">
        <f>IF(R467="","",IF(O467=0,Famille!$D$5,IF(R467&lt;O467,Famille!$D$2,IF(R467&lt;=P467,Famille!$D$3,Famille!$D$4))))</f>
        <v/>
      </c>
    </row>
    <row r="468" spans="1:20" ht="12" customHeight="1" x14ac:dyDescent="0.2">
      <c r="A468" s="4"/>
      <c r="B468" s="4"/>
      <c r="C468" s="4"/>
      <c r="D468" s="4"/>
      <c r="E468" s="49"/>
      <c r="F468" s="50"/>
      <c r="H468" s="37">
        <v>0</v>
      </c>
      <c r="I468" s="2"/>
      <c r="J468" s="69">
        <f>SUM('Archives Entrées'!$N468:$AAV468)</f>
        <v>0</v>
      </c>
      <c r="K468" s="51" t="str">
        <f t="shared" si="29"/>
        <v>0,00€</v>
      </c>
      <c r="L468" s="69">
        <f>SUM('Archives Sorties'!$M468:$AAY468)</f>
        <v>0</v>
      </c>
      <c r="M468" s="51" t="str">
        <f t="shared" si="30"/>
        <v>0,00€</v>
      </c>
      <c r="O468" s="72">
        <v>0</v>
      </c>
      <c r="P468" s="72">
        <v>0</v>
      </c>
      <c r="R468" s="185" t="str">
        <f t="shared" si="31"/>
        <v/>
      </c>
      <c r="S468" s="186" t="str">
        <f t="shared" si="32"/>
        <v/>
      </c>
      <c r="T468" s="187" t="str">
        <f>IF(R468="","",IF(O468=0,Famille!$D$5,IF(R468&lt;O468,Famille!$D$2,IF(R468&lt;=P468,Famille!$D$3,Famille!$D$4))))</f>
        <v/>
      </c>
    </row>
    <row r="469" spans="1:20" ht="12" customHeight="1" x14ac:dyDescent="0.2">
      <c r="A469" s="4"/>
      <c r="B469" s="4"/>
      <c r="C469" s="4"/>
      <c r="D469" s="4"/>
      <c r="E469" s="49"/>
      <c r="F469" s="50"/>
      <c r="H469" s="37">
        <v>0</v>
      </c>
      <c r="I469" s="2"/>
      <c r="J469" s="69">
        <f>SUM('Archives Entrées'!$N469:$AAV469)</f>
        <v>0</v>
      </c>
      <c r="K469" s="51" t="str">
        <f t="shared" si="29"/>
        <v>0,00€</v>
      </c>
      <c r="L469" s="69">
        <f>SUM('Archives Sorties'!$M469:$AAY469)</f>
        <v>0</v>
      </c>
      <c r="M469" s="51" t="str">
        <f t="shared" si="30"/>
        <v>0,00€</v>
      </c>
      <c r="O469" s="72">
        <v>0</v>
      </c>
      <c r="P469" s="72">
        <v>0</v>
      </c>
      <c r="R469" s="185" t="str">
        <f t="shared" si="31"/>
        <v/>
      </c>
      <c r="S469" s="186" t="str">
        <f t="shared" si="32"/>
        <v/>
      </c>
      <c r="T469" s="187" t="str">
        <f>IF(R469="","",IF(O469=0,Famille!$D$5,IF(R469&lt;O469,Famille!$D$2,IF(R469&lt;=P469,Famille!$D$3,Famille!$D$4))))</f>
        <v/>
      </c>
    </row>
    <row r="470" spans="1:20" ht="12" customHeight="1" x14ac:dyDescent="0.2">
      <c r="A470" s="4"/>
      <c r="B470" s="4"/>
      <c r="C470" s="4"/>
      <c r="D470" s="4"/>
      <c r="E470" s="49"/>
      <c r="F470" s="50"/>
      <c r="H470" s="37">
        <v>0</v>
      </c>
      <c r="I470" s="2"/>
      <c r="J470" s="69">
        <f>SUM('Archives Entrées'!$N470:$AAV470)</f>
        <v>0</v>
      </c>
      <c r="K470" s="51" t="str">
        <f t="shared" si="29"/>
        <v>0,00€</v>
      </c>
      <c r="L470" s="69">
        <f>SUM('Archives Sorties'!$M470:$AAY470)</f>
        <v>0</v>
      </c>
      <c r="M470" s="51" t="str">
        <f t="shared" si="30"/>
        <v>0,00€</v>
      </c>
      <c r="O470" s="72">
        <v>0</v>
      </c>
      <c r="P470" s="72">
        <v>0</v>
      </c>
      <c r="R470" s="185" t="str">
        <f t="shared" si="31"/>
        <v/>
      </c>
      <c r="S470" s="186" t="str">
        <f t="shared" si="32"/>
        <v/>
      </c>
      <c r="T470" s="187" t="str">
        <f>IF(R470="","",IF(O470=0,Famille!$D$5,IF(R470&lt;O470,Famille!$D$2,IF(R470&lt;=P470,Famille!$D$3,Famille!$D$4))))</f>
        <v/>
      </c>
    </row>
    <row r="471" spans="1:20" ht="12" customHeight="1" x14ac:dyDescent="0.2">
      <c r="A471" s="4"/>
      <c r="B471" s="4"/>
      <c r="C471" s="4"/>
      <c r="D471" s="4"/>
      <c r="E471" s="49"/>
      <c r="F471" s="50"/>
      <c r="H471" s="37">
        <v>0</v>
      </c>
      <c r="I471" s="2"/>
      <c r="J471" s="69">
        <f>SUM('Archives Entrées'!$N471:$AAV471)</f>
        <v>0</v>
      </c>
      <c r="K471" s="51" t="str">
        <f t="shared" si="29"/>
        <v>0,00€</v>
      </c>
      <c r="L471" s="69">
        <f>SUM('Archives Sorties'!$M471:$AAY471)</f>
        <v>0</v>
      </c>
      <c r="M471" s="51" t="str">
        <f t="shared" si="30"/>
        <v>0,00€</v>
      </c>
      <c r="O471" s="72">
        <v>0</v>
      </c>
      <c r="P471" s="72">
        <v>0</v>
      </c>
      <c r="R471" s="185" t="str">
        <f t="shared" si="31"/>
        <v/>
      </c>
      <c r="S471" s="186" t="str">
        <f t="shared" si="32"/>
        <v/>
      </c>
      <c r="T471" s="187" t="str">
        <f>IF(R471="","",IF(O471=0,Famille!$D$5,IF(R471&lt;O471,Famille!$D$2,IF(R471&lt;=P471,Famille!$D$3,Famille!$D$4))))</f>
        <v/>
      </c>
    </row>
    <row r="472" spans="1:20" ht="12" customHeight="1" x14ac:dyDescent="0.2">
      <c r="A472" s="4"/>
      <c r="B472" s="4"/>
      <c r="C472" s="4"/>
      <c r="D472" s="4"/>
      <c r="E472" s="49"/>
      <c r="F472" s="50"/>
      <c r="H472" s="37">
        <v>0</v>
      </c>
      <c r="I472" s="2"/>
      <c r="J472" s="69">
        <f>SUM('Archives Entrées'!$N472:$AAV472)</f>
        <v>0</v>
      </c>
      <c r="K472" s="51" t="str">
        <f t="shared" si="29"/>
        <v>0,00€</v>
      </c>
      <c r="L472" s="69">
        <f>SUM('Archives Sorties'!$M472:$AAY472)</f>
        <v>0</v>
      </c>
      <c r="M472" s="51" t="str">
        <f t="shared" si="30"/>
        <v>0,00€</v>
      </c>
      <c r="O472" s="72">
        <v>0</v>
      </c>
      <c r="P472" s="72">
        <v>0</v>
      </c>
      <c r="R472" s="185" t="str">
        <f t="shared" si="31"/>
        <v/>
      </c>
      <c r="S472" s="186" t="str">
        <f t="shared" si="32"/>
        <v/>
      </c>
      <c r="T472" s="187" t="str">
        <f>IF(R472="","",IF(O472=0,Famille!$D$5,IF(R472&lt;O472,Famille!$D$2,IF(R472&lt;=P472,Famille!$D$3,Famille!$D$4))))</f>
        <v/>
      </c>
    </row>
    <row r="473" spans="1:20" ht="12" customHeight="1" x14ac:dyDescent="0.2">
      <c r="A473" s="4"/>
      <c r="B473" s="4"/>
      <c r="C473" s="4"/>
      <c r="D473" s="4"/>
      <c r="E473" s="49"/>
      <c r="F473" s="50"/>
      <c r="H473" s="37">
        <v>0</v>
      </c>
      <c r="I473" s="2"/>
      <c r="J473" s="69">
        <f>SUM('Archives Entrées'!$N473:$AAV473)</f>
        <v>0</v>
      </c>
      <c r="K473" s="51" t="str">
        <f t="shared" si="29"/>
        <v>0,00€</v>
      </c>
      <c r="L473" s="69">
        <f>SUM('Archives Sorties'!$M473:$AAY473)</f>
        <v>0</v>
      </c>
      <c r="M473" s="51" t="str">
        <f t="shared" si="30"/>
        <v>0,00€</v>
      </c>
      <c r="O473" s="72">
        <v>0</v>
      </c>
      <c r="P473" s="72">
        <v>0</v>
      </c>
      <c r="R473" s="185" t="str">
        <f t="shared" si="31"/>
        <v/>
      </c>
      <c r="S473" s="186" t="str">
        <f t="shared" si="32"/>
        <v/>
      </c>
      <c r="T473" s="187" t="str">
        <f>IF(R473="","",IF(O473=0,Famille!$D$5,IF(R473&lt;O473,Famille!$D$2,IF(R473&lt;=P473,Famille!$D$3,Famille!$D$4))))</f>
        <v/>
      </c>
    </row>
    <row r="474" spans="1:20" ht="12" customHeight="1" x14ac:dyDescent="0.2">
      <c r="A474" s="4"/>
      <c r="B474" s="4"/>
      <c r="C474" s="4"/>
      <c r="D474" s="4"/>
      <c r="E474" s="49"/>
      <c r="F474" s="50"/>
      <c r="H474" s="37">
        <v>0</v>
      </c>
      <c r="I474" s="2"/>
      <c r="J474" s="69">
        <f>SUM('Archives Entrées'!$N474:$AAV474)</f>
        <v>0</v>
      </c>
      <c r="K474" s="51" t="str">
        <f t="shared" si="29"/>
        <v>0,00€</v>
      </c>
      <c r="L474" s="69">
        <f>SUM('Archives Sorties'!$M474:$AAY474)</f>
        <v>0</v>
      </c>
      <c r="M474" s="51" t="str">
        <f t="shared" si="30"/>
        <v>0,00€</v>
      </c>
      <c r="O474" s="72">
        <v>0</v>
      </c>
      <c r="P474" s="72">
        <v>0</v>
      </c>
      <c r="R474" s="185" t="str">
        <f t="shared" si="31"/>
        <v/>
      </c>
      <c r="S474" s="186" t="str">
        <f t="shared" si="32"/>
        <v/>
      </c>
      <c r="T474" s="187" t="str">
        <f>IF(R474="","",IF(O474=0,Famille!$D$5,IF(R474&lt;O474,Famille!$D$2,IF(R474&lt;=P474,Famille!$D$3,Famille!$D$4))))</f>
        <v/>
      </c>
    </row>
    <row r="475" spans="1:20" ht="12" customHeight="1" x14ac:dyDescent="0.2">
      <c r="A475" s="4"/>
      <c r="B475" s="4"/>
      <c r="C475" s="4"/>
      <c r="D475" s="4"/>
      <c r="E475" s="49"/>
      <c r="F475" s="50"/>
      <c r="H475" s="37">
        <v>0</v>
      </c>
      <c r="I475" s="2"/>
      <c r="J475" s="69">
        <f>SUM('Archives Entrées'!$N475:$AAV475)</f>
        <v>0</v>
      </c>
      <c r="K475" s="51" t="str">
        <f t="shared" si="29"/>
        <v>0,00€</v>
      </c>
      <c r="L475" s="69">
        <f>SUM('Archives Sorties'!$M475:$AAY475)</f>
        <v>0</v>
      </c>
      <c r="M475" s="51" t="str">
        <f t="shared" si="30"/>
        <v>0,00€</v>
      </c>
      <c r="O475" s="72">
        <v>0</v>
      </c>
      <c r="P475" s="72">
        <v>0</v>
      </c>
      <c r="R475" s="185" t="str">
        <f t="shared" si="31"/>
        <v/>
      </c>
      <c r="S475" s="186" t="str">
        <f t="shared" si="32"/>
        <v/>
      </c>
      <c r="T475" s="187" t="str">
        <f>IF(R475="","",IF(O475=0,Famille!$D$5,IF(R475&lt;O475,Famille!$D$2,IF(R475&lt;=P475,Famille!$D$3,Famille!$D$4))))</f>
        <v/>
      </c>
    </row>
    <row r="476" spans="1:20" ht="12" customHeight="1" x14ac:dyDescent="0.2">
      <c r="A476" s="4"/>
      <c r="B476" s="4"/>
      <c r="C476" s="4"/>
      <c r="D476" s="4"/>
      <c r="E476" s="49"/>
      <c r="F476" s="50"/>
      <c r="H476" s="37">
        <v>0</v>
      </c>
      <c r="I476" s="2"/>
      <c r="J476" s="69">
        <f>SUM('Archives Entrées'!$N476:$AAV476)</f>
        <v>0</v>
      </c>
      <c r="K476" s="51" t="str">
        <f t="shared" si="29"/>
        <v>0,00€</v>
      </c>
      <c r="L476" s="69">
        <f>SUM('Archives Sorties'!$M476:$AAY476)</f>
        <v>0</v>
      </c>
      <c r="M476" s="51" t="str">
        <f t="shared" si="30"/>
        <v>0,00€</v>
      </c>
      <c r="O476" s="72">
        <v>0</v>
      </c>
      <c r="P476" s="72">
        <v>0</v>
      </c>
      <c r="R476" s="185" t="str">
        <f t="shared" si="31"/>
        <v/>
      </c>
      <c r="S476" s="186" t="str">
        <f t="shared" si="32"/>
        <v/>
      </c>
      <c r="T476" s="187" t="str">
        <f>IF(R476="","",IF(O476=0,Famille!$D$5,IF(R476&lt;O476,Famille!$D$2,IF(R476&lt;=P476,Famille!$D$3,Famille!$D$4))))</f>
        <v/>
      </c>
    </row>
    <row r="477" spans="1:20" ht="12" customHeight="1" x14ac:dyDescent="0.2">
      <c r="A477" s="4"/>
      <c r="B477" s="4"/>
      <c r="C477" s="4"/>
      <c r="D477" s="4"/>
      <c r="E477" s="49"/>
      <c r="F477" s="50"/>
      <c r="H477" s="37">
        <v>0</v>
      </c>
      <c r="I477" s="2"/>
      <c r="J477" s="69">
        <f>SUM('Archives Entrées'!$N477:$AAV477)</f>
        <v>0</v>
      </c>
      <c r="K477" s="51" t="str">
        <f t="shared" si="29"/>
        <v>0,00€</v>
      </c>
      <c r="L477" s="69">
        <f>SUM('Archives Sorties'!$M477:$AAY477)</f>
        <v>0</v>
      </c>
      <c r="M477" s="51" t="str">
        <f t="shared" si="30"/>
        <v>0,00€</v>
      </c>
      <c r="O477" s="72">
        <v>0</v>
      </c>
      <c r="P477" s="72">
        <v>0</v>
      </c>
      <c r="R477" s="185" t="str">
        <f t="shared" si="31"/>
        <v/>
      </c>
      <c r="S477" s="186" t="str">
        <f t="shared" si="32"/>
        <v/>
      </c>
      <c r="T477" s="187" t="str">
        <f>IF(R477="","",IF(O477=0,Famille!$D$5,IF(R477&lt;O477,Famille!$D$2,IF(R477&lt;=P477,Famille!$D$3,Famille!$D$4))))</f>
        <v/>
      </c>
    </row>
    <row r="478" spans="1:20" ht="12" customHeight="1" x14ac:dyDescent="0.2">
      <c r="A478" s="4"/>
      <c r="B478" s="4"/>
      <c r="C478" s="4"/>
      <c r="D478" s="4"/>
      <c r="E478" s="49"/>
      <c r="F478" s="50"/>
      <c r="H478" s="37">
        <v>0</v>
      </c>
      <c r="I478" s="2"/>
      <c r="J478" s="69">
        <f>SUM('Archives Entrées'!$N478:$AAV478)</f>
        <v>0</v>
      </c>
      <c r="K478" s="51" t="str">
        <f t="shared" si="29"/>
        <v>0,00€</v>
      </c>
      <c r="L478" s="69">
        <f>SUM('Archives Sorties'!$M478:$AAY478)</f>
        <v>0</v>
      </c>
      <c r="M478" s="51" t="str">
        <f t="shared" si="30"/>
        <v>0,00€</v>
      </c>
      <c r="O478" s="72">
        <v>0</v>
      </c>
      <c r="P478" s="72">
        <v>0</v>
      </c>
      <c r="R478" s="185" t="str">
        <f t="shared" si="31"/>
        <v/>
      </c>
      <c r="S478" s="186" t="str">
        <f t="shared" si="32"/>
        <v/>
      </c>
      <c r="T478" s="187" t="str">
        <f>IF(R478="","",IF(O478=0,Famille!$D$5,IF(R478&lt;O478,Famille!$D$2,IF(R478&lt;=P478,Famille!$D$3,Famille!$D$4))))</f>
        <v/>
      </c>
    </row>
    <row r="479" spans="1:20" ht="12" customHeight="1" x14ac:dyDescent="0.2">
      <c r="A479" s="4"/>
      <c r="B479" s="4"/>
      <c r="C479" s="4"/>
      <c r="D479" s="4"/>
      <c r="E479" s="49"/>
      <c r="F479" s="50"/>
      <c r="H479" s="37">
        <v>0</v>
      </c>
      <c r="I479" s="2"/>
      <c r="J479" s="69">
        <f>SUM('Archives Entrées'!$N479:$AAV479)</f>
        <v>0</v>
      </c>
      <c r="K479" s="51" t="str">
        <f t="shared" si="29"/>
        <v>0,00€</v>
      </c>
      <c r="L479" s="69">
        <f>SUM('Archives Sorties'!$M479:$AAY479)</f>
        <v>0</v>
      </c>
      <c r="M479" s="51" t="str">
        <f t="shared" si="30"/>
        <v>0,00€</v>
      </c>
      <c r="O479" s="72">
        <v>0</v>
      </c>
      <c r="P479" s="72">
        <v>0</v>
      </c>
      <c r="R479" s="185" t="str">
        <f t="shared" si="31"/>
        <v/>
      </c>
      <c r="S479" s="186" t="str">
        <f t="shared" si="32"/>
        <v/>
      </c>
      <c r="T479" s="187" t="str">
        <f>IF(R479="","",IF(O479=0,Famille!$D$5,IF(R479&lt;O479,Famille!$D$2,IF(R479&lt;=P479,Famille!$D$3,Famille!$D$4))))</f>
        <v/>
      </c>
    </row>
    <row r="480" spans="1:20" ht="12" customHeight="1" x14ac:dyDescent="0.2">
      <c r="A480" s="4"/>
      <c r="B480" s="4"/>
      <c r="C480" s="4"/>
      <c r="D480" s="4"/>
      <c r="E480" s="49"/>
      <c r="F480" s="50"/>
      <c r="H480" s="37">
        <v>0</v>
      </c>
      <c r="I480" s="2"/>
      <c r="J480" s="69">
        <f>SUM('Archives Entrées'!$N480:$AAV480)</f>
        <v>0</v>
      </c>
      <c r="K480" s="51" t="str">
        <f t="shared" si="29"/>
        <v>0,00€</v>
      </c>
      <c r="L480" s="69">
        <f>SUM('Archives Sorties'!$M480:$AAY480)</f>
        <v>0</v>
      </c>
      <c r="M480" s="51" t="str">
        <f t="shared" si="30"/>
        <v>0,00€</v>
      </c>
      <c r="O480" s="72">
        <v>0</v>
      </c>
      <c r="P480" s="72">
        <v>0</v>
      </c>
      <c r="R480" s="185" t="str">
        <f t="shared" si="31"/>
        <v/>
      </c>
      <c r="S480" s="186" t="str">
        <f t="shared" si="32"/>
        <v/>
      </c>
      <c r="T480" s="187" t="str">
        <f>IF(R480="","",IF(O480=0,Famille!$D$5,IF(R480&lt;O480,Famille!$D$2,IF(R480&lt;=P480,Famille!$D$3,Famille!$D$4))))</f>
        <v/>
      </c>
    </row>
    <row r="481" spans="1:20" ht="12" customHeight="1" x14ac:dyDescent="0.2">
      <c r="A481" s="4"/>
      <c r="B481" s="4"/>
      <c r="C481" s="4"/>
      <c r="D481" s="4"/>
      <c r="E481" s="49"/>
      <c r="F481" s="50"/>
      <c r="H481" s="37">
        <v>0</v>
      </c>
      <c r="I481" s="2"/>
      <c r="J481" s="69">
        <f>SUM('Archives Entrées'!$N481:$AAV481)</f>
        <v>0</v>
      </c>
      <c r="K481" s="51" t="str">
        <f t="shared" si="29"/>
        <v>0,00€</v>
      </c>
      <c r="L481" s="69">
        <f>SUM('Archives Sorties'!$M481:$AAY481)</f>
        <v>0</v>
      </c>
      <c r="M481" s="51" t="str">
        <f t="shared" si="30"/>
        <v>0,00€</v>
      </c>
      <c r="O481" s="72">
        <v>0</v>
      </c>
      <c r="P481" s="72">
        <v>0</v>
      </c>
      <c r="R481" s="185" t="str">
        <f t="shared" si="31"/>
        <v/>
      </c>
      <c r="S481" s="186" t="str">
        <f t="shared" si="32"/>
        <v/>
      </c>
      <c r="T481" s="187" t="str">
        <f>IF(R481="","",IF(O481=0,Famille!$D$5,IF(R481&lt;O481,Famille!$D$2,IF(R481&lt;=P481,Famille!$D$3,Famille!$D$4))))</f>
        <v/>
      </c>
    </row>
    <row r="482" spans="1:20" ht="12" customHeight="1" x14ac:dyDescent="0.2">
      <c r="A482" s="4"/>
      <c r="B482" s="4"/>
      <c r="C482" s="4"/>
      <c r="D482" s="4"/>
      <c r="E482" s="49"/>
      <c r="F482" s="50"/>
      <c r="H482" s="37">
        <v>0</v>
      </c>
      <c r="I482" s="2"/>
      <c r="J482" s="69">
        <f>SUM('Archives Entrées'!$N482:$AAV482)</f>
        <v>0</v>
      </c>
      <c r="K482" s="51" t="str">
        <f t="shared" si="29"/>
        <v>0,00€</v>
      </c>
      <c r="L482" s="69">
        <f>SUM('Archives Sorties'!$M482:$AAY482)</f>
        <v>0</v>
      </c>
      <c r="M482" s="51" t="str">
        <f t="shared" si="30"/>
        <v>0,00€</v>
      </c>
      <c r="O482" s="72">
        <v>0</v>
      </c>
      <c r="P482" s="72">
        <v>0</v>
      </c>
      <c r="R482" s="185" t="str">
        <f t="shared" si="31"/>
        <v/>
      </c>
      <c r="S482" s="186" t="str">
        <f t="shared" si="32"/>
        <v/>
      </c>
      <c r="T482" s="187" t="str">
        <f>IF(R482="","",IF(O482=0,Famille!$D$5,IF(R482&lt;O482,Famille!$D$2,IF(R482&lt;=P482,Famille!$D$3,Famille!$D$4))))</f>
        <v/>
      </c>
    </row>
    <row r="483" spans="1:20" ht="12" customHeight="1" x14ac:dyDescent="0.2">
      <c r="A483" s="4"/>
      <c r="B483" s="4"/>
      <c r="C483" s="4"/>
      <c r="D483" s="4"/>
      <c r="E483" s="49"/>
      <c r="F483" s="50"/>
      <c r="H483" s="37">
        <v>0</v>
      </c>
      <c r="I483" s="2"/>
      <c r="J483" s="69">
        <f>SUM('Archives Entrées'!$N483:$AAV483)</f>
        <v>0</v>
      </c>
      <c r="K483" s="51" t="str">
        <f t="shared" si="29"/>
        <v>0,00€</v>
      </c>
      <c r="L483" s="69">
        <f>SUM('Archives Sorties'!$M483:$AAY483)</f>
        <v>0</v>
      </c>
      <c r="M483" s="51" t="str">
        <f t="shared" si="30"/>
        <v>0,00€</v>
      </c>
      <c r="O483" s="72">
        <v>0</v>
      </c>
      <c r="P483" s="72">
        <v>0</v>
      </c>
      <c r="R483" s="185" t="str">
        <f t="shared" si="31"/>
        <v/>
      </c>
      <c r="S483" s="186" t="str">
        <f t="shared" si="32"/>
        <v/>
      </c>
      <c r="T483" s="187" t="str">
        <f>IF(R483="","",IF(O483=0,Famille!$D$5,IF(R483&lt;O483,Famille!$D$2,IF(R483&lt;=P483,Famille!$D$3,Famille!$D$4))))</f>
        <v/>
      </c>
    </row>
    <row r="484" spans="1:20" ht="12" customHeight="1" x14ac:dyDescent="0.2">
      <c r="A484" s="4"/>
      <c r="B484" s="4"/>
      <c r="C484" s="4"/>
      <c r="D484" s="4"/>
      <c r="E484" s="49"/>
      <c r="F484" s="50"/>
      <c r="H484" s="37">
        <v>0</v>
      </c>
      <c r="I484" s="2"/>
      <c r="J484" s="69">
        <f>SUM('Archives Entrées'!$N484:$AAV484)</f>
        <v>0</v>
      </c>
      <c r="K484" s="51" t="str">
        <f t="shared" si="29"/>
        <v>0,00€</v>
      </c>
      <c r="L484" s="69">
        <f>SUM('Archives Sorties'!$M484:$AAY484)</f>
        <v>0</v>
      </c>
      <c r="M484" s="51" t="str">
        <f t="shared" si="30"/>
        <v>0,00€</v>
      </c>
      <c r="O484" s="72">
        <v>0</v>
      </c>
      <c r="P484" s="72">
        <v>0</v>
      </c>
      <c r="R484" s="185" t="str">
        <f t="shared" si="31"/>
        <v/>
      </c>
      <c r="S484" s="186" t="str">
        <f t="shared" si="32"/>
        <v/>
      </c>
      <c r="T484" s="187" t="str">
        <f>IF(R484="","",IF(O484=0,Famille!$D$5,IF(R484&lt;O484,Famille!$D$2,IF(R484&lt;=P484,Famille!$D$3,Famille!$D$4))))</f>
        <v/>
      </c>
    </row>
    <row r="485" spans="1:20" ht="12" customHeight="1" x14ac:dyDescent="0.2">
      <c r="A485" s="4"/>
      <c r="B485" s="4"/>
      <c r="C485" s="4"/>
      <c r="D485" s="4"/>
      <c r="E485" s="49"/>
      <c r="F485" s="50"/>
      <c r="H485" s="37">
        <v>0</v>
      </c>
      <c r="I485" s="2"/>
      <c r="J485" s="69">
        <f>SUM('Archives Entrées'!$N485:$AAV485)</f>
        <v>0</v>
      </c>
      <c r="K485" s="51" t="str">
        <f t="shared" si="29"/>
        <v>0,00€</v>
      </c>
      <c r="L485" s="69">
        <f>SUM('Archives Sorties'!$M485:$AAY485)</f>
        <v>0</v>
      </c>
      <c r="M485" s="51" t="str">
        <f t="shared" si="30"/>
        <v>0,00€</v>
      </c>
      <c r="O485" s="72">
        <v>0</v>
      </c>
      <c r="P485" s="72">
        <v>0</v>
      </c>
      <c r="R485" s="185" t="str">
        <f t="shared" si="31"/>
        <v/>
      </c>
      <c r="S485" s="186" t="str">
        <f t="shared" si="32"/>
        <v/>
      </c>
      <c r="T485" s="187" t="str">
        <f>IF(R485="","",IF(O485=0,Famille!$D$5,IF(R485&lt;O485,Famille!$D$2,IF(R485&lt;=P485,Famille!$D$3,Famille!$D$4))))</f>
        <v/>
      </c>
    </row>
    <row r="486" spans="1:20" ht="12" customHeight="1" x14ac:dyDescent="0.2">
      <c r="A486" s="4"/>
      <c r="B486" s="4"/>
      <c r="C486" s="4"/>
      <c r="D486" s="4"/>
      <c r="E486" s="49"/>
      <c r="F486" s="50"/>
      <c r="H486" s="37">
        <v>0</v>
      </c>
      <c r="I486" s="2"/>
      <c r="J486" s="69">
        <f>SUM('Archives Entrées'!$N486:$AAV486)</f>
        <v>0</v>
      </c>
      <c r="K486" s="51" t="str">
        <f t="shared" si="29"/>
        <v>0,00€</v>
      </c>
      <c r="L486" s="69">
        <f>SUM('Archives Sorties'!$M486:$AAY486)</f>
        <v>0</v>
      </c>
      <c r="M486" s="51" t="str">
        <f t="shared" si="30"/>
        <v>0,00€</v>
      </c>
      <c r="O486" s="72">
        <v>0</v>
      </c>
      <c r="P486" s="72">
        <v>0</v>
      </c>
      <c r="R486" s="185" t="str">
        <f t="shared" si="31"/>
        <v/>
      </c>
      <c r="S486" s="186" t="str">
        <f t="shared" si="32"/>
        <v/>
      </c>
      <c r="T486" s="187" t="str">
        <f>IF(R486="","",IF(O486=0,Famille!$D$5,IF(R486&lt;O486,Famille!$D$2,IF(R486&lt;=P486,Famille!$D$3,Famille!$D$4))))</f>
        <v/>
      </c>
    </row>
    <row r="487" spans="1:20" ht="12" customHeight="1" x14ac:dyDescent="0.2">
      <c r="A487" s="4"/>
      <c r="B487" s="4"/>
      <c r="C487" s="4"/>
      <c r="D487" s="4"/>
      <c r="E487" s="49"/>
      <c r="F487" s="50"/>
      <c r="H487" s="37">
        <v>0</v>
      </c>
      <c r="I487" s="2"/>
      <c r="J487" s="69">
        <f>SUM('Archives Entrées'!$N487:$AAV487)</f>
        <v>0</v>
      </c>
      <c r="K487" s="51" t="str">
        <f t="shared" si="29"/>
        <v>0,00€</v>
      </c>
      <c r="L487" s="69">
        <f>SUM('Archives Sorties'!$M487:$AAY487)</f>
        <v>0</v>
      </c>
      <c r="M487" s="51" t="str">
        <f t="shared" si="30"/>
        <v>0,00€</v>
      </c>
      <c r="O487" s="72">
        <v>0</v>
      </c>
      <c r="P487" s="72">
        <v>0</v>
      </c>
      <c r="R487" s="185" t="str">
        <f t="shared" si="31"/>
        <v/>
      </c>
      <c r="S487" s="186" t="str">
        <f t="shared" si="32"/>
        <v/>
      </c>
      <c r="T487" s="187" t="str">
        <f>IF(R487="","",IF(O487=0,Famille!$D$5,IF(R487&lt;O487,Famille!$D$2,IF(R487&lt;=P487,Famille!$D$3,Famille!$D$4))))</f>
        <v/>
      </c>
    </row>
    <row r="488" spans="1:20" ht="12" customHeight="1" x14ac:dyDescent="0.2">
      <c r="A488" s="4"/>
      <c r="B488" s="4"/>
      <c r="C488" s="4"/>
      <c r="D488" s="4"/>
      <c r="E488" s="49"/>
      <c r="F488" s="50"/>
      <c r="H488" s="37">
        <v>0</v>
      </c>
      <c r="I488" s="2"/>
      <c r="J488" s="69">
        <f>SUM('Archives Entrées'!$N488:$AAV488)</f>
        <v>0</v>
      </c>
      <c r="K488" s="51" t="str">
        <f t="shared" si="29"/>
        <v>0,00€</v>
      </c>
      <c r="L488" s="69">
        <f>SUM('Archives Sorties'!$M488:$AAY488)</f>
        <v>0</v>
      </c>
      <c r="M488" s="51" t="str">
        <f t="shared" si="30"/>
        <v>0,00€</v>
      </c>
      <c r="O488" s="72">
        <v>0</v>
      </c>
      <c r="P488" s="72">
        <v>0</v>
      </c>
      <c r="R488" s="185" t="str">
        <f t="shared" si="31"/>
        <v/>
      </c>
      <c r="S488" s="186" t="str">
        <f t="shared" si="32"/>
        <v/>
      </c>
      <c r="T488" s="187" t="str">
        <f>IF(R488="","",IF(O488=0,Famille!$D$5,IF(R488&lt;O488,Famille!$D$2,IF(R488&lt;=P488,Famille!$D$3,Famille!$D$4))))</f>
        <v/>
      </c>
    </row>
    <row r="489" spans="1:20" ht="12" customHeight="1" x14ac:dyDescent="0.2">
      <c r="A489" s="4"/>
      <c r="B489" s="4"/>
      <c r="C489" s="4"/>
      <c r="D489" s="4"/>
      <c r="E489" s="49"/>
      <c r="F489" s="50"/>
      <c r="H489" s="37">
        <v>0</v>
      </c>
      <c r="I489" s="2"/>
      <c r="J489" s="69">
        <f>SUM('Archives Entrées'!$N489:$AAV489)</f>
        <v>0</v>
      </c>
      <c r="K489" s="51" t="str">
        <f t="shared" si="29"/>
        <v>0,00€</v>
      </c>
      <c r="L489" s="69">
        <f>SUM('Archives Sorties'!$M489:$AAY489)</f>
        <v>0</v>
      </c>
      <c r="M489" s="51" t="str">
        <f t="shared" si="30"/>
        <v>0,00€</v>
      </c>
      <c r="O489" s="72">
        <v>0</v>
      </c>
      <c r="P489" s="72">
        <v>0</v>
      </c>
      <c r="R489" s="185" t="str">
        <f t="shared" si="31"/>
        <v/>
      </c>
      <c r="S489" s="186" t="str">
        <f t="shared" si="32"/>
        <v/>
      </c>
      <c r="T489" s="187" t="str">
        <f>IF(R489="","",IF(O489=0,Famille!$D$5,IF(R489&lt;O489,Famille!$D$2,IF(R489&lt;=P489,Famille!$D$3,Famille!$D$4))))</f>
        <v/>
      </c>
    </row>
    <row r="490" spans="1:20" ht="12" customHeight="1" x14ac:dyDescent="0.2">
      <c r="A490" s="4"/>
      <c r="B490" s="4"/>
      <c r="C490" s="4"/>
      <c r="D490" s="4"/>
      <c r="E490" s="49"/>
      <c r="F490" s="50"/>
      <c r="H490" s="37">
        <v>0</v>
      </c>
      <c r="I490" s="2"/>
      <c r="J490" s="69">
        <f>SUM('Archives Entrées'!$N490:$AAV490)</f>
        <v>0</v>
      </c>
      <c r="K490" s="51" t="str">
        <f t="shared" si="29"/>
        <v>0,00€</v>
      </c>
      <c r="L490" s="69">
        <f>SUM('Archives Sorties'!$M490:$AAY490)</f>
        <v>0</v>
      </c>
      <c r="M490" s="51" t="str">
        <f t="shared" si="30"/>
        <v>0,00€</v>
      </c>
      <c r="O490" s="72">
        <v>0</v>
      </c>
      <c r="P490" s="72">
        <v>0</v>
      </c>
      <c r="R490" s="185" t="str">
        <f t="shared" si="31"/>
        <v/>
      </c>
      <c r="S490" s="186" t="str">
        <f t="shared" si="32"/>
        <v/>
      </c>
      <c r="T490" s="187" t="str">
        <f>IF(R490="","",IF(O490=0,Famille!$D$5,IF(R490&lt;O490,Famille!$D$2,IF(R490&lt;=P490,Famille!$D$3,Famille!$D$4))))</f>
        <v/>
      </c>
    </row>
    <row r="491" spans="1:20" ht="12" customHeight="1" x14ac:dyDescent="0.2">
      <c r="A491" s="4"/>
      <c r="B491" s="4"/>
      <c r="C491" s="4"/>
      <c r="D491" s="4"/>
      <c r="E491" s="49"/>
      <c r="F491" s="50"/>
      <c r="H491" s="37">
        <v>0</v>
      </c>
      <c r="I491" s="2"/>
      <c r="J491" s="69">
        <f>SUM('Archives Entrées'!$N491:$AAV491)</f>
        <v>0</v>
      </c>
      <c r="K491" s="51" t="str">
        <f t="shared" si="29"/>
        <v>0,00€</v>
      </c>
      <c r="L491" s="69">
        <f>SUM('Archives Sorties'!$M491:$AAY491)</f>
        <v>0</v>
      </c>
      <c r="M491" s="51" t="str">
        <f t="shared" si="30"/>
        <v>0,00€</v>
      </c>
      <c r="O491" s="72">
        <v>0</v>
      </c>
      <c r="P491" s="72">
        <v>0</v>
      </c>
      <c r="R491" s="185" t="str">
        <f t="shared" si="31"/>
        <v/>
      </c>
      <c r="S491" s="186" t="str">
        <f t="shared" si="32"/>
        <v/>
      </c>
      <c r="T491" s="187" t="str">
        <f>IF(R491="","",IF(O491=0,Famille!$D$5,IF(R491&lt;O491,Famille!$D$2,IF(R491&lt;=P491,Famille!$D$3,Famille!$D$4))))</f>
        <v/>
      </c>
    </row>
    <row r="492" spans="1:20" ht="12" customHeight="1" x14ac:dyDescent="0.2">
      <c r="A492" s="4"/>
      <c r="B492" s="4"/>
      <c r="C492" s="4"/>
      <c r="D492" s="4"/>
      <c r="E492" s="49"/>
      <c r="F492" s="50"/>
      <c r="H492" s="37">
        <v>0</v>
      </c>
      <c r="I492" s="2"/>
      <c r="J492" s="69">
        <f>SUM('Archives Entrées'!$N492:$AAV492)</f>
        <v>0</v>
      </c>
      <c r="K492" s="51" t="str">
        <f t="shared" si="29"/>
        <v>0,00€</v>
      </c>
      <c r="L492" s="69">
        <f>SUM('Archives Sorties'!$M492:$AAY492)</f>
        <v>0</v>
      </c>
      <c r="M492" s="51" t="str">
        <f t="shared" si="30"/>
        <v>0,00€</v>
      </c>
      <c r="O492" s="72">
        <v>0</v>
      </c>
      <c r="P492" s="72">
        <v>0</v>
      </c>
      <c r="R492" s="185" t="str">
        <f t="shared" si="31"/>
        <v/>
      </c>
      <c r="S492" s="186" t="str">
        <f t="shared" si="32"/>
        <v/>
      </c>
      <c r="T492" s="187" t="str">
        <f>IF(R492="","",IF(O492=0,Famille!$D$5,IF(R492&lt;O492,Famille!$D$2,IF(R492&lt;=P492,Famille!$D$3,Famille!$D$4))))</f>
        <v/>
      </c>
    </row>
    <row r="493" spans="1:20" ht="12" customHeight="1" x14ac:dyDescent="0.2">
      <c r="A493" s="4"/>
      <c r="B493" s="4"/>
      <c r="C493" s="4"/>
      <c r="D493" s="4"/>
      <c r="E493" s="49"/>
      <c r="F493" s="50"/>
      <c r="H493" s="37">
        <v>0</v>
      </c>
      <c r="I493" s="2"/>
      <c r="J493" s="69">
        <f>SUM('Archives Entrées'!$N493:$AAV493)</f>
        <v>0</v>
      </c>
      <c r="K493" s="51" t="str">
        <f t="shared" si="29"/>
        <v>0,00€</v>
      </c>
      <c r="L493" s="69">
        <f>SUM('Archives Sorties'!$M493:$AAY493)</f>
        <v>0</v>
      </c>
      <c r="M493" s="51" t="str">
        <f t="shared" si="30"/>
        <v>0,00€</v>
      </c>
      <c r="O493" s="72">
        <v>0</v>
      </c>
      <c r="P493" s="72">
        <v>0</v>
      </c>
      <c r="R493" s="185" t="str">
        <f t="shared" si="31"/>
        <v/>
      </c>
      <c r="S493" s="186" t="str">
        <f t="shared" si="32"/>
        <v/>
      </c>
      <c r="T493" s="187" t="str">
        <f>IF(R493="","",IF(O493=0,Famille!$D$5,IF(R493&lt;O493,Famille!$D$2,IF(R493&lt;=P493,Famille!$D$3,Famille!$D$4))))</f>
        <v/>
      </c>
    </row>
    <row r="494" spans="1:20" ht="12" customHeight="1" x14ac:dyDescent="0.2">
      <c r="A494" s="4"/>
      <c r="B494" s="4"/>
      <c r="C494" s="4"/>
      <c r="D494" s="4"/>
      <c r="E494" s="49"/>
      <c r="F494" s="50"/>
      <c r="H494" s="37">
        <v>0</v>
      </c>
      <c r="I494" s="2"/>
      <c r="J494" s="69">
        <f>SUM('Archives Entrées'!$N494:$AAV494)</f>
        <v>0</v>
      </c>
      <c r="K494" s="51" t="str">
        <f t="shared" si="29"/>
        <v>0,00€</v>
      </c>
      <c r="L494" s="69">
        <f>SUM('Archives Sorties'!$M494:$AAY494)</f>
        <v>0</v>
      </c>
      <c r="M494" s="51" t="str">
        <f t="shared" si="30"/>
        <v>0,00€</v>
      </c>
      <c r="O494" s="72">
        <v>0</v>
      </c>
      <c r="P494" s="72">
        <v>0</v>
      </c>
      <c r="R494" s="185" t="str">
        <f t="shared" si="31"/>
        <v/>
      </c>
      <c r="S494" s="186" t="str">
        <f t="shared" si="32"/>
        <v/>
      </c>
      <c r="T494" s="187" t="str">
        <f>IF(R494="","",IF(O494=0,Famille!$D$5,IF(R494&lt;O494,Famille!$D$2,IF(R494&lt;=P494,Famille!$D$3,Famille!$D$4))))</f>
        <v/>
      </c>
    </row>
    <row r="495" spans="1:20" ht="12" customHeight="1" x14ac:dyDescent="0.2">
      <c r="A495" s="4"/>
      <c r="B495" s="4"/>
      <c r="C495" s="4"/>
      <c r="D495" s="4"/>
      <c r="E495" s="49"/>
      <c r="F495" s="50"/>
      <c r="H495" s="37">
        <v>0</v>
      </c>
      <c r="I495" s="2"/>
      <c r="J495" s="69">
        <f>SUM('Archives Entrées'!$N495:$AAV495)</f>
        <v>0</v>
      </c>
      <c r="K495" s="51" t="str">
        <f t="shared" si="29"/>
        <v>0,00€</v>
      </c>
      <c r="L495" s="69">
        <f>SUM('Archives Sorties'!$M495:$AAY495)</f>
        <v>0</v>
      </c>
      <c r="M495" s="51" t="str">
        <f t="shared" si="30"/>
        <v>0,00€</v>
      </c>
      <c r="O495" s="72">
        <v>0</v>
      </c>
      <c r="P495" s="72">
        <v>0</v>
      </c>
      <c r="R495" s="185" t="str">
        <f t="shared" si="31"/>
        <v/>
      </c>
      <c r="S495" s="186" t="str">
        <f t="shared" si="32"/>
        <v/>
      </c>
      <c r="T495" s="187" t="str">
        <f>IF(R495="","",IF(O495=0,Famille!$D$5,IF(R495&lt;O495,Famille!$D$2,IF(R495&lt;=P495,Famille!$D$3,Famille!$D$4))))</f>
        <v/>
      </c>
    </row>
    <row r="496" spans="1:20" ht="12" customHeight="1" x14ac:dyDescent="0.2">
      <c r="A496" s="4"/>
      <c r="B496" s="4"/>
      <c r="C496" s="4"/>
      <c r="D496" s="4"/>
      <c r="E496" s="49"/>
      <c r="F496" s="50"/>
      <c r="H496" s="37">
        <v>0</v>
      </c>
      <c r="I496" s="2"/>
      <c r="J496" s="69">
        <f>SUM('Archives Entrées'!$N496:$AAV496)</f>
        <v>0</v>
      </c>
      <c r="K496" s="51" t="str">
        <f t="shared" si="29"/>
        <v>0,00€</v>
      </c>
      <c r="L496" s="69">
        <f>SUM('Archives Sorties'!$M496:$AAY496)</f>
        <v>0</v>
      </c>
      <c r="M496" s="51" t="str">
        <f t="shared" si="30"/>
        <v>0,00€</v>
      </c>
      <c r="O496" s="72">
        <v>0</v>
      </c>
      <c r="P496" s="72">
        <v>0</v>
      </c>
      <c r="R496" s="185" t="str">
        <f t="shared" si="31"/>
        <v/>
      </c>
      <c r="S496" s="186" t="str">
        <f t="shared" si="32"/>
        <v/>
      </c>
      <c r="T496" s="187" t="str">
        <f>IF(R496="","",IF(O496=0,Famille!$D$5,IF(R496&lt;O496,Famille!$D$2,IF(R496&lt;=P496,Famille!$D$3,Famille!$D$4))))</f>
        <v/>
      </c>
    </row>
    <row r="497" spans="1:20" ht="12" customHeight="1" x14ac:dyDescent="0.2">
      <c r="A497" s="4"/>
      <c r="B497" s="4"/>
      <c r="C497" s="4"/>
      <c r="D497" s="4"/>
      <c r="E497" s="49"/>
      <c r="F497" s="50"/>
      <c r="H497" s="37">
        <v>0</v>
      </c>
      <c r="I497" s="2"/>
      <c r="J497" s="69">
        <f>SUM('Archives Entrées'!$N497:$AAV497)</f>
        <v>0</v>
      </c>
      <c r="K497" s="51" t="str">
        <f t="shared" si="29"/>
        <v>0,00€</v>
      </c>
      <c r="L497" s="69">
        <f>SUM('Archives Sorties'!$M497:$AAY497)</f>
        <v>0</v>
      </c>
      <c r="M497" s="51" t="str">
        <f t="shared" si="30"/>
        <v>0,00€</v>
      </c>
      <c r="O497" s="72">
        <v>0</v>
      </c>
      <c r="P497" s="72">
        <v>0</v>
      </c>
      <c r="R497" s="185" t="str">
        <f t="shared" si="31"/>
        <v/>
      </c>
      <c r="S497" s="186" t="str">
        <f t="shared" si="32"/>
        <v/>
      </c>
      <c r="T497" s="187" t="str">
        <f>IF(R497="","",IF(O497=0,Famille!$D$5,IF(R497&lt;O497,Famille!$D$2,IF(R497&lt;=P497,Famille!$D$3,Famille!$D$4))))</f>
        <v/>
      </c>
    </row>
    <row r="498" spans="1:20" ht="12" customHeight="1" x14ac:dyDescent="0.2">
      <c r="A498" s="4"/>
      <c r="B498" s="4"/>
      <c r="C498" s="4"/>
      <c r="D498" s="4"/>
      <c r="E498" s="49"/>
      <c r="F498" s="50"/>
      <c r="H498" s="37">
        <v>0</v>
      </c>
      <c r="I498" s="2"/>
      <c r="J498" s="69">
        <f>SUM('Archives Entrées'!$N498:$AAV498)</f>
        <v>0</v>
      </c>
      <c r="K498" s="51" t="str">
        <f t="shared" si="29"/>
        <v>0,00€</v>
      </c>
      <c r="L498" s="69">
        <f>SUM('Archives Sorties'!$M498:$AAY498)</f>
        <v>0</v>
      </c>
      <c r="M498" s="51" t="str">
        <f t="shared" si="30"/>
        <v>0,00€</v>
      </c>
      <c r="O498" s="72">
        <v>0</v>
      </c>
      <c r="P498" s="72">
        <v>0</v>
      </c>
      <c r="R498" s="185" t="str">
        <f t="shared" si="31"/>
        <v/>
      </c>
      <c r="S498" s="186" t="str">
        <f t="shared" si="32"/>
        <v/>
      </c>
      <c r="T498" s="187" t="str">
        <f>IF(R498="","",IF(O498=0,Famille!$D$5,IF(R498&lt;O498,Famille!$D$2,IF(R498&lt;=P498,Famille!$D$3,Famille!$D$4))))</f>
        <v/>
      </c>
    </row>
    <row r="499" spans="1:20" ht="12" customHeight="1" x14ac:dyDescent="0.2">
      <c r="A499" s="4"/>
      <c r="B499" s="4"/>
      <c r="C499" s="4"/>
      <c r="D499" s="4"/>
      <c r="E499" s="49"/>
      <c r="F499" s="50"/>
      <c r="H499" s="37">
        <v>0</v>
      </c>
      <c r="I499" s="2"/>
      <c r="J499" s="69">
        <f>SUM('Archives Entrées'!$N499:$AAV499)</f>
        <v>0</v>
      </c>
      <c r="K499" s="51" t="str">
        <f t="shared" si="29"/>
        <v>0,00€</v>
      </c>
      <c r="L499" s="69">
        <f>SUM('Archives Sorties'!$M499:$AAY499)</f>
        <v>0</v>
      </c>
      <c r="M499" s="51" t="str">
        <f t="shared" si="30"/>
        <v>0,00€</v>
      </c>
      <c r="O499" s="72">
        <v>0</v>
      </c>
      <c r="P499" s="72">
        <v>0</v>
      </c>
      <c r="R499" s="185" t="str">
        <f t="shared" si="31"/>
        <v/>
      </c>
      <c r="S499" s="186" t="str">
        <f t="shared" si="32"/>
        <v/>
      </c>
      <c r="T499" s="187" t="str">
        <f>IF(R499="","",IF(O499=0,Famille!$D$5,IF(R499&lt;O499,Famille!$D$2,IF(R499&lt;=P499,Famille!$D$3,Famille!$D$4))))</f>
        <v/>
      </c>
    </row>
    <row r="500" spans="1:20" ht="12" customHeight="1" x14ac:dyDescent="0.2">
      <c r="A500" s="4"/>
      <c r="B500" s="4"/>
      <c r="C500" s="4"/>
      <c r="D500" s="4"/>
      <c r="E500" s="49"/>
      <c r="F500" s="50"/>
      <c r="H500" s="37">
        <v>0</v>
      </c>
      <c r="I500" s="2"/>
      <c r="J500" s="69">
        <f>SUM('Archives Entrées'!$N500:$AAV500)</f>
        <v>0</v>
      </c>
      <c r="K500" s="51" t="str">
        <f t="shared" si="29"/>
        <v>0,00€</v>
      </c>
      <c r="L500" s="69">
        <f>SUM('Archives Sorties'!$M500:$AAY500)</f>
        <v>0</v>
      </c>
      <c r="M500" s="51" t="str">
        <f t="shared" si="30"/>
        <v>0,00€</v>
      </c>
      <c r="O500" s="72">
        <v>0</v>
      </c>
      <c r="P500" s="72">
        <v>0</v>
      </c>
      <c r="R500" s="185" t="str">
        <f t="shared" si="31"/>
        <v/>
      </c>
      <c r="S500" s="186" t="str">
        <f t="shared" si="32"/>
        <v/>
      </c>
      <c r="T500" s="187" t="str">
        <f>IF(R500="","",IF(O500=0,Famille!$D$5,IF(R500&lt;O500,Famille!$D$2,IF(R500&lt;=P500,Famille!$D$3,Famille!$D$4))))</f>
        <v/>
      </c>
    </row>
    <row r="501" spans="1:20" ht="12" customHeight="1" x14ac:dyDescent="0.2">
      <c r="A501" s="4"/>
      <c r="B501" s="4"/>
      <c r="C501" s="4"/>
      <c r="D501" s="4"/>
      <c r="E501" s="49"/>
      <c r="F501" s="50"/>
      <c r="H501" s="37">
        <v>0</v>
      </c>
      <c r="I501" s="2"/>
      <c r="J501" s="69">
        <f>SUM('Archives Entrées'!$N501:$AAV501)</f>
        <v>0</v>
      </c>
      <c r="K501" s="51" t="str">
        <f t="shared" si="29"/>
        <v>0,00€</v>
      </c>
      <c r="L501" s="69">
        <f>SUM('Archives Sorties'!$M501:$AAY501)</f>
        <v>0</v>
      </c>
      <c r="M501" s="51" t="str">
        <f t="shared" si="30"/>
        <v>0,00€</v>
      </c>
      <c r="O501" s="72">
        <v>0</v>
      </c>
      <c r="P501" s="72">
        <v>0</v>
      </c>
      <c r="R501" s="185" t="str">
        <f t="shared" si="31"/>
        <v/>
      </c>
      <c r="S501" s="186" t="str">
        <f t="shared" si="32"/>
        <v/>
      </c>
      <c r="T501" s="187" t="str">
        <f>IF(R501="","",IF(O501=0,Famille!$D$5,IF(R501&lt;O501,Famille!$D$2,IF(R501&lt;=P501,Famille!$D$3,Famille!$D$4))))</f>
        <v/>
      </c>
    </row>
    <row r="502" spans="1:20" ht="12" customHeight="1" x14ac:dyDescent="0.2">
      <c r="A502" s="4"/>
      <c r="B502" s="4"/>
      <c r="C502" s="4"/>
      <c r="D502" s="4"/>
      <c r="E502" s="49"/>
      <c r="F502" s="50"/>
      <c r="H502" s="37">
        <v>0</v>
      </c>
      <c r="I502" s="2"/>
      <c r="J502" s="69">
        <f>SUM('Archives Entrées'!$N502:$AAV502)</f>
        <v>0</v>
      </c>
      <c r="K502" s="51" t="str">
        <f t="shared" si="29"/>
        <v>0,00€</v>
      </c>
      <c r="L502" s="69">
        <f>SUM('Archives Sorties'!$M502:$AAY502)</f>
        <v>0</v>
      </c>
      <c r="M502" s="51" t="str">
        <f t="shared" si="30"/>
        <v>0,00€</v>
      </c>
      <c r="O502" s="72">
        <v>0</v>
      </c>
      <c r="P502" s="72">
        <v>0</v>
      </c>
      <c r="R502" s="185" t="str">
        <f t="shared" si="31"/>
        <v/>
      </c>
      <c r="S502" s="186" t="str">
        <f t="shared" si="32"/>
        <v/>
      </c>
      <c r="T502" s="187" t="str">
        <f>IF(R502="","",IF(O502=0,Famille!$D$5,IF(R502&lt;O502,Famille!$D$2,IF(R502&lt;=P502,Famille!$D$3,Famille!$D$4))))</f>
        <v/>
      </c>
    </row>
    <row r="503" spans="1:20" ht="12" customHeight="1" x14ac:dyDescent="0.2">
      <c r="A503" s="4"/>
      <c r="B503" s="4"/>
      <c r="C503" s="4"/>
      <c r="D503" s="4"/>
      <c r="E503" s="49"/>
      <c r="F503" s="50"/>
      <c r="H503" s="37">
        <v>0</v>
      </c>
      <c r="I503" s="2"/>
      <c r="J503" s="69">
        <f>SUM('Archives Entrées'!$N503:$AAV503)</f>
        <v>0</v>
      </c>
      <c r="K503" s="51" t="str">
        <f t="shared" si="29"/>
        <v>0,00€</v>
      </c>
      <c r="L503" s="69">
        <f>SUM('Archives Sorties'!$M503:$AAY503)</f>
        <v>0</v>
      </c>
      <c r="M503" s="51" t="str">
        <f t="shared" si="30"/>
        <v>0,00€</v>
      </c>
      <c r="O503" s="72">
        <v>0</v>
      </c>
      <c r="P503" s="72">
        <v>0</v>
      </c>
      <c r="R503" s="185" t="str">
        <f t="shared" si="31"/>
        <v/>
      </c>
      <c r="S503" s="186" t="str">
        <f t="shared" si="32"/>
        <v/>
      </c>
      <c r="T503" s="187" t="str">
        <f>IF(R503="","",IF(O503=0,Famille!$D$5,IF(R503&lt;O503,Famille!$D$2,IF(R503&lt;=P503,Famille!$D$3,Famille!$D$4))))</f>
        <v/>
      </c>
    </row>
    <row r="504" spans="1:20" ht="12" customHeight="1" x14ac:dyDescent="0.2">
      <c r="A504" s="4"/>
      <c r="B504" s="4"/>
      <c r="C504" s="4"/>
      <c r="D504" s="4"/>
      <c r="E504" s="49"/>
      <c r="F504" s="50"/>
      <c r="H504" s="37">
        <v>0</v>
      </c>
      <c r="I504" s="2"/>
      <c r="J504" s="69">
        <f>SUM('Archives Entrées'!$N504:$AAV504)</f>
        <v>0</v>
      </c>
      <c r="K504" s="51" t="str">
        <f t="shared" si="29"/>
        <v>0,00€</v>
      </c>
      <c r="L504" s="69">
        <f>SUM('Archives Sorties'!$M504:$AAY504)</f>
        <v>0</v>
      </c>
      <c r="M504" s="51" t="str">
        <f t="shared" si="30"/>
        <v>0,00€</v>
      </c>
      <c r="O504" s="72">
        <v>0</v>
      </c>
      <c r="P504" s="72">
        <v>0</v>
      </c>
      <c r="R504" s="185" t="str">
        <f t="shared" si="31"/>
        <v/>
      </c>
      <c r="S504" s="186" t="str">
        <f t="shared" si="32"/>
        <v/>
      </c>
      <c r="T504" s="187" t="str">
        <f>IF(R504="","",IF(O504=0,Famille!$D$5,IF(R504&lt;O504,Famille!$D$2,IF(R504&lt;=P504,Famille!$D$3,Famille!$D$4))))</f>
        <v/>
      </c>
    </row>
    <row r="505" spans="1:20" ht="12" customHeight="1" x14ac:dyDescent="0.2">
      <c r="A505" s="4"/>
      <c r="B505" s="4"/>
      <c r="C505" s="4"/>
      <c r="D505" s="4"/>
      <c r="E505" s="49"/>
      <c r="F505" s="50"/>
      <c r="H505" s="37">
        <v>0</v>
      </c>
      <c r="I505" s="2"/>
      <c r="J505" s="69">
        <f>SUM('Archives Entrées'!$N505:$AAV505)</f>
        <v>0</v>
      </c>
      <c r="K505" s="51" t="str">
        <f t="shared" si="29"/>
        <v>0,00€</v>
      </c>
      <c r="L505" s="69">
        <f>SUM('Archives Sorties'!$M505:$AAY505)</f>
        <v>0</v>
      </c>
      <c r="M505" s="51" t="str">
        <f t="shared" si="30"/>
        <v>0,00€</v>
      </c>
      <c r="O505" s="72">
        <v>0</v>
      </c>
      <c r="P505" s="72">
        <v>0</v>
      </c>
      <c r="R505" s="185" t="str">
        <f t="shared" si="31"/>
        <v/>
      </c>
      <c r="S505" s="186" t="str">
        <f t="shared" si="32"/>
        <v/>
      </c>
      <c r="T505" s="187" t="str">
        <f>IF(R505="","",IF(O505=0,Famille!$D$5,IF(R505&lt;O505,Famille!$D$2,IF(R505&lt;=P505,Famille!$D$3,Famille!$D$4))))</f>
        <v/>
      </c>
    </row>
    <row r="506" spans="1:20" ht="12" customHeight="1" x14ac:dyDescent="0.2">
      <c r="A506" s="4"/>
      <c r="B506" s="4"/>
      <c r="C506" s="4"/>
      <c r="D506" s="4"/>
      <c r="E506" s="49"/>
      <c r="F506" s="50"/>
      <c r="H506" s="37">
        <v>0</v>
      </c>
      <c r="I506" s="2"/>
      <c r="J506" s="69">
        <f>SUM('Archives Entrées'!$N506:$AAV506)</f>
        <v>0</v>
      </c>
      <c r="K506" s="51" t="str">
        <f t="shared" si="29"/>
        <v>0,00€</v>
      </c>
      <c r="L506" s="69">
        <f>SUM('Archives Sorties'!$M506:$AAY506)</f>
        <v>0</v>
      </c>
      <c r="M506" s="51" t="str">
        <f t="shared" si="30"/>
        <v>0,00€</v>
      </c>
      <c r="O506" s="72">
        <v>0</v>
      </c>
      <c r="P506" s="72">
        <v>0</v>
      </c>
      <c r="R506" s="185" t="str">
        <f t="shared" si="31"/>
        <v/>
      </c>
      <c r="S506" s="186" t="str">
        <f t="shared" si="32"/>
        <v/>
      </c>
      <c r="T506" s="187" t="str">
        <f>IF(R506="","",IF(O506=0,Famille!$D$5,IF(R506&lt;O506,Famille!$D$2,IF(R506&lt;=P506,Famille!$D$3,Famille!$D$4))))</f>
        <v/>
      </c>
    </row>
    <row r="507" spans="1:20" ht="12" customHeight="1" x14ac:dyDescent="0.2">
      <c r="A507" s="4"/>
      <c r="B507" s="4"/>
      <c r="C507" s="4"/>
      <c r="D507" s="4"/>
      <c r="E507" s="49"/>
      <c r="F507" s="50"/>
      <c r="H507" s="37">
        <v>0</v>
      </c>
      <c r="I507" s="2"/>
      <c r="J507" s="69">
        <f>SUM('Archives Entrées'!$N507:$AAV507)</f>
        <v>0</v>
      </c>
      <c r="K507" s="51" t="str">
        <f t="shared" si="29"/>
        <v>0,00€</v>
      </c>
      <c r="L507" s="69">
        <f>SUM('Archives Sorties'!$M507:$AAY507)</f>
        <v>0</v>
      </c>
      <c r="M507" s="51" t="str">
        <f t="shared" si="30"/>
        <v>0,00€</v>
      </c>
      <c r="O507" s="72">
        <v>0</v>
      </c>
      <c r="P507" s="72">
        <v>0</v>
      </c>
      <c r="R507" s="185" t="str">
        <f t="shared" si="31"/>
        <v/>
      </c>
      <c r="S507" s="186" t="str">
        <f t="shared" si="32"/>
        <v/>
      </c>
      <c r="T507" s="187" t="str">
        <f>IF(R507="","",IF(O507=0,Famille!$D$5,IF(R507&lt;O507,Famille!$D$2,IF(R507&lt;=P507,Famille!$D$3,Famille!$D$4))))</f>
        <v/>
      </c>
    </row>
    <row r="508" spans="1:20" ht="12" customHeight="1" x14ac:dyDescent="0.2">
      <c r="A508" s="4"/>
      <c r="B508" s="4"/>
      <c r="C508" s="4"/>
      <c r="D508" s="4"/>
      <c r="E508" s="49"/>
      <c r="F508" s="50"/>
      <c r="H508" s="37">
        <v>0</v>
      </c>
      <c r="I508" s="2"/>
      <c r="J508" s="69">
        <f>SUM('Archives Entrées'!$N508:$AAV508)</f>
        <v>0</v>
      </c>
      <c r="K508" s="51" t="str">
        <f t="shared" si="29"/>
        <v>0,00€</v>
      </c>
      <c r="L508" s="69">
        <f>SUM('Archives Sorties'!$M508:$AAY508)</f>
        <v>0</v>
      </c>
      <c r="M508" s="51" t="str">
        <f t="shared" si="30"/>
        <v>0,00€</v>
      </c>
      <c r="O508" s="72">
        <v>0</v>
      </c>
      <c r="P508" s="72">
        <v>0</v>
      </c>
      <c r="R508" s="185" t="str">
        <f t="shared" si="31"/>
        <v/>
      </c>
      <c r="S508" s="186" t="str">
        <f t="shared" si="32"/>
        <v/>
      </c>
      <c r="T508" s="187" t="str">
        <f>IF(R508="","",IF(O508=0,Famille!$D$5,IF(R508&lt;O508,Famille!$D$2,IF(R508&lt;=P508,Famille!$D$3,Famille!$D$4))))</f>
        <v/>
      </c>
    </row>
    <row r="509" spans="1:20" ht="12" customHeight="1" x14ac:dyDescent="0.2">
      <c r="A509" s="4"/>
      <c r="B509" s="4"/>
      <c r="C509" s="4"/>
      <c r="D509" s="4"/>
      <c r="E509" s="49"/>
      <c r="F509" s="50"/>
      <c r="H509" s="37">
        <v>0</v>
      </c>
      <c r="I509" s="2"/>
      <c r="J509" s="69">
        <f>SUM('Archives Entrées'!$N509:$AAV509)</f>
        <v>0</v>
      </c>
      <c r="K509" s="51" t="str">
        <f t="shared" si="29"/>
        <v>0,00€</v>
      </c>
      <c r="L509" s="69">
        <f>SUM('Archives Sorties'!$M509:$AAY509)</f>
        <v>0</v>
      </c>
      <c r="M509" s="51" t="str">
        <f t="shared" si="30"/>
        <v>0,00€</v>
      </c>
      <c r="O509" s="72">
        <v>0</v>
      </c>
      <c r="P509" s="72">
        <v>0</v>
      </c>
      <c r="R509" s="185" t="str">
        <f t="shared" si="31"/>
        <v/>
      </c>
      <c r="S509" s="186" t="str">
        <f t="shared" si="32"/>
        <v/>
      </c>
      <c r="T509" s="187" t="str">
        <f>IF(R509="","",IF(O509=0,Famille!$D$5,IF(R509&lt;O509,Famille!$D$2,IF(R509&lt;=P509,Famille!$D$3,Famille!$D$4))))</f>
        <v/>
      </c>
    </row>
    <row r="510" spans="1:20" ht="12" customHeight="1" x14ac:dyDescent="0.2">
      <c r="A510" s="4"/>
      <c r="B510" s="4"/>
      <c r="C510" s="4"/>
      <c r="D510" s="4"/>
      <c r="E510" s="49"/>
      <c r="F510" s="50"/>
      <c r="H510" s="37">
        <v>0</v>
      </c>
      <c r="I510" s="2"/>
      <c r="J510" s="69">
        <f>SUM('Archives Entrées'!$N510:$AAV510)</f>
        <v>0</v>
      </c>
      <c r="K510" s="51" t="str">
        <f t="shared" si="29"/>
        <v>0,00€</v>
      </c>
      <c r="L510" s="69">
        <f>SUM('Archives Sorties'!$M510:$AAY510)</f>
        <v>0</v>
      </c>
      <c r="M510" s="51" t="str">
        <f t="shared" si="30"/>
        <v>0,00€</v>
      </c>
      <c r="O510" s="72">
        <v>0</v>
      </c>
      <c r="P510" s="72">
        <v>0</v>
      </c>
      <c r="R510" s="185" t="str">
        <f t="shared" si="31"/>
        <v/>
      </c>
      <c r="S510" s="186" t="str">
        <f t="shared" si="32"/>
        <v/>
      </c>
      <c r="T510" s="187" t="str">
        <f>IF(R510="","",IF(O510=0,Famille!$D$5,IF(R510&lt;O510,Famille!$D$2,IF(R510&lt;=P510,Famille!$D$3,Famille!$D$4))))</f>
        <v/>
      </c>
    </row>
    <row r="511" spans="1:20" ht="12" customHeight="1" x14ac:dyDescent="0.2">
      <c r="A511" s="4"/>
      <c r="B511" s="4"/>
      <c r="C511" s="4"/>
      <c r="D511" s="4"/>
      <c r="E511" s="49"/>
      <c r="F511" s="50"/>
      <c r="H511" s="37">
        <v>0</v>
      </c>
      <c r="I511" s="2"/>
      <c r="J511" s="69">
        <f>SUM('Archives Entrées'!$N511:$AAV511)</f>
        <v>0</v>
      </c>
      <c r="K511" s="51" t="str">
        <f t="shared" si="29"/>
        <v>0,00€</v>
      </c>
      <c r="L511" s="69">
        <f>SUM('Archives Sorties'!$M511:$AAY511)</f>
        <v>0</v>
      </c>
      <c r="M511" s="51" t="str">
        <f t="shared" si="30"/>
        <v>0,00€</v>
      </c>
      <c r="O511" s="72">
        <v>0</v>
      </c>
      <c r="P511" s="72">
        <v>0</v>
      </c>
      <c r="R511" s="185" t="str">
        <f t="shared" si="31"/>
        <v/>
      </c>
      <c r="S511" s="186" t="str">
        <f t="shared" si="32"/>
        <v/>
      </c>
      <c r="T511" s="187" t="str">
        <f>IF(R511="","",IF(O511=0,Famille!$D$5,IF(R511&lt;O511,Famille!$D$2,IF(R511&lt;=P511,Famille!$D$3,Famille!$D$4))))</f>
        <v/>
      </c>
    </row>
    <row r="512" spans="1:20" ht="12" customHeight="1" x14ac:dyDescent="0.2">
      <c r="A512" s="4"/>
      <c r="B512" s="4"/>
      <c r="C512" s="4"/>
      <c r="D512" s="4"/>
      <c r="E512" s="49"/>
      <c r="F512" s="50"/>
      <c r="H512" s="37">
        <v>0</v>
      </c>
      <c r="I512" s="2"/>
      <c r="J512" s="69">
        <f>SUM('Archives Entrées'!$N512:$AAV512)</f>
        <v>0</v>
      </c>
      <c r="K512" s="51" t="str">
        <f t="shared" si="29"/>
        <v>0,00€</v>
      </c>
      <c r="L512" s="69">
        <f>SUM('Archives Sorties'!$M512:$AAY512)</f>
        <v>0</v>
      </c>
      <c r="M512" s="51" t="str">
        <f t="shared" si="30"/>
        <v>0,00€</v>
      </c>
      <c r="O512" s="72">
        <v>0</v>
      </c>
      <c r="P512" s="72">
        <v>0</v>
      </c>
      <c r="R512" s="185" t="str">
        <f t="shared" si="31"/>
        <v/>
      </c>
      <c r="S512" s="186" t="str">
        <f t="shared" si="32"/>
        <v/>
      </c>
      <c r="T512" s="187" t="str">
        <f>IF(R512="","",IF(O512=0,Famille!$D$5,IF(R512&lt;O512,Famille!$D$2,IF(R512&lt;=P512,Famille!$D$3,Famille!$D$4))))</f>
        <v/>
      </c>
    </row>
    <row r="513" spans="1:20" ht="12" customHeight="1" x14ac:dyDescent="0.2">
      <c r="A513" s="4"/>
      <c r="B513" s="4"/>
      <c r="C513" s="4"/>
      <c r="D513" s="4"/>
      <c r="E513" s="49"/>
      <c r="F513" s="50"/>
      <c r="H513" s="37">
        <v>0</v>
      </c>
      <c r="I513" s="2"/>
      <c r="J513" s="69">
        <f>SUM('Archives Entrées'!$N513:$AAV513)</f>
        <v>0</v>
      </c>
      <c r="K513" s="51" t="str">
        <f t="shared" si="29"/>
        <v>0,00€</v>
      </c>
      <c r="L513" s="69">
        <f>SUM('Archives Sorties'!$M513:$AAY513)</f>
        <v>0</v>
      </c>
      <c r="M513" s="51" t="str">
        <f t="shared" si="30"/>
        <v>0,00€</v>
      </c>
      <c r="O513" s="72">
        <v>0</v>
      </c>
      <c r="P513" s="72">
        <v>0</v>
      </c>
      <c r="R513" s="185" t="str">
        <f t="shared" si="31"/>
        <v/>
      </c>
      <c r="S513" s="186" t="str">
        <f t="shared" si="32"/>
        <v/>
      </c>
      <c r="T513" s="187" t="str">
        <f>IF(R513="","",IF(O513=0,Famille!$D$5,IF(R513&lt;O513,Famille!$D$2,IF(R513&lt;=P513,Famille!$D$3,Famille!$D$4))))</f>
        <v/>
      </c>
    </row>
    <row r="514" spans="1:20" ht="12" customHeight="1" x14ac:dyDescent="0.2">
      <c r="A514" s="4"/>
      <c r="B514" s="4"/>
      <c r="C514" s="4"/>
      <c r="D514" s="4"/>
      <c r="E514" s="49"/>
      <c r="F514" s="50"/>
      <c r="H514" s="37">
        <v>0</v>
      </c>
      <c r="I514" s="2"/>
      <c r="J514" s="69">
        <f>SUM('Archives Entrées'!$N514:$AAV514)</f>
        <v>0</v>
      </c>
      <c r="K514" s="51" t="str">
        <f t="shared" si="29"/>
        <v>0,00€</v>
      </c>
      <c r="L514" s="69">
        <f>SUM('Archives Sorties'!$M514:$AAY514)</f>
        <v>0</v>
      </c>
      <c r="M514" s="51" t="str">
        <f t="shared" si="30"/>
        <v>0,00€</v>
      </c>
      <c r="O514" s="72">
        <v>0</v>
      </c>
      <c r="P514" s="72">
        <v>0</v>
      </c>
      <c r="R514" s="185" t="str">
        <f t="shared" si="31"/>
        <v/>
      </c>
      <c r="S514" s="186" t="str">
        <f t="shared" si="32"/>
        <v/>
      </c>
      <c r="T514" s="187" t="str">
        <f>IF(R514="","",IF(O514=0,Famille!$D$5,IF(R514&lt;O514,Famille!$D$2,IF(R514&lt;=P514,Famille!$D$3,Famille!$D$4))))</f>
        <v/>
      </c>
    </row>
    <row r="515" spans="1:20" ht="12" customHeight="1" x14ac:dyDescent="0.2">
      <c r="A515" s="4"/>
      <c r="B515" s="4"/>
      <c r="C515" s="4"/>
      <c r="D515" s="4"/>
      <c r="E515" s="49"/>
      <c r="F515" s="50"/>
      <c r="H515" s="37">
        <v>0</v>
      </c>
      <c r="I515" s="2"/>
      <c r="J515" s="69">
        <f>SUM('Archives Entrées'!$N515:$AAV515)</f>
        <v>0</v>
      </c>
      <c r="K515" s="51" t="str">
        <f t="shared" si="29"/>
        <v>0,00€</v>
      </c>
      <c r="L515" s="69">
        <f>SUM('Archives Sorties'!$M515:$AAY515)</f>
        <v>0</v>
      </c>
      <c r="M515" s="51" t="str">
        <f t="shared" si="30"/>
        <v>0,00€</v>
      </c>
      <c r="O515" s="72">
        <v>0</v>
      </c>
      <c r="P515" s="72">
        <v>0</v>
      </c>
      <c r="R515" s="185" t="str">
        <f t="shared" si="31"/>
        <v/>
      </c>
      <c r="S515" s="186" t="str">
        <f t="shared" si="32"/>
        <v/>
      </c>
      <c r="T515" s="187" t="str">
        <f>IF(R515="","",IF(O515=0,Famille!$D$5,IF(R515&lt;O515,Famille!$D$2,IF(R515&lt;=P515,Famille!$D$3,Famille!$D$4))))</f>
        <v/>
      </c>
    </row>
    <row r="516" spans="1:20" ht="12" customHeight="1" x14ac:dyDescent="0.2">
      <c r="A516" s="4"/>
      <c r="B516" s="4"/>
      <c r="C516" s="4"/>
      <c r="D516" s="4"/>
      <c r="E516" s="49"/>
      <c r="F516" s="50"/>
      <c r="H516" s="37">
        <v>0</v>
      </c>
      <c r="I516" s="2"/>
      <c r="J516" s="69">
        <f>SUM('Archives Entrées'!$N516:$AAV516)</f>
        <v>0</v>
      </c>
      <c r="K516" s="51" t="str">
        <f t="shared" si="29"/>
        <v>0,00€</v>
      </c>
      <c r="L516" s="69">
        <f>SUM('Archives Sorties'!$M516:$AAY516)</f>
        <v>0</v>
      </c>
      <c r="M516" s="51" t="str">
        <f t="shared" si="30"/>
        <v>0,00€</v>
      </c>
      <c r="O516" s="72">
        <v>0</v>
      </c>
      <c r="P516" s="72">
        <v>0</v>
      </c>
      <c r="R516" s="185" t="str">
        <f t="shared" si="31"/>
        <v/>
      </c>
      <c r="S516" s="186" t="str">
        <f t="shared" si="32"/>
        <v/>
      </c>
      <c r="T516" s="187" t="str">
        <f>IF(R516="","",IF(O516=0,Famille!$D$5,IF(R516&lt;O516,Famille!$D$2,IF(R516&lt;=P516,Famille!$D$3,Famille!$D$4))))</f>
        <v/>
      </c>
    </row>
    <row r="517" spans="1:20" ht="12" customHeight="1" x14ac:dyDescent="0.2">
      <c r="A517" s="4"/>
      <c r="B517" s="4"/>
      <c r="C517" s="4"/>
      <c r="D517" s="4"/>
      <c r="E517" s="49"/>
      <c r="F517" s="50"/>
      <c r="H517" s="37">
        <v>0</v>
      </c>
      <c r="I517" s="2"/>
      <c r="J517" s="69">
        <f>SUM('Archives Entrées'!$N517:$AAV517)</f>
        <v>0</v>
      </c>
      <c r="K517" s="51" t="str">
        <f t="shared" ref="K517:K580" si="33">IF(J517=0,"0,00€",J517*F517)</f>
        <v>0,00€</v>
      </c>
      <c r="L517" s="69">
        <f>SUM('Archives Sorties'!$M517:$AAY517)</f>
        <v>0</v>
      </c>
      <c r="M517" s="51" t="str">
        <f t="shared" ref="M517:M580" si="34">IF(L517=0,"0,00€",L517*F517)</f>
        <v>0,00€</v>
      </c>
      <c r="O517" s="72">
        <v>0</v>
      </c>
      <c r="P517" s="72">
        <v>0</v>
      </c>
      <c r="R517" s="185" t="str">
        <f t="shared" ref="R517:R580" si="35">IF(A517="","",((J517+H517)-L517))</f>
        <v/>
      </c>
      <c r="S517" s="186" t="str">
        <f t="shared" ref="S517:S580" si="36">IF(R517="","",IF(R517=0,0,IF(R517&lt;O517,0,IF(R517&lt;=P517,1,2))))</f>
        <v/>
      </c>
      <c r="T517" s="187" t="str">
        <f>IF(R517="","",IF(O517=0,Famille!$D$5,IF(R517&lt;O517,Famille!$D$2,IF(R517&lt;=P517,Famille!$D$3,Famille!$D$4))))</f>
        <v/>
      </c>
    </row>
    <row r="518" spans="1:20" ht="12" customHeight="1" x14ac:dyDescent="0.2">
      <c r="A518" s="4"/>
      <c r="B518" s="4"/>
      <c r="C518" s="4"/>
      <c r="D518" s="4"/>
      <c r="E518" s="49"/>
      <c r="F518" s="50"/>
      <c r="H518" s="37">
        <v>0</v>
      </c>
      <c r="I518" s="2"/>
      <c r="J518" s="69">
        <f>SUM('Archives Entrées'!$N518:$AAV518)</f>
        <v>0</v>
      </c>
      <c r="K518" s="51" t="str">
        <f t="shared" si="33"/>
        <v>0,00€</v>
      </c>
      <c r="L518" s="69">
        <f>SUM('Archives Sorties'!$M518:$AAY518)</f>
        <v>0</v>
      </c>
      <c r="M518" s="51" t="str">
        <f t="shared" si="34"/>
        <v>0,00€</v>
      </c>
      <c r="O518" s="72">
        <v>0</v>
      </c>
      <c r="P518" s="72">
        <v>0</v>
      </c>
      <c r="R518" s="185" t="str">
        <f t="shared" si="35"/>
        <v/>
      </c>
      <c r="S518" s="186" t="str">
        <f t="shared" si="36"/>
        <v/>
      </c>
      <c r="T518" s="187" t="str">
        <f>IF(R518="","",IF(O518=0,Famille!$D$5,IF(R518&lt;O518,Famille!$D$2,IF(R518&lt;=P518,Famille!$D$3,Famille!$D$4))))</f>
        <v/>
      </c>
    </row>
    <row r="519" spans="1:20" ht="12" customHeight="1" x14ac:dyDescent="0.2">
      <c r="A519" s="4"/>
      <c r="B519" s="4"/>
      <c r="C519" s="4"/>
      <c r="D519" s="4"/>
      <c r="E519" s="49"/>
      <c r="F519" s="50"/>
      <c r="H519" s="37">
        <v>0</v>
      </c>
      <c r="I519" s="2"/>
      <c r="J519" s="69">
        <f>SUM('Archives Entrées'!$N519:$AAV519)</f>
        <v>0</v>
      </c>
      <c r="K519" s="51" t="str">
        <f t="shared" si="33"/>
        <v>0,00€</v>
      </c>
      <c r="L519" s="69">
        <f>SUM('Archives Sorties'!$M519:$AAY519)</f>
        <v>0</v>
      </c>
      <c r="M519" s="51" t="str">
        <f t="shared" si="34"/>
        <v>0,00€</v>
      </c>
      <c r="O519" s="72">
        <v>0</v>
      </c>
      <c r="P519" s="72">
        <v>0</v>
      </c>
      <c r="R519" s="185" t="str">
        <f t="shared" si="35"/>
        <v/>
      </c>
      <c r="S519" s="186" t="str">
        <f t="shared" si="36"/>
        <v/>
      </c>
      <c r="T519" s="187" t="str">
        <f>IF(R519="","",IF(O519=0,Famille!$D$5,IF(R519&lt;O519,Famille!$D$2,IF(R519&lt;=P519,Famille!$D$3,Famille!$D$4))))</f>
        <v/>
      </c>
    </row>
    <row r="520" spans="1:20" ht="12" customHeight="1" x14ac:dyDescent="0.2">
      <c r="A520" s="4"/>
      <c r="B520" s="4"/>
      <c r="C520" s="4"/>
      <c r="D520" s="4"/>
      <c r="E520" s="49"/>
      <c r="F520" s="50"/>
      <c r="H520" s="37">
        <v>0</v>
      </c>
      <c r="I520" s="2"/>
      <c r="J520" s="69">
        <f>SUM('Archives Entrées'!$N520:$AAV520)</f>
        <v>0</v>
      </c>
      <c r="K520" s="51" t="str">
        <f t="shared" si="33"/>
        <v>0,00€</v>
      </c>
      <c r="L520" s="69">
        <f>SUM('Archives Sorties'!$M520:$AAY520)</f>
        <v>0</v>
      </c>
      <c r="M520" s="51" t="str">
        <f t="shared" si="34"/>
        <v>0,00€</v>
      </c>
      <c r="O520" s="72">
        <v>0</v>
      </c>
      <c r="P520" s="72">
        <v>0</v>
      </c>
      <c r="R520" s="185" t="str">
        <f t="shared" si="35"/>
        <v/>
      </c>
      <c r="S520" s="186" t="str">
        <f t="shared" si="36"/>
        <v/>
      </c>
      <c r="T520" s="187" t="str">
        <f>IF(R520="","",IF(O520=0,Famille!$D$5,IF(R520&lt;O520,Famille!$D$2,IF(R520&lt;=P520,Famille!$D$3,Famille!$D$4))))</f>
        <v/>
      </c>
    </row>
    <row r="521" spans="1:20" ht="12" customHeight="1" x14ac:dyDescent="0.2">
      <c r="A521" s="4"/>
      <c r="B521" s="4"/>
      <c r="C521" s="4"/>
      <c r="D521" s="4"/>
      <c r="E521" s="49"/>
      <c r="F521" s="50"/>
      <c r="H521" s="37">
        <v>0</v>
      </c>
      <c r="I521" s="2"/>
      <c r="J521" s="69">
        <f>SUM('Archives Entrées'!$N521:$AAV521)</f>
        <v>0</v>
      </c>
      <c r="K521" s="51" t="str">
        <f t="shared" si="33"/>
        <v>0,00€</v>
      </c>
      <c r="L521" s="69">
        <f>SUM('Archives Sorties'!$M521:$AAY521)</f>
        <v>0</v>
      </c>
      <c r="M521" s="51" t="str">
        <f t="shared" si="34"/>
        <v>0,00€</v>
      </c>
      <c r="O521" s="72">
        <v>0</v>
      </c>
      <c r="P521" s="72">
        <v>0</v>
      </c>
      <c r="R521" s="185" t="str">
        <f t="shared" si="35"/>
        <v/>
      </c>
      <c r="S521" s="186" t="str">
        <f t="shared" si="36"/>
        <v/>
      </c>
      <c r="T521" s="187" t="str">
        <f>IF(R521="","",IF(O521=0,Famille!$D$5,IF(R521&lt;O521,Famille!$D$2,IF(R521&lt;=P521,Famille!$D$3,Famille!$D$4))))</f>
        <v/>
      </c>
    </row>
    <row r="522" spans="1:20" ht="12" customHeight="1" x14ac:dyDescent="0.2">
      <c r="A522" s="4"/>
      <c r="B522" s="4"/>
      <c r="C522" s="4"/>
      <c r="D522" s="4"/>
      <c r="E522" s="49"/>
      <c r="F522" s="50"/>
      <c r="H522" s="37">
        <v>0</v>
      </c>
      <c r="I522" s="2"/>
      <c r="J522" s="69">
        <f>SUM('Archives Entrées'!$N522:$AAV522)</f>
        <v>0</v>
      </c>
      <c r="K522" s="51" t="str">
        <f t="shared" si="33"/>
        <v>0,00€</v>
      </c>
      <c r="L522" s="69">
        <f>SUM('Archives Sorties'!$M522:$AAY522)</f>
        <v>0</v>
      </c>
      <c r="M522" s="51" t="str">
        <f t="shared" si="34"/>
        <v>0,00€</v>
      </c>
      <c r="O522" s="72">
        <v>0</v>
      </c>
      <c r="P522" s="72">
        <v>0</v>
      </c>
      <c r="R522" s="185" t="str">
        <f t="shared" si="35"/>
        <v/>
      </c>
      <c r="S522" s="186" t="str">
        <f t="shared" si="36"/>
        <v/>
      </c>
      <c r="T522" s="187" t="str">
        <f>IF(R522="","",IF(O522=0,Famille!$D$5,IF(R522&lt;O522,Famille!$D$2,IF(R522&lt;=P522,Famille!$D$3,Famille!$D$4))))</f>
        <v/>
      </c>
    </row>
    <row r="523" spans="1:20" ht="12" customHeight="1" x14ac:dyDescent="0.2">
      <c r="A523" s="4"/>
      <c r="B523" s="4"/>
      <c r="C523" s="4"/>
      <c r="D523" s="4"/>
      <c r="E523" s="49"/>
      <c r="F523" s="50"/>
      <c r="H523" s="37">
        <v>0</v>
      </c>
      <c r="I523" s="2"/>
      <c r="J523" s="69">
        <f>SUM('Archives Entrées'!$N523:$AAV523)</f>
        <v>0</v>
      </c>
      <c r="K523" s="51" t="str">
        <f t="shared" si="33"/>
        <v>0,00€</v>
      </c>
      <c r="L523" s="69">
        <f>SUM('Archives Sorties'!$M523:$AAY523)</f>
        <v>0</v>
      </c>
      <c r="M523" s="51" t="str">
        <f t="shared" si="34"/>
        <v>0,00€</v>
      </c>
      <c r="O523" s="72">
        <v>0</v>
      </c>
      <c r="P523" s="72">
        <v>0</v>
      </c>
      <c r="R523" s="185" t="str">
        <f t="shared" si="35"/>
        <v/>
      </c>
      <c r="S523" s="186" t="str">
        <f t="shared" si="36"/>
        <v/>
      </c>
      <c r="T523" s="187" t="str">
        <f>IF(R523="","",IF(O523=0,Famille!$D$5,IF(R523&lt;O523,Famille!$D$2,IF(R523&lt;=P523,Famille!$D$3,Famille!$D$4))))</f>
        <v/>
      </c>
    </row>
    <row r="524" spans="1:20" ht="12" customHeight="1" x14ac:dyDescent="0.2">
      <c r="A524" s="4"/>
      <c r="B524" s="4"/>
      <c r="C524" s="4"/>
      <c r="D524" s="4"/>
      <c r="E524" s="49"/>
      <c r="F524" s="50"/>
      <c r="H524" s="37">
        <v>0</v>
      </c>
      <c r="I524" s="2"/>
      <c r="J524" s="69">
        <f>SUM('Archives Entrées'!$N524:$AAV524)</f>
        <v>0</v>
      </c>
      <c r="K524" s="51" t="str">
        <f t="shared" si="33"/>
        <v>0,00€</v>
      </c>
      <c r="L524" s="69">
        <f>SUM('Archives Sorties'!$M524:$AAY524)</f>
        <v>0</v>
      </c>
      <c r="M524" s="51" t="str">
        <f t="shared" si="34"/>
        <v>0,00€</v>
      </c>
      <c r="O524" s="72">
        <v>0</v>
      </c>
      <c r="P524" s="72">
        <v>0</v>
      </c>
      <c r="R524" s="185" t="str">
        <f t="shared" si="35"/>
        <v/>
      </c>
      <c r="S524" s="186" t="str">
        <f t="shared" si="36"/>
        <v/>
      </c>
      <c r="T524" s="187" t="str">
        <f>IF(R524="","",IF(O524=0,Famille!$D$5,IF(R524&lt;O524,Famille!$D$2,IF(R524&lt;=P524,Famille!$D$3,Famille!$D$4))))</f>
        <v/>
      </c>
    </row>
    <row r="525" spans="1:20" ht="12" customHeight="1" x14ac:dyDescent="0.2">
      <c r="A525" s="4"/>
      <c r="B525" s="4"/>
      <c r="C525" s="4"/>
      <c r="D525" s="4"/>
      <c r="E525" s="49"/>
      <c r="F525" s="50"/>
      <c r="H525" s="37">
        <v>0</v>
      </c>
      <c r="I525" s="2"/>
      <c r="J525" s="69">
        <f>SUM('Archives Entrées'!$N525:$AAV525)</f>
        <v>0</v>
      </c>
      <c r="K525" s="51" t="str">
        <f t="shared" si="33"/>
        <v>0,00€</v>
      </c>
      <c r="L525" s="69">
        <f>SUM('Archives Sorties'!$M525:$AAY525)</f>
        <v>0</v>
      </c>
      <c r="M525" s="51" t="str">
        <f t="shared" si="34"/>
        <v>0,00€</v>
      </c>
      <c r="O525" s="72">
        <v>0</v>
      </c>
      <c r="P525" s="72">
        <v>0</v>
      </c>
      <c r="R525" s="185" t="str">
        <f t="shared" si="35"/>
        <v/>
      </c>
      <c r="S525" s="186" t="str">
        <f t="shared" si="36"/>
        <v/>
      </c>
      <c r="T525" s="187" t="str">
        <f>IF(R525="","",IF(O525=0,Famille!$D$5,IF(R525&lt;O525,Famille!$D$2,IF(R525&lt;=P525,Famille!$D$3,Famille!$D$4))))</f>
        <v/>
      </c>
    </row>
    <row r="526" spans="1:20" ht="12" customHeight="1" x14ac:dyDescent="0.2">
      <c r="A526" s="4"/>
      <c r="B526" s="4"/>
      <c r="C526" s="4"/>
      <c r="D526" s="4"/>
      <c r="E526" s="49"/>
      <c r="F526" s="50"/>
      <c r="H526" s="37">
        <v>0</v>
      </c>
      <c r="I526" s="2"/>
      <c r="J526" s="69">
        <f>SUM('Archives Entrées'!$N526:$AAV526)</f>
        <v>0</v>
      </c>
      <c r="K526" s="51" t="str">
        <f t="shared" si="33"/>
        <v>0,00€</v>
      </c>
      <c r="L526" s="69">
        <f>SUM('Archives Sorties'!$M526:$AAY526)</f>
        <v>0</v>
      </c>
      <c r="M526" s="51" t="str">
        <f t="shared" si="34"/>
        <v>0,00€</v>
      </c>
      <c r="O526" s="72">
        <v>0</v>
      </c>
      <c r="P526" s="72">
        <v>0</v>
      </c>
      <c r="R526" s="185" t="str">
        <f t="shared" si="35"/>
        <v/>
      </c>
      <c r="S526" s="186" t="str">
        <f t="shared" si="36"/>
        <v/>
      </c>
      <c r="T526" s="187" t="str">
        <f>IF(R526="","",IF(O526=0,Famille!$D$5,IF(R526&lt;O526,Famille!$D$2,IF(R526&lt;=P526,Famille!$D$3,Famille!$D$4))))</f>
        <v/>
      </c>
    </row>
    <row r="527" spans="1:20" ht="12" customHeight="1" x14ac:dyDescent="0.2">
      <c r="A527" s="4"/>
      <c r="B527" s="4"/>
      <c r="C527" s="4"/>
      <c r="D527" s="4"/>
      <c r="E527" s="49"/>
      <c r="F527" s="50"/>
      <c r="H527" s="37">
        <v>0</v>
      </c>
      <c r="I527" s="2"/>
      <c r="J527" s="69">
        <f>SUM('Archives Entrées'!$N527:$AAV527)</f>
        <v>0</v>
      </c>
      <c r="K527" s="51" t="str">
        <f t="shared" si="33"/>
        <v>0,00€</v>
      </c>
      <c r="L527" s="69">
        <f>SUM('Archives Sorties'!$M527:$AAY527)</f>
        <v>0</v>
      </c>
      <c r="M527" s="51" t="str">
        <f t="shared" si="34"/>
        <v>0,00€</v>
      </c>
      <c r="O527" s="72">
        <v>0</v>
      </c>
      <c r="P527" s="72">
        <v>0</v>
      </c>
      <c r="R527" s="185" t="str">
        <f t="shared" si="35"/>
        <v/>
      </c>
      <c r="S527" s="186" t="str">
        <f t="shared" si="36"/>
        <v/>
      </c>
      <c r="T527" s="187" t="str">
        <f>IF(R527="","",IF(O527=0,Famille!$D$5,IF(R527&lt;O527,Famille!$D$2,IF(R527&lt;=P527,Famille!$D$3,Famille!$D$4))))</f>
        <v/>
      </c>
    </row>
    <row r="528" spans="1:20" ht="12" customHeight="1" x14ac:dyDescent="0.2">
      <c r="A528" s="4"/>
      <c r="B528" s="4"/>
      <c r="C528" s="4"/>
      <c r="D528" s="4"/>
      <c r="E528" s="49"/>
      <c r="F528" s="50"/>
      <c r="H528" s="37">
        <v>0</v>
      </c>
      <c r="I528" s="2"/>
      <c r="J528" s="69">
        <f>SUM('Archives Entrées'!$N528:$AAV528)</f>
        <v>0</v>
      </c>
      <c r="K528" s="51" t="str">
        <f t="shared" si="33"/>
        <v>0,00€</v>
      </c>
      <c r="L528" s="69">
        <f>SUM('Archives Sorties'!$M528:$AAY528)</f>
        <v>0</v>
      </c>
      <c r="M528" s="51" t="str">
        <f t="shared" si="34"/>
        <v>0,00€</v>
      </c>
      <c r="O528" s="72">
        <v>0</v>
      </c>
      <c r="P528" s="72">
        <v>0</v>
      </c>
      <c r="R528" s="185" t="str">
        <f t="shared" si="35"/>
        <v/>
      </c>
      <c r="S528" s="186" t="str">
        <f t="shared" si="36"/>
        <v/>
      </c>
      <c r="T528" s="187" t="str">
        <f>IF(R528="","",IF(O528=0,Famille!$D$5,IF(R528&lt;O528,Famille!$D$2,IF(R528&lt;=P528,Famille!$D$3,Famille!$D$4))))</f>
        <v/>
      </c>
    </row>
    <row r="529" spans="1:20" ht="12" customHeight="1" x14ac:dyDescent="0.2">
      <c r="A529" s="4"/>
      <c r="B529" s="4"/>
      <c r="C529" s="4"/>
      <c r="D529" s="4"/>
      <c r="E529" s="49"/>
      <c r="F529" s="50"/>
      <c r="H529" s="37">
        <v>0</v>
      </c>
      <c r="I529" s="2"/>
      <c r="J529" s="69">
        <f>SUM('Archives Entrées'!$N529:$AAV529)</f>
        <v>0</v>
      </c>
      <c r="K529" s="51" t="str">
        <f t="shared" si="33"/>
        <v>0,00€</v>
      </c>
      <c r="L529" s="69">
        <f>SUM('Archives Sorties'!$M529:$AAY529)</f>
        <v>0</v>
      </c>
      <c r="M529" s="51" t="str">
        <f t="shared" si="34"/>
        <v>0,00€</v>
      </c>
      <c r="O529" s="72">
        <v>0</v>
      </c>
      <c r="P529" s="72">
        <v>0</v>
      </c>
      <c r="R529" s="185" t="str">
        <f t="shared" si="35"/>
        <v/>
      </c>
      <c r="S529" s="186" t="str">
        <f t="shared" si="36"/>
        <v/>
      </c>
      <c r="T529" s="187" t="str">
        <f>IF(R529="","",IF(O529=0,Famille!$D$5,IF(R529&lt;O529,Famille!$D$2,IF(R529&lt;=P529,Famille!$D$3,Famille!$D$4))))</f>
        <v/>
      </c>
    </row>
    <row r="530" spans="1:20" ht="12" customHeight="1" x14ac:dyDescent="0.2">
      <c r="A530" s="4"/>
      <c r="B530" s="4"/>
      <c r="C530" s="4"/>
      <c r="D530" s="4"/>
      <c r="E530" s="49"/>
      <c r="F530" s="50"/>
      <c r="H530" s="37">
        <v>0</v>
      </c>
      <c r="I530" s="2"/>
      <c r="J530" s="69">
        <f>SUM('Archives Entrées'!$N530:$AAV530)</f>
        <v>0</v>
      </c>
      <c r="K530" s="51" t="str">
        <f t="shared" si="33"/>
        <v>0,00€</v>
      </c>
      <c r="L530" s="69">
        <f>SUM('Archives Sorties'!$M530:$AAY530)</f>
        <v>0</v>
      </c>
      <c r="M530" s="51" t="str">
        <f t="shared" si="34"/>
        <v>0,00€</v>
      </c>
      <c r="O530" s="72">
        <v>0</v>
      </c>
      <c r="P530" s="72">
        <v>0</v>
      </c>
      <c r="R530" s="185" t="str">
        <f t="shared" si="35"/>
        <v/>
      </c>
      <c r="S530" s="186" t="str">
        <f t="shared" si="36"/>
        <v/>
      </c>
      <c r="T530" s="187" t="str">
        <f>IF(R530="","",IF(O530=0,Famille!$D$5,IF(R530&lt;O530,Famille!$D$2,IF(R530&lt;=P530,Famille!$D$3,Famille!$D$4))))</f>
        <v/>
      </c>
    </row>
    <row r="531" spans="1:20" ht="12" customHeight="1" x14ac:dyDescent="0.2">
      <c r="A531" s="4"/>
      <c r="B531" s="4"/>
      <c r="C531" s="4"/>
      <c r="D531" s="4"/>
      <c r="E531" s="49"/>
      <c r="F531" s="50"/>
      <c r="H531" s="37">
        <v>0</v>
      </c>
      <c r="I531" s="2"/>
      <c r="J531" s="69">
        <f>SUM('Archives Entrées'!$N531:$AAV531)</f>
        <v>0</v>
      </c>
      <c r="K531" s="51" t="str">
        <f t="shared" si="33"/>
        <v>0,00€</v>
      </c>
      <c r="L531" s="69">
        <f>SUM('Archives Sorties'!$M531:$AAY531)</f>
        <v>0</v>
      </c>
      <c r="M531" s="51" t="str">
        <f t="shared" si="34"/>
        <v>0,00€</v>
      </c>
      <c r="O531" s="72">
        <v>0</v>
      </c>
      <c r="P531" s="72">
        <v>0</v>
      </c>
      <c r="R531" s="185" t="str">
        <f t="shared" si="35"/>
        <v/>
      </c>
      <c r="S531" s="186" t="str">
        <f t="shared" si="36"/>
        <v/>
      </c>
      <c r="T531" s="187" t="str">
        <f>IF(R531="","",IF(O531=0,Famille!$D$5,IF(R531&lt;O531,Famille!$D$2,IF(R531&lt;=P531,Famille!$D$3,Famille!$D$4))))</f>
        <v/>
      </c>
    </row>
    <row r="532" spans="1:20" ht="12" customHeight="1" x14ac:dyDescent="0.2">
      <c r="A532" s="4"/>
      <c r="B532" s="4"/>
      <c r="C532" s="4"/>
      <c r="D532" s="4"/>
      <c r="E532" s="49"/>
      <c r="F532" s="50"/>
      <c r="H532" s="37">
        <v>0</v>
      </c>
      <c r="I532" s="2"/>
      <c r="J532" s="69">
        <f>SUM('Archives Entrées'!$N532:$AAV532)</f>
        <v>0</v>
      </c>
      <c r="K532" s="51" t="str">
        <f t="shared" si="33"/>
        <v>0,00€</v>
      </c>
      <c r="L532" s="69">
        <f>SUM('Archives Sorties'!$M532:$AAY532)</f>
        <v>0</v>
      </c>
      <c r="M532" s="51" t="str">
        <f t="shared" si="34"/>
        <v>0,00€</v>
      </c>
      <c r="O532" s="72">
        <v>0</v>
      </c>
      <c r="P532" s="72">
        <v>0</v>
      </c>
      <c r="R532" s="185" t="str">
        <f t="shared" si="35"/>
        <v/>
      </c>
      <c r="S532" s="186" t="str">
        <f t="shared" si="36"/>
        <v/>
      </c>
      <c r="T532" s="187" t="str">
        <f>IF(R532="","",IF(O532=0,Famille!$D$5,IF(R532&lt;O532,Famille!$D$2,IF(R532&lt;=P532,Famille!$D$3,Famille!$D$4))))</f>
        <v/>
      </c>
    </row>
    <row r="533" spans="1:20" ht="12" customHeight="1" x14ac:dyDescent="0.2">
      <c r="A533" s="4"/>
      <c r="B533" s="4"/>
      <c r="C533" s="4"/>
      <c r="D533" s="4"/>
      <c r="E533" s="49"/>
      <c r="F533" s="50"/>
      <c r="H533" s="37">
        <v>0</v>
      </c>
      <c r="I533" s="2"/>
      <c r="J533" s="69">
        <f>SUM('Archives Entrées'!$N533:$AAV533)</f>
        <v>0</v>
      </c>
      <c r="K533" s="51" t="str">
        <f t="shared" si="33"/>
        <v>0,00€</v>
      </c>
      <c r="L533" s="69">
        <f>SUM('Archives Sorties'!$M533:$AAY533)</f>
        <v>0</v>
      </c>
      <c r="M533" s="51" t="str">
        <f t="shared" si="34"/>
        <v>0,00€</v>
      </c>
      <c r="O533" s="72">
        <v>0</v>
      </c>
      <c r="P533" s="72">
        <v>0</v>
      </c>
      <c r="R533" s="185" t="str">
        <f t="shared" si="35"/>
        <v/>
      </c>
      <c r="S533" s="186" t="str">
        <f t="shared" si="36"/>
        <v/>
      </c>
      <c r="T533" s="187" t="str">
        <f>IF(R533="","",IF(O533=0,Famille!$D$5,IF(R533&lt;O533,Famille!$D$2,IF(R533&lt;=P533,Famille!$D$3,Famille!$D$4))))</f>
        <v/>
      </c>
    </row>
    <row r="534" spans="1:20" ht="12" customHeight="1" x14ac:dyDescent="0.2">
      <c r="A534" s="4"/>
      <c r="B534" s="4"/>
      <c r="C534" s="4"/>
      <c r="D534" s="4"/>
      <c r="E534" s="49"/>
      <c r="F534" s="50"/>
      <c r="H534" s="37">
        <v>0</v>
      </c>
      <c r="I534" s="2"/>
      <c r="J534" s="69">
        <f>SUM('Archives Entrées'!$N534:$AAV534)</f>
        <v>0</v>
      </c>
      <c r="K534" s="51" t="str">
        <f t="shared" si="33"/>
        <v>0,00€</v>
      </c>
      <c r="L534" s="69">
        <f>SUM('Archives Sorties'!$M534:$AAY534)</f>
        <v>0</v>
      </c>
      <c r="M534" s="51" t="str">
        <f t="shared" si="34"/>
        <v>0,00€</v>
      </c>
      <c r="O534" s="72">
        <v>0</v>
      </c>
      <c r="P534" s="72">
        <v>0</v>
      </c>
      <c r="R534" s="185" t="str">
        <f t="shared" si="35"/>
        <v/>
      </c>
      <c r="S534" s="186" t="str">
        <f t="shared" si="36"/>
        <v/>
      </c>
      <c r="T534" s="187" t="str">
        <f>IF(R534="","",IF(O534=0,Famille!$D$5,IF(R534&lt;O534,Famille!$D$2,IF(R534&lt;=P534,Famille!$D$3,Famille!$D$4))))</f>
        <v/>
      </c>
    </row>
    <row r="535" spans="1:20" ht="12" customHeight="1" x14ac:dyDescent="0.2">
      <c r="A535" s="4"/>
      <c r="B535" s="4"/>
      <c r="C535" s="4"/>
      <c r="D535" s="4"/>
      <c r="E535" s="49"/>
      <c r="F535" s="50"/>
      <c r="H535" s="37">
        <v>0</v>
      </c>
      <c r="I535" s="2"/>
      <c r="J535" s="69">
        <f>SUM('Archives Entrées'!$N535:$AAV535)</f>
        <v>0</v>
      </c>
      <c r="K535" s="51" t="str">
        <f t="shared" si="33"/>
        <v>0,00€</v>
      </c>
      <c r="L535" s="69">
        <f>SUM('Archives Sorties'!$M535:$AAY535)</f>
        <v>0</v>
      </c>
      <c r="M535" s="51" t="str">
        <f t="shared" si="34"/>
        <v>0,00€</v>
      </c>
      <c r="O535" s="72">
        <v>0</v>
      </c>
      <c r="P535" s="72">
        <v>0</v>
      </c>
      <c r="R535" s="185" t="str">
        <f t="shared" si="35"/>
        <v/>
      </c>
      <c r="S535" s="186" t="str">
        <f t="shared" si="36"/>
        <v/>
      </c>
      <c r="T535" s="187" t="str">
        <f>IF(R535="","",IF(O535=0,Famille!$D$5,IF(R535&lt;O535,Famille!$D$2,IF(R535&lt;=P535,Famille!$D$3,Famille!$D$4))))</f>
        <v/>
      </c>
    </row>
    <row r="536" spans="1:20" ht="12" customHeight="1" x14ac:dyDescent="0.2">
      <c r="A536" s="4"/>
      <c r="B536" s="4"/>
      <c r="C536" s="4"/>
      <c r="D536" s="4"/>
      <c r="E536" s="49"/>
      <c r="F536" s="50"/>
      <c r="H536" s="37">
        <v>0</v>
      </c>
      <c r="I536" s="2"/>
      <c r="J536" s="69">
        <f>SUM('Archives Entrées'!$N536:$AAV536)</f>
        <v>0</v>
      </c>
      <c r="K536" s="51" t="str">
        <f t="shared" si="33"/>
        <v>0,00€</v>
      </c>
      <c r="L536" s="69">
        <f>SUM('Archives Sorties'!$M536:$AAY536)</f>
        <v>0</v>
      </c>
      <c r="M536" s="51" t="str">
        <f t="shared" si="34"/>
        <v>0,00€</v>
      </c>
      <c r="O536" s="72">
        <v>0</v>
      </c>
      <c r="P536" s="72">
        <v>0</v>
      </c>
      <c r="R536" s="185" t="str">
        <f t="shared" si="35"/>
        <v/>
      </c>
      <c r="S536" s="186" t="str">
        <f t="shared" si="36"/>
        <v/>
      </c>
      <c r="T536" s="187" t="str">
        <f>IF(R536="","",IF(O536=0,Famille!$D$5,IF(R536&lt;O536,Famille!$D$2,IF(R536&lt;=P536,Famille!$D$3,Famille!$D$4))))</f>
        <v/>
      </c>
    </row>
    <row r="537" spans="1:20" ht="12" customHeight="1" x14ac:dyDescent="0.2">
      <c r="A537" s="4"/>
      <c r="B537" s="4"/>
      <c r="C537" s="4"/>
      <c r="D537" s="4"/>
      <c r="E537" s="49"/>
      <c r="F537" s="50"/>
      <c r="H537" s="37">
        <v>0</v>
      </c>
      <c r="I537" s="2"/>
      <c r="J537" s="69">
        <f>SUM('Archives Entrées'!$N537:$AAV537)</f>
        <v>0</v>
      </c>
      <c r="K537" s="51" t="str">
        <f t="shared" si="33"/>
        <v>0,00€</v>
      </c>
      <c r="L537" s="69">
        <f>SUM('Archives Sorties'!$M537:$AAY537)</f>
        <v>0</v>
      </c>
      <c r="M537" s="51" t="str">
        <f t="shared" si="34"/>
        <v>0,00€</v>
      </c>
      <c r="O537" s="72">
        <v>0</v>
      </c>
      <c r="P537" s="72">
        <v>0</v>
      </c>
      <c r="R537" s="185" t="str">
        <f t="shared" si="35"/>
        <v/>
      </c>
      <c r="S537" s="186" t="str">
        <f t="shared" si="36"/>
        <v/>
      </c>
      <c r="T537" s="187" t="str">
        <f>IF(R537="","",IF(O537=0,Famille!$D$5,IF(R537&lt;O537,Famille!$D$2,IF(R537&lt;=P537,Famille!$D$3,Famille!$D$4))))</f>
        <v/>
      </c>
    </row>
    <row r="538" spans="1:20" ht="12" customHeight="1" x14ac:dyDescent="0.2">
      <c r="A538" s="4"/>
      <c r="B538" s="4"/>
      <c r="C538" s="4"/>
      <c r="D538" s="4"/>
      <c r="E538" s="49"/>
      <c r="F538" s="50"/>
      <c r="H538" s="37">
        <v>0</v>
      </c>
      <c r="I538" s="2"/>
      <c r="J538" s="69">
        <f>SUM('Archives Entrées'!$N538:$AAV538)</f>
        <v>0</v>
      </c>
      <c r="K538" s="51" t="str">
        <f t="shared" si="33"/>
        <v>0,00€</v>
      </c>
      <c r="L538" s="69">
        <f>SUM('Archives Sorties'!$M538:$AAY538)</f>
        <v>0</v>
      </c>
      <c r="M538" s="51" t="str">
        <f t="shared" si="34"/>
        <v>0,00€</v>
      </c>
      <c r="O538" s="72">
        <v>0</v>
      </c>
      <c r="P538" s="72">
        <v>0</v>
      </c>
      <c r="R538" s="185" t="str">
        <f t="shared" si="35"/>
        <v/>
      </c>
      <c r="S538" s="186" t="str">
        <f t="shared" si="36"/>
        <v/>
      </c>
      <c r="T538" s="187" t="str">
        <f>IF(R538="","",IF(O538=0,Famille!$D$5,IF(R538&lt;O538,Famille!$D$2,IF(R538&lt;=P538,Famille!$D$3,Famille!$D$4))))</f>
        <v/>
      </c>
    </row>
    <row r="539" spans="1:20" ht="12" customHeight="1" x14ac:dyDescent="0.2">
      <c r="A539" s="4"/>
      <c r="B539" s="4"/>
      <c r="C539" s="4"/>
      <c r="D539" s="4"/>
      <c r="E539" s="49"/>
      <c r="F539" s="50"/>
      <c r="H539" s="37">
        <v>0</v>
      </c>
      <c r="I539" s="2"/>
      <c r="J539" s="69">
        <f>SUM('Archives Entrées'!$N539:$AAV539)</f>
        <v>0</v>
      </c>
      <c r="K539" s="51" t="str">
        <f t="shared" si="33"/>
        <v>0,00€</v>
      </c>
      <c r="L539" s="69">
        <f>SUM('Archives Sorties'!$M539:$AAY539)</f>
        <v>0</v>
      </c>
      <c r="M539" s="51" t="str">
        <f t="shared" si="34"/>
        <v>0,00€</v>
      </c>
      <c r="O539" s="72">
        <v>0</v>
      </c>
      <c r="P539" s="72">
        <v>0</v>
      </c>
      <c r="R539" s="185" t="str">
        <f t="shared" si="35"/>
        <v/>
      </c>
      <c r="S539" s="186" t="str">
        <f t="shared" si="36"/>
        <v/>
      </c>
      <c r="T539" s="187" t="str">
        <f>IF(R539="","",IF(O539=0,Famille!$D$5,IF(R539&lt;O539,Famille!$D$2,IF(R539&lt;=P539,Famille!$D$3,Famille!$D$4))))</f>
        <v/>
      </c>
    </row>
    <row r="540" spans="1:20" ht="12" customHeight="1" x14ac:dyDescent="0.2">
      <c r="A540" s="4"/>
      <c r="B540" s="4"/>
      <c r="C540" s="4"/>
      <c r="D540" s="4"/>
      <c r="E540" s="49"/>
      <c r="F540" s="50"/>
      <c r="H540" s="37">
        <v>0</v>
      </c>
      <c r="I540" s="2"/>
      <c r="J540" s="69">
        <f>SUM('Archives Entrées'!$N540:$AAV540)</f>
        <v>0</v>
      </c>
      <c r="K540" s="51" t="str">
        <f t="shared" si="33"/>
        <v>0,00€</v>
      </c>
      <c r="L540" s="69">
        <f>SUM('Archives Sorties'!$M540:$AAY540)</f>
        <v>0</v>
      </c>
      <c r="M540" s="51" t="str">
        <f t="shared" si="34"/>
        <v>0,00€</v>
      </c>
      <c r="O540" s="72">
        <v>0</v>
      </c>
      <c r="P540" s="72">
        <v>0</v>
      </c>
      <c r="R540" s="185" t="str">
        <f t="shared" si="35"/>
        <v/>
      </c>
      <c r="S540" s="186" t="str">
        <f t="shared" si="36"/>
        <v/>
      </c>
      <c r="T540" s="187" t="str">
        <f>IF(R540="","",IF(O540=0,Famille!$D$5,IF(R540&lt;O540,Famille!$D$2,IF(R540&lt;=P540,Famille!$D$3,Famille!$D$4))))</f>
        <v/>
      </c>
    </row>
    <row r="541" spans="1:20" ht="12" customHeight="1" x14ac:dyDescent="0.2">
      <c r="A541" s="4"/>
      <c r="B541" s="4"/>
      <c r="C541" s="4"/>
      <c r="D541" s="4"/>
      <c r="E541" s="49"/>
      <c r="F541" s="50"/>
      <c r="H541" s="37">
        <v>0</v>
      </c>
      <c r="I541" s="2"/>
      <c r="J541" s="69">
        <f>SUM('Archives Entrées'!$N541:$AAV541)</f>
        <v>0</v>
      </c>
      <c r="K541" s="51" t="str">
        <f t="shared" si="33"/>
        <v>0,00€</v>
      </c>
      <c r="L541" s="69">
        <f>SUM('Archives Sorties'!$M541:$AAY541)</f>
        <v>0</v>
      </c>
      <c r="M541" s="51" t="str">
        <f t="shared" si="34"/>
        <v>0,00€</v>
      </c>
      <c r="O541" s="72">
        <v>0</v>
      </c>
      <c r="P541" s="72">
        <v>0</v>
      </c>
      <c r="R541" s="185" t="str">
        <f t="shared" si="35"/>
        <v/>
      </c>
      <c r="S541" s="186" t="str">
        <f t="shared" si="36"/>
        <v/>
      </c>
      <c r="T541" s="187" t="str">
        <f>IF(R541="","",IF(O541=0,Famille!$D$5,IF(R541&lt;O541,Famille!$D$2,IF(R541&lt;=P541,Famille!$D$3,Famille!$D$4))))</f>
        <v/>
      </c>
    </row>
    <row r="542" spans="1:20" ht="12" customHeight="1" x14ac:dyDescent="0.2">
      <c r="A542" s="4"/>
      <c r="B542" s="4"/>
      <c r="C542" s="4"/>
      <c r="D542" s="4"/>
      <c r="E542" s="49"/>
      <c r="F542" s="50"/>
      <c r="H542" s="37">
        <v>0</v>
      </c>
      <c r="I542" s="2"/>
      <c r="J542" s="69">
        <f>SUM('Archives Entrées'!$N542:$AAV542)</f>
        <v>0</v>
      </c>
      <c r="K542" s="51" t="str">
        <f t="shared" si="33"/>
        <v>0,00€</v>
      </c>
      <c r="L542" s="69">
        <f>SUM('Archives Sorties'!$M542:$AAY542)</f>
        <v>0</v>
      </c>
      <c r="M542" s="51" t="str">
        <f t="shared" si="34"/>
        <v>0,00€</v>
      </c>
      <c r="O542" s="72">
        <v>0</v>
      </c>
      <c r="P542" s="72">
        <v>0</v>
      </c>
      <c r="R542" s="185" t="str">
        <f t="shared" si="35"/>
        <v/>
      </c>
      <c r="S542" s="186" t="str">
        <f t="shared" si="36"/>
        <v/>
      </c>
      <c r="T542" s="187" t="str">
        <f>IF(R542="","",IF(O542=0,Famille!$D$5,IF(R542&lt;O542,Famille!$D$2,IF(R542&lt;=P542,Famille!$D$3,Famille!$D$4))))</f>
        <v/>
      </c>
    </row>
    <row r="543" spans="1:20" ht="12" customHeight="1" x14ac:dyDescent="0.2">
      <c r="A543" s="4"/>
      <c r="B543" s="4"/>
      <c r="C543" s="4"/>
      <c r="D543" s="4"/>
      <c r="E543" s="49"/>
      <c r="F543" s="50"/>
      <c r="H543" s="37"/>
      <c r="I543" s="2"/>
      <c r="J543" s="69">
        <f>SUM('Archives Entrées'!$N543:$AAV543)</f>
        <v>0</v>
      </c>
      <c r="K543" s="51" t="str">
        <f t="shared" si="33"/>
        <v>0,00€</v>
      </c>
      <c r="L543" s="69">
        <f>SUM('Archives Sorties'!$M543:$AAY543)</f>
        <v>0</v>
      </c>
      <c r="M543" s="51" t="str">
        <f t="shared" si="34"/>
        <v>0,00€</v>
      </c>
      <c r="O543" s="72">
        <v>0</v>
      </c>
      <c r="P543" s="72">
        <v>0</v>
      </c>
      <c r="R543" s="185" t="str">
        <f t="shared" si="35"/>
        <v/>
      </c>
      <c r="S543" s="186" t="str">
        <f t="shared" si="36"/>
        <v/>
      </c>
      <c r="T543" s="187" t="str">
        <f>IF(R543="","",IF(O543=0,Famille!$D$5,IF(R543&lt;O543,Famille!$D$2,IF(R543&lt;=P543,Famille!$D$3,Famille!$D$4))))</f>
        <v/>
      </c>
    </row>
    <row r="544" spans="1:20" ht="12" customHeight="1" x14ac:dyDescent="0.2">
      <c r="A544" s="4"/>
      <c r="B544" s="4"/>
      <c r="C544" s="4"/>
      <c r="D544" s="4"/>
      <c r="E544" s="49"/>
      <c r="F544" s="50"/>
      <c r="H544" s="37"/>
      <c r="I544" s="2"/>
      <c r="J544" s="69">
        <f>SUM('Archives Entrées'!$N544:$AAV544)</f>
        <v>0</v>
      </c>
      <c r="K544" s="51" t="str">
        <f t="shared" si="33"/>
        <v>0,00€</v>
      </c>
      <c r="L544" s="69">
        <f>SUM('Archives Sorties'!$M544:$AAY544)</f>
        <v>0</v>
      </c>
      <c r="M544" s="51" t="str">
        <f t="shared" si="34"/>
        <v>0,00€</v>
      </c>
      <c r="O544" s="72">
        <v>0</v>
      </c>
      <c r="P544" s="72">
        <v>0</v>
      </c>
      <c r="R544" s="185" t="str">
        <f t="shared" si="35"/>
        <v/>
      </c>
      <c r="S544" s="186" t="str">
        <f t="shared" si="36"/>
        <v/>
      </c>
      <c r="T544" s="187" t="str">
        <f>IF(R544="","",IF(O544=0,Famille!$D$5,IF(R544&lt;O544,Famille!$D$2,IF(R544&lt;=P544,Famille!$D$3,Famille!$D$4))))</f>
        <v/>
      </c>
    </row>
    <row r="545" spans="1:20" ht="12" customHeight="1" x14ac:dyDescent="0.2">
      <c r="A545" s="4"/>
      <c r="B545" s="4"/>
      <c r="C545" s="4"/>
      <c r="D545" s="4"/>
      <c r="E545" s="49"/>
      <c r="F545" s="50"/>
      <c r="H545" s="37"/>
      <c r="I545" s="2"/>
      <c r="J545" s="69">
        <f>SUM('Archives Entrées'!$N545:$AAV545)</f>
        <v>0</v>
      </c>
      <c r="K545" s="51" t="str">
        <f t="shared" si="33"/>
        <v>0,00€</v>
      </c>
      <c r="L545" s="69">
        <f>SUM('Archives Sorties'!$M545:$AAY545)</f>
        <v>0</v>
      </c>
      <c r="M545" s="51" t="str">
        <f t="shared" si="34"/>
        <v>0,00€</v>
      </c>
      <c r="O545" s="72">
        <v>0</v>
      </c>
      <c r="P545" s="72">
        <v>0</v>
      </c>
      <c r="R545" s="185" t="str">
        <f t="shared" si="35"/>
        <v/>
      </c>
      <c r="S545" s="186" t="str">
        <f t="shared" si="36"/>
        <v/>
      </c>
      <c r="T545" s="187" t="str">
        <f>IF(R545="","",IF(O545=0,Famille!$D$5,IF(R545&lt;O545,Famille!$D$2,IF(R545&lt;=P545,Famille!$D$3,Famille!$D$4))))</f>
        <v/>
      </c>
    </row>
    <row r="546" spans="1:20" ht="12" customHeight="1" x14ac:dyDescent="0.2">
      <c r="A546" s="4"/>
      <c r="B546" s="4"/>
      <c r="C546" s="4"/>
      <c r="D546" s="4"/>
      <c r="E546" s="49"/>
      <c r="F546" s="50"/>
      <c r="H546" s="37"/>
      <c r="I546" s="2"/>
      <c r="J546" s="69">
        <f>SUM('Archives Entrées'!$N546:$AAV546)</f>
        <v>0</v>
      </c>
      <c r="K546" s="51" t="str">
        <f t="shared" si="33"/>
        <v>0,00€</v>
      </c>
      <c r="L546" s="69">
        <f>SUM('Archives Sorties'!$M546:$AAY546)</f>
        <v>0</v>
      </c>
      <c r="M546" s="51" t="str">
        <f t="shared" si="34"/>
        <v>0,00€</v>
      </c>
      <c r="O546" s="72">
        <v>0</v>
      </c>
      <c r="P546" s="72">
        <v>0</v>
      </c>
      <c r="R546" s="185" t="str">
        <f t="shared" si="35"/>
        <v/>
      </c>
      <c r="S546" s="186" t="str">
        <f t="shared" si="36"/>
        <v/>
      </c>
      <c r="T546" s="187" t="str">
        <f>IF(R546="","",IF(O546=0,Famille!$D$5,IF(R546&lt;O546,Famille!$D$2,IF(R546&lt;=P546,Famille!$D$3,Famille!$D$4))))</f>
        <v/>
      </c>
    </row>
    <row r="547" spans="1:20" ht="12" customHeight="1" x14ac:dyDescent="0.2">
      <c r="A547" s="4"/>
      <c r="B547" s="4"/>
      <c r="C547" s="4"/>
      <c r="D547" s="4"/>
      <c r="E547" s="49"/>
      <c r="F547" s="50"/>
      <c r="H547" s="37"/>
      <c r="I547" s="2"/>
      <c r="J547" s="69">
        <f>SUM('Archives Entrées'!$N547:$AAV547)</f>
        <v>0</v>
      </c>
      <c r="K547" s="51" t="str">
        <f t="shared" si="33"/>
        <v>0,00€</v>
      </c>
      <c r="L547" s="69">
        <f>SUM('Archives Sorties'!$M547:$AAY547)</f>
        <v>0</v>
      </c>
      <c r="M547" s="51" t="str">
        <f t="shared" si="34"/>
        <v>0,00€</v>
      </c>
      <c r="O547" s="72">
        <v>0</v>
      </c>
      <c r="P547" s="72">
        <v>0</v>
      </c>
      <c r="R547" s="185" t="str">
        <f t="shared" si="35"/>
        <v/>
      </c>
      <c r="S547" s="186" t="str">
        <f t="shared" si="36"/>
        <v/>
      </c>
      <c r="T547" s="187" t="str">
        <f>IF(R547="","",IF(O547=0,Famille!$D$5,IF(R547&lt;O547,Famille!$D$2,IF(R547&lt;=P547,Famille!$D$3,Famille!$D$4))))</f>
        <v/>
      </c>
    </row>
    <row r="548" spans="1:20" ht="12" customHeight="1" x14ac:dyDescent="0.2">
      <c r="A548" s="4"/>
      <c r="B548" s="4"/>
      <c r="C548" s="4"/>
      <c r="D548" s="4"/>
      <c r="E548" s="49"/>
      <c r="F548" s="50"/>
      <c r="H548" s="37"/>
      <c r="I548" s="2"/>
      <c r="J548" s="69">
        <f>SUM('Archives Entrées'!$N548:$AAV548)</f>
        <v>0</v>
      </c>
      <c r="K548" s="51" t="str">
        <f t="shared" si="33"/>
        <v>0,00€</v>
      </c>
      <c r="L548" s="69">
        <f>SUM('Archives Sorties'!$M548:$AAY548)</f>
        <v>0</v>
      </c>
      <c r="M548" s="51" t="str">
        <f t="shared" si="34"/>
        <v>0,00€</v>
      </c>
      <c r="O548" s="72">
        <v>0</v>
      </c>
      <c r="P548" s="72">
        <v>0</v>
      </c>
      <c r="R548" s="185" t="str">
        <f t="shared" si="35"/>
        <v/>
      </c>
      <c r="S548" s="186" t="str">
        <f t="shared" si="36"/>
        <v/>
      </c>
      <c r="T548" s="187" t="str">
        <f>IF(R548="","",IF(O548=0,Famille!$D$5,IF(R548&lt;O548,Famille!$D$2,IF(R548&lt;=P548,Famille!$D$3,Famille!$D$4))))</f>
        <v/>
      </c>
    </row>
    <row r="549" spans="1:20" ht="12" customHeight="1" x14ac:dyDescent="0.2">
      <c r="A549" s="4"/>
      <c r="B549" s="4"/>
      <c r="C549" s="4"/>
      <c r="D549" s="4"/>
      <c r="E549" s="49"/>
      <c r="F549" s="50"/>
      <c r="H549" s="37"/>
      <c r="I549" s="2"/>
      <c r="J549" s="69">
        <f>SUM('Archives Entrées'!$N549:$AAV549)</f>
        <v>0</v>
      </c>
      <c r="K549" s="51" t="str">
        <f t="shared" si="33"/>
        <v>0,00€</v>
      </c>
      <c r="L549" s="69">
        <f>SUM('Archives Sorties'!$M549:$AAY549)</f>
        <v>0</v>
      </c>
      <c r="M549" s="51" t="str">
        <f t="shared" si="34"/>
        <v>0,00€</v>
      </c>
      <c r="O549" s="72">
        <v>0</v>
      </c>
      <c r="P549" s="72">
        <v>0</v>
      </c>
      <c r="R549" s="185" t="str">
        <f t="shared" si="35"/>
        <v/>
      </c>
      <c r="S549" s="186" t="str">
        <f t="shared" si="36"/>
        <v/>
      </c>
      <c r="T549" s="187" t="str">
        <f>IF(R549="","",IF(O549=0,Famille!$D$5,IF(R549&lt;O549,Famille!$D$2,IF(R549&lt;=P549,Famille!$D$3,Famille!$D$4))))</f>
        <v/>
      </c>
    </row>
    <row r="550" spans="1:20" ht="12" customHeight="1" x14ac:dyDescent="0.2">
      <c r="A550" s="4"/>
      <c r="B550" s="4"/>
      <c r="C550" s="4"/>
      <c r="D550" s="4"/>
      <c r="E550" s="49"/>
      <c r="F550" s="50"/>
      <c r="H550" s="37"/>
      <c r="I550" s="2"/>
      <c r="J550" s="69">
        <f>SUM('Archives Entrées'!$N550:$AAV550)</f>
        <v>0</v>
      </c>
      <c r="K550" s="51" t="str">
        <f t="shared" si="33"/>
        <v>0,00€</v>
      </c>
      <c r="L550" s="69">
        <f>SUM('Archives Sorties'!$M550:$AAY550)</f>
        <v>0</v>
      </c>
      <c r="M550" s="51" t="str">
        <f t="shared" si="34"/>
        <v>0,00€</v>
      </c>
      <c r="O550" s="72">
        <v>0</v>
      </c>
      <c r="P550" s="72">
        <v>0</v>
      </c>
      <c r="R550" s="185" t="str">
        <f t="shared" si="35"/>
        <v/>
      </c>
      <c r="S550" s="186" t="str">
        <f t="shared" si="36"/>
        <v/>
      </c>
      <c r="T550" s="187" t="str">
        <f>IF(R550="","",IF(O550=0,Famille!$D$5,IF(R550&lt;O550,Famille!$D$2,IF(R550&lt;=P550,Famille!$D$3,Famille!$D$4))))</f>
        <v/>
      </c>
    </row>
    <row r="551" spans="1:20" ht="12" customHeight="1" x14ac:dyDescent="0.2">
      <c r="A551" s="4"/>
      <c r="B551" s="4"/>
      <c r="C551" s="4"/>
      <c r="D551" s="4"/>
      <c r="E551" s="49"/>
      <c r="F551" s="50"/>
      <c r="H551" s="37"/>
      <c r="I551" s="2"/>
      <c r="J551" s="69">
        <f>SUM('Archives Entrées'!$N551:$AAV551)</f>
        <v>0</v>
      </c>
      <c r="K551" s="51" t="str">
        <f t="shared" si="33"/>
        <v>0,00€</v>
      </c>
      <c r="L551" s="69">
        <f>SUM('Archives Sorties'!$M551:$AAY551)</f>
        <v>0</v>
      </c>
      <c r="M551" s="51" t="str">
        <f t="shared" si="34"/>
        <v>0,00€</v>
      </c>
      <c r="O551" s="72">
        <v>0</v>
      </c>
      <c r="P551" s="72">
        <v>0</v>
      </c>
      <c r="R551" s="185" t="str">
        <f t="shared" si="35"/>
        <v/>
      </c>
      <c r="S551" s="186" t="str">
        <f t="shared" si="36"/>
        <v/>
      </c>
      <c r="T551" s="187" t="str">
        <f>IF(R551="","",IF(O551=0,Famille!$D$5,IF(R551&lt;O551,Famille!$D$2,IF(R551&lt;=P551,Famille!$D$3,Famille!$D$4))))</f>
        <v/>
      </c>
    </row>
    <row r="552" spans="1:20" ht="12" customHeight="1" x14ac:dyDescent="0.2">
      <c r="A552" s="4"/>
      <c r="B552" s="4"/>
      <c r="C552" s="4"/>
      <c r="D552" s="4"/>
      <c r="E552" s="49"/>
      <c r="F552" s="50"/>
      <c r="H552" s="37"/>
      <c r="I552" s="2"/>
      <c r="J552" s="69">
        <f>SUM('Archives Entrées'!$N552:$AAV552)</f>
        <v>0</v>
      </c>
      <c r="K552" s="51" t="str">
        <f t="shared" si="33"/>
        <v>0,00€</v>
      </c>
      <c r="L552" s="69">
        <f>SUM('Archives Sorties'!$M552:$AAY552)</f>
        <v>0</v>
      </c>
      <c r="M552" s="51" t="str">
        <f t="shared" si="34"/>
        <v>0,00€</v>
      </c>
      <c r="O552" s="72">
        <v>0</v>
      </c>
      <c r="P552" s="72">
        <v>0</v>
      </c>
      <c r="R552" s="185" t="str">
        <f t="shared" si="35"/>
        <v/>
      </c>
      <c r="S552" s="186" t="str">
        <f t="shared" si="36"/>
        <v/>
      </c>
      <c r="T552" s="187" t="str">
        <f>IF(R552="","",IF(O552=0,Famille!$D$5,IF(R552&lt;O552,Famille!$D$2,IF(R552&lt;=P552,Famille!$D$3,Famille!$D$4))))</f>
        <v/>
      </c>
    </row>
    <row r="553" spans="1:20" ht="12" customHeight="1" x14ac:dyDescent="0.2">
      <c r="A553" s="4"/>
      <c r="B553" s="4"/>
      <c r="C553" s="4"/>
      <c r="D553" s="4"/>
      <c r="E553" s="49"/>
      <c r="F553" s="50"/>
      <c r="H553" s="37"/>
      <c r="I553" s="2"/>
      <c r="J553" s="69">
        <f>SUM('Archives Entrées'!$N553:$AAV553)</f>
        <v>0</v>
      </c>
      <c r="K553" s="51" t="str">
        <f t="shared" si="33"/>
        <v>0,00€</v>
      </c>
      <c r="L553" s="69">
        <f>SUM('Archives Sorties'!$M553:$AAY553)</f>
        <v>0</v>
      </c>
      <c r="M553" s="51" t="str">
        <f t="shared" si="34"/>
        <v>0,00€</v>
      </c>
      <c r="O553" s="72">
        <v>0</v>
      </c>
      <c r="P553" s="72">
        <v>0</v>
      </c>
      <c r="R553" s="185" t="str">
        <f t="shared" si="35"/>
        <v/>
      </c>
      <c r="S553" s="186" t="str">
        <f t="shared" si="36"/>
        <v/>
      </c>
      <c r="T553" s="187" t="str">
        <f>IF(R553="","",IF(O553=0,Famille!$D$5,IF(R553&lt;O553,Famille!$D$2,IF(R553&lt;=P553,Famille!$D$3,Famille!$D$4))))</f>
        <v/>
      </c>
    </row>
    <row r="554" spans="1:20" ht="12" customHeight="1" x14ac:dyDescent="0.2">
      <c r="A554" s="4"/>
      <c r="B554" s="4"/>
      <c r="C554" s="4"/>
      <c r="D554" s="4"/>
      <c r="E554" s="49"/>
      <c r="F554" s="50"/>
      <c r="H554" s="37"/>
      <c r="I554" s="2"/>
      <c r="J554" s="69">
        <f>SUM('Archives Entrées'!$N554:$AAV554)</f>
        <v>0</v>
      </c>
      <c r="K554" s="51" t="str">
        <f t="shared" si="33"/>
        <v>0,00€</v>
      </c>
      <c r="L554" s="69">
        <f>SUM('Archives Sorties'!$M554:$AAY554)</f>
        <v>0</v>
      </c>
      <c r="M554" s="51" t="str">
        <f t="shared" si="34"/>
        <v>0,00€</v>
      </c>
      <c r="O554" s="72">
        <v>0</v>
      </c>
      <c r="P554" s="72">
        <v>0</v>
      </c>
      <c r="R554" s="185" t="str">
        <f t="shared" si="35"/>
        <v/>
      </c>
      <c r="S554" s="186" t="str">
        <f t="shared" si="36"/>
        <v/>
      </c>
      <c r="T554" s="187" t="str">
        <f>IF(R554="","",IF(O554=0,Famille!$D$5,IF(R554&lt;O554,Famille!$D$2,IF(R554&lt;=P554,Famille!$D$3,Famille!$D$4))))</f>
        <v/>
      </c>
    </row>
    <row r="555" spans="1:20" ht="12" customHeight="1" x14ac:dyDescent="0.2">
      <c r="A555" s="4"/>
      <c r="B555" s="4"/>
      <c r="C555" s="4"/>
      <c r="D555" s="4"/>
      <c r="E555" s="49"/>
      <c r="F555" s="50"/>
      <c r="H555" s="37"/>
      <c r="I555" s="2"/>
      <c r="J555" s="69">
        <f>SUM('Archives Entrées'!$N555:$AAV555)</f>
        <v>0</v>
      </c>
      <c r="K555" s="51" t="str">
        <f t="shared" si="33"/>
        <v>0,00€</v>
      </c>
      <c r="L555" s="69">
        <f>SUM('Archives Sorties'!$M555:$AAY555)</f>
        <v>0</v>
      </c>
      <c r="M555" s="51" t="str">
        <f t="shared" si="34"/>
        <v>0,00€</v>
      </c>
      <c r="O555" s="72">
        <v>0</v>
      </c>
      <c r="P555" s="72">
        <v>0</v>
      </c>
      <c r="R555" s="185" t="str">
        <f t="shared" si="35"/>
        <v/>
      </c>
      <c r="S555" s="186" t="str">
        <f t="shared" si="36"/>
        <v/>
      </c>
      <c r="T555" s="187" t="str">
        <f>IF(R555="","",IF(O555=0,Famille!$D$5,IF(R555&lt;O555,Famille!$D$2,IF(R555&lt;=P555,Famille!$D$3,Famille!$D$4))))</f>
        <v/>
      </c>
    </row>
    <row r="556" spans="1:20" ht="12" customHeight="1" x14ac:dyDescent="0.2">
      <c r="A556" s="4"/>
      <c r="B556" s="4"/>
      <c r="C556" s="4"/>
      <c r="D556" s="4"/>
      <c r="E556" s="49"/>
      <c r="F556" s="50"/>
      <c r="H556" s="37"/>
      <c r="I556" s="2"/>
      <c r="J556" s="69">
        <f>SUM('Archives Entrées'!$N556:$AAV556)</f>
        <v>0</v>
      </c>
      <c r="K556" s="51" t="str">
        <f t="shared" si="33"/>
        <v>0,00€</v>
      </c>
      <c r="L556" s="69">
        <f>SUM('Archives Sorties'!$M556:$AAY556)</f>
        <v>0</v>
      </c>
      <c r="M556" s="51" t="str">
        <f t="shared" si="34"/>
        <v>0,00€</v>
      </c>
      <c r="O556" s="72">
        <v>0</v>
      </c>
      <c r="P556" s="72">
        <v>0</v>
      </c>
      <c r="R556" s="185" t="str">
        <f t="shared" si="35"/>
        <v/>
      </c>
      <c r="S556" s="186" t="str">
        <f t="shared" si="36"/>
        <v/>
      </c>
      <c r="T556" s="187" t="str">
        <f>IF(R556="","",IF(O556=0,Famille!$D$5,IF(R556&lt;O556,Famille!$D$2,IF(R556&lt;=P556,Famille!$D$3,Famille!$D$4))))</f>
        <v/>
      </c>
    </row>
    <row r="557" spans="1:20" ht="12" customHeight="1" x14ac:dyDescent="0.2">
      <c r="A557" s="4"/>
      <c r="B557" s="4"/>
      <c r="C557" s="4"/>
      <c r="D557" s="4"/>
      <c r="E557" s="49"/>
      <c r="F557" s="50"/>
      <c r="H557" s="37"/>
      <c r="I557" s="2"/>
      <c r="J557" s="69">
        <f>SUM('Archives Entrées'!$N557:$AAV557)</f>
        <v>0</v>
      </c>
      <c r="K557" s="51" t="str">
        <f t="shared" si="33"/>
        <v>0,00€</v>
      </c>
      <c r="L557" s="69">
        <f>SUM('Archives Sorties'!$M557:$AAY557)</f>
        <v>0</v>
      </c>
      <c r="M557" s="51" t="str">
        <f t="shared" si="34"/>
        <v>0,00€</v>
      </c>
      <c r="O557" s="72">
        <v>0</v>
      </c>
      <c r="P557" s="72">
        <v>0</v>
      </c>
      <c r="R557" s="185" t="str">
        <f t="shared" si="35"/>
        <v/>
      </c>
      <c r="S557" s="186" t="str">
        <f t="shared" si="36"/>
        <v/>
      </c>
      <c r="T557" s="187" t="str">
        <f>IF(R557="","",IF(O557=0,Famille!$D$5,IF(R557&lt;O557,Famille!$D$2,IF(R557&lt;=P557,Famille!$D$3,Famille!$D$4))))</f>
        <v/>
      </c>
    </row>
    <row r="558" spans="1:20" ht="12" customHeight="1" x14ac:dyDescent="0.2">
      <c r="A558" s="4"/>
      <c r="B558" s="4"/>
      <c r="C558" s="4"/>
      <c r="D558" s="4"/>
      <c r="E558" s="49"/>
      <c r="F558" s="50"/>
      <c r="H558" s="37"/>
      <c r="I558" s="2"/>
      <c r="J558" s="69">
        <f>SUM('Archives Entrées'!$N558:$AAV558)</f>
        <v>0</v>
      </c>
      <c r="K558" s="51" t="str">
        <f t="shared" si="33"/>
        <v>0,00€</v>
      </c>
      <c r="L558" s="69">
        <f>SUM('Archives Sorties'!$M558:$AAY558)</f>
        <v>0</v>
      </c>
      <c r="M558" s="51" t="str">
        <f t="shared" si="34"/>
        <v>0,00€</v>
      </c>
      <c r="O558" s="72">
        <v>0</v>
      </c>
      <c r="P558" s="72">
        <v>0</v>
      </c>
      <c r="R558" s="185" t="str">
        <f t="shared" si="35"/>
        <v/>
      </c>
      <c r="S558" s="186" t="str">
        <f t="shared" si="36"/>
        <v/>
      </c>
      <c r="T558" s="187" t="str">
        <f>IF(R558="","",IF(O558=0,Famille!$D$5,IF(R558&lt;O558,Famille!$D$2,IF(R558&lt;=P558,Famille!$D$3,Famille!$D$4))))</f>
        <v/>
      </c>
    </row>
    <row r="559" spans="1:20" ht="12" customHeight="1" x14ac:dyDescent="0.2">
      <c r="A559" s="4"/>
      <c r="B559" s="4"/>
      <c r="C559" s="4"/>
      <c r="D559" s="4"/>
      <c r="E559" s="49"/>
      <c r="F559" s="50"/>
      <c r="H559" s="37"/>
      <c r="I559" s="2"/>
      <c r="J559" s="69">
        <f>SUM('Archives Entrées'!$N559:$AAV559)</f>
        <v>0</v>
      </c>
      <c r="K559" s="51" t="str">
        <f t="shared" si="33"/>
        <v>0,00€</v>
      </c>
      <c r="L559" s="69">
        <f>SUM('Archives Sorties'!$M559:$AAY559)</f>
        <v>0</v>
      </c>
      <c r="M559" s="51" t="str">
        <f t="shared" si="34"/>
        <v>0,00€</v>
      </c>
      <c r="O559" s="72">
        <v>0</v>
      </c>
      <c r="P559" s="72">
        <v>0</v>
      </c>
      <c r="R559" s="185" t="str">
        <f t="shared" si="35"/>
        <v/>
      </c>
      <c r="S559" s="186" t="str">
        <f t="shared" si="36"/>
        <v/>
      </c>
      <c r="T559" s="187" t="str">
        <f>IF(R559="","",IF(O559=0,Famille!$D$5,IF(R559&lt;O559,Famille!$D$2,IF(R559&lt;=P559,Famille!$D$3,Famille!$D$4))))</f>
        <v/>
      </c>
    </row>
    <row r="560" spans="1:20" ht="12" customHeight="1" x14ac:dyDescent="0.2">
      <c r="A560" s="4"/>
      <c r="B560" s="4"/>
      <c r="C560" s="4"/>
      <c r="D560" s="4"/>
      <c r="E560" s="49"/>
      <c r="F560" s="50"/>
      <c r="H560" s="37"/>
      <c r="I560" s="2"/>
      <c r="J560" s="69">
        <f>SUM('Archives Entrées'!$N560:$AAV560)</f>
        <v>0</v>
      </c>
      <c r="K560" s="51" t="str">
        <f t="shared" si="33"/>
        <v>0,00€</v>
      </c>
      <c r="L560" s="69">
        <f>SUM('Archives Sorties'!$M560:$AAY560)</f>
        <v>0</v>
      </c>
      <c r="M560" s="51" t="str">
        <f t="shared" si="34"/>
        <v>0,00€</v>
      </c>
      <c r="O560" s="72">
        <v>0</v>
      </c>
      <c r="P560" s="72">
        <v>0</v>
      </c>
      <c r="R560" s="185" t="str">
        <f t="shared" si="35"/>
        <v/>
      </c>
      <c r="S560" s="186" t="str">
        <f t="shared" si="36"/>
        <v/>
      </c>
      <c r="T560" s="187" t="str">
        <f>IF(R560="","",IF(O560=0,Famille!$D$5,IF(R560&lt;O560,Famille!$D$2,IF(R560&lt;=P560,Famille!$D$3,Famille!$D$4))))</f>
        <v/>
      </c>
    </row>
    <row r="561" spans="1:20" ht="12" customHeight="1" x14ac:dyDescent="0.2">
      <c r="A561" s="4"/>
      <c r="B561" s="4"/>
      <c r="C561" s="4"/>
      <c r="D561" s="4"/>
      <c r="E561" s="49"/>
      <c r="F561" s="50"/>
      <c r="H561" s="37"/>
      <c r="I561" s="2"/>
      <c r="J561" s="69">
        <f>SUM('Archives Entrées'!$N561:$AAV561)</f>
        <v>0</v>
      </c>
      <c r="K561" s="51" t="str">
        <f t="shared" si="33"/>
        <v>0,00€</v>
      </c>
      <c r="L561" s="69">
        <f>SUM('Archives Sorties'!$M561:$AAY561)</f>
        <v>0</v>
      </c>
      <c r="M561" s="51" t="str">
        <f t="shared" si="34"/>
        <v>0,00€</v>
      </c>
      <c r="O561" s="72">
        <v>0</v>
      </c>
      <c r="P561" s="72">
        <v>0</v>
      </c>
      <c r="R561" s="185" t="str">
        <f t="shared" si="35"/>
        <v/>
      </c>
      <c r="S561" s="186" t="str">
        <f t="shared" si="36"/>
        <v/>
      </c>
      <c r="T561" s="187" t="str">
        <f>IF(R561="","",IF(O561=0,Famille!$D$5,IF(R561&lt;O561,Famille!$D$2,IF(R561&lt;=P561,Famille!$D$3,Famille!$D$4))))</f>
        <v/>
      </c>
    </row>
    <row r="562" spans="1:20" ht="12" customHeight="1" x14ac:dyDescent="0.2">
      <c r="A562" s="4"/>
      <c r="B562" s="4"/>
      <c r="C562" s="4"/>
      <c r="D562" s="4"/>
      <c r="E562" s="49"/>
      <c r="F562" s="50"/>
      <c r="H562" s="37"/>
      <c r="I562" s="2"/>
      <c r="J562" s="69">
        <f>SUM('Archives Entrées'!$N562:$AAV562)</f>
        <v>0</v>
      </c>
      <c r="K562" s="51" t="str">
        <f t="shared" si="33"/>
        <v>0,00€</v>
      </c>
      <c r="L562" s="69">
        <f>SUM('Archives Sorties'!$M562:$AAY562)</f>
        <v>0</v>
      </c>
      <c r="M562" s="51" t="str">
        <f t="shared" si="34"/>
        <v>0,00€</v>
      </c>
      <c r="O562" s="72">
        <v>0</v>
      </c>
      <c r="P562" s="72">
        <v>0</v>
      </c>
      <c r="R562" s="185" t="str">
        <f t="shared" si="35"/>
        <v/>
      </c>
      <c r="S562" s="186" t="str">
        <f t="shared" si="36"/>
        <v/>
      </c>
      <c r="T562" s="187" t="str">
        <f>IF(R562="","",IF(O562=0,Famille!$D$5,IF(R562&lt;O562,Famille!$D$2,IF(R562&lt;=P562,Famille!$D$3,Famille!$D$4))))</f>
        <v/>
      </c>
    </row>
    <row r="563" spans="1:20" ht="12" customHeight="1" x14ac:dyDescent="0.2">
      <c r="A563" s="4"/>
      <c r="B563" s="4"/>
      <c r="C563" s="4"/>
      <c r="D563" s="4"/>
      <c r="E563" s="49"/>
      <c r="F563" s="50"/>
      <c r="H563" s="37"/>
      <c r="I563" s="2"/>
      <c r="J563" s="69">
        <f>SUM('Archives Entrées'!$N563:$AAV563)</f>
        <v>0</v>
      </c>
      <c r="K563" s="51" t="str">
        <f t="shared" si="33"/>
        <v>0,00€</v>
      </c>
      <c r="L563" s="69">
        <f>SUM('Archives Sorties'!$M563:$AAY563)</f>
        <v>0</v>
      </c>
      <c r="M563" s="51" t="str">
        <f t="shared" si="34"/>
        <v>0,00€</v>
      </c>
      <c r="O563" s="72">
        <v>0</v>
      </c>
      <c r="P563" s="72">
        <v>0</v>
      </c>
      <c r="R563" s="185" t="str">
        <f t="shared" si="35"/>
        <v/>
      </c>
      <c r="S563" s="186" t="str">
        <f t="shared" si="36"/>
        <v/>
      </c>
      <c r="T563" s="187" t="str">
        <f>IF(R563="","",IF(O563=0,Famille!$D$5,IF(R563&lt;O563,Famille!$D$2,IF(R563&lt;=P563,Famille!$D$3,Famille!$D$4))))</f>
        <v/>
      </c>
    </row>
    <row r="564" spans="1:20" ht="12" customHeight="1" x14ac:dyDescent="0.2">
      <c r="A564" s="4"/>
      <c r="B564" s="4"/>
      <c r="C564" s="4"/>
      <c r="D564" s="4"/>
      <c r="E564" s="49"/>
      <c r="F564" s="50"/>
      <c r="H564" s="37"/>
      <c r="I564" s="2"/>
      <c r="J564" s="69">
        <f>SUM('Archives Entrées'!$N564:$AAV564)</f>
        <v>0</v>
      </c>
      <c r="K564" s="51" t="str">
        <f t="shared" si="33"/>
        <v>0,00€</v>
      </c>
      <c r="L564" s="69">
        <f>SUM('Archives Sorties'!$M564:$AAY564)</f>
        <v>0</v>
      </c>
      <c r="M564" s="51" t="str">
        <f t="shared" si="34"/>
        <v>0,00€</v>
      </c>
      <c r="O564" s="72">
        <v>0</v>
      </c>
      <c r="P564" s="72">
        <v>0</v>
      </c>
      <c r="R564" s="185" t="str">
        <f t="shared" si="35"/>
        <v/>
      </c>
      <c r="S564" s="186" t="str">
        <f t="shared" si="36"/>
        <v/>
      </c>
      <c r="T564" s="187" t="str">
        <f>IF(R564="","",IF(O564=0,Famille!$D$5,IF(R564&lt;O564,Famille!$D$2,IF(R564&lt;=P564,Famille!$D$3,Famille!$D$4))))</f>
        <v/>
      </c>
    </row>
    <row r="565" spans="1:20" ht="12" customHeight="1" x14ac:dyDescent="0.2">
      <c r="A565" s="4"/>
      <c r="B565" s="4"/>
      <c r="C565" s="4"/>
      <c r="D565" s="4"/>
      <c r="E565" s="49"/>
      <c r="F565" s="50"/>
      <c r="H565" s="37"/>
      <c r="I565" s="2"/>
      <c r="J565" s="69">
        <f>SUM('Archives Entrées'!$N565:$AAV565)</f>
        <v>0</v>
      </c>
      <c r="K565" s="51" t="str">
        <f t="shared" si="33"/>
        <v>0,00€</v>
      </c>
      <c r="L565" s="69">
        <f>SUM('Archives Sorties'!$M565:$AAY565)</f>
        <v>0</v>
      </c>
      <c r="M565" s="51" t="str">
        <f t="shared" si="34"/>
        <v>0,00€</v>
      </c>
      <c r="O565" s="72">
        <v>0</v>
      </c>
      <c r="P565" s="72">
        <v>0</v>
      </c>
      <c r="R565" s="185" t="str">
        <f t="shared" si="35"/>
        <v/>
      </c>
      <c r="S565" s="186" t="str">
        <f t="shared" si="36"/>
        <v/>
      </c>
      <c r="T565" s="187" t="str">
        <f>IF(R565="","",IF(O565=0,Famille!$D$5,IF(R565&lt;O565,Famille!$D$2,IF(R565&lt;=P565,Famille!$D$3,Famille!$D$4))))</f>
        <v/>
      </c>
    </row>
    <row r="566" spans="1:20" ht="12" customHeight="1" x14ac:dyDescent="0.2">
      <c r="A566" s="4"/>
      <c r="B566" s="4"/>
      <c r="C566" s="4"/>
      <c r="D566" s="4"/>
      <c r="E566" s="49"/>
      <c r="F566" s="50"/>
      <c r="H566" s="37"/>
      <c r="I566" s="2"/>
      <c r="J566" s="69">
        <f>SUM('Archives Entrées'!$N566:$AAV566)</f>
        <v>0</v>
      </c>
      <c r="K566" s="51" t="str">
        <f t="shared" si="33"/>
        <v>0,00€</v>
      </c>
      <c r="L566" s="69">
        <f>SUM('Archives Sorties'!$M566:$AAY566)</f>
        <v>0</v>
      </c>
      <c r="M566" s="51" t="str">
        <f t="shared" si="34"/>
        <v>0,00€</v>
      </c>
      <c r="O566" s="72">
        <v>0</v>
      </c>
      <c r="P566" s="72">
        <v>0</v>
      </c>
      <c r="R566" s="185" t="str">
        <f t="shared" si="35"/>
        <v/>
      </c>
      <c r="S566" s="186" t="str">
        <f t="shared" si="36"/>
        <v/>
      </c>
      <c r="T566" s="187" t="str">
        <f>IF(R566="","",IF(O566=0,Famille!$D$5,IF(R566&lt;O566,Famille!$D$2,IF(R566&lt;=P566,Famille!$D$3,Famille!$D$4))))</f>
        <v/>
      </c>
    </row>
    <row r="567" spans="1:20" ht="12" customHeight="1" x14ac:dyDescent="0.2">
      <c r="A567" s="4"/>
      <c r="B567" s="4"/>
      <c r="C567" s="4"/>
      <c r="D567" s="4"/>
      <c r="E567" s="49"/>
      <c r="F567" s="50"/>
      <c r="H567" s="37"/>
      <c r="I567" s="2"/>
      <c r="J567" s="69">
        <f>SUM('Archives Entrées'!$N567:$AAV567)</f>
        <v>0</v>
      </c>
      <c r="K567" s="51" t="str">
        <f t="shared" si="33"/>
        <v>0,00€</v>
      </c>
      <c r="L567" s="69">
        <f>SUM('Archives Sorties'!$M567:$AAY567)</f>
        <v>0</v>
      </c>
      <c r="M567" s="51" t="str">
        <f t="shared" si="34"/>
        <v>0,00€</v>
      </c>
      <c r="O567" s="72">
        <v>0</v>
      </c>
      <c r="P567" s="72">
        <v>0</v>
      </c>
      <c r="R567" s="185" t="str">
        <f t="shared" si="35"/>
        <v/>
      </c>
      <c r="S567" s="186" t="str">
        <f t="shared" si="36"/>
        <v/>
      </c>
      <c r="T567" s="187" t="str">
        <f>IF(R567="","",IF(O567=0,Famille!$D$5,IF(R567&lt;O567,Famille!$D$2,IF(R567&lt;=P567,Famille!$D$3,Famille!$D$4))))</f>
        <v/>
      </c>
    </row>
    <row r="568" spans="1:20" ht="12" customHeight="1" x14ac:dyDescent="0.2">
      <c r="A568" s="4"/>
      <c r="B568" s="4"/>
      <c r="C568" s="4"/>
      <c r="D568" s="4"/>
      <c r="E568" s="49"/>
      <c r="F568" s="50"/>
      <c r="H568" s="37"/>
      <c r="I568" s="2"/>
      <c r="J568" s="69">
        <f>SUM('Archives Entrées'!$N568:$AAV568)</f>
        <v>0</v>
      </c>
      <c r="K568" s="51" t="str">
        <f t="shared" si="33"/>
        <v>0,00€</v>
      </c>
      <c r="L568" s="69">
        <f>SUM('Archives Sorties'!$M568:$AAY568)</f>
        <v>0</v>
      </c>
      <c r="M568" s="51" t="str">
        <f t="shared" si="34"/>
        <v>0,00€</v>
      </c>
      <c r="O568" s="72">
        <v>0</v>
      </c>
      <c r="P568" s="72">
        <v>0</v>
      </c>
      <c r="R568" s="185" t="str">
        <f t="shared" si="35"/>
        <v/>
      </c>
      <c r="S568" s="186" t="str">
        <f t="shared" si="36"/>
        <v/>
      </c>
      <c r="T568" s="187" t="str">
        <f>IF(R568="","",IF(O568=0,Famille!$D$5,IF(R568&lt;O568,Famille!$D$2,IF(R568&lt;=P568,Famille!$D$3,Famille!$D$4))))</f>
        <v/>
      </c>
    </row>
    <row r="569" spans="1:20" ht="12" customHeight="1" x14ac:dyDescent="0.2">
      <c r="A569" s="4"/>
      <c r="B569" s="4"/>
      <c r="C569" s="4"/>
      <c r="D569" s="4"/>
      <c r="E569" s="49"/>
      <c r="F569" s="50"/>
      <c r="H569" s="37"/>
      <c r="I569" s="2"/>
      <c r="J569" s="69">
        <f>SUM('Archives Entrées'!$N569:$AAV569)</f>
        <v>0</v>
      </c>
      <c r="K569" s="51" t="str">
        <f t="shared" si="33"/>
        <v>0,00€</v>
      </c>
      <c r="L569" s="69">
        <f>SUM('Archives Sorties'!$M569:$AAY569)</f>
        <v>0</v>
      </c>
      <c r="M569" s="51" t="str">
        <f t="shared" si="34"/>
        <v>0,00€</v>
      </c>
      <c r="O569" s="72">
        <v>0</v>
      </c>
      <c r="P569" s="72">
        <v>0</v>
      </c>
      <c r="R569" s="185" t="str">
        <f t="shared" si="35"/>
        <v/>
      </c>
      <c r="S569" s="186" t="str">
        <f t="shared" si="36"/>
        <v/>
      </c>
      <c r="T569" s="187" t="str">
        <f>IF(R569="","",IF(O569=0,Famille!$D$5,IF(R569&lt;O569,Famille!$D$2,IF(R569&lt;=P569,Famille!$D$3,Famille!$D$4))))</f>
        <v/>
      </c>
    </row>
    <row r="570" spans="1:20" ht="12" customHeight="1" x14ac:dyDescent="0.2">
      <c r="A570" s="4"/>
      <c r="B570" s="4"/>
      <c r="C570" s="4"/>
      <c r="D570" s="4"/>
      <c r="E570" s="49"/>
      <c r="F570" s="50"/>
      <c r="H570" s="37"/>
      <c r="I570" s="2"/>
      <c r="J570" s="69">
        <f>SUM('Archives Entrées'!$N570:$AAV570)</f>
        <v>0</v>
      </c>
      <c r="K570" s="51" t="str">
        <f t="shared" si="33"/>
        <v>0,00€</v>
      </c>
      <c r="L570" s="69">
        <f>SUM('Archives Sorties'!$M570:$AAY570)</f>
        <v>0</v>
      </c>
      <c r="M570" s="51" t="str">
        <f t="shared" si="34"/>
        <v>0,00€</v>
      </c>
      <c r="O570" s="72">
        <v>0</v>
      </c>
      <c r="P570" s="72">
        <v>0</v>
      </c>
      <c r="R570" s="185" t="str">
        <f t="shared" si="35"/>
        <v/>
      </c>
      <c r="S570" s="186" t="str">
        <f t="shared" si="36"/>
        <v/>
      </c>
      <c r="T570" s="187" t="str">
        <f>IF(R570="","",IF(O570=0,Famille!$D$5,IF(R570&lt;O570,Famille!$D$2,IF(R570&lt;=P570,Famille!$D$3,Famille!$D$4))))</f>
        <v/>
      </c>
    </row>
    <row r="571" spans="1:20" ht="12" customHeight="1" x14ac:dyDescent="0.2">
      <c r="A571" s="4"/>
      <c r="B571" s="4"/>
      <c r="C571" s="4"/>
      <c r="D571" s="4"/>
      <c r="E571" s="49"/>
      <c r="F571" s="50"/>
      <c r="H571" s="37"/>
      <c r="I571" s="2"/>
      <c r="J571" s="69">
        <f>SUM('Archives Entrées'!$N571:$AAV571)</f>
        <v>0</v>
      </c>
      <c r="K571" s="51" t="str">
        <f t="shared" si="33"/>
        <v>0,00€</v>
      </c>
      <c r="L571" s="69">
        <f>SUM('Archives Sorties'!$M571:$AAY571)</f>
        <v>0</v>
      </c>
      <c r="M571" s="51" t="str">
        <f t="shared" si="34"/>
        <v>0,00€</v>
      </c>
      <c r="O571" s="72">
        <v>0</v>
      </c>
      <c r="P571" s="72">
        <v>0</v>
      </c>
      <c r="R571" s="185" t="str">
        <f t="shared" si="35"/>
        <v/>
      </c>
      <c r="S571" s="186" t="str">
        <f t="shared" si="36"/>
        <v/>
      </c>
      <c r="T571" s="187" t="str">
        <f>IF(R571="","",IF(O571=0,Famille!$D$5,IF(R571&lt;O571,Famille!$D$2,IF(R571&lt;=P571,Famille!$D$3,Famille!$D$4))))</f>
        <v/>
      </c>
    </row>
    <row r="572" spans="1:20" ht="12" customHeight="1" x14ac:dyDescent="0.2">
      <c r="A572" s="4" t="str">
        <f>IF(Produits!A453="","",Produits!A453)</f>
        <v/>
      </c>
      <c r="B572" s="4" t="str">
        <f>IF(Produits!B453="","",Produits!B453)</f>
        <v/>
      </c>
      <c r="C572" s="4" t="str">
        <f>IF(Produits!C453="","",Produits!C453)</f>
        <v/>
      </c>
      <c r="D572" s="4" t="str">
        <f>IF(Produits!D453="","",Produits!D453)</f>
        <v/>
      </c>
      <c r="E572" s="49" t="str">
        <f>IF(Produits!F453="","",Produits!F453)</f>
        <v/>
      </c>
      <c r="F572" s="50" t="str">
        <f>IF(Produits!H453="","",Produits!H453)</f>
        <v/>
      </c>
      <c r="H572" s="37"/>
      <c r="I572" s="2"/>
      <c r="J572" s="69">
        <f>SUM('Archives Entrées'!$N572:$AAV572)</f>
        <v>0</v>
      </c>
      <c r="K572" s="51" t="str">
        <f t="shared" si="33"/>
        <v>0,00€</v>
      </c>
      <c r="L572" s="69">
        <f>SUM('Archives Sorties'!$M572:$AAY572)</f>
        <v>0</v>
      </c>
      <c r="M572" s="51" t="str">
        <f t="shared" si="34"/>
        <v>0,00€</v>
      </c>
      <c r="P572" s="72"/>
      <c r="R572" s="185" t="str">
        <f t="shared" si="35"/>
        <v/>
      </c>
      <c r="S572" s="186" t="str">
        <f t="shared" si="36"/>
        <v/>
      </c>
      <c r="T572" s="187" t="str">
        <f>IF(R572="","",IF(O572=0,Famille!$D$5,IF(R572&lt;O572,Famille!$D$2,IF(R572&lt;=P572,Famille!$D$3,Famille!$D$4))))</f>
        <v/>
      </c>
    </row>
    <row r="573" spans="1:20" ht="12" customHeight="1" x14ac:dyDescent="0.2">
      <c r="A573" s="4" t="str">
        <f>IF(Produits!A454="","",Produits!A454)</f>
        <v/>
      </c>
      <c r="B573" s="4" t="str">
        <f>IF(Produits!B454="","",Produits!B454)</f>
        <v/>
      </c>
      <c r="C573" s="4" t="str">
        <f>IF(Produits!C454="","",Produits!C454)</f>
        <v/>
      </c>
      <c r="D573" s="4" t="str">
        <f>IF(Produits!D454="","",Produits!D454)</f>
        <v/>
      </c>
      <c r="E573" s="49" t="str">
        <f>IF(Produits!F454="","",Produits!F454)</f>
        <v/>
      </c>
      <c r="F573" s="50" t="str">
        <f>IF(Produits!H454="","",Produits!H454)</f>
        <v/>
      </c>
      <c r="H573" s="37"/>
      <c r="I573" s="2"/>
      <c r="J573" s="69">
        <f>SUM('Archives Entrées'!$N573:$AAV573)</f>
        <v>0</v>
      </c>
      <c r="K573" s="51" t="str">
        <f t="shared" si="33"/>
        <v>0,00€</v>
      </c>
      <c r="L573" s="69">
        <f>SUM('Archives Sorties'!$M573:$AAY573)</f>
        <v>0</v>
      </c>
      <c r="M573" s="51" t="str">
        <f t="shared" si="34"/>
        <v>0,00€</v>
      </c>
      <c r="P573" s="72"/>
      <c r="R573" s="185" t="str">
        <f t="shared" si="35"/>
        <v/>
      </c>
      <c r="S573" s="186" t="str">
        <f t="shared" si="36"/>
        <v/>
      </c>
      <c r="T573" s="187" t="str">
        <f>IF(R573="","",IF(O573=0,Famille!$D$5,IF(R573&lt;O573,Famille!$D$2,IF(R573&lt;=P573,Famille!$D$3,Famille!$D$4))))</f>
        <v/>
      </c>
    </row>
    <row r="574" spans="1:20" ht="12" customHeight="1" x14ac:dyDescent="0.2">
      <c r="A574" s="4" t="str">
        <f>IF(Produits!A455="","",Produits!A455)</f>
        <v/>
      </c>
      <c r="B574" s="4" t="str">
        <f>IF(Produits!B455="","",Produits!B455)</f>
        <v/>
      </c>
      <c r="C574" s="4" t="str">
        <f>IF(Produits!C455="","",Produits!C455)</f>
        <v/>
      </c>
      <c r="D574" s="4" t="str">
        <f>IF(Produits!D455="","",Produits!D455)</f>
        <v/>
      </c>
      <c r="E574" s="49" t="str">
        <f>IF(Produits!F455="","",Produits!F455)</f>
        <v/>
      </c>
      <c r="F574" s="50" t="str">
        <f>IF(Produits!H455="","",Produits!H455)</f>
        <v/>
      </c>
      <c r="H574" s="37"/>
      <c r="I574" s="2"/>
      <c r="J574" s="69">
        <f>SUM('Archives Entrées'!$N574:$AAV574)</f>
        <v>0</v>
      </c>
      <c r="K574" s="51" t="str">
        <f t="shared" si="33"/>
        <v>0,00€</v>
      </c>
      <c r="L574" s="69">
        <f>SUM('Archives Sorties'!$M574:$AAY574)</f>
        <v>0</v>
      </c>
      <c r="M574" s="51" t="str">
        <f t="shared" si="34"/>
        <v>0,00€</v>
      </c>
      <c r="P574" s="72"/>
      <c r="R574" s="185" t="str">
        <f t="shared" si="35"/>
        <v/>
      </c>
      <c r="S574" s="186" t="str">
        <f t="shared" si="36"/>
        <v/>
      </c>
      <c r="T574" s="187" t="str">
        <f>IF(R574="","",IF(O574=0,Famille!$D$5,IF(R574&lt;O574,Famille!$D$2,IF(R574&lt;=P574,Famille!$D$3,Famille!$D$4))))</f>
        <v/>
      </c>
    </row>
    <row r="575" spans="1:20" ht="12" customHeight="1" x14ac:dyDescent="0.2">
      <c r="A575" s="4" t="str">
        <f>IF(Produits!A456="","",Produits!A456)</f>
        <v/>
      </c>
      <c r="B575" s="4" t="str">
        <f>IF(Produits!B456="","",Produits!B456)</f>
        <v/>
      </c>
      <c r="C575" s="4" t="str">
        <f>IF(Produits!C456="","",Produits!C456)</f>
        <v/>
      </c>
      <c r="D575" s="4" t="str">
        <f>IF(Produits!D456="","",Produits!D456)</f>
        <v/>
      </c>
      <c r="E575" s="49" t="str">
        <f>IF(Produits!F456="","",Produits!F456)</f>
        <v/>
      </c>
      <c r="F575" s="50" t="str">
        <f>IF(Produits!H456="","",Produits!H456)</f>
        <v/>
      </c>
      <c r="H575" s="37"/>
      <c r="I575" s="2"/>
      <c r="J575" s="69">
        <f>SUM('Archives Entrées'!$N575:$AAV575)</f>
        <v>0</v>
      </c>
      <c r="K575" s="51" t="str">
        <f t="shared" si="33"/>
        <v>0,00€</v>
      </c>
      <c r="L575" s="69">
        <f>SUM('Archives Sorties'!$M575:$AAY575)</f>
        <v>0</v>
      </c>
      <c r="M575" s="51" t="str">
        <f t="shared" si="34"/>
        <v>0,00€</v>
      </c>
      <c r="P575" s="72"/>
      <c r="R575" s="185" t="str">
        <f t="shared" si="35"/>
        <v/>
      </c>
      <c r="S575" s="186" t="str">
        <f t="shared" si="36"/>
        <v/>
      </c>
      <c r="T575" s="187" t="str">
        <f>IF(R575="","",IF(O575=0,Famille!$D$5,IF(R575&lt;O575,Famille!$D$2,IF(R575&lt;=P575,Famille!$D$3,Famille!$D$4))))</f>
        <v/>
      </c>
    </row>
    <row r="576" spans="1:20" ht="12" customHeight="1" x14ac:dyDescent="0.2">
      <c r="A576" s="4" t="str">
        <f>IF(Produits!A457="","",Produits!A457)</f>
        <v/>
      </c>
      <c r="B576" s="4" t="str">
        <f>IF(Produits!B457="","",Produits!B457)</f>
        <v/>
      </c>
      <c r="C576" s="4" t="str">
        <f>IF(Produits!C457="","",Produits!C457)</f>
        <v/>
      </c>
      <c r="D576" s="4" t="str">
        <f>IF(Produits!D457="","",Produits!D457)</f>
        <v/>
      </c>
      <c r="E576" s="49" t="str">
        <f>IF(Produits!F457="","",Produits!F457)</f>
        <v/>
      </c>
      <c r="F576" s="50" t="str">
        <f>IF(Produits!H457="","",Produits!H457)</f>
        <v/>
      </c>
      <c r="H576" s="37"/>
      <c r="I576" s="2"/>
      <c r="J576" s="69">
        <f>SUM('Archives Entrées'!$N576:$AAV576)</f>
        <v>0</v>
      </c>
      <c r="K576" s="51" t="str">
        <f t="shared" si="33"/>
        <v>0,00€</v>
      </c>
      <c r="L576" s="69">
        <f>SUM('Archives Sorties'!$M576:$AAY576)</f>
        <v>0</v>
      </c>
      <c r="M576" s="51" t="str">
        <f t="shared" si="34"/>
        <v>0,00€</v>
      </c>
      <c r="P576" s="72"/>
      <c r="R576" s="185" t="str">
        <f t="shared" si="35"/>
        <v/>
      </c>
      <c r="S576" s="186" t="str">
        <f t="shared" si="36"/>
        <v/>
      </c>
      <c r="T576" s="187" t="str">
        <f>IF(R576="","",IF(O576=0,Famille!$D$5,IF(R576&lt;O576,Famille!$D$2,IF(R576&lt;=P576,Famille!$D$3,Famille!$D$4))))</f>
        <v/>
      </c>
    </row>
    <row r="577" spans="1:20" ht="12" customHeight="1" x14ac:dyDescent="0.2">
      <c r="A577" s="4" t="str">
        <f>IF(Produits!A458="","",Produits!A458)</f>
        <v/>
      </c>
      <c r="B577" s="4" t="str">
        <f>IF(Produits!B458="","",Produits!B458)</f>
        <v/>
      </c>
      <c r="C577" s="4" t="str">
        <f>IF(Produits!C458="","",Produits!C458)</f>
        <v/>
      </c>
      <c r="D577" s="4" t="str">
        <f>IF(Produits!D458="","",Produits!D458)</f>
        <v/>
      </c>
      <c r="E577" s="49" t="str">
        <f>IF(Produits!F458="","",Produits!F458)</f>
        <v/>
      </c>
      <c r="F577" s="50" t="str">
        <f>IF(Produits!H458="","",Produits!H458)</f>
        <v/>
      </c>
      <c r="H577" s="37"/>
      <c r="I577" s="2"/>
      <c r="J577" s="69">
        <f>SUM('Archives Entrées'!$N577:$AAV577)</f>
        <v>0</v>
      </c>
      <c r="K577" s="51" t="str">
        <f t="shared" si="33"/>
        <v>0,00€</v>
      </c>
      <c r="L577" s="69">
        <f>SUM('Archives Sorties'!$M577:$AAY577)</f>
        <v>0</v>
      </c>
      <c r="M577" s="51" t="str">
        <f t="shared" si="34"/>
        <v>0,00€</v>
      </c>
      <c r="P577" s="72"/>
      <c r="R577" s="185" t="str">
        <f t="shared" si="35"/>
        <v/>
      </c>
      <c r="S577" s="186" t="str">
        <f t="shared" si="36"/>
        <v/>
      </c>
      <c r="T577" s="187" t="str">
        <f>IF(R577="","",IF(O577=0,Famille!$D$5,IF(R577&lt;O577,Famille!$D$2,IF(R577&lt;=P577,Famille!$D$3,Famille!$D$4))))</f>
        <v/>
      </c>
    </row>
    <row r="578" spans="1:20" ht="12" customHeight="1" x14ac:dyDescent="0.2">
      <c r="A578" s="4" t="str">
        <f>IF(Produits!A459="","",Produits!A459)</f>
        <v/>
      </c>
      <c r="B578" s="4" t="str">
        <f>IF(Produits!B459="","",Produits!B459)</f>
        <v/>
      </c>
      <c r="C578" s="4" t="str">
        <f>IF(Produits!C459="","",Produits!C459)</f>
        <v/>
      </c>
      <c r="D578" s="4" t="str">
        <f>IF(Produits!D459="","",Produits!D459)</f>
        <v/>
      </c>
      <c r="E578" s="49" t="str">
        <f>IF(Produits!F459="","",Produits!F459)</f>
        <v/>
      </c>
      <c r="F578" s="50" t="str">
        <f>IF(Produits!H459="","",Produits!H459)</f>
        <v/>
      </c>
      <c r="H578" s="37"/>
      <c r="I578" s="2"/>
      <c r="J578" s="69">
        <f>SUM('Archives Entrées'!$N578:$AAV578)</f>
        <v>0</v>
      </c>
      <c r="K578" s="51" t="str">
        <f t="shared" si="33"/>
        <v>0,00€</v>
      </c>
      <c r="L578" s="69">
        <f>SUM('Archives Sorties'!$M578:$AAY578)</f>
        <v>0</v>
      </c>
      <c r="M578" s="51" t="str">
        <f t="shared" si="34"/>
        <v>0,00€</v>
      </c>
      <c r="P578" s="72"/>
      <c r="R578" s="185" t="str">
        <f t="shared" si="35"/>
        <v/>
      </c>
      <c r="S578" s="186" t="str">
        <f t="shared" si="36"/>
        <v/>
      </c>
      <c r="T578" s="187" t="str">
        <f>IF(R578="","",IF(O578=0,Famille!$D$5,IF(R578&lt;O578,Famille!$D$2,IF(R578&lt;=P578,Famille!$D$3,Famille!$D$4))))</f>
        <v/>
      </c>
    </row>
    <row r="579" spans="1:20" ht="12" customHeight="1" x14ac:dyDescent="0.2">
      <c r="A579" s="4" t="str">
        <f>IF(Produits!A460="","",Produits!A460)</f>
        <v/>
      </c>
      <c r="B579" s="4" t="str">
        <f>IF(Produits!B460="","",Produits!B460)</f>
        <v/>
      </c>
      <c r="C579" s="4" t="str">
        <f>IF(Produits!C460="","",Produits!C460)</f>
        <v/>
      </c>
      <c r="D579" s="4" t="str">
        <f>IF(Produits!D460="","",Produits!D460)</f>
        <v/>
      </c>
      <c r="E579" s="49" t="str">
        <f>IF(Produits!F460="","",Produits!F460)</f>
        <v/>
      </c>
      <c r="F579" s="50" t="str">
        <f>IF(Produits!H460="","",Produits!H460)</f>
        <v/>
      </c>
      <c r="H579" s="37"/>
      <c r="I579" s="2"/>
      <c r="J579" s="69">
        <f>SUM('Archives Entrées'!$N579:$AAV579)</f>
        <v>0</v>
      </c>
      <c r="K579" s="51" t="str">
        <f t="shared" si="33"/>
        <v>0,00€</v>
      </c>
      <c r="L579" s="69">
        <f>SUM('Archives Sorties'!$M579:$AAY579)</f>
        <v>0</v>
      </c>
      <c r="M579" s="51" t="str">
        <f t="shared" si="34"/>
        <v>0,00€</v>
      </c>
      <c r="P579" s="72"/>
      <c r="R579" s="185" t="str">
        <f t="shared" si="35"/>
        <v/>
      </c>
      <c r="S579" s="186" t="str">
        <f t="shared" si="36"/>
        <v/>
      </c>
      <c r="T579" s="187" t="str">
        <f>IF(R579="","",IF(O579=0,Famille!$D$5,IF(R579&lt;O579,Famille!$D$2,IF(R579&lt;=P579,Famille!$D$3,Famille!$D$4))))</f>
        <v/>
      </c>
    </row>
    <row r="580" spans="1:20" ht="12" customHeight="1" x14ac:dyDescent="0.2">
      <c r="A580" s="4" t="str">
        <f>IF(Produits!A461="","",Produits!A461)</f>
        <v/>
      </c>
      <c r="B580" s="4" t="str">
        <f>IF(Produits!B461="","",Produits!B461)</f>
        <v/>
      </c>
      <c r="C580" s="4" t="str">
        <f>IF(Produits!C461="","",Produits!C461)</f>
        <v/>
      </c>
      <c r="D580" s="4" t="str">
        <f>IF(Produits!D461="","",Produits!D461)</f>
        <v/>
      </c>
      <c r="E580" s="49" t="str">
        <f>IF(Produits!F461="","",Produits!F461)</f>
        <v/>
      </c>
      <c r="F580" s="50" t="str">
        <f>IF(Produits!H461="","",Produits!H461)</f>
        <v/>
      </c>
      <c r="H580" s="37"/>
      <c r="I580" s="2"/>
      <c r="J580" s="69">
        <f>SUM('Archives Entrées'!$N580:$AAV580)</f>
        <v>0</v>
      </c>
      <c r="K580" s="51" t="str">
        <f t="shared" si="33"/>
        <v>0,00€</v>
      </c>
      <c r="L580" s="69">
        <f>SUM('Archives Sorties'!$M580:$AAY580)</f>
        <v>0</v>
      </c>
      <c r="M580" s="51" t="str">
        <f t="shared" si="34"/>
        <v>0,00€</v>
      </c>
      <c r="P580" s="72"/>
      <c r="R580" s="185" t="str">
        <f t="shared" si="35"/>
        <v/>
      </c>
      <c r="S580" s="186" t="str">
        <f t="shared" si="36"/>
        <v/>
      </c>
      <c r="T580" s="187" t="str">
        <f>IF(R580="","",IF(O580=0,Famille!$D$5,IF(R580&lt;O580,Famille!$D$2,IF(R580&lt;=P580,Famille!$D$3,Famille!$D$4))))</f>
        <v/>
      </c>
    </row>
    <row r="581" spans="1:20" ht="12" customHeight="1" x14ac:dyDescent="0.2">
      <c r="A581" s="4" t="str">
        <f>IF(Produits!A462="","",Produits!A462)</f>
        <v/>
      </c>
      <c r="B581" s="4" t="str">
        <f>IF(Produits!B462="","",Produits!B462)</f>
        <v/>
      </c>
      <c r="C581" s="4" t="str">
        <f>IF(Produits!C462="","",Produits!C462)</f>
        <v/>
      </c>
      <c r="D581" s="4" t="str">
        <f>IF(Produits!D462="","",Produits!D462)</f>
        <v/>
      </c>
      <c r="E581" s="49" t="str">
        <f>IF(Produits!F462="","",Produits!F462)</f>
        <v/>
      </c>
      <c r="F581" s="50" t="str">
        <f>IF(Produits!H462="","",Produits!H462)</f>
        <v/>
      </c>
      <c r="H581" s="37"/>
      <c r="I581" s="2"/>
      <c r="J581" s="69">
        <f>SUM('Archives Entrées'!$N581:$AAV581)</f>
        <v>0</v>
      </c>
      <c r="K581" s="51" t="str">
        <f t="shared" ref="K581:K644" si="37">IF(J581=0,"0,00€",J581*F581)</f>
        <v>0,00€</v>
      </c>
      <c r="L581" s="69">
        <f>SUM('Archives Sorties'!$M581:$AAY581)</f>
        <v>0</v>
      </c>
      <c r="M581" s="51" t="str">
        <f t="shared" ref="M581:M644" si="38">IF(L581=0,"0,00€",L581*F581)</f>
        <v>0,00€</v>
      </c>
      <c r="P581" s="72"/>
      <c r="R581" s="185" t="str">
        <f t="shared" ref="R581:R644" si="39">IF(A581="","",((J581+H581)-L581))</f>
        <v/>
      </c>
      <c r="S581" s="186" t="str">
        <f t="shared" ref="S581:S644" si="40">IF(R581="","",IF(R581=0,0,IF(R581&lt;O581,0,IF(R581&lt;=P581,1,2))))</f>
        <v/>
      </c>
      <c r="T581" s="187" t="str">
        <f>IF(R581="","",IF(O581=0,Famille!$D$5,IF(R581&lt;O581,Famille!$D$2,IF(R581&lt;=P581,Famille!$D$3,Famille!$D$4))))</f>
        <v/>
      </c>
    </row>
    <row r="582" spans="1:20" ht="12" customHeight="1" x14ac:dyDescent="0.2">
      <c r="A582" s="4" t="str">
        <f>IF(Produits!A463="","",Produits!A463)</f>
        <v/>
      </c>
      <c r="B582" s="4" t="str">
        <f>IF(Produits!B463="","",Produits!B463)</f>
        <v/>
      </c>
      <c r="C582" s="4" t="str">
        <f>IF(Produits!C463="","",Produits!C463)</f>
        <v/>
      </c>
      <c r="D582" s="4" t="str">
        <f>IF(Produits!D463="","",Produits!D463)</f>
        <v/>
      </c>
      <c r="E582" s="49" t="str">
        <f>IF(Produits!F463="","",Produits!F463)</f>
        <v/>
      </c>
      <c r="F582" s="50" t="str">
        <f>IF(Produits!H463="","",Produits!H463)</f>
        <v/>
      </c>
      <c r="H582" s="37"/>
      <c r="I582" s="2"/>
      <c r="J582" s="69">
        <f>SUM('Archives Entrées'!$N582:$AAV582)</f>
        <v>0</v>
      </c>
      <c r="K582" s="51" t="str">
        <f t="shared" si="37"/>
        <v>0,00€</v>
      </c>
      <c r="L582" s="69">
        <f>SUM('Archives Sorties'!$M582:$AAY582)</f>
        <v>0</v>
      </c>
      <c r="M582" s="51" t="str">
        <f t="shared" si="38"/>
        <v>0,00€</v>
      </c>
      <c r="P582" s="72"/>
      <c r="R582" s="185" t="str">
        <f t="shared" si="39"/>
        <v/>
      </c>
      <c r="S582" s="186" t="str">
        <f t="shared" si="40"/>
        <v/>
      </c>
      <c r="T582" s="187" t="str">
        <f>IF(R582="","",IF(O582=0,Famille!$D$5,IF(R582&lt;O582,Famille!$D$2,IF(R582&lt;=P582,Famille!$D$3,Famille!$D$4))))</f>
        <v/>
      </c>
    </row>
    <row r="583" spans="1:20" ht="12" customHeight="1" x14ac:dyDescent="0.2">
      <c r="A583" s="4" t="str">
        <f>IF(Produits!A464="","",Produits!A464)</f>
        <v/>
      </c>
      <c r="B583" s="4" t="str">
        <f>IF(Produits!B464="","",Produits!B464)</f>
        <v/>
      </c>
      <c r="C583" s="4" t="str">
        <f>IF(Produits!C464="","",Produits!C464)</f>
        <v/>
      </c>
      <c r="D583" s="4" t="str">
        <f>IF(Produits!D464="","",Produits!D464)</f>
        <v/>
      </c>
      <c r="E583" s="49" t="str">
        <f>IF(Produits!F464="","",Produits!F464)</f>
        <v/>
      </c>
      <c r="F583" s="50" t="str">
        <f>IF(Produits!H464="","",Produits!H464)</f>
        <v/>
      </c>
      <c r="H583" s="37"/>
      <c r="I583" s="2"/>
      <c r="J583" s="69">
        <f>SUM('Archives Entrées'!$N583:$AAV583)</f>
        <v>0</v>
      </c>
      <c r="K583" s="51" t="str">
        <f t="shared" si="37"/>
        <v>0,00€</v>
      </c>
      <c r="L583" s="69">
        <f>SUM('Archives Sorties'!$M583:$AAY583)</f>
        <v>0</v>
      </c>
      <c r="M583" s="51" t="str">
        <f t="shared" si="38"/>
        <v>0,00€</v>
      </c>
      <c r="P583" s="72"/>
      <c r="R583" s="185" t="str">
        <f t="shared" si="39"/>
        <v/>
      </c>
      <c r="S583" s="186" t="str">
        <f t="shared" si="40"/>
        <v/>
      </c>
      <c r="T583" s="187" t="str">
        <f>IF(R583="","",IF(O583=0,Famille!$D$5,IF(R583&lt;O583,Famille!$D$2,IF(R583&lt;=P583,Famille!$D$3,Famille!$D$4))))</f>
        <v/>
      </c>
    </row>
    <row r="584" spans="1:20" ht="12" customHeight="1" x14ac:dyDescent="0.2">
      <c r="A584" s="4" t="str">
        <f>IF(Produits!A465="","",Produits!A465)</f>
        <v/>
      </c>
      <c r="B584" s="4" t="str">
        <f>IF(Produits!B465="","",Produits!B465)</f>
        <v/>
      </c>
      <c r="C584" s="4" t="str">
        <f>IF(Produits!C465="","",Produits!C465)</f>
        <v/>
      </c>
      <c r="D584" s="4" t="str">
        <f>IF(Produits!D465="","",Produits!D465)</f>
        <v/>
      </c>
      <c r="E584" s="49" t="str">
        <f>IF(Produits!F465="","",Produits!F465)</f>
        <v/>
      </c>
      <c r="F584" s="50" t="str">
        <f>IF(Produits!H465="","",Produits!H465)</f>
        <v/>
      </c>
      <c r="H584" s="37"/>
      <c r="I584" s="2"/>
      <c r="J584" s="69">
        <f>SUM('Archives Entrées'!$N584:$AAV584)</f>
        <v>0</v>
      </c>
      <c r="K584" s="51" t="str">
        <f t="shared" si="37"/>
        <v>0,00€</v>
      </c>
      <c r="L584" s="69">
        <f>SUM('Archives Sorties'!$M584:$AAY584)</f>
        <v>0</v>
      </c>
      <c r="M584" s="51" t="str">
        <f t="shared" si="38"/>
        <v>0,00€</v>
      </c>
      <c r="P584" s="72"/>
      <c r="R584" s="185" t="str">
        <f t="shared" si="39"/>
        <v/>
      </c>
      <c r="S584" s="186" t="str">
        <f t="shared" si="40"/>
        <v/>
      </c>
      <c r="T584" s="187" t="str">
        <f>IF(R584="","",IF(O584=0,Famille!$D$5,IF(R584&lt;O584,Famille!$D$2,IF(R584&lt;=P584,Famille!$D$3,Famille!$D$4))))</f>
        <v/>
      </c>
    </row>
    <row r="585" spans="1:20" ht="12" customHeight="1" x14ac:dyDescent="0.2">
      <c r="A585" s="4" t="str">
        <f>IF(Produits!A466="","",Produits!A466)</f>
        <v/>
      </c>
      <c r="B585" s="4" t="str">
        <f>IF(Produits!B466="","",Produits!B466)</f>
        <v/>
      </c>
      <c r="C585" s="4" t="str">
        <f>IF(Produits!C466="","",Produits!C466)</f>
        <v/>
      </c>
      <c r="D585" s="4" t="str">
        <f>IF(Produits!D466="","",Produits!D466)</f>
        <v/>
      </c>
      <c r="E585" s="49" t="str">
        <f>IF(Produits!F466="","",Produits!F466)</f>
        <v/>
      </c>
      <c r="F585" s="50" t="str">
        <f>IF(Produits!H466="","",Produits!H466)</f>
        <v/>
      </c>
      <c r="H585" s="37"/>
      <c r="I585" s="2"/>
      <c r="J585" s="69">
        <f>SUM('Archives Entrées'!$N585:$AAV585)</f>
        <v>0</v>
      </c>
      <c r="K585" s="51" t="str">
        <f t="shared" si="37"/>
        <v>0,00€</v>
      </c>
      <c r="L585" s="69">
        <f>SUM('Archives Sorties'!$M585:$AAY585)</f>
        <v>0</v>
      </c>
      <c r="M585" s="51" t="str">
        <f t="shared" si="38"/>
        <v>0,00€</v>
      </c>
      <c r="P585" s="72"/>
      <c r="R585" s="185" t="str">
        <f t="shared" si="39"/>
        <v/>
      </c>
      <c r="S585" s="186" t="str">
        <f t="shared" si="40"/>
        <v/>
      </c>
      <c r="T585" s="187" t="str">
        <f>IF(R585="","",IF(O585=0,Famille!$D$5,IF(R585&lt;O585,Famille!$D$2,IF(R585&lt;=P585,Famille!$D$3,Famille!$D$4))))</f>
        <v/>
      </c>
    </row>
    <row r="586" spans="1:20" ht="12" customHeight="1" x14ac:dyDescent="0.2">
      <c r="A586" s="4" t="str">
        <f>IF(Produits!A467="","",Produits!A467)</f>
        <v/>
      </c>
      <c r="B586" s="4" t="str">
        <f>IF(Produits!B467="","",Produits!B467)</f>
        <v/>
      </c>
      <c r="C586" s="4" t="str">
        <f>IF(Produits!C467="","",Produits!C467)</f>
        <v/>
      </c>
      <c r="D586" s="4" t="str">
        <f>IF(Produits!D467="","",Produits!D467)</f>
        <v/>
      </c>
      <c r="E586" s="49" t="str">
        <f>IF(Produits!F467="","",Produits!F467)</f>
        <v/>
      </c>
      <c r="F586" s="50" t="str">
        <f>IF(Produits!H467="","",Produits!H467)</f>
        <v/>
      </c>
      <c r="H586" s="37"/>
      <c r="I586" s="2"/>
      <c r="J586" s="69">
        <f>SUM('Archives Entrées'!$N586:$AAV586)</f>
        <v>0</v>
      </c>
      <c r="K586" s="51" t="str">
        <f t="shared" si="37"/>
        <v>0,00€</v>
      </c>
      <c r="L586" s="69">
        <f>SUM('Archives Sorties'!$M586:$AAY586)</f>
        <v>0</v>
      </c>
      <c r="M586" s="51" t="str">
        <f t="shared" si="38"/>
        <v>0,00€</v>
      </c>
      <c r="P586" s="72"/>
      <c r="R586" s="185" t="str">
        <f t="shared" si="39"/>
        <v/>
      </c>
      <c r="S586" s="186" t="str">
        <f t="shared" si="40"/>
        <v/>
      </c>
      <c r="T586" s="187" t="str">
        <f>IF(R586="","",IF(O586=0,Famille!$D$5,IF(R586&lt;O586,Famille!$D$2,IF(R586&lt;=P586,Famille!$D$3,Famille!$D$4))))</f>
        <v/>
      </c>
    </row>
    <row r="587" spans="1:20" ht="12" customHeight="1" x14ac:dyDescent="0.2">
      <c r="A587" s="4" t="str">
        <f>IF(Produits!A468="","",Produits!A468)</f>
        <v/>
      </c>
      <c r="B587" s="4" t="str">
        <f>IF(Produits!B468="","",Produits!B468)</f>
        <v/>
      </c>
      <c r="C587" s="4" t="str">
        <f>IF(Produits!C468="","",Produits!C468)</f>
        <v/>
      </c>
      <c r="D587" s="4" t="str">
        <f>IF(Produits!D468="","",Produits!D468)</f>
        <v/>
      </c>
      <c r="E587" s="49" t="str">
        <f>IF(Produits!F468="","",Produits!F468)</f>
        <v/>
      </c>
      <c r="F587" s="50" t="str">
        <f>IF(Produits!H468="","",Produits!H468)</f>
        <v/>
      </c>
      <c r="H587" s="37"/>
      <c r="I587" s="2"/>
      <c r="J587" s="69">
        <f>SUM('Archives Entrées'!$N587:$AAV587)</f>
        <v>0</v>
      </c>
      <c r="K587" s="51" t="str">
        <f t="shared" si="37"/>
        <v>0,00€</v>
      </c>
      <c r="L587" s="69">
        <f>SUM('Archives Sorties'!$M587:$AAY587)</f>
        <v>0</v>
      </c>
      <c r="M587" s="51" t="str">
        <f t="shared" si="38"/>
        <v>0,00€</v>
      </c>
      <c r="P587" s="72"/>
      <c r="R587" s="185" t="str">
        <f t="shared" si="39"/>
        <v/>
      </c>
      <c r="S587" s="186" t="str">
        <f t="shared" si="40"/>
        <v/>
      </c>
      <c r="T587" s="187" t="str">
        <f>IF(R587="","",IF(O587=0,Famille!$D$5,IF(R587&lt;O587,Famille!$D$2,IF(R587&lt;=P587,Famille!$D$3,Famille!$D$4))))</f>
        <v/>
      </c>
    </row>
    <row r="588" spans="1:20" ht="12" customHeight="1" x14ac:dyDescent="0.2">
      <c r="A588" s="4" t="str">
        <f>IF(Produits!A469="","",Produits!A469)</f>
        <v/>
      </c>
      <c r="B588" s="4" t="str">
        <f>IF(Produits!B469="","",Produits!B469)</f>
        <v/>
      </c>
      <c r="C588" s="4" t="str">
        <f>IF(Produits!C469="","",Produits!C469)</f>
        <v/>
      </c>
      <c r="D588" s="4" t="str">
        <f>IF(Produits!D469="","",Produits!D469)</f>
        <v/>
      </c>
      <c r="E588" s="49" t="str">
        <f>IF(Produits!F469="","",Produits!F469)</f>
        <v/>
      </c>
      <c r="F588" s="50" t="str">
        <f>IF(Produits!H469="","",Produits!H469)</f>
        <v/>
      </c>
      <c r="H588" s="37"/>
      <c r="I588" s="2"/>
      <c r="J588" s="69">
        <f>SUM('Archives Entrées'!$N588:$AAV588)</f>
        <v>0</v>
      </c>
      <c r="K588" s="51" t="str">
        <f t="shared" si="37"/>
        <v>0,00€</v>
      </c>
      <c r="L588" s="69">
        <f>SUM('Archives Sorties'!$M588:$AAY588)</f>
        <v>0</v>
      </c>
      <c r="M588" s="51" t="str">
        <f t="shared" si="38"/>
        <v>0,00€</v>
      </c>
      <c r="P588" s="72"/>
      <c r="R588" s="185" t="str">
        <f t="shared" si="39"/>
        <v/>
      </c>
      <c r="S588" s="186" t="str">
        <f t="shared" si="40"/>
        <v/>
      </c>
      <c r="T588" s="187" t="str">
        <f>IF(R588="","",IF(O588=0,Famille!$D$5,IF(R588&lt;O588,Famille!$D$2,IF(R588&lt;=P588,Famille!$D$3,Famille!$D$4))))</f>
        <v/>
      </c>
    </row>
    <row r="589" spans="1:20" ht="12" customHeight="1" x14ac:dyDescent="0.2">
      <c r="A589" s="4" t="str">
        <f>IF(Produits!A470="","",Produits!A470)</f>
        <v/>
      </c>
      <c r="B589" s="4" t="str">
        <f>IF(Produits!B470="","",Produits!B470)</f>
        <v/>
      </c>
      <c r="C589" s="4" t="str">
        <f>IF(Produits!C470="","",Produits!C470)</f>
        <v/>
      </c>
      <c r="D589" s="4" t="str">
        <f>IF(Produits!D470="","",Produits!D470)</f>
        <v/>
      </c>
      <c r="E589" s="49" t="str">
        <f>IF(Produits!F470="","",Produits!F470)</f>
        <v/>
      </c>
      <c r="F589" s="50" t="str">
        <f>IF(Produits!H470="","",Produits!H470)</f>
        <v/>
      </c>
      <c r="H589" s="37"/>
      <c r="I589" s="2"/>
      <c r="J589" s="69">
        <f>SUM('Archives Entrées'!$N589:$AAV589)</f>
        <v>0</v>
      </c>
      <c r="K589" s="51" t="str">
        <f t="shared" si="37"/>
        <v>0,00€</v>
      </c>
      <c r="L589" s="69">
        <f>SUM('Archives Sorties'!$M589:$AAY589)</f>
        <v>0</v>
      </c>
      <c r="M589" s="51" t="str">
        <f t="shared" si="38"/>
        <v>0,00€</v>
      </c>
      <c r="P589" s="72"/>
      <c r="R589" s="185" t="str">
        <f t="shared" si="39"/>
        <v/>
      </c>
      <c r="S589" s="186" t="str">
        <f t="shared" si="40"/>
        <v/>
      </c>
      <c r="T589" s="187" t="str">
        <f>IF(R589="","",IF(O589=0,Famille!$D$5,IF(R589&lt;O589,Famille!$D$2,IF(R589&lt;=P589,Famille!$D$3,Famille!$D$4))))</f>
        <v/>
      </c>
    </row>
    <row r="590" spans="1:20" ht="12" customHeight="1" x14ac:dyDescent="0.2">
      <c r="A590" s="4" t="str">
        <f>IF(Produits!A471="","",Produits!A471)</f>
        <v/>
      </c>
      <c r="B590" s="4" t="str">
        <f>IF(Produits!B471="","",Produits!B471)</f>
        <v/>
      </c>
      <c r="C590" s="4" t="str">
        <f>IF(Produits!C471="","",Produits!C471)</f>
        <v/>
      </c>
      <c r="D590" s="4" t="str">
        <f>IF(Produits!D471="","",Produits!D471)</f>
        <v/>
      </c>
      <c r="E590" s="49" t="str">
        <f>IF(Produits!F471="","",Produits!F471)</f>
        <v/>
      </c>
      <c r="F590" s="50" t="str">
        <f>IF(Produits!H471="","",Produits!H471)</f>
        <v/>
      </c>
      <c r="H590" s="37"/>
      <c r="I590" s="2"/>
      <c r="J590" s="69">
        <f>SUM('Archives Entrées'!$N590:$AAV590)</f>
        <v>0</v>
      </c>
      <c r="K590" s="51" t="str">
        <f t="shared" si="37"/>
        <v>0,00€</v>
      </c>
      <c r="L590" s="69">
        <f>SUM('Archives Sorties'!$M590:$AAY590)</f>
        <v>0</v>
      </c>
      <c r="M590" s="51" t="str">
        <f t="shared" si="38"/>
        <v>0,00€</v>
      </c>
      <c r="P590" s="72"/>
      <c r="R590" s="185" t="str">
        <f t="shared" si="39"/>
        <v/>
      </c>
      <c r="S590" s="186" t="str">
        <f t="shared" si="40"/>
        <v/>
      </c>
      <c r="T590" s="187" t="str">
        <f>IF(R590="","",IF(O590=0,Famille!$D$5,IF(R590&lt;O590,Famille!$D$2,IF(R590&lt;=P590,Famille!$D$3,Famille!$D$4))))</f>
        <v/>
      </c>
    </row>
    <row r="591" spans="1:20" ht="12" customHeight="1" x14ac:dyDescent="0.2">
      <c r="A591" s="4" t="str">
        <f>IF(Produits!A472="","",Produits!A472)</f>
        <v/>
      </c>
      <c r="B591" s="4" t="str">
        <f>IF(Produits!B472="","",Produits!B472)</f>
        <v/>
      </c>
      <c r="C591" s="4" t="str">
        <f>IF(Produits!C472="","",Produits!C472)</f>
        <v/>
      </c>
      <c r="D591" s="4" t="str">
        <f>IF(Produits!D472="","",Produits!D472)</f>
        <v/>
      </c>
      <c r="E591" s="49" t="str">
        <f>IF(Produits!F472="","",Produits!F472)</f>
        <v/>
      </c>
      <c r="F591" s="50" t="str">
        <f>IF(Produits!H472="","",Produits!H472)</f>
        <v/>
      </c>
      <c r="H591" s="37"/>
      <c r="I591" s="2"/>
      <c r="J591" s="69">
        <f>SUM('Archives Entrées'!$N591:$AAV591)</f>
        <v>0</v>
      </c>
      <c r="K591" s="51" t="str">
        <f t="shared" si="37"/>
        <v>0,00€</v>
      </c>
      <c r="L591" s="69">
        <f>SUM('Archives Sorties'!$M591:$AAY591)</f>
        <v>0</v>
      </c>
      <c r="M591" s="51" t="str">
        <f t="shared" si="38"/>
        <v>0,00€</v>
      </c>
      <c r="P591" s="72"/>
      <c r="R591" s="185" t="str">
        <f t="shared" si="39"/>
        <v/>
      </c>
      <c r="S591" s="186" t="str">
        <f t="shared" si="40"/>
        <v/>
      </c>
      <c r="T591" s="187" t="str">
        <f>IF(R591="","",IF(O591=0,Famille!$D$5,IF(R591&lt;O591,Famille!$D$2,IF(R591&lt;=P591,Famille!$D$3,Famille!$D$4))))</f>
        <v/>
      </c>
    </row>
    <row r="592" spans="1:20" ht="12" customHeight="1" x14ac:dyDescent="0.2">
      <c r="A592" s="4" t="str">
        <f>IF(Produits!A473="","",Produits!A473)</f>
        <v/>
      </c>
      <c r="B592" s="4" t="str">
        <f>IF(Produits!B473="","",Produits!B473)</f>
        <v/>
      </c>
      <c r="C592" s="4" t="str">
        <f>IF(Produits!C473="","",Produits!C473)</f>
        <v/>
      </c>
      <c r="D592" s="4" t="str">
        <f>IF(Produits!D473="","",Produits!D473)</f>
        <v/>
      </c>
      <c r="E592" s="49" t="str">
        <f>IF(Produits!F473="","",Produits!F473)</f>
        <v/>
      </c>
      <c r="F592" s="50" t="str">
        <f>IF(Produits!H473="","",Produits!H473)</f>
        <v/>
      </c>
      <c r="H592" s="37"/>
      <c r="I592" s="2"/>
      <c r="J592" s="69">
        <f>SUM('Archives Entrées'!$N592:$AAV592)</f>
        <v>0</v>
      </c>
      <c r="K592" s="51" t="str">
        <f t="shared" si="37"/>
        <v>0,00€</v>
      </c>
      <c r="L592" s="69">
        <f>SUM('Archives Sorties'!$M592:$AAY592)</f>
        <v>0</v>
      </c>
      <c r="M592" s="51" t="str">
        <f t="shared" si="38"/>
        <v>0,00€</v>
      </c>
      <c r="P592" s="72"/>
      <c r="R592" s="185" t="str">
        <f t="shared" si="39"/>
        <v/>
      </c>
      <c r="S592" s="186" t="str">
        <f t="shared" si="40"/>
        <v/>
      </c>
      <c r="T592" s="187" t="str">
        <f>IF(R592="","",IF(O592=0,Famille!$D$5,IF(R592&lt;O592,Famille!$D$2,IF(R592&lt;=P592,Famille!$D$3,Famille!$D$4))))</f>
        <v/>
      </c>
    </row>
    <row r="593" spans="1:20" ht="12" customHeight="1" x14ac:dyDescent="0.2">
      <c r="A593" s="4" t="str">
        <f>IF(Produits!A474="","",Produits!A474)</f>
        <v/>
      </c>
      <c r="B593" s="4" t="str">
        <f>IF(Produits!B474="","",Produits!B474)</f>
        <v/>
      </c>
      <c r="C593" s="4" t="str">
        <f>IF(Produits!C474="","",Produits!C474)</f>
        <v/>
      </c>
      <c r="D593" s="4" t="str">
        <f>IF(Produits!D474="","",Produits!D474)</f>
        <v/>
      </c>
      <c r="E593" s="49" t="str">
        <f>IF(Produits!F474="","",Produits!F474)</f>
        <v/>
      </c>
      <c r="F593" s="50" t="str">
        <f>IF(Produits!H474="","",Produits!H474)</f>
        <v/>
      </c>
      <c r="H593" s="37"/>
      <c r="I593" s="2"/>
      <c r="J593" s="69">
        <f>SUM('Archives Entrées'!$N593:$AAV593)</f>
        <v>0</v>
      </c>
      <c r="K593" s="51" t="str">
        <f t="shared" si="37"/>
        <v>0,00€</v>
      </c>
      <c r="L593" s="69">
        <f>SUM('Archives Sorties'!$M593:$AAY593)</f>
        <v>0</v>
      </c>
      <c r="M593" s="51" t="str">
        <f t="shared" si="38"/>
        <v>0,00€</v>
      </c>
      <c r="P593" s="72"/>
      <c r="R593" s="185" t="str">
        <f t="shared" si="39"/>
        <v/>
      </c>
      <c r="S593" s="186" t="str">
        <f t="shared" si="40"/>
        <v/>
      </c>
      <c r="T593" s="187" t="str">
        <f>IF(R593="","",IF(O593=0,Famille!$D$5,IF(R593&lt;O593,Famille!$D$2,IF(R593&lt;=P593,Famille!$D$3,Famille!$D$4))))</f>
        <v/>
      </c>
    </row>
    <row r="594" spans="1:20" ht="12" customHeight="1" x14ac:dyDescent="0.2">
      <c r="A594" s="4" t="str">
        <f>IF(Produits!A475="","",Produits!A475)</f>
        <v/>
      </c>
      <c r="B594" s="4" t="str">
        <f>IF(Produits!B475="","",Produits!B475)</f>
        <v/>
      </c>
      <c r="C594" s="4" t="str">
        <f>IF(Produits!C475="","",Produits!C475)</f>
        <v/>
      </c>
      <c r="D594" s="4" t="str">
        <f>IF(Produits!D475="","",Produits!D475)</f>
        <v/>
      </c>
      <c r="E594" s="49" t="str">
        <f>IF(Produits!F475="","",Produits!F475)</f>
        <v/>
      </c>
      <c r="F594" s="50" t="str">
        <f>IF(Produits!H475="","",Produits!H475)</f>
        <v/>
      </c>
      <c r="H594" s="37"/>
      <c r="I594" s="2"/>
      <c r="J594" s="69">
        <f>SUM('Archives Entrées'!$N594:$AAV594)</f>
        <v>0</v>
      </c>
      <c r="K594" s="51" t="str">
        <f t="shared" si="37"/>
        <v>0,00€</v>
      </c>
      <c r="L594" s="69">
        <f>SUM('Archives Sorties'!$M594:$AAY594)</f>
        <v>0</v>
      </c>
      <c r="M594" s="51" t="str">
        <f t="shared" si="38"/>
        <v>0,00€</v>
      </c>
      <c r="P594" s="72"/>
      <c r="R594" s="185" t="str">
        <f t="shared" si="39"/>
        <v/>
      </c>
      <c r="S594" s="186" t="str">
        <f t="shared" si="40"/>
        <v/>
      </c>
      <c r="T594" s="187" t="str">
        <f>IF(R594="","",IF(O594=0,Famille!$D$5,IF(R594&lt;O594,Famille!$D$2,IF(R594&lt;=P594,Famille!$D$3,Famille!$D$4))))</f>
        <v/>
      </c>
    </row>
    <row r="595" spans="1:20" ht="12" customHeight="1" x14ac:dyDescent="0.2">
      <c r="A595" s="4" t="str">
        <f>IF(Produits!A476="","",Produits!A476)</f>
        <v/>
      </c>
      <c r="B595" s="4" t="str">
        <f>IF(Produits!B476="","",Produits!B476)</f>
        <v/>
      </c>
      <c r="C595" s="4" t="str">
        <f>IF(Produits!C476="","",Produits!C476)</f>
        <v/>
      </c>
      <c r="D595" s="4" t="str">
        <f>IF(Produits!D476="","",Produits!D476)</f>
        <v/>
      </c>
      <c r="E595" s="49" t="str">
        <f>IF(Produits!F476="","",Produits!F476)</f>
        <v/>
      </c>
      <c r="F595" s="50" t="str">
        <f>IF(Produits!H476="","",Produits!H476)</f>
        <v/>
      </c>
      <c r="H595" s="37"/>
      <c r="I595" s="2"/>
      <c r="J595" s="69">
        <f>SUM('Archives Entrées'!$N595:$AAV595)</f>
        <v>0</v>
      </c>
      <c r="K595" s="51" t="str">
        <f t="shared" si="37"/>
        <v>0,00€</v>
      </c>
      <c r="L595" s="69">
        <f>SUM('Archives Sorties'!$M595:$AAY595)</f>
        <v>0</v>
      </c>
      <c r="M595" s="51" t="str">
        <f t="shared" si="38"/>
        <v>0,00€</v>
      </c>
      <c r="P595" s="72"/>
      <c r="R595" s="185" t="str">
        <f t="shared" si="39"/>
        <v/>
      </c>
      <c r="S595" s="186" t="str">
        <f t="shared" si="40"/>
        <v/>
      </c>
      <c r="T595" s="187" t="str">
        <f>IF(R595="","",IF(O595=0,Famille!$D$5,IF(R595&lt;O595,Famille!$D$2,IF(R595&lt;=P595,Famille!$D$3,Famille!$D$4))))</f>
        <v/>
      </c>
    </row>
    <row r="596" spans="1:20" ht="12" customHeight="1" x14ac:dyDescent="0.2">
      <c r="A596" s="4" t="str">
        <f>IF(Produits!A477="","",Produits!A477)</f>
        <v/>
      </c>
      <c r="B596" s="4" t="str">
        <f>IF(Produits!B477="","",Produits!B477)</f>
        <v/>
      </c>
      <c r="C596" s="4" t="str">
        <f>IF(Produits!C477="","",Produits!C477)</f>
        <v/>
      </c>
      <c r="D596" s="4" t="str">
        <f>IF(Produits!D477="","",Produits!D477)</f>
        <v/>
      </c>
      <c r="E596" s="49" t="str">
        <f>IF(Produits!F477="","",Produits!F477)</f>
        <v/>
      </c>
      <c r="F596" s="50" t="str">
        <f>IF(Produits!H477="","",Produits!H477)</f>
        <v/>
      </c>
      <c r="H596" s="37"/>
      <c r="I596" s="2"/>
      <c r="J596" s="69">
        <f>SUM('Archives Entrées'!$N596:$AAV596)</f>
        <v>0</v>
      </c>
      <c r="K596" s="51" t="str">
        <f t="shared" si="37"/>
        <v>0,00€</v>
      </c>
      <c r="L596" s="69">
        <f>SUM('Archives Sorties'!$M596:$AAY596)</f>
        <v>0</v>
      </c>
      <c r="M596" s="51" t="str">
        <f t="shared" si="38"/>
        <v>0,00€</v>
      </c>
      <c r="P596" s="72"/>
      <c r="R596" s="185" t="str">
        <f t="shared" si="39"/>
        <v/>
      </c>
      <c r="S596" s="186" t="str">
        <f t="shared" si="40"/>
        <v/>
      </c>
      <c r="T596" s="187" t="str">
        <f>IF(R596="","",IF(O596=0,Famille!$D$5,IF(R596&lt;O596,Famille!$D$2,IF(R596&lt;=P596,Famille!$D$3,Famille!$D$4))))</f>
        <v/>
      </c>
    </row>
    <row r="597" spans="1:20" ht="12" customHeight="1" x14ac:dyDescent="0.2">
      <c r="A597" s="4" t="str">
        <f>IF(Produits!A478="","",Produits!A478)</f>
        <v/>
      </c>
      <c r="B597" s="4" t="str">
        <f>IF(Produits!B478="","",Produits!B478)</f>
        <v/>
      </c>
      <c r="C597" s="4" t="str">
        <f>IF(Produits!C478="","",Produits!C478)</f>
        <v/>
      </c>
      <c r="D597" s="4" t="str">
        <f>IF(Produits!D478="","",Produits!D478)</f>
        <v/>
      </c>
      <c r="E597" s="49" t="str">
        <f>IF(Produits!F478="","",Produits!F478)</f>
        <v/>
      </c>
      <c r="F597" s="50" t="str">
        <f>IF(Produits!H478="","",Produits!H478)</f>
        <v/>
      </c>
      <c r="H597" s="37"/>
      <c r="I597" s="2"/>
      <c r="J597" s="69">
        <f>SUM('Archives Entrées'!$N597:$AAV597)</f>
        <v>0</v>
      </c>
      <c r="K597" s="51" t="str">
        <f t="shared" si="37"/>
        <v>0,00€</v>
      </c>
      <c r="L597" s="69">
        <f>SUM('Archives Sorties'!$M597:$AAY597)</f>
        <v>0</v>
      </c>
      <c r="M597" s="51" t="str">
        <f t="shared" si="38"/>
        <v>0,00€</v>
      </c>
      <c r="P597" s="72"/>
      <c r="R597" s="185" t="str">
        <f t="shared" si="39"/>
        <v/>
      </c>
      <c r="S597" s="186" t="str">
        <f t="shared" si="40"/>
        <v/>
      </c>
      <c r="T597" s="187" t="str">
        <f>IF(R597="","",IF(O597=0,Famille!$D$5,IF(R597&lt;O597,Famille!$D$2,IF(R597&lt;=P597,Famille!$D$3,Famille!$D$4))))</f>
        <v/>
      </c>
    </row>
    <row r="598" spans="1:20" ht="12" customHeight="1" x14ac:dyDescent="0.2">
      <c r="A598" s="4" t="str">
        <f>IF(Produits!A479="","",Produits!A479)</f>
        <v/>
      </c>
      <c r="B598" s="4" t="str">
        <f>IF(Produits!B479="","",Produits!B479)</f>
        <v/>
      </c>
      <c r="C598" s="4" t="str">
        <f>IF(Produits!C479="","",Produits!C479)</f>
        <v/>
      </c>
      <c r="D598" s="4" t="str">
        <f>IF(Produits!D479="","",Produits!D479)</f>
        <v/>
      </c>
      <c r="E598" s="49" t="str">
        <f>IF(Produits!F479="","",Produits!F479)</f>
        <v/>
      </c>
      <c r="F598" s="50" t="str">
        <f>IF(Produits!H479="","",Produits!H479)</f>
        <v/>
      </c>
      <c r="H598" s="37"/>
      <c r="I598" s="2"/>
      <c r="J598" s="69">
        <f>SUM('Archives Entrées'!$N598:$AAV598)</f>
        <v>0</v>
      </c>
      <c r="K598" s="51" t="str">
        <f t="shared" si="37"/>
        <v>0,00€</v>
      </c>
      <c r="L598" s="69">
        <f>SUM('Archives Sorties'!$M598:$AAY598)</f>
        <v>0</v>
      </c>
      <c r="M598" s="51" t="str">
        <f t="shared" si="38"/>
        <v>0,00€</v>
      </c>
      <c r="P598" s="72"/>
      <c r="R598" s="185" t="str">
        <f t="shared" si="39"/>
        <v/>
      </c>
      <c r="S598" s="186" t="str">
        <f t="shared" si="40"/>
        <v/>
      </c>
      <c r="T598" s="187" t="str">
        <f>IF(R598="","",IF(O598=0,Famille!$D$5,IF(R598&lt;O598,Famille!$D$2,IF(R598&lt;=P598,Famille!$D$3,Famille!$D$4))))</f>
        <v/>
      </c>
    </row>
    <row r="599" spans="1:20" ht="12" customHeight="1" x14ac:dyDescent="0.2">
      <c r="A599" s="4" t="str">
        <f>IF(Produits!A480="","",Produits!A480)</f>
        <v/>
      </c>
      <c r="B599" s="4" t="str">
        <f>IF(Produits!B480="","",Produits!B480)</f>
        <v/>
      </c>
      <c r="C599" s="4" t="str">
        <f>IF(Produits!C480="","",Produits!C480)</f>
        <v/>
      </c>
      <c r="D599" s="4" t="str">
        <f>IF(Produits!D480="","",Produits!D480)</f>
        <v/>
      </c>
      <c r="E599" s="49" t="str">
        <f>IF(Produits!F480="","",Produits!F480)</f>
        <v/>
      </c>
      <c r="F599" s="50" t="str">
        <f>IF(Produits!H480="","",Produits!H480)</f>
        <v/>
      </c>
      <c r="H599" s="37"/>
      <c r="I599" s="2"/>
      <c r="J599" s="69">
        <f>SUM('Archives Entrées'!$N599:$AAV599)</f>
        <v>0</v>
      </c>
      <c r="K599" s="51" t="str">
        <f t="shared" si="37"/>
        <v>0,00€</v>
      </c>
      <c r="L599" s="69">
        <f>SUM('Archives Sorties'!$M599:$AAY599)</f>
        <v>0</v>
      </c>
      <c r="M599" s="51" t="str">
        <f t="shared" si="38"/>
        <v>0,00€</v>
      </c>
      <c r="P599" s="72"/>
      <c r="R599" s="185" t="str">
        <f t="shared" si="39"/>
        <v/>
      </c>
      <c r="S599" s="186" t="str">
        <f t="shared" si="40"/>
        <v/>
      </c>
      <c r="T599" s="187" t="str">
        <f>IF(R599="","",IF(O599=0,Famille!$D$5,IF(R599&lt;O599,Famille!$D$2,IF(R599&lt;=P599,Famille!$D$3,Famille!$D$4))))</f>
        <v/>
      </c>
    </row>
    <row r="600" spans="1:20" ht="12" customHeight="1" x14ac:dyDescent="0.2">
      <c r="A600" s="4" t="str">
        <f>IF(Produits!A481="","",Produits!A481)</f>
        <v/>
      </c>
      <c r="B600" s="4" t="str">
        <f>IF(Produits!B481="","",Produits!B481)</f>
        <v/>
      </c>
      <c r="C600" s="4" t="str">
        <f>IF(Produits!C481="","",Produits!C481)</f>
        <v/>
      </c>
      <c r="D600" s="4" t="str">
        <f>IF(Produits!D481="","",Produits!D481)</f>
        <v/>
      </c>
      <c r="E600" s="49" t="str">
        <f>IF(Produits!F481="","",Produits!F481)</f>
        <v/>
      </c>
      <c r="F600" s="50" t="str">
        <f>IF(Produits!H481="","",Produits!H481)</f>
        <v/>
      </c>
      <c r="H600" s="37"/>
      <c r="I600" s="2"/>
      <c r="J600" s="69">
        <f>SUM('Archives Entrées'!$N600:$AAV600)</f>
        <v>0</v>
      </c>
      <c r="K600" s="51" t="str">
        <f t="shared" si="37"/>
        <v>0,00€</v>
      </c>
      <c r="L600" s="69">
        <f>SUM('Archives Sorties'!$M600:$AAY600)</f>
        <v>0</v>
      </c>
      <c r="M600" s="51" t="str">
        <f t="shared" si="38"/>
        <v>0,00€</v>
      </c>
      <c r="P600" s="72"/>
      <c r="R600" s="185" t="str">
        <f t="shared" si="39"/>
        <v/>
      </c>
      <c r="S600" s="186" t="str">
        <f t="shared" si="40"/>
        <v/>
      </c>
      <c r="T600" s="187" t="str">
        <f>IF(R600="","",IF(O600=0,Famille!$D$5,IF(R600&lt;O600,Famille!$D$2,IF(R600&lt;=P600,Famille!$D$3,Famille!$D$4))))</f>
        <v/>
      </c>
    </row>
    <row r="601" spans="1:20" ht="12" customHeight="1" x14ac:dyDescent="0.2">
      <c r="A601" s="4" t="str">
        <f>IF(Produits!A482="","",Produits!A482)</f>
        <v/>
      </c>
      <c r="B601" s="4" t="str">
        <f>IF(Produits!B482="","",Produits!B482)</f>
        <v/>
      </c>
      <c r="C601" s="4" t="str">
        <f>IF(Produits!C482="","",Produits!C482)</f>
        <v/>
      </c>
      <c r="D601" s="4" t="str">
        <f>IF(Produits!D482="","",Produits!D482)</f>
        <v/>
      </c>
      <c r="E601" s="49" t="str">
        <f>IF(Produits!F482="","",Produits!F482)</f>
        <v/>
      </c>
      <c r="F601" s="50" t="str">
        <f>IF(Produits!H482="","",Produits!H482)</f>
        <v/>
      </c>
      <c r="H601" s="37"/>
      <c r="I601" s="2"/>
      <c r="J601" s="69">
        <f>SUM('Archives Entrées'!$N601:$AAV601)</f>
        <v>0</v>
      </c>
      <c r="K601" s="51" t="str">
        <f t="shared" si="37"/>
        <v>0,00€</v>
      </c>
      <c r="L601" s="69">
        <f>SUM('Archives Sorties'!$M601:$AAY601)</f>
        <v>0</v>
      </c>
      <c r="M601" s="51" t="str">
        <f t="shared" si="38"/>
        <v>0,00€</v>
      </c>
      <c r="P601" s="72"/>
      <c r="R601" s="185" t="str">
        <f t="shared" si="39"/>
        <v/>
      </c>
      <c r="S601" s="186" t="str">
        <f t="shared" si="40"/>
        <v/>
      </c>
      <c r="T601" s="187" t="str">
        <f>IF(R601="","",IF(O601=0,Famille!$D$5,IF(R601&lt;O601,Famille!$D$2,IF(R601&lt;=P601,Famille!$D$3,Famille!$D$4))))</f>
        <v/>
      </c>
    </row>
    <row r="602" spans="1:20" ht="12" customHeight="1" x14ac:dyDescent="0.2">
      <c r="A602" s="4" t="str">
        <f>IF(Produits!A483="","",Produits!A483)</f>
        <v/>
      </c>
      <c r="B602" s="4" t="str">
        <f>IF(Produits!B483="","",Produits!B483)</f>
        <v/>
      </c>
      <c r="C602" s="4" t="str">
        <f>IF(Produits!C483="","",Produits!C483)</f>
        <v/>
      </c>
      <c r="D602" s="4" t="str">
        <f>IF(Produits!D483="","",Produits!D483)</f>
        <v/>
      </c>
      <c r="E602" s="49" t="str">
        <f>IF(Produits!F483="","",Produits!F483)</f>
        <v/>
      </c>
      <c r="F602" s="50" t="str">
        <f>IF(Produits!H483="","",Produits!H483)</f>
        <v/>
      </c>
      <c r="H602" s="37"/>
      <c r="I602" s="2"/>
      <c r="J602" s="69">
        <f>SUM('Archives Entrées'!$N602:$AAV602)</f>
        <v>0</v>
      </c>
      <c r="K602" s="51" t="str">
        <f t="shared" si="37"/>
        <v>0,00€</v>
      </c>
      <c r="L602" s="69">
        <f>SUM('Archives Sorties'!$M602:$AAY602)</f>
        <v>0</v>
      </c>
      <c r="M602" s="51" t="str">
        <f t="shared" si="38"/>
        <v>0,00€</v>
      </c>
      <c r="P602" s="72"/>
      <c r="R602" s="185" t="str">
        <f t="shared" si="39"/>
        <v/>
      </c>
      <c r="S602" s="186" t="str">
        <f t="shared" si="40"/>
        <v/>
      </c>
      <c r="T602" s="187" t="str">
        <f>IF(R602="","",IF(O602=0,Famille!$D$5,IF(R602&lt;O602,Famille!$D$2,IF(R602&lt;=P602,Famille!$D$3,Famille!$D$4))))</f>
        <v/>
      </c>
    </row>
    <row r="603" spans="1:20" ht="12" customHeight="1" x14ac:dyDescent="0.2">
      <c r="A603" s="4" t="str">
        <f>IF(Produits!A484="","",Produits!A484)</f>
        <v/>
      </c>
      <c r="B603" s="4" t="str">
        <f>IF(Produits!B484="","",Produits!B484)</f>
        <v/>
      </c>
      <c r="C603" s="4" t="str">
        <f>IF(Produits!C484="","",Produits!C484)</f>
        <v/>
      </c>
      <c r="D603" s="4" t="str">
        <f>IF(Produits!D484="","",Produits!D484)</f>
        <v/>
      </c>
      <c r="E603" s="49" t="str">
        <f>IF(Produits!F484="","",Produits!F484)</f>
        <v/>
      </c>
      <c r="F603" s="50" t="str">
        <f>IF(Produits!H484="","",Produits!H484)</f>
        <v/>
      </c>
      <c r="H603" s="37"/>
      <c r="I603" s="2"/>
      <c r="J603" s="69">
        <f>SUM('Archives Entrées'!$N603:$AAV603)</f>
        <v>0</v>
      </c>
      <c r="K603" s="51" t="str">
        <f t="shared" si="37"/>
        <v>0,00€</v>
      </c>
      <c r="L603" s="69">
        <f>SUM('Archives Sorties'!$M603:$AAY603)</f>
        <v>0</v>
      </c>
      <c r="M603" s="51" t="str">
        <f t="shared" si="38"/>
        <v>0,00€</v>
      </c>
      <c r="P603" s="72"/>
      <c r="R603" s="185" t="str">
        <f t="shared" si="39"/>
        <v/>
      </c>
      <c r="S603" s="186" t="str">
        <f t="shared" si="40"/>
        <v/>
      </c>
      <c r="T603" s="187" t="str">
        <f>IF(R603="","",IF(O603=0,Famille!$D$5,IF(R603&lt;O603,Famille!$D$2,IF(R603&lt;=P603,Famille!$D$3,Famille!$D$4))))</f>
        <v/>
      </c>
    </row>
    <row r="604" spans="1:20" ht="12" customHeight="1" x14ac:dyDescent="0.2">
      <c r="A604" s="4" t="str">
        <f>IF(Produits!A485="","",Produits!A485)</f>
        <v/>
      </c>
      <c r="B604" s="4" t="str">
        <f>IF(Produits!B485="","",Produits!B485)</f>
        <v/>
      </c>
      <c r="C604" s="4" t="str">
        <f>IF(Produits!C485="","",Produits!C485)</f>
        <v/>
      </c>
      <c r="D604" s="4" t="str">
        <f>IF(Produits!D485="","",Produits!D485)</f>
        <v/>
      </c>
      <c r="E604" s="49" t="str">
        <f>IF(Produits!F485="","",Produits!F485)</f>
        <v/>
      </c>
      <c r="F604" s="50" t="str">
        <f>IF(Produits!H485="","",Produits!H485)</f>
        <v/>
      </c>
      <c r="H604" s="37"/>
      <c r="I604" s="2"/>
      <c r="J604" s="69">
        <f>SUM('Archives Entrées'!$N604:$AAV604)</f>
        <v>0</v>
      </c>
      <c r="K604" s="51" t="str">
        <f t="shared" si="37"/>
        <v>0,00€</v>
      </c>
      <c r="L604" s="69">
        <f>SUM('Archives Sorties'!$M604:$AAY604)</f>
        <v>0</v>
      </c>
      <c r="M604" s="51" t="str">
        <f t="shared" si="38"/>
        <v>0,00€</v>
      </c>
      <c r="P604" s="72"/>
      <c r="R604" s="185" t="str">
        <f t="shared" si="39"/>
        <v/>
      </c>
      <c r="S604" s="186" t="str">
        <f t="shared" si="40"/>
        <v/>
      </c>
      <c r="T604" s="187" t="str">
        <f>IF(R604="","",IF(O604=0,Famille!$D$5,IF(R604&lt;O604,Famille!$D$2,IF(R604&lt;=P604,Famille!$D$3,Famille!$D$4))))</f>
        <v/>
      </c>
    </row>
    <row r="605" spans="1:20" ht="12" customHeight="1" x14ac:dyDescent="0.2">
      <c r="A605" s="4" t="str">
        <f>IF(Produits!A486="","",Produits!A486)</f>
        <v/>
      </c>
      <c r="B605" s="4" t="str">
        <f>IF(Produits!B486="","",Produits!B486)</f>
        <v/>
      </c>
      <c r="C605" s="4" t="str">
        <f>IF(Produits!C486="","",Produits!C486)</f>
        <v/>
      </c>
      <c r="D605" s="4" t="str">
        <f>IF(Produits!D486="","",Produits!D486)</f>
        <v/>
      </c>
      <c r="E605" s="49" t="str">
        <f>IF(Produits!F486="","",Produits!F486)</f>
        <v/>
      </c>
      <c r="F605" s="50" t="str">
        <f>IF(Produits!H486="","",Produits!H486)</f>
        <v/>
      </c>
      <c r="H605" s="37"/>
      <c r="I605" s="2"/>
      <c r="J605" s="69">
        <f>SUM('Archives Entrées'!$N605:$AAV605)</f>
        <v>0</v>
      </c>
      <c r="K605" s="51" t="str">
        <f t="shared" si="37"/>
        <v>0,00€</v>
      </c>
      <c r="L605" s="69">
        <f>SUM('Archives Sorties'!$M605:$AAY605)</f>
        <v>0</v>
      </c>
      <c r="M605" s="51" t="str">
        <f t="shared" si="38"/>
        <v>0,00€</v>
      </c>
      <c r="P605" s="72"/>
      <c r="R605" s="185" t="str">
        <f t="shared" si="39"/>
        <v/>
      </c>
      <c r="S605" s="186" t="str">
        <f t="shared" si="40"/>
        <v/>
      </c>
      <c r="T605" s="187" t="str">
        <f>IF(R605="","",IF(O605=0,Famille!$D$5,IF(R605&lt;O605,Famille!$D$2,IF(R605&lt;=P605,Famille!$D$3,Famille!$D$4))))</f>
        <v/>
      </c>
    </row>
    <row r="606" spans="1:20" ht="12" customHeight="1" x14ac:dyDescent="0.2">
      <c r="A606" s="4" t="str">
        <f>IF(Produits!A487="","",Produits!A487)</f>
        <v/>
      </c>
      <c r="B606" s="4" t="str">
        <f>IF(Produits!B487="","",Produits!B487)</f>
        <v/>
      </c>
      <c r="C606" s="4" t="str">
        <f>IF(Produits!C487="","",Produits!C487)</f>
        <v/>
      </c>
      <c r="D606" s="4" t="str">
        <f>IF(Produits!D487="","",Produits!D487)</f>
        <v/>
      </c>
      <c r="E606" s="49" t="str">
        <f>IF(Produits!F487="","",Produits!F487)</f>
        <v/>
      </c>
      <c r="F606" s="50" t="str">
        <f>IF(Produits!H487="","",Produits!H487)</f>
        <v/>
      </c>
      <c r="H606" s="37"/>
      <c r="I606" s="2"/>
      <c r="J606" s="69">
        <f>SUM('Archives Entrées'!$N606:$AAV606)</f>
        <v>0</v>
      </c>
      <c r="K606" s="51" t="str">
        <f t="shared" si="37"/>
        <v>0,00€</v>
      </c>
      <c r="L606" s="69">
        <f>SUM('Archives Sorties'!$M606:$AAY606)</f>
        <v>0</v>
      </c>
      <c r="M606" s="51" t="str">
        <f t="shared" si="38"/>
        <v>0,00€</v>
      </c>
      <c r="P606" s="72"/>
      <c r="R606" s="185" t="str">
        <f t="shared" si="39"/>
        <v/>
      </c>
      <c r="S606" s="186" t="str">
        <f t="shared" si="40"/>
        <v/>
      </c>
      <c r="T606" s="187" t="str">
        <f>IF(R606="","",IF(O606=0,Famille!$D$5,IF(R606&lt;O606,Famille!$D$2,IF(R606&lt;=P606,Famille!$D$3,Famille!$D$4))))</f>
        <v/>
      </c>
    </row>
    <row r="607" spans="1:20" ht="12" customHeight="1" x14ac:dyDescent="0.2">
      <c r="A607" s="4" t="str">
        <f>IF(Produits!A488="","",Produits!A488)</f>
        <v/>
      </c>
      <c r="B607" s="4" t="str">
        <f>IF(Produits!B488="","",Produits!B488)</f>
        <v/>
      </c>
      <c r="C607" s="4" t="str">
        <f>IF(Produits!C488="","",Produits!C488)</f>
        <v/>
      </c>
      <c r="D607" s="4" t="str">
        <f>IF(Produits!D488="","",Produits!D488)</f>
        <v/>
      </c>
      <c r="E607" s="49" t="str">
        <f>IF(Produits!F488="","",Produits!F488)</f>
        <v/>
      </c>
      <c r="F607" s="50" t="str">
        <f>IF(Produits!H488="","",Produits!H488)</f>
        <v/>
      </c>
      <c r="H607" s="37"/>
      <c r="I607" s="2"/>
      <c r="J607" s="69">
        <f>SUM('Archives Entrées'!$N607:$AAV607)</f>
        <v>0</v>
      </c>
      <c r="K607" s="51" t="str">
        <f t="shared" si="37"/>
        <v>0,00€</v>
      </c>
      <c r="L607" s="69">
        <f>SUM('Archives Sorties'!$M607:$AAY607)</f>
        <v>0</v>
      </c>
      <c r="M607" s="51" t="str">
        <f t="shared" si="38"/>
        <v>0,00€</v>
      </c>
      <c r="P607" s="72"/>
      <c r="R607" s="185" t="str">
        <f t="shared" si="39"/>
        <v/>
      </c>
      <c r="S607" s="186" t="str">
        <f t="shared" si="40"/>
        <v/>
      </c>
      <c r="T607" s="187" t="str">
        <f>IF(R607="","",IF(O607=0,Famille!$D$5,IF(R607&lt;O607,Famille!$D$2,IF(R607&lt;=P607,Famille!$D$3,Famille!$D$4))))</f>
        <v/>
      </c>
    </row>
    <row r="608" spans="1:20" ht="12" customHeight="1" x14ac:dyDescent="0.2">
      <c r="A608" s="4" t="str">
        <f>IF(Produits!A489="","",Produits!A489)</f>
        <v/>
      </c>
      <c r="B608" s="4" t="str">
        <f>IF(Produits!B489="","",Produits!B489)</f>
        <v/>
      </c>
      <c r="C608" s="4" t="str">
        <f>IF(Produits!C489="","",Produits!C489)</f>
        <v/>
      </c>
      <c r="D608" s="4" t="str">
        <f>IF(Produits!D489="","",Produits!D489)</f>
        <v/>
      </c>
      <c r="E608" s="49" t="str">
        <f>IF(Produits!F489="","",Produits!F489)</f>
        <v/>
      </c>
      <c r="F608" s="50" t="str">
        <f>IF(Produits!H489="","",Produits!H489)</f>
        <v/>
      </c>
      <c r="H608" s="37"/>
      <c r="I608" s="2"/>
      <c r="J608" s="69">
        <f>SUM('Archives Entrées'!$N608:$AAV608)</f>
        <v>0</v>
      </c>
      <c r="K608" s="51" t="str">
        <f t="shared" si="37"/>
        <v>0,00€</v>
      </c>
      <c r="L608" s="69">
        <f>SUM('Archives Sorties'!$M608:$AAY608)</f>
        <v>0</v>
      </c>
      <c r="M608" s="51" t="str">
        <f t="shared" si="38"/>
        <v>0,00€</v>
      </c>
      <c r="P608" s="72"/>
      <c r="R608" s="185" t="str">
        <f t="shared" si="39"/>
        <v/>
      </c>
      <c r="S608" s="186" t="str">
        <f t="shared" si="40"/>
        <v/>
      </c>
      <c r="T608" s="187" t="str">
        <f>IF(R608="","",IF(O608=0,Famille!$D$5,IF(R608&lt;O608,Famille!$D$2,IF(R608&lt;=P608,Famille!$D$3,Famille!$D$4))))</f>
        <v/>
      </c>
    </row>
    <row r="609" spans="1:20" ht="12" customHeight="1" x14ac:dyDescent="0.2">
      <c r="A609" s="4" t="str">
        <f>IF(Produits!A490="","",Produits!A490)</f>
        <v/>
      </c>
      <c r="B609" s="4" t="str">
        <f>IF(Produits!B490="","",Produits!B490)</f>
        <v/>
      </c>
      <c r="C609" s="4" t="str">
        <f>IF(Produits!C490="","",Produits!C490)</f>
        <v/>
      </c>
      <c r="D609" s="4" t="str">
        <f>IF(Produits!D490="","",Produits!D490)</f>
        <v/>
      </c>
      <c r="E609" s="49" t="str">
        <f>IF(Produits!F490="","",Produits!F490)</f>
        <v/>
      </c>
      <c r="F609" s="50" t="str">
        <f>IF(Produits!H490="","",Produits!H490)</f>
        <v/>
      </c>
      <c r="H609" s="37"/>
      <c r="I609" s="2"/>
      <c r="J609" s="69">
        <f>SUM('Archives Entrées'!$N609:$AAV609)</f>
        <v>0</v>
      </c>
      <c r="K609" s="51" t="str">
        <f t="shared" si="37"/>
        <v>0,00€</v>
      </c>
      <c r="L609" s="69">
        <f>SUM('Archives Sorties'!$M609:$AAY609)</f>
        <v>0</v>
      </c>
      <c r="M609" s="51" t="str">
        <f t="shared" si="38"/>
        <v>0,00€</v>
      </c>
      <c r="P609" s="72"/>
      <c r="R609" s="185" t="str">
        <f t="shared" si="39"/>
        <v/>
      </c>
      <c r="S609" s="186" t="str">
        <f t="shared" si="40"/>
        <v/>
      </c>
      <c r="T609" s="187" t="str">
        <f>IF(R609="","",IF(O609=0,Famille!$D$5,IF(R609&lt;O609,Famille!$D$2,IF(R609&lt;=P609,Famille!$D$3,Famille!$D$4))))</f>
        <v/>
      </c>
    </row>
    <row r="610" spans="1:20" ht="12" customHeight="1" x14ac:dyDescent="0.2">
      <c r="A610" s="4" t="str">
        <f>IF(Produits!A491="","",Produits!A491)</f>
        <v/>
      </c>
      <c r="B610" s="4" t="str">
        <f>IF(Produits!B491="","",Produits!B491)</f>
        <v/>
      </c>
      <c r="C610" s="4" t="str">
        <f>IF(Produits!C491="","",Produits!C491)</f>
        <v/>
      </c>
      <c r="D610" s="4" t="str">
        <f>IF(Produits!D491="","",Produits!D491)</f>
        <v/>
      </c>
      <c r="E610" s="49" t="str">
        <f>IF(Produits!F491="","",Produits!F491)</f>
        <v/>
      </c>
      <c r="F610" s="50" t="str">
        <f>IF(Produits!H491="","",Produits!H491)</f>
        <v/>
      </c>
      <c r="H610" s="37"/>
      <c r="I610" s="2"/>
      <c r="J610" s="69">
        <f>SUM('Archives Entrées'!$N610:$AAV610)</f>
        <v>0</v>
      </c>
      <c r="K610" s="51" t="str">
        <f t="shared" si="37"/>
        <v>0,00€</v>
      </c>
      <c r="L610" s="69">
        <f>SUM('Archives Sorties'!$M610:$AAY610)</f>
        <v>0</v>
      </c>
      <c r="M610" s="51" t="str">
        <f t="shared" si="38"/>
        <v>0,00€</v>
      </c>
      <c r="P610" s="72"/>
      <c r="R610" s="185" t="str">
        <f t="shared" si="39"/>
        <v/>
      </c>
      <c r="S610" s="186" t="str">
        <f t="shared" si="40"/>
        <v/>
      </c>
      <c r="T610" s="187" t="str">
        <f>IF(R610="","",IF(O610=0,Famille!$D$5,IF(R610&lt;O610,Famille!$D$2,IF(R610&lt;=P610,Famille!$D$3,Famille!$D$4))))</f>
        <v/>
      </c>
    </row>
    <row r="611" spans="1:20" ht="12" customHeight="1" x14ac:dyDescent="0.2">
      <c r="A611" s="4" t="str">
        <f>IF(Produits!A492="","",Produits!A492)</f>
        <v/>
      </c>
      <c r="B611" s="4" t="str">
        <f>IF(Produits!B492="","",Produits!B492)</f>
        <v/>
      </c>
      <c r="C611" s="4" t="str">
        <f>IF(Produits!C492="","",Produits!C492)</f>
        <v/>
      </c>
      <c r="D611" s="4" t="str">
        <f>IF(Produits!D492="","",Produits!D492)</f>
        <v/>
      </c>
      <c r="E611" s="49" t="str">
        <f>IF(Produits!F492="","",Produits!F492)</f>
        <v/>
      </c>
      <c r="F611" s="50" t="str">
        <f>IF(Produits!H492="","",Produits!H492)</f>
        <v/>
      </c>
      <c r="H611" s="37"/>
      <c r="I611" s="2"/>
      <c r="J611" s="69">
        <f>SUM('Archives Entrées'!$N611:$AAV611)</f>
        <v>0</v>
      </c>
      <c r="K611" s="51" t="str">
        <f t="shared" si="37"/>
        <v>0,00€</v>
      </c>
      <c r="L611" s="69">
        <f>SUM('Archives Sorties'!$M611:$AAY611)</f>
        <v>0</v>
      </c>
      <c r="M611" s="51" t="str">
        <f t="shared" si="38"/>
        <v>0,00€</v>
      </c>
      <c r="P611" s="72"/>
      <c r="R611" s="185" t="str">
        <f t="shared" si="39"/>
        <v/>
      </c>
      <c r="S611" s="186" t="str">
        <f t="shared" si="40"/>
        <v/>
      </c>
      <c r="T611" s="187" t="str">
        <f>IF(R611="","",IF(O611=0,Famille!$D$5,IF(R611&lt;O611,Famille!$D$2,IF(R611&lt;=P611,Famille!$D$3,Famille!$D$4))))</f>
        <v/>
      </c>
    </row>
    <row r="612" spans="1:20" ht="12" customHeight="1" x14ac:dyDescent="0.2">
      <c r="A612" s="4" t="str">
        <f>IF(Produits!A493="","",Produits!A493)</f>
        <v/>
      </c>
      <c r="B612" s="4" t="str">
        <f>IF(Produits!B493="","",Produits!B493)</f>
        <v/>
      </c>
      <c r="C612" s="4" t="str">
        <f>IF(Produits!C493="","",Produits!C493)</f>
        <v/>
      </c>
      <c r="D612" s="4" t="str">
        <f>IF(Produits!D493="","",Produits!D493)</f>
        <v/>
      </c>
      <c r="E612" s="49" t="str">
        <f>IF(Produits!F493="","",Produits!F493)</f>
        <v/>
      </c>
      <c r="F612" s="50" t="str">
        <f>IF(Produits!H493="","",Produits!H493)</f>
        <v/>
      </c>
      <c r="H612" s="37"/>
      <c r="I612" s="2"/>
      <c r="J612" s="69">
        <f>SUM('Archives Entrées'!$N612:$AAV612)</f>
        <v>0</v>
      </c>
      <c r="K612" s="51" t="str">
        <f t="shared" si="37"/>
        <v>0,00€</v>
      </c>
      <c r="L612" s="69">
        <f>SUM('Archives Sorties'!$M612:$AAY612)</f>
        <v>0</v>
      </c>
      <c r="M612" s="51" t="str">
        <f t="shared" si="38"/>
        <v>0,00€</v>
      </c>
      <c r="P612" s="72"/>
      <c r="R612" s="185" t="str">
        <f t="shared" si="39"/>
        <v/>
      </c>
      <c r="S612" s="186" t="str">
        <f t="shared" si="40"/>
        <v/>
      </c>
      <c r="T612" s="187" t="str">
        <f>IF(R612="","",IF(O612=0,Famille!$D$5,IF(R612&lt;O612,Famille!$D$2,IF(R612&lt;=P612,Famille!$D$3,Famille!$D$4))))</f>
        <v/>
      </c>
    </row>
    <row r="613" spans="1:20" ht="12" customHeight="1" x14ac:dyDescent="0.2">
      <c r="A613" s="4" t="str">
        <f>IF(Produits!A494="","",Produits!A494)</f>
        <v/>
      </c>
      <c r="B613" s="4" t="str">
        <f>IF(Produits!B494="","",Produits!B494)</f>
        <v/>
      </c>
      <c r="C613" s="4" t="str">
        <f>IF(Produits!C494="","",Produits!C494)</f>
        <v/>
      </c>
      <c r="D613" s="4" t="str">
        <f>IF(Produits!D494="","",Produits!D494)</f>
        <v/>
      </c>
      <c r="E613" s="49" t="str">
        <f>IF(Produits!F494="","",Produits!F494)</f>
        <v/>
      </c>
      <c r="F613" s="50" t="str">
        <f>IF(Produits!H494="","",Produits!H494)</f>
        <v/>
      </c>
      <c r="H613" s="37"/>
      <c r="I613" s="2"/>
      <c r="J613" s="69">
        <f>SUM('Archives Entrées'!$N613:$AAV613)</f>
        <v>0</v>
      </c>
      <c r="K613" s="51" t="str">
        <f t="shared" si="37"/>
        <v>0,00€</v>
      </c>
      <c r="L613" s="69">
        <f>SUM('Archives Sorties'!$M613:$AAY613)</f>
        <v>0</v>
      </c>
      <c r="M613" s="51" t="str">
        <f t="shared" si="38"/>
        <v>0,00€</v>
      </c>
      <c r="P613" s="72"/>
      <c r="R613" s="185" t="str">
        <f t="shared" si="39"/>
        <v/>
      </c>
      <c r="S613" s="186" t="str">
        <f t="shared" si="40"/>
        <v/>
      </c>
      <c r="T613" s="187" t="str">
        <f>IF(R613="","",IF(O613=0,Famille!$D$5,IF(R613&lt;O613,Famille!$D$2,IF(R613&lt;=P613,Famille!$D$3,Famille!$D$4))))</f>
        <v/>
      </c>
    </row>
    <row r="614" spans="1:20" ht="12" customHeight="1" x14ac:dyDescent="0.2">
      <c r="A614" s="4" t="str">
        <f>IF(Produits!A495="","",Produits!A495)</f>
        <v/>
      </c>
      <c r="B614" s="4" t="str">
        <f>IF(Produits!B495="","",Produits!B495)</f>
        <v/>
      </c>
      <c r="C614" s="4" t="str">
        <f>IF(Produits!C495="","",Produits!C495)</f>
        <v/>
      </c>
      <c r="D614" s="4" t="str">
        <f>IF(Produits!D495="","",Produits!D495)</f>
        <v/>
      </c>
      <c r="E614" s="49" t="str">
        <f>IF(Produits!F495="","",Produits!F495)</f>
        <v/>
      </c>
      <c r="F614" s="50" t="str">
        <f>IF(Produits!H495="","",Produits!H495)</f>
        <v/>
      </c>
      <c r="H614" s="37"/>
      <c r="I614" s="2"/>
      <c r="J614" s="69">
        <f>SUM('Archives Entrées'!$N614:$AAV614)</f>
        <v>0</v>
      </c>
      <c r="K614" s="51" t="str">
        <f t="shared" si="37"/>
        <v>0,00€</v>
      </c>
      <c r="L614" s="69">
        <f>SUM('Archives Sorties'!$M614:$AAY614)</f>
        <v>0</v>
      </c>
      <c r="M614" s="51" t="str">
        <f t="shared" si="38"/>
        <v>0,00€</v>
      </c>
      <c r="P614" s="72"/>
      <c r="R614" s="185" t="str">
        <f t="shared" si="39"/>
        <v/>
      </c>
      <c r="S614" s="186" t="str">
        <f t="shared" si="40"/>
        <v/>
      </c>
      <c r="T614" s="187" t="str">
        <f>IF(R614="","",IF(O614=0,Famille!$D$5,IF(R614&lt;O614,Famille!$D$2,IF(R614&lt;=P614,Famille!$D$3,Famille!$D$4))))</f>
        <v/>
      </c>
    </row>
    <row r="615" spans="1:20" ht="12" customHeight="1" x14ac:dyDescent="0.2">
      <c r="A615" s="4" t="str">
        <f>IF(Produits!A496="","",Produits!A496)</f>
        <v/>
      </c>
      <c r="B615" s="4" t="str">
        <f>IF(Produits!B496="","",Produits!B496)</f>
        <v/>
      </c>
      <c r="C615" s="4" t="str">
        <f>IF(Produits!C496="","",Produits!C496)</f>
        <v/>
      </c>
      <c r="D615" s="4" t="str">
        <f>IF(Produits!D496="","",Produits!D496)</f>
        <v/>
      </c>
      <c r="E615" s="49" t="str">
        <f>IF(Produits!F496="","",Produits!F496)</f>
        <v/>
      </c>
      <c r="F615" s="50" t="str">
        <f>IF(Produits!H496="","",Produits!H496)</f>
        <v/>
      </c>
      <c r="H615" s="37"/>
      <c r="I615" s="2"/>
      <c r="J615" s="69">
        <f>SUM('Archives Entrées'!$N615:$AAV615)</f>
        <v>0</v>
      </c>
      <c r="K615" s="51" t="str">
        <f t="shared" si="37"/>
        <v>0,00€</v>
      </c>
      <c r="L615" s="69">
        <f>SUM('Archives Sorties'!$M615:$AAY615)</f>
        <v>0</v>
      </c>
      <c r="M615" s="51" t="str">
        <f t="shared" si="38"/>
        <v>0,00€</v>
      </c>
      <c r="P615" s="72"/>
      <c r="R615" s="185" t="str">
        <f t="shared" si="39"/>
        <v/>
      </c>
      <c r="S615" s="186" t="str">
        <f t="shared" si="40"/>
        <v/>
      </c>
      <c r="T615" s="187" t="str">
        <f>IF(R615="","",IF(O615=0,Famille!$D$5,IF(R615&lt;O615,Famille!$D$2,IF(R615&lt;=P615,Famille!$D$3,Famille!$D$4))))</f>
        <v/>
      </c>
    </row>
    <row r="616" spans="1:20" ht="12" customHeight="1" x14ac:dyDescent="0.2">
      <c r="A616" s="4" t="str">
        <f>IF(Produits!A497="","",Produits!A497)</f>
        <v/>
      </c>
      <c r="B616" s="4" t="str">
        <f>IF(Produits!B497="","",Produits!B497)</f>
        <v/>
      </c>
      <c r="C616" s="4" t="str">
        <f>IF(Produits!C497="","",Produits!C497)</f>
        <v/>
      </c>
      <c r="D616" s="4" t="str">
        <f>IF(Produits!D497="","",Produits!D497)</f>
        <v/>
      </c>
      <c r="E616" s="49" t="str">
        <f>IF(Produits!F497="","",Produits!F497)</f>
        <v/>
      </c>
      <c r="F616" s="50" t="str">
        <f>IF(Produits!H497="","",Produits!H497)</f>
        <v/>
      </c>
      <c r="H616" s="37"/>
      <c r="I616" s="2"/>
      <c r="J616" s="69">
        <f>SUM('Archives Entrées'!$N616:$AAV616)</f>
        <v>0</v>
      </c>
      <c r="K616" s="51" t="str">
        <f t="shared" si="37"/>
        <v>0,00€</v>
      </c>
      <c r="L616" s="69">
        <f>SUM('Archives Sorties'!$M616:$AAY616)</f>
        <v>0</v>
      </c>
      <c r="M616" s="51" t="str">
        <f t="shared" si="38"/>
        <v>0,00€</v>
      </c>
      <c r="P616" s="72"/>
      <c r="R616" s="185" t="str">
        <f t="shared" si="39"/>
        <v/>
      </c>
      <c r="S616" s="186" t="str">
        <f t="shared" si="40"/>
        <v/>
      </c>
      <c r="T616" s="187" t="str">
        <f>IF(R616="","",IF(O616=0,Famille!$D$5,IF(R616&lt;O616,Famille!$D$2,IF(R616&lt;=P616,Famille!$D$3,Famille!$D$4))))</f>
        <v/>
      </c>
    </row>
    <row r="617" spans="1:20" ht="12" customHeight="1" x14ac:dyDescent="0.2">
      <c r="A617" s="4" t="str">
        <f>IF(Produits!A498="","",Produits!A498)</f>
        <v/>
      </c>
      <c r="B617" s="4" t="str">
        <f>IF(Produits!B498="","",Produits!B498)</f>
        <v/>
      </c>
      <c r="C617" s="4" t="str">
        <f>IF(Produits!C498="","",Produits!C498)</f>
        <v/>
      </c>
      <c r="D617" s="4" t="str">
        <f>IF(Produits!D498="","",Produits!D498)</f>
        <v/>
      </c>
      <c r="E617" s="49" t="str">
        <f>IF(Produits!F498="","",Produits!F498)</f>
        <v/>
      </c>
      <c r="F617" s="50" t="str">
        <f>IF(Produits!H498="","",Produits!H498)</f>
        <v/>
      </c>
      <c r="H617" s="37"/>
      <c r="I617" s="2"/>
      <c r="J617" s="69">
        <f>SUM('Archives Entrées'!$N617:$AAV617)</f>
        <v>0</v>
      </c>
      <c r="K617" s="51" t="str">
        <f t="shared" si="37"/>
        <v>0,00€</v>
      </c>
      <c r="L617" s="69">
        <f>SUM('Archives Sorties'!$M617:$AAY617)</f>
        <v>0</v>
      </c>
      <c r="M617" s="51" t="str">
        <f t="shared" si="38"/>
        <v>0,00€</v>
      </c>
      <c r="P617" s="72"/>
      <c r="R617" s="185" t="str">
        <f t="shared" si="39"/>
        <v/>
      </c>
      <c r="S617" s="186" t="str">
        <f t="shared" si="40"/>
        <v/>
      </c>
      <c r="T617" s="187" t="str">
        <f>IF(R617="","",IF(O617=0,Famille!$D$5,IF(R617&lt;O617,Famille!$D$2,IF(R617&lt;=P617,Famille!$D$3,Famille!$D$4))))</f>
        <v/>
      </c>
    </row>
    <row r="618" spans="1:20" ht="12" customHeight="1" x14ac:dyDescent="0.2">
      <c r="A618" s="4" t="str">
        <f>IF(Produits!A499="","",Produits!A499)</f>
        <v/>
      </c>
      <c r="B618" s="4" t="str">
        <f>IF(Produits!B499="","",Produits!B499)</f>
        <v/>
      </c>
      <c r="C618" s="4" t="str">
        <f>IF(Produits!C499="","",Produits!C499)</f>
        <v/>
      </c>
      <c r="D618" s="4" t="str">
        <f>IF(Produits!D499="","",Produits!D499)</f>
        <v/>
      </c>
      <c r="E618" s="49" t="str">
        <f>IF(Produits!F499="","",Produits!F499)</f>
        <v/>
      </c>
      <c r="F618" s="50" t="str">
        <f>IF(Produits!H499="","",Produits!H499)</f>
        <v/>
      </c>
      <c r="H618" s="37"/>
      <c r="I618" s="2"/>
      <c r="J618" s="69">
        <f>SUM('Archives Entrées'!$N618:$AAV618)</f>
        <v>0</v>
      </c>
      <c r="K618" s="51" t="str">
        <f t="shared" si="37"/>
        <v>0,00€</v>
      </c>
      <c r="L618" s="69">
        <f>SUM('Archives Sorties'!$M618:$AAY618)</f>
        <v>0</v>
      </c>
      <c r="M618" s="51" t="str">
        <f t="shared" si="38"/>
        <v>0,00€</v>
      </c>
      <c r="P618" s="72"/>
      <c r="R618" s="185" t="str">
        <f t="shared" si="39"/>
        <v/>
      </c>
      <c r="S618" s="186" t="str">
        <f t="shared" si="40"/>
        <v/>
      </c>
      <c r="T618" s="187" t="str">
        <f>IF(R618="","",IF(O618=0,Famille!$D$5,IF(R618&lt;O618,Famille!$D$2,IF(R618&lt;=P618,Famille!$D$3,Famille!$D$4))))</f>
        <v/>
      </c>
    </row>
    <row r="619" spans="1:20" ht="12" customHeight="1" x14ac:dyDescent="0.2">
      <c r="A619" s="4" t="str">
        <f>IF(Produits!A500="","",Produits!A500)</f>
        <v/>
      </c>
      <c r="B619" s="4" t="str">
        <f>IF(Produits!B500="","",Produits!B500)</f>
        <v/>
      </c>
      <c r="C619" s="4" t="str">
        <f>IF(Produits!C500="","",Produits!C500)</f>
        <v/>
      </c>
      <c r="D619" s="4" t="str">
        <f>IF(Produits!D500="","",Produits!D500)</f>
        <v/>
      </c>
      <c r="E619" s="49" t="str">
        <f>IF(Produits!F500="","",Produits!F500)</f>
        <v/>
      </c>
      <c r="F619" s="50" t="str">
        <f>IF(Produits!H500="","",Produits!H500)</f>
        <v/>
      </c>
      <c r="H619" s="37"/>
      <c r="I619" s="2"/>
      <c r="J619" s="69">
        <f>SUM('Archives Entrées'!$N619:$AAV619)</f>
        <v>0</v>
      </c>
      <c r="K619" s="51" t="str">
        <f t="shared" si="37"/>
        <v>0,00€</v>
      </c>
      <c r="L619" s="69">
        <f>SUM('Archives Sorties'!$M619:$AAY619)</f>
        <v>0</v>
      </c>
      <c r="M619" s="51" t="str">
        <f t="shared" si="38"/>
        <v>0,00€</v>
      </c>
      <c r="P619" s="72"/>
      <c r="R619" s="185" t="str">
        <f t="shared" si="39"/>
        <v/>
      </c>
      <c r="S619" s="186" t="str">
        <f t="shared" si="40"/>
        <v/>
      </c>
      <c r="T619" s="187" t="str">
        <f>IF(R619="","",IF(O619=0,Famille!$D$5,IF(R619&lt;O619,Famille!$D$2,IF(R619&lt;=P619,Famille!$D$3,Famille!$D$4))))</f>
        <v/>
      </c>
    </row>
    <row r="620" spans="1:20" ht="12" customHeight="1" x14ac:dyDescent="0.2">
      <c r="A620" s="4" t="str">
        <f>IF(Produits!A501="","",Produits!A501)</f>
        <v/>
      </c>
      <c r="B620" s="4" t="str">
        <f>IF(Produits!B501="","",Produits!B501)</f>
        <v/>
      </c>
      <c r="C620" s="4" t="str">
        <f>IF(Produits!C501="","",Produits!C501)</f>
        <v/>
      </c>
      <c r="D620" s="4" t="str">
        <f>IF(Produits!D501="","",Produits!D501)</f>
        <v/>
      </c>
      <c r="E620" s="49" t="str">
        <f>IF(Produits!F501="","",Produits!F501)</f>
        <v/>
      </c>
      <c r="F620" s="50" t="str">
        <f>IF(Produits!H501="","",Produits!H501)</f>
        <v/>
      </c>
      <c r="H620" s="37"/>
      <c r="I620" s="2"/>
      <c r="J620" s="69">
        <f>SUM('Archives Entrées'!$N620:$AAV620)</f>
        <v>0</v>
      </c>
      <c r="K620" s="51" t="str">
        <f t="shared" si="37"/>
        <v>0,00€</v>
      </c>
      <c r="L620" s="69">
        <f>SUM('Archives Sorties'!$M620:$AAY620)</f>
        <v>0</v>
      </c>
      <c r="M620" s="51" t="str">
        <f t="shared" si="38"/>
        <v>0,00€</v>
      </c>
      <c r="P620" s="72"/>
      <c r="R620" s="185" t="str">
        <f t="shared" si="39"/>
        <v/>
      </c>
      <c r="S620" s="186" t="str">
        <f t="shared" si="40"/>
        <v/>
      </c>
      <c r="T620" s="187" t="str">
        <f>IF(R620="","",IF(O620=0,Famille!$D$5,IF(R620&lt;O620,Famille!$D$2,IF(R620&lt;=P620,Famille!$D$3,Famille!$D$4))))</f>
        <v/>
      </c>
    </row>
    <row r="621" spans="1:20" ht="12" customHeight="1" x14ac:dyDescent="0.2">
      <c r="A621" s="4" t="str">
        <f>IF(Produits!A502="","",Produits!A502)</f>
        <v/>
      </c>
      <c r="B621" s="4" t="str">
        <f>IF(Produits!B502="","",Produits!B502)</f>
        <v/>
      </c>
      <c r="C621" s="4" t="str">
        <f>IF(Produits!C502="","",Produits!C502)</f>
        <v/>
      </c>
      <c r="D621" s="4" t="str">
        <f>IF(Produits!D502="","",Produits!D502)</f>
        <v/>
      </c>
      <c r="E621" s="49" t="str">
        <f>IF(Produits!F502="","",Produits!F502)</f>
        <v/>
      </c>
      <c r="F621" s="50" t="str">
        <f>IF(Produits!H502="","",Produits!H502)</f>
        <v/>
      </c>
      <c r="H621" s="37"/>
      <c r="I621" s="2"/>
      <c r="J621" s="69">
        <f>SUM('Archives Entrées'!$N621:$AAV621)</f>
        <v>0</v>
      </c>
      <c r="K621" s="51" t="str">
        <f t="shared" si="37"/>
        <v>0,00€</v>
      </c>
      <c r="L621" s="69">
        <f>SUM('Archives Sorties'!$M621:$AAY621)</f>
        <v>0</v>
      </c>
      <c r="M621" s="51" t="str">
        <f t="shared" si="38"/>
        <v>0,00€</v>
      </c>
      <c r="P621" s="72"/>
      <c r="R621" s="185" t="str">
        <f t="shared" si="39"/>
        <v/>
      </c>
      <c r="S621" s="186" t="str">
        <f t="shared" si="40"/>
        <v/>
      </c>
      <c r="T621" s="187" t="str">
        <f>IF(R621="","",IF(O621=0,Famille!$D$5,IF(R621&lt;O621,Famille!$D$2,IF(R621&lt;=P621,Famille!$D$3,Famille!$D$4))))</f>
        <v/>
      </c>
    </row>
    <row r="622" spans="1:20" ht="12" customHeight="1" x14ac:dyDescent="0.2">
      <c r="A622" s="4" t="str">
        <f>IF(Produits!A503="","",Produits!A503)</f>
        <v/>
      </c>
      <c r="B622" s="4" t="str">
        <f>IF(Produits!B503="","",Produits!B503)</f>
        <v/>
      </c>
      <c r="C622" s="4" t="str">
        <f>IF(Produits!C503="","",Produits!C503)</f>
        <v/>
      </c>
      <c r="D622" s="4" t="str">
        <f>IF(Produits!D503="","",Produits!D503)</f>
        <v/>
      </c>
      <c r="E622" s="49" t="str">
        <f>IF(Produits!F503="","",Produits!F503)</f>
        <v/>
      </c>
      <c r="F622" s="50" t="str">
        <f>IF(Produits!H503="","",Produits!H503)</f>
        <v/>
      </c>
      <c r="H622" s="37"/>
      <c r="I622" s="2"/>
      <c r="J622" s="69">
        <f>SUM('Archives Entrées'!$N622:$AAV622)</f>
        <v>0</v>
      </c>
      <c r="K622" s="51" t="str">
        <f t="shared" si="37"/>
        <v>0,00€</v>
      </c>
      <c r="L622" s="69">
        <f>SUM('Archives Sorties'!$M622:$AAY622)</f>
        <v>0</v>
      </c>
      <c r="M622" s="51" t="str">
        <f t="shared" si="38"/>
        <v>0,00€</v>
      </c>
      <c r="P622" s="72"/>
      <c r="R622" s="185" t="str">
        <f t="shared" si="39"/>
        <v/>
      </c>
      <c r="S622" s="186" t="str">
        <f t="shared" si="40"/>
        <v/>
      </c>
      <c r="T622" s="187" t="str">
        <f>IF(R622="","",IF(O622=0,Famille!$D$5,IF(R622&lt;O622,Famille!$D$2,IF(R622&lt;=P622,Famille!$D$3,Famille!$D$4))))</f>
        <v/>
      </c>
    </row>
    <row r="623" spans="1:20" ht="12" customHeight="1" x14ac:dyDescent="0.2">
      <c r="A623" s="4" t="str">
        <f>IF(Produits!A504="","",Produits!A504)</f>
        <v/>
      </c>
      <c r="B623" s="4" t="str">
        <f>IF(Produits!B504="","",Produits!B504)</f>
        <v/>
      </c>
      <c r="C623" s="4" t="str">
        <f>IF(Produits!C504="","",Produits!C504)</f>
        <v/>
      </c>
      <c r="D623" s="4" t="str">
        <f>IF(Produits!D504="","",Produits!D504)</f>
        <v/>
      </c>
      <c r="E623" s="49" t="str">
        <f>IF(Produits!F504="","",Produits!F504)</f>
        <v/>
      </c>
      <c r="F623" s="50" t="str">
        <f>IF(Produits!H504="","",Produits!H504)</f>
        <v/>
      </c>
      <c r="H623" s="37"/>
      <c r="I623" s="2"/>
      <c r="J623" s="69">
        <f>SUM('Archives Entrées'!$N623:$AAV623)</f>
        <v>0</v>
      </c>
      <c r="K623" s="51" t="str">
        <f t="shared" si="37"/>
        <v>0,00€</v>
      </c>
      <c r="L623" s="69">
        <f>SUM('Archives Sorties'!$M623:$AAY623)</f>
        <v>0</v>
      </c>
      <c r="M623" s="51" t="str">
        <f t="shared" si="38"/>
        <v>0,00€</v>
      </c>
      <c r="P623" s="72"/>
      <c r="R623" s="185" t="str">
        <f t="shared" si="39"/>
        <v/>
      </c>
      <c r="S623" s="186" t="str">
        <f t="shared" si="40"/>
        <v/>
      </c>
      <c r="T623" s="187" t="str">
        <f>IF(R623="","",IF(O623=0,Famille!$D$5,IF(R623&lt;O623,Famille!$D$2,IF(R623&lt;=P623,Famille!$D$3,Famille!$D$4))))</f>
        <v/>
      </c>
    </row>
    <row r="624" spans="1:20" ht="12" customHeight="1" x14ac:dyDescent="0.2">
      <c r="A624" s="4" t="str">
        <f>IF(Produits!A505="","",Produits!A505)</f>
        <v/>
      </c>
      <c r="B624" s="4" t="str">
        <f>IF(Produits!B505="","",Produits!B505)</f>
        <v/>
      </c>
      <c r="C624" s="4" t="str">
        <f>IF(Produits!C505="","",Produits!C505)</f>
        <v/>
      </c>
      <c r="D624" s="4" t="str">
        <f>IF(Produits!D505="","",Produits!D505)</f>
        <v/>
      </c>
      <c r="E624" s="49" t="str">
        <f>IF(Produits!F505="","",Produits!F505)</f>
        <v/>
      </c>
      <c r="F624" s="50" t="str">
        <f>IF(Produits!H505="","",Produits!H505)</f>
        <v/>
      </c>
      <c r="H624" s="37"/>
      <c r="I624" s="2"/>
      <c r="J624" s="69">
        <f>SUM('Archives Entrées'!$N624:$AAV624)</f>
        <v>0</v>
      </c>
      <c r="K624" s="51" t="str">
        <f t="shared" si="37"/>
        <v>0,00€</v>
      </c>
      <c r="L624" s="69">
        <f>SUM('Archives Sorties'!$M624:$AAY624)</f>
        <v>0</v>
      </c>
      <c r="M624" s="51" t="str">
        <f t="shared" si="38"/>
        <v>0,00€</v>
      </c>
      <c r="P624" s="72"/>
      <c r="R624" s="185" t="str">
        <f t="shared" si="39"/>
        <v/>
      </c>
      <c r="S624" s="186" t="str">
        <f t="shared" si="40"/>
        <v/>
      </c>
      <c r="T624" s="187" t="str">
        <f>IF(R624="","",IF(O624=0,Famille!$D$5,IF(R624&lt;O624,Famille!$D$2,IF(R624&lt;=P624,Famille!$D$3,Famille!$D$4))))</f>
        <v/>
      </c>
    </row>
    <row r="625" spans="1:20" ht="12" customHeight="1" x14ac:dyDescent="0.2">
      <c r="A625" s="4" t="str">
        <f>IF(Produits!A506="","",Produits!A506)</f>
        <v/>
      </c>
      <c r="B625" s="4" t="str">
        <f>IF(Produits!B506="","",Produits!B506)</f>
        <v/>
      </c>
      <c r="C625" s="4" t="str">
        <f>IF(Produits!C506="","",Produits!C506)</f>
        <v/>
      </c>
      <c r="D625" s="4" t="str">
        <f>IF(Produits!D506="","",Produits!D506)</f>
        <v/>
      </c>
      <c r="E625" s="49" t="str">
        <f>IF(Produits!F506="","",Produits!F506)</f>
        <v/>
      </c>
      <c r="F625" s="50" t="str">
        <f>IF(Produits!H506="","",Produits!H506)</f>
        <v/>
      </c>
      <c r="H625" s="37"/>
      <c r="I625" s="2"/>
      <c r="J625" s="69">
        <f>SUM('Archives Entrées'!$N625:$AAV625)</f>
        <v>0</v>
      </c>
      <c r="K625" s="51" t="str">
        <f t="shared" si="37"/>
        <v>0,00€</v>
      </c>
      <c r="L625" s="69">
        <f>SUM('Archives Sorties'!$M625:$AAY625)</f>
        <v>0</v>
      </c>
      <c r="M625" s="51" t="str">
        <f t="shared" si="38"/>
        <v>0,00€</v>
      </c>
      <c r="P625" s="72"/>
      <c r="R625" s="185" t="str">
        <f t="shared" si="39"/>
        <v/>
      </c>
      <c r="S625" s="186" t="str">
        <f t="shared" si="40"/>
        <v/>
      </c>
      <c r="T625" s="187" t="str">
        <f>IF(R625="","",IF(O625=0,Famille!$D$5,IF(R625&lt;O625,Famille!$D$2,IF(R625&lt;=P625,Famille!$D$3,Famille!$D$4))))</f>
        <v/>
      </c>
    </row>
    <row r="626" spans="1:20" ht="12" customHeight="1" x14ac:dyDescent="0.2">
      <c r="A626" s="4" t="str">
        <f>IF(Produits!A507="","",Produits!A507)</f>
        <v/>
      </c>
      <c r="B626" s="4" t="str">
        <f>IF(Produits!B507="","",Produits!B507)</f>
        <v/>
      </c>
      <c r="C626" s="4" t="str">
        <f>IF(Produits!C507="","",Produits!C507)</f>
        <v/>
      </c>
      <c r="D626" s="4" t="str">
        <f>IF(Produits!D507="","",Produits!D507)</f>
        <v/>
      </c>
      <c r="E626" s="49" t="str">
        <f>IF(Produits!F507="","",Produits!F507)</f>
        <v/>
      </c>
      <c r="F626" s="50" t="str">
        <f>IF(Produits!H507="","",Produits!H507)</f>
        <v/>
      </c>
      <c r="H626" s="37"/>
      <c r="I626" s="2"/>
      <c r="J626" s="69">
        <f>SUM('Archives Entrées'!$N626:$AAV626)</f>
        <v>0</v>
      </c>
      <c r="K626" s="51" t="str">
        <f t="shared" si="37"/>
        <v>0,00€</v>
      </c>
      <c r="L626" s="69">
        <f>SUM('Archives Sorties'!$M626:$AAY626)</f>
        <v>0</v>
      </c>
      <c r="M626" s="51" t="str">
        <f t="shared" si="38"/>
        <v>0,00€</v>
      </c>
      <c r="P626" s="72"/>
      <c r="R626" s="185" t="str">
        <f t="shared" si="39"/>
        <v/>
      </c>
      <c r="S626" s="186" t="str">
        <f t="shared" si="40"/>
        <v/>
      </c>
      <c r="T626" s="187" t="str">
        <f>IF(R626="","",IF(O626=0,Famille!$D$5,IF(R626&lt;O626,Famille!$D$2,IF(R626&lt;=P626,Famille!$D$3,Famille!$D$4))))</f>
        <v/>
      </c>
    </row>
    <row r="627" spans="1:20" ht="12" customHeight="1" x14ac:dyDescent="0.2">
      <c r="A627" s="4" t="str">
        <f>IF(Produits!A508="","",Produits!A508)</f>
        <v/>
      </c>
      <c r="B627" s="4" t="str">
        <f>IF(Produits!B508="","",Produits!B508)</f>
        <v/>
      </c>
      <c r="C627" s="4" t="str">
        <f>IF(Produits!C508="","",Produits!C508)</f>
        <v/>
      </c>
      <c r="D627" s="4" t="str">
        <f>IF(Produits!D508="","",Produits!D508)</f>
        <v/>
      </c>
      <c r="E627" s="49" t="str">
        <f>IF(Produits!F508="","",Produits!F508)</f>
        <v/>
      </c>
      <c r="F627" s="50" t="str">
        <f>IF(Produits!H508="","",Produits!H508)</f>
        <v/>
      </c>
      <c r="H627" s="37"/>
      <c r="I627" s="2"/>
      <c r="J627" s="69">
        <f>SUM('Archives Entrées'!$N627:$AAV627)</f>
        <v>0</v>
      </c>
      <c r="K627" s="51" t="str">
        <f t="shared" si="37"/>
        <v>0,00€</v>
      </c>
      <c r="L627" s="69">
        <f>SUM('Archives Sorties'!$M627:$AAY627)</f>
        <v>0</v>
      </c>
      <c r="M627" s="51" t="str">
        <f t="shared" si="38"/>
        <v>0,00€</v>
      </c>
      <c r="P627" s="72"/>
      <c r="R627" s="185" t="str">
        <f t="shared" si="39"/>
        <v/>
      </c>
      <c r="S627" s="186" t="str">
        <f t="shared" si="40"/>
        <v/>
      </c>
      <c r="T627" s="187" t="str">
        <f>IF(R627="","",IF(O627=0,Famille!$D$5,IF(R627&lt;O627,Famille!$D$2,IF(R627&lt;=P627,Famille!$D$3,Famille!$D$4))))</f>
        <v/>
      </c>
    </row>
    <row r="628" spans="1:20" ht="12" customHeight="1" x14ac:dyDescent="0.2">
      <c r="A628" s="4" t="str">
        <f>IF(Produits!A509="","",Produits!A509)</f>
        <v/>
      </c>
      <c r="B628" s="4" t="str">
        <f>IF(Produits!B509="","",Produits!B509)</f>
        <v/>
      </c>
      <c r="C628" s="4" t="str">
        <f>IF(Produits!C509="","",Produits!C509)</f>
        <v/>
      </c>
      <c r="D628" s="4" t="str">
        <f>IF(Produits!D509="","",Produits!D509)</f>
        <v/>
      </c>
      <c r="E628" s="49" t="str">
        <f>IF(Produits!F509="","",Produits!F509)</f>
        <v/>
      </c>
      <c r="F628" s="50" t="str">
        <f>IF(Produits!H509="","",Produits!H509)</f>
        <v/>
      </c>
      <c r="H628" s="37"/>
      <c r="I628" s="2"/>
      <c r="J628" s="69">
        <f>SUM('Archives Entrées'!$N628:$AAV628)</f>
        <v>0</v>
      </c>
      <c r="K628" s="51" t="str">
        <f t="shared" si="37"/>
        <v>0,00€</v>
      </c>
      <c r="L628" s="69">
        <f>SUM('Archives Sorties'!$M628:$AAY628)</f>
        <v>0</v>
      </c>
      <c r="M628" s="51" t="str">
        <f t="shared" si="38"/>
        <v>0,00€</v>
      </c>
      <c r="P628" s="72"/>
      <c r="R628" s="185" t="str">
        <f t="shared" si="39"/>
        <v/>
      </c>
      <c r="S628" s="186" t="str">
        <f t="shared" si="40"/>
        <v/>
      </c>
      <c r="T628" s="187" t="str">
        <f>IF(R628="","",IF(O628=0,Famille!$D$5,IF(R628&lt;O628,Famille!$D$2,IF(R628&lt;=P628,Famille!$D$3,Famille!$D$4))))</f>
        <v/>
      </c>
    </row>
    <row r="629" spans="1:20" ht="12" customHeight="1" x14ac:dyDescent="0.2">
      <c r="A629" s="4" t="str">
        <f>IF(Produits!A510="","",Produits!A510)</f>
        <v/>
      </c>
      <c r="B629" s="4" t="str">
        <f>IF(Produits!B510="","",Produits!B510)</f>
        <v/>
      </c>
      <c r="C629" s="4" t="str">
        <f>IF(Produits!C510="","",Produits!C510)</f>
        <v/>
      </c>
      <c r="D629" s="4" t="str">
        <f>IF(Produits!D510="","",Produits!D510)</f>
        <v/>
      </c>
      <c r="E629" s="49" t="str">
        <f>IF(Produits!F510="","",Produits!F510)</f>
        <v/>
      </c>
      <c r="F629" s="50" t="str">
        <f>IF(Produits!H510="","",Produits!H510)</f>
        <v/>
      </c>
      <c r="H629" s="37"/>
      <c r="I629" s="2"/>
      <c r="J629" s="69">
        <f>SUM('Archives Entrées'!$N629:$AAV629)</f>
        <v>0</v>
      </c>
      <c r="K629" s="51" t="str">
        <f t="shared" si="37"/>
        <v>0,00€</v>
      </c>
      <c r="L629" s="69">
        <f>SUM('Archives Sorties'!$M629:$AAY629)</f>
        <v>0</v>
      </c>
      <c r="M629" s="51" t="str">
        <f t="shared" si="38"/>
        <v>0,00€</v>
      </c>
      <c r="P629" s="72"/>
      <c r="R629" s="185" t="str">
        <f t="shared" si="39"/>
        <v/>
      </c>
      <c r="S629" s="186" t="str">
        <f t="shared" si="40"/>
        <v/>
      </c>
      <c r="T629" s="187" t="str">
        <f>IF(R629="","",IF(O629=0,Famille!$D$5,IF(R629&lt;O629,Famille!$D$2,IF(R629&lt;=P629,Famille!$D$3,Famille!$D$4))))</f>
        <v/>
      </c>
    </row>
    <row r="630" spans="1:20" ht="12" customHeight="1" x14ac:dyDescent="0.2">
      <c r="A630" s="4" t="str">
        <f>IF(Produits!A511="","",Produits!A511)</f>
        <v/>
      </c>
      <c r="B630" s="4" t="str">
        <f>IF(Produits!B511="","",Produits!B511)</f>
        <v/>
      </c>
      <c r="C630" s="4" t="str">
        <f>IF(Produits!C511="","",Produits!C511)</f>
        <v/>
      </c>
      <c r="D630" s="4" t="str">
        <f>IF(Produits!D511="","",Produits!D511)</f>
        <v/>
      </c>
      <c r="E630" s="49" t="str">
        <f>IF(Produits!F511="","",Produits!F511)</f>
        <v/>
      </c>
      <c r="F630" s="50" t="str">
        <f>IF(Produits!H511="","",Produits!H511)</f>
        <v/>
      </c>
      <c r="H630" s="37"/>
      <c r="I630" s="2"/>
      <c r="J630" s="69">
        <f>SUM('Archives Entrées'!$N630:$AAV630)</f>
        <v>0</v>
      </c>
      <c r="K630" s="51" t="str">
        <f t="shared" si="37"/>
        <v>0,00€</v>
      </c>
      <c r="L630" s="69">
        <f>SUM('Archives Sorties'!$M630:$AAY630)</f>
        <v>0</v>
      </c>
      <c r="M630" s="51" t="str">
        <f t="shared" si="38"/>
        <v>0,00€</v>
      </c>
      <c r="P630" s="72"/>
      <c r="R630" s="185" t="str">
        <f t="shared" si="39"/>
        <v/>
      </c>
      <c r="S630" s="186" t="str">
        <f t="shared" si="40"/>
        <v/>
      </c>
      <c r="T630" s="187" t="str">
        <f>IF(R630="","",IF(O630=0,Famille!$D$5,IF(R630&lt;O630,Famille!$D$2,IF(R630&lt;=P630,Famille!$D$3,Famille!$D$4))))</f>
        <v/>
      </c>
    </row>
    <row r="631" spans="1:20" ht="12" customHeight="1" x14ac:dyDescent="0.2">
      <c r="A631" s="4" t="str">
        <f>IF(Produits!A512="","",Produits!A512)</f>
        <v/>
      </c>
      <c r="B631" s="4" t="str">
        <f>IF(Produits!B512="","",Produits!B512)</f>
        <v/>
      </c>
      <c r="C631" s="4" t="str">
        <f>IF(Produits!C512="","",Produits!C512)</f>
        <v/>
      </c>
      <c r="D631" s="4" t="str">
        <f>IF(Produits!D512="","",Produits!D512)</f>
        <v/>
      </c>
      <c r="E631" s="49" t="str">
        <f>IF(Produits!F512="","",Produits!F512)</f>
        <v/>
      </c>
      <c r="F631" s="50" t="str">
        <f>IF(Produits!H512="","",Produits!H512)</f>
        <v/>
      </c>
      <c r="H631" s="37"/>
      <c r="I631" s="2"/>
      <c r="J631" s="69">
        <f>SUM('Archives Entrées'!$N631:$AAV631)</f>
        <v>0</v>
      </c>
      <c r="K631" s="51" t="str">
        <f t="shared" si="37"/>
        <v>0,00€</v>
      </c>
      <c r="L631" s="69">
        <f>SUM('Archives Sorties'!$M631:$AAY631)</f>
        <v>0</v>
      </c>
      <c r="M631" s="51" t="str">
        <f t="shared" si="38"/>
        <v>0,00€</v>
      </c>
      <c r="P631" s="72"/>
      <c r="R631" s="185" t="str">
        <f t="shared" si="39"/>
        <v/>
      </c>
      <c r="S631" s="186" t="str">
        <f t="shared" si="40"/>
        <v/>
      </c>
      <c r="T631" s="187" t="str">
        <f>IF(R631="","",IF(O631=0,Famille!$D$5,IF(R631&lt;O631,Famille!$D$2,IF(R631&lt;=P631,Famille!$D$3,Famille!$D$4))))</f>
        <v/>
      </c>
    </row>
    <row r="632" spans="1:20" ht="12" customHeight="1" x14ac:dyDescent="0.2">
      <c r="A632" s="4" t="str">
        <f>IF(Produits!A513="","",Produits!A513)</f>
        <v/>
      </c>
      <c r="B632" s="4" t="str">
        <f>IF(Produits!B513="","",Produits!B513)</f>
        <v/>
      </c>
      <c r="C632" s="4" t="str">
        <f>IF(Produits!C513="","",Produits!C513)</f>
        <v/>
      </c>
      <c r="D632" s="4" t="str">
        <f>IF(Produits!D513="","",Produits!D513)</f>
        <v/>
      </c>
      <c r="E632" s="49" t="str">
        <f>IF(Produits!F513="","",Produits!F513)</f>
        <v/>
      </c>
      <c r="F632" s="50" t="str">
        <f>IF(Produits!H513="","",Produits!H513)</f>
        <v/>
      </c>
      <c r="H632" s="37"/>
      <c r="I632" s="2"/>
      <c r="J632" s="69">
        <f>SUM('Archives Entrées'!$N632:$AAV632)</f>
        <v>0</v>
      </c>
      <c r="K632" s="51" t="str">
        <f t="shared" si="37"/>
        <v>0,00€</v>
      </c>
      <c r="L632" s="69">
        <f>SUM('Archives Sorties'!$M632:$AAY632)</f>
        <v>0</v>
      </c>
      <c r="M632" s="51" t="str">
        <f t="shared" si="38"/>
        <v>0,00€</v>
      </c>
      <c r="P632" s="72"/>
      <c r="R632" s="185" t="str">
        <f t="shared" si="39"/>
        <v/>
      </c>
      <c r="S632" s="186" t="str">
        <f t="shared" si="40"/>
        <v/>
      </c>
      <c r="T632" s="187" t="str">
        <f>IF(R632="","",IF(O632=0,Famille!$D$5,IF(R632&lt;O632,Famille!$D$2,IF(R632&lt;=P632,Famille!$D$3,Famille!$D$4))))</f>
        <v/>
      </c>
    </row>
    <row r="633" spans="1:20" ht="12" customHeight="1" x14ac:dyDescent="0.2">
      <c r="A633" s="4" t="str">
        <f>IF(Produits!A514="","",Produits!A514)</f>
        <v/>
      </c>
      <c r="B633" s="4" t="str">
        <f>IF(Produits!B514="","",Produits!B514)</f>
        <v/>
      </c>
      <c r="C633" s="4" t="str">
        <f>IF(Produits!C514="","",Produits!C514)</f>
        <v/>
      </c>
      <c r="D633" s="4" t="str">
        <f>IF(Produits!D514="","",Produits!D514)</f>
        <v/>
      </c>
      <c r="E633" s="49" t="str">
        <f>IF(Produits!F514="","",Produits!F514)</f>
        <v/>
      </c>
      <c r="F633" s="50" t="str">
        <f>IF(Produits!H514="","",Produits!H514)</f>
        <v/>
      </c>
      <c r="H633" s="37"/>
      <c r="I633" s="2"/>
      <c r="J633" s="69">
        <f>SUM('Archives Entrées'!$N633:$AAV633)</f>
        <v>0</v>
      </c>
      <c r="K633" s="51" t="str">
        <f t="shared" si="37"/>
        <v>0,00€</v>
      </c>
      <c r="L633" s="69">
        <f>SUM('Archives Sorties'!$M633:$AAY633)</f>
        <v>0</v>
      </c>
      <c r="M633" s="51" t="str">
        <f t="shared" si="38"/>
        <v>0,00€</v>
      </c>
      <c r="P633" s="72"/>
      <c r="R633" s="185" t="str">
        <f t="shared" si="39"/>
        <v/>
      </c>
      <c r="S633" s="186" t="str">
        <f t="shared" si="40"/>
        <v/>
      </c>
      <c r="T633" s="187" t="str">
        <f>IF(R633="","",IF(O633=0,Famille!$D$5,IF(R633&lt;O633,Famille!$D$2,IF(R633&lt;=P633,Famille!$D$3,Famille!$D$4))))</f>
        <v/>
      </c>
    </row>
    <row r="634" spans="1:20" ht="12" customHeight="1" x14ac:dyDescent="0.2">
      <c r="A634" s="4" t="str">
        <f>IF(Produits!A515="","",Produits!A515)</f>
        <v/>
      </c>
      <c r="B634" s="4" t="str">
        <f>IF(Produits!B515="","",Produits!B515)</f>
        <v/>
      </c>
      <c r="C634" s="4" t="str">
        <f>IF(Produits!C515="","",Produits!C515)</f>
        <v/>
      </c>
      <c r="D634" s="4" t="str">
        <f>IF(Produits!D515="","",Produits!D515)</f>
        <v/>
      </c>
      <c r="E634" s="49" t="str">
        <f>IF(Produits!F515="","",Produits!F515)</f>
        <v/>
      </c>
      <c r="F634" s="50" t="str">
        <f>IF(Produits!H515="","",Produits!H515)</f>
        <v/>
      </c>
      <c r="H634" s="37"/>
      <c r="I634" s="2"/>
      <c r="J634" s="69">
        <f>SUM('Archives Entrées'!$N634:$AAV634)</f>
        <v>0</v>
      </c>
      <c r="K634" s="51" t="str">
        <f t="shared" si="37"/>
        <v>0,00€</v>
      </c>
      <c r="L634" s="69">
        <f>SUM('Archives Sorties'!$M634:$AAY634)</f>
        <v>0</v>
      </c>
      <c r="M634" s="51" t="str">
        <f t="shared" si="38"/>
        <v>0,00€</v>
      </c>
      <c r="P634" s="72"/>
      <c r="R634" s="185" t="str">
        <f t="shared" si="39"/>
        <v/>
      </c>
      <c r="S634" s="186" t="str">
        <f t="shared" si="40"/>
        <v/>
      </c>
      <c r="T634" s="187" t="str">
        <f>IF(R634="","",IF(O634=0,Famille!$D$5,IF(R634&lt;O634,Famille!$D$2,IF(R634&lt;=P634,Famille!$D$3,Famille!$D$4))))</f>
        <v/>
      </c>
    </row>
    <row r="635" spans="1:20" ht="12" customHeight="1" x14ac:dyDescent="0.2">
      <c r="A635" s="4" t="str">
        <f>IF(Produits!A516="","",Produits!A516)</f>
        <v/>
      </c>
      <c r="B635" s="4" t="str">
        <f>IF(Produits!B516="","",Produits!B516)</f>
        <v/>
      </c>
      <c r="C635" s="4" t="str">
        <f>IF(Produits!C516="","",Produits!C516)</f>
        <v/>
      </c>
      <c r="D635" s="4" t="str">
        <f>IF(Produits!D516="","",Produits!D516)</f>
        <v/>
      </c>
      <c r="E635" s="49" t="str">
        <f>IF(Produits!F516="","",Produits!F516)</f>
        <v/>
      </c>
      <c r="F635" s="50" t="str">
        <f>IF(Produits!H516="","",Produits!H516)</f>
        <v/>
      </c>
      <c r="H635" s="37"/>
      <c r="I635" s="2"/>
      <c r="J635" s="69">
        <f>SUM('Archives Entrées'!$N635:$AAV635)</f>
        <v>0</v>
      </c>
      <c r="K635" s="51" t="str">
        <f t="shared" si="37"/>
        <v>0,00€</v>
      </c>
      <c r="L635" s="69">
        <f>SUM('Archives Sorties'!$M635:$AAY635)</f>
        <v>0</v>
      </c>
      <c r="M635" s="51" t="str">
        <f t="shared" si="38"/>
        <v>0,00€</v>
      </c>
      <c r="P635" s="72"/>
      <c r="R635" s="185" t="str">
        <f t="shared" si="39"/>
        <v/>
      </c>
      <c r="S635" s="186" t="str">
        <f t="shared" si="40"/>
        <v/>
      </c>
      <c r="T635" s="187" t="str">
        <f>IF(R635="","",IF(O635=0,Famille!$D$5,IF(R635&lt;O635,Famille!$D$2,IF(R635&lt;=P635,Famille!$D$3,Famille!$D$4))))</f>
        <v/>
      </c>
    </row>
    <row r="636" spans="1:20" ht="12" customHeight="1" x14ac:dyDescent="0.2">
      <c r="A636" s="4" t="str">
        <f>IF(Produits!A517="","",Produits!A517)</f>
        <v/>
      </c>
      <c r="B636" s="4" t="str">
        <f>IF(Produits!B517="","",Produits!B517)</f>
        <v/>
      </c>
      <c r="C636" s="4" t="str">
        <f>IF(Produits!C517="","",Produits!C517)</f>
        <v/>
      </c>
      <c r="D636" s="4" t="str">
        <f>IF(Produits!D517="","",Produits!D517)</f>
        <v/>
      </c>
      <c r="E636" s="49" t="str">
        <f>IF(Produits!F517="","",Produits!F517)</f>
        <v/>
      </c>
      <c r="F636" s="50" t="str">
        <f>IF(Produits!H517="","",Produits!H517)</f>
        <v/>
      </c>
      <c r="H636" s="37"/>
      <c r="I636" s="2"/>
      <c r="J636" s="69">
        <f>SUM('Archives Entrées'!$N636:$AAV636)</f>
        <v>0</v>
      </c>
      <c r="K636" s="51" t="str">
        <f t="shared" si="37"/>
        <v>0,00€</v>
      </c>
      <c r="L636" s="69">
        <f>SUM('Archives Sorties'!$M636:$AAY636)</f>
        <v>0</v>
      </c>
      <c r="M636" s="51" t="str">
        <f t="shared" si="38"/>
        <v>0,00€</v>
      </c>
      <c r="P636" s="72"/>
      <c r="R636" s="185" t="str">
        <f t="shared" si="39"/>
        <v/>
      </c>
      <c r="S636" s="186" t="str">
        <f t="shared" si="40"/>
        <v/>
      </c>
      <c r="T636" s="187" t="str">
        <f>IF(R636="","",IF(O636=0,Famille!$D$5,IF(R636&lt;O636,Famille!$D$2,IF(R636&lt;=P636,Famille!$D$3,Famille!$D$4))))</f>
        <v/>
      </c>
    </row>
    <row r="637" spans="1:20" ht="12" customHeight="1" x14ac:dyDescent="0.2">
      <c r="A637" s="4" t="str">
        <f>IF(Produits!A518="","",Produits!A518)</f>
        <v/>
      </c>
      <c r="B637" s="4" t="str">
        <f>IF(Produits!B518="","",Produits!B518)</f>
        <v/>
      </c>
      <c r="C637" s="4" t="str">
        <f>IF(Produits!C518="","",Produits!C518)</f>
        <v/>
      </c>
      <c r="D637" s="4" t="str">
        <f>IF(Produits!D518="","",Produits!D518)</f>
        <v/>
      </c>
      <c r="E637" s="49" t="str">
        <f>IF(Produits!F518="","",Produits!F518)</f>
        <v/>
      </c>
      <c r="F637" s="50" t="str">
        <f>IF(Produits!H518="","",Produits!H518)</f>
        <v/>
      </c>
      <c r="H637" s="37"/>
      <c r="I637" s="2"/>
      <c r="J637" s="69">
        <f>SUM('Archives Entrées'!$N637:$AAV637)</f>
        <v>0</v>
      </c>
      <c r="K637" s="51" t="str">
        <f t="shared" si="37"/>
        <v>0,00€</v>
      </c>
      <c r="L637" s="69">
        <f>SUM('Archives Sorties'!$M637:$AAY637)</f>
        <v>0</v>
      </c>
      <c r="M637" s="51" t="str">
        <f t="shared" si="38"/>
        <v>0,00€</v>
      </c>
      <c r="P637" s="72"/>
      <c r="R637" s="185" t="str">
        <f t="shared" si="39"/>
        <v/>
      </c>
      <c r="S637" s="186" t="str">
        <f t="shared" si="40"/>
        <v/>
      </c>
      <c r="T637" s="187" t="str">
        <f>IF(R637="","",IF(O637=0,Famille!$D$5,IF(R637&lt;O637,Famille!$D$2,IF(R637&lt;=P637,Famille!$D$3,Famille!$D$4))))</f>
        <v/>
      </c>
    </row>
    <row r="638" spans="1:20" ht="12" customHeight="1" x14ac:dyDescent="0.2">
      <c r="A638" s="4" t="str">
        <f>IF(Produits!A519="","",Produits!A519)</f>
        <v/>
      </c>
      <c r="B638" s="4" t="str">
        <f>IF(Produits!B519="","",Produits!B519)</f>
        <v/>
      </c>
      <c r="C638" s="4" t="str">
        <f>IF(Produits!C519="","",Produits!C519)</f>
        <v/>
      </c>
      <c r="D638" s="4" t="str">
        <f>IF(Produits!D519="","",Produits!D519)</f>
        <v/>
      </c>
      <c r="E638" s="49" t="str">
        <f>IF(Produits!F519="","",Produits!F519)</f>
        <v/>
      </c>
      <c r="F638" s="50" t="str">
        <f>IF(Produits!H519="","",Produits!H519)</f>
        <v/>
      </c>
      <c r="H638" s="37"/>
      <c r="I638" s="2"/>
      <c r="J638" s="69">
        <f>SUM('Archives Entrées'!$N638:$AAV638)</f>
        <v>0</v>
      </c>
      <c r="K638" s="51" t="str">
        <f t="shared" si="37"/>
        <v>0,00€</v>
      </c>
      <c r="L638" s="69">
        <f>SUM('Archives Sorties'!$M638:$AAY638)</f>
        <v>0</v>
      </c>
      <c r="M638" s="51" t="str">
        <f t="shared" si="38"/>
        <v>0,00€</v>
      </c>
      <c r="P638" s="72"/>
      <c r="R638" s="185" t="str">
        <f t="shared" si="39"/>
        <v/>
      </c>
      <c r="S638" s="186" t="str">
        <f t="shared" si="40"/>
        <v/>
      </c>
      <c r="T638" s="187" t="str">
        <f>IF(R638="","",IF(O638=0,Famille!$D$5,IF(R638&lt;O638,Famille!$D$2,IF(R638&lt;=P638,Famille!$D$3,Famille!$D$4))))</f>
        <v/>
      </c>
    </row>
    <row r="639" spans="1:20" ht="12" customHeight="1" x14ac:dyDescent="0.2">
      <c r="A639" s="4" t="str">
        <f>IF(Produits!A520="","",Produits!A520)</f>
        <v/>
      </c>
      <c r="B639" s="4" t="str">
        <f>IF(Produits!B520="","",Produits!B520)</f>
        <v/>
      </c>
      <c r="C639" s="4" t="str">
        <f>IF(Produits!C520="","",Produits!C520)</f>
        <v/>
      </c>
      <c r="D639" s="4" t="str">
        <f>IF(Produits!D520="","",Produits!D520)</f>
        <v/>
      </c>
      <c r="E639" s="49" t="str">
        <f>IF(Produits!F520="","",Produits!F520)</f>
        <v/>
      </c>
      <c r="F639" s="50" t="str">
        <f>IF(Produits!H520="","",Produits!H520)</f>
        <v/>
      </c>
      <c r="H639" s="37"/>
      <c r="I639" s="2"/>
      <c r="J639" s="69">
        <f>SUM('Archives Entrées'!$N639:$AAV639)</f>
        <v>0</v>
      </c>
      <c r="K639" s="51" t="str">
        <f t="shared" si="37"/>
        <v>0,00€</v>
      </c>
      <c r="L639" s="69">
        <f>SUM('Archives Sorties'!$M639:$AAY639)</f>
        <v>0</v>
      </c>
      <c r="M639" s="51" t="str">
        <f t="shared" si="38"/>
        <v>0,00€</v>
      </c>
      <c r="P639" s="72"/>
      <c r="R639" s="185" t="str">
        <f t="shared" si="39"/>
        <v/>
      </c>
      <c r="S639" s="186" t="str">
        <f t="shared" si="40"/>
        <v/>
      </c>
      <c r="T639" s="187" t="str">
        <f>IF(R639="","",IF(O639=0,Famille!$D$5,IF(R639&lt;O639,Famille!$D$2,IF(R639&lt;=P639,Famille!$D$3,Famille!$D$4))))</f>
        <v/>
      </c>
    </row>
    <row r="640" spans="1:20" ht="12" customHeight="1" x14ac:dyDescent="0.2">
      <c r="A640" s="4" t="str">
        <f>IF(Produits!A521="","",Produits!A521)</f>
        <v/>
      </c>
      <c r="B640" s="4" t="str">
        <f>IF(Produits!B521="","",Produits!B521)</f>
        <v/>
      </c>
      <c r="C640" s="4" t="str">
        <f>IF(Produits!C521="","",Produits!C521)</f>
        <v/>
      </c>
      <c r="D640" s="4" t="str">
        <f>IF(Produits!D521="","",Produits!D521)</f>
        <v/>
      </c>
      <c r="E640" s="49" t="str">
        <f>IF(Produits!F521="","",Produits!F521)</f>
        <v/>
      </c>
      <c r="F640" s="50" t="str">
        <f>IF(Produits!H521="","",Produits!H521)</f>
        <v/>
      </c>
      <c r="H640" s="37"/>
      <c r="I640" s="2"/>
      <c r="J640" s="69">
        <f>SUM('Archives Entrées'!$N640:$AAV640)</f>
        <v>0</v>
      </c>
      <c r="K640" s="51" t="str">
        <f t="shared" si="37"/>
        <v>0,00€</v>
      </c>
      <c r="L640" s="69">
        <f>SUM('Archives Sorties'!$M640:$AAY640)</f>
        <v>0</v>
      </c>
      <c r="M640" s="51" t="str">
        <f t="shared" si="38"/>
        <v>0,00€</v>
      </c>
      <c r="P640" s="72"/>
      <c r="R640" s="185" t="str">
        <f t="shared" si="39"/>
        <v/>
      </c>
      <c r="S640" s="186" t="str">
        <f t="shared" si="40"/>
        <v/>
      </c>
      <c r="T640" s="187" t="str">
        <f>IF(R640="","",IF(O640=0,Famille!$D$5,IF(R640&lt;O640,Famille!$D$2,IF(R640&lt;=P640,Famille!$D$3,Famille!$D$4))))</f>
        <v/>
      </c>
    </row>
    <row r="641" spans="1:20" ht="12" customHeight="1" x14ac:dyDescent="0.2">
      <c r="A641" s="4" t="str">
        <f>IF(Produits!A522="","",Produits!A522)</f>
        <v/>
      </c>
      <c r="B641" s="4" t="str">
        <f>IF(Produits!B522="","",Produits!B522)</f>
        <v/>
      </c>
      <c r="C641" s="4" t="str">
        <f>IF(Produits!C522="","",Produits!C522)</f>
        <v/>
      </c>
      <c r="D641" s="4" t="str">
        <f>IF(Produits!D522="","",Produits!D522)</f>
        <v/>
      </c>
      <c r="E641" s="49" t="str">
        <f>IF(Produits!F522="","",Produits!F522)</f>
        <v/>
      </c>
      <c r="F641" s="50" t="str">
        <f>IF(Produits!H522="","",Produits!H522)</f>
        <v/>
      </c>
      <c r="H641" s="37"/>
      <c r="I641" s="2"/>
      <c r="J641" s="69">
        <f>SUM('Archives Entrées'!$N641:$AAV641)</f>
        <v>0</v>
      </c>
      <c r="K641" s="51" t="str">
        <f t="shared" si="37"/>
        <v>0,00€</v>
      </c>
      <c r="L641" s="69">
        <f>SUM('Archives Sorties'!$M641:$AAY641)</f>
        <v>0</v>
      </c>
      <c r="M641" s="51" t="str">
        <f t="shared" si="38"/>
        <v>0,00€</v>
      </c>
      <c r="P641" s="72"/>
      <c r="R641" s="185" t="str">
        <f t="shared" si="39"/>
        <v/>
      </c>
      <c r="S641" s="186" t="str">
        <f t="shared" si="40"/>
        <v/>
      </c>
      <c r="T641" s="187" t="str">
        <f>IF(R641="","",IF(O641=0,Famille!$D$5,IF(R641&lt;O641,Famille!$D$2,IF(R641&lt;=P641,Famille!$D$3,Famille!$D$4))))</f>
        <v/>
      </c>
    </row>
    <row r="642" spans="1:20" ht="12" customHeight="1" x14ac:dyDescent="0.2">
      <c r="A642" s="4" t="str">
        <f>IF(Produits!A523="","",Produits!A523)</f>
        <v/>
      </c>
      <c r="B642" s="4" t="str">
        <f>IF(Produits!B523="","",Produits!B523)</f>
        <v/>
      </c>
      <c r="C642" s="4" t="str">
        <f>IF(Produits!C523="","",Produits!C523)</f>
        <v/>
      </c>
      <c r="D642" s="4" t="str">
        <f>IF(Produits!D523="","",Produits!D523)</f>
        <v/>
      </c>
      <c r="E642" s="49" t="str">
        <f>IF(Produits!F523="","",Produits!F523)</f>
        <v/>
      </c>
      <c r="F642" s="50" t="str">
        <f>IF(Produits!H523="","",Produits!H523)</f>
        <v/>
      </c>
      <c r="H642" s="37"/>
      <c r="I642" s="2"/>
      <c r="J642" s="69">
        <f>SUM('Archives Entrées'!$N642:$AAV642)</f>
        <v>0</v>
      </c>
      <c r="K642" s="51" t="str">
        <f t="shared" si="37"/>
        <v>0,00€</v>
      </c>
      <c r="L642" s="69">
        <f>SUM('Archives Sorties'!$M642:$AAY642)</f>
        <v>0</v>
      </c>
      <c r="M642" s="51" t="str">
        <f t="shared" si="38"/>
        <v>0,00€</v>
      </c>
      <c r="P642" s="72"/>
      <c r="R642" s="185" t="str">
        <f t="shared" si="39"/>
        <v/>
      </c>
      <c r="S642" s="186" t="str">
        <f t="shared" si="40"/>
        <v/>
      </c>
      <c r="T642" s="187" t="str">
        <f>IF(R642="","",IF(O642=0,Famille!$D$5,IF(R642&lt;O642,Famille!$D$2,IF(R642&lt;=P642,Famille!$D$3,Famille!$D$4))))</f>
        <v/>
      </c>
    </row>
    <row r="643" spans="1:20" ht="12" customHeight="1" x14ac:dyDescent="0.2">
      <c r="A643" s="4" t="str">
        <f>IF(Produits!A524="","",Produits!A524)</f>
        <v/>
      </c>
      <c r="B643" s="4" t="str">
        <f>IF(Produits!B524="","",Produits!B524)</f>
        <v/>
      </c>
      <c r="C643" s="4" t="str">
        <f>IF(Produits!C524="","",Produits!C524)</f>
        <v/>
      </c>
      <c r="D643" s="4" t="str">
        <f>IF(Produits!D524="","",Produits!D524)</f>
        <v/>
      </c>
      <c r="E643" s="49" t="str">
        <f>IF(Produits!F524="","",Produits!F524)</f>
        <v/>
      </c>
      <c r="F643" s="50" t="str">
        <f>IF(Produits!H524="","",Produits!H524)</f>
        <v/>
      </c>
      <c r="H643" s="37"/>
      <c r="I643" s="2"/>
      <c r="J643" s="69">
        <f>SUM('Archives Entrées'!$N643:$AAV643)</f>
        <v>0</v>
      </c>
      <c r="K643" s="51" t="str">
        <f t="shared" si="37"/>
        <v>0,00€</v>
      </c>
      <c r="L643" s="69">
        <f>SUM('Archives Sorties'!$M643:$AAY643)</f>
        <v>0</v>
      </c>
      <c r="M643" s="51" t="str">
        <f t="shared" si="38"/>
        <v>0,00€</v>
      </c>
      <c r="P643" s="72"/>
      <c r="R643" s="185" t="str">
        <f t="shared" si="39"/>
        <v/>
      </c>
      <c r="S643" s="186" t="str">
        <f t="shared" si="40"/>
        <v/>
      </c>
      <c r="T643" s="187" t="str">
        <f>IF(R643="","",IF(O643=0,Famille!$D$5,IF(R643&lt;O643,Famille!$D$2,IF(R643&lt;=P643,Famille!$D$3,Famille!$D$4))))</f>
        <v/>
      </c>
    </row>
    <row r="644" spans="1:20" ht="12" customHeight="1" x14ac:dyDescent="0.2">
      <c r="A644" s="4" t="str">
        <f>IF(Produits!A525="","",Produits!A525)</f>
        <v/>
      </c>
      <c r="B644" s="4" t="str">
        <f>IF(Produits!B525="","",Produits!B525)</f>
        <v/>
      </c>
      <c r="C644" s="4" t="str">
        <f>IF(Produits!C525="","",Produits!C525)</f>
        <v/>
      </c>
      <c r="D644" s="4" t="str">
        <f>IF(Produits!D525="","",Produits!D525)</f>
        <v/>
      </c>
      <c r="E644" s="49" t="str">
        <f>IF(Produits!F525="","",Produits!F525)</f>
        <v/>
      </c>
      <c r="F644" s="50" t="str">
        <f>IF(Produits!H525="","",Produits!H525)</f>
        <v/>
      </c>
      <c r="H644" s="37"/>
      <c r="I644" s="2"/>
      <c r="J644" s="69">
        <f>SUM('Archives Entrées'!$N644:$AAV644)</f>
        <v>0</v>
      </c>
      <c r="K644" s="51" t="str">
        <f t="shared" si="37"/>
        <v>0,00€</v>
      </c>
      <c r="L644" s="69">
        <f>SUM('Archives Sorties'!$M644:$AAY644)</f>
        <v>0</v>
      </c>
      <c r="M644" s="51" t="str">
        <f t="shared" si="38"/>
        <v>0,00€</v>
      </c>
      <c r="P644" s="72"/>
      <c r="R644" s="185" t="str">
        <f t="shared" si="39"/>
        <v/>
      </c>
      <c r="S644" s="186" t="str">
        <f t="shared" si="40"/>
        <v/>
      </c>
      <c r="T644" s="187" t="str">
        <f>IF(R644="","",IF(O644=0,Famille!$D$5,IF(R644&lt;O644,Famille!$D$2,IF(R644&lt;=P644,Famille!$D$3,Famille!$D$4))))</f>
        <v/>
      </c>
    </row>
    <row r="645" spans="1:20" ht="12" customHeight="1" x14ac:dyDescent="0.2">
      <c r="A645" s="4" t="str">
        <f>IF(Produits!A526="","",Produits!A526)</f>
        <v/>
      </c>
      <c r="B645" s="4" t="str">
        <f>IF(Produits!B526="","",Produits!B526)</f>
        <v/>
      </c>
      <c r="C645" s="4" t="str">
        <f>IF(Produits!C526="","",Produits!C526)</f>
        <v/>
      </c>
      <c r="D645" s="4" t="str">
        <f>IF(Produits!D526="","",Produits!D526)</f>
        <v/>
      </c>
      <c r="E645" s="49" t="str">
        <f>IF(Produits!F526="","",Produits!F526)</f>
        <v/>
      </c>
      <c r="F645" s="50" t="str">
        <f>IF(Produits!H526="","",Produits!H526)</f>
        <v/>
      </c>
      <c r="H645" s="37"/>
      <c r="I645" s="2"/>
      <c r="J645" s="69">
        <f>SUM('Archives Entrées'!$N645:$AAV645)</f>
        <v>0</v>
      </c>
      <c r="K645" s="51" t="str">
        <f t="shared" ref="K645:K708" si="41">IF(J645=0,"0,00€",J645*F645)</f>
        <v>0,00€</v>
      </c>
      <c r="L645" s="69">
        <f>SUM('Archives Sorties'!$M645:$AAY645)</f>
        <v>0</v>
      </c>
      <c r="M645" s="51" t="str">
        <f t="shared" ref="M645:M708" si="42">IF(L645=0,"0,00€",L645*F645)</f>
        <v>0,00€</v>
      </c>
      <c r="P645" s="72"/>
      <c r="R645" s="185" t="str">
        <f t="shared" ref="R645:R708" si="43">IF(A645="","",((J645+H645)-L645))</f>
        <v/>
      </c>
      <c r="S645" s="186" t="str">
        <f t="shared" ref="S645:S708" si="44">IF(R645="","",IF(R645=0,0,IF(R645&lt;O645,0,IF(R645&lt;=P645,1,2))))</f>
        <v/>
      </c>
      <c r="T645" s="187" t="str">
        <f>IF(R645="","",IF(O645=0,Famille!$D$5,IF(R645&lt;O645,Famille!$D$2,IF(R645&lt;=P645,Famille!$D$3,Famille!$D$4))))</f>
        <v/>
      </c>
    </row>
    <row r="646" spans="1:20" ht="12" customHeight="1" x14ac:dyDescent="0.2">
      <c r="A646" s="4" t="str">
        <f>IF(Produits!A527="","",Produits!A527)</f>
        <v/>
      </c>
      <c r="B646" s="4" t="str">
        <f>IF(Produits!B527="","",Produits!B527)</f>
        <v/>
      </c>
      <c r="C646" s="4" t="str">
        <f>IF(Produits!C527="","",Produits!C527)</f>
        <v/>
      </c>
      <c r="D646" s="4" t="str">
        <f>IF(Produits!D527="","",Produits!D527)</f>
        <v/>
      </c>
      <c r="E646" s="49" t="str">
        <f>IF(Produits!F527="","",Produits!F527)</f>
        <v/>
      </c>
      <c r="F646" s="50" t="str">
        <f>IF(Produits!H527="","",Produits!H527)</f>
        <v/>
      </c>
      <c r="H646" s="37"/>
      <c r="I646" s="2"/>
      <c r="J646" s="69">
        <f>SUM('Archives Entrées'!$N646:$AAV646)</f>
        <v>0</v>
      </c>
      <c r="K646" s="51" t="str">
        <f t="shared" si="41"/>
        <v>0,00€</v>
      </c>
      <c r="L646" s="69">
        <f>SUM('Archives Sorties'!$M646:$AAY646)</f>
        <v>0</v>
      </c>
      <c r="M646" s="51" t="str">
        <f t="shared" si="42"/>
        <v>0,00€</v>
      </c>
      <c r="P646" s="72"/>
      <c r="R646" s="185" t="str">
        <f t="shared" si="43"/>
        <v/>
      </c>
      <c r="S646" s="186" t="str">
        <f t="shared" si="44"/>
        <v/>
      </c>
      <c r="T646" s="187" t="str">
        <f>IF(R646="","",IF(O646=0,Famille!$D$5,IF(R646&lt;O646,Famille!$D$2,IF(R646&lt;=P646,Famille!$D$3,Famille!$D$4))))</f>
        <v/>
      </c>
    </row>
    <row r="647" spans="1:20" ht="12" customHeight="1" x14ac:dyDescent="0.2">
      <c r="A647" s="4" t="str">
        <f>IF(Produits!A528="","",Produits!A528)</f>
        <v/>
      </c>
      <c r="B647" s="4" t="str">
        <f>IF(Produits!B528="","",Produits!B528)</f>
        <v/>
      </c>
      <c r="C647" s="4" t="str">
        <f>IF(Produits!C528="","",Produits!C528)</f>
        <v/>
      </c>
      <c r="D647" s="4" t="str">
        <f>IF(Produits!D528="","",Produits!D528)</f>
        <v/>
      </c>
      <c r="E647" s="49" t="str">
        <f>IF(Produits!F528="","",Produits!F528)</f>
        <v/>
      </c>
      <c r="F647" s="50" t="str">
        <f>IF(Produits!H528="","",Produits!H528)</f>
        <v/>
      </c>
      <c r="H647" s="37"/>
      <c r="I647" s="2"/>
      <c r="J647" s="69">
        <f>SUM('Archives Entrées'!$N647:$AAV647)</f>
        <v>0</v>
      </c>
      <c r="K647" s="51" t="str">
        <f t="shared" si="41"/>
        <v>0,00€</v>
      </c>
      <c r="L647" s="69">
        <f>SUM('Archives Sorties'!$M647:$AAY647)</f>
        <v>0</v>
      </c>
      <c r="M647" s="51" t="str">
        <f t="shared" si="42"/>
        <v>0,00€</v>
      </c>
      <c r="P647" s="72"/>
      <c r="R647" s="185" t="str">
        <f t="shared" si="43"/>
        <v/>
      </c>
      <c r="S647" s="186" t="str">
        <f t="shared" si="44"/>
        <v/>
      </c>
      <c r="T647" s="187" t="str">
        <f>IF(R647="","",IF(O647=0,Famille!$D$5,IF(R647&lt;O647,Famille!$D$2,IF(R647&lt;=P647,Famille!$D$3,Famille!$D$4))))</f>
        <v/>
      </c>
    </row>
    <row r="648" spans="1:20" ht="12" customHeight="1" x14ac:dyDescent="0.2">
      <c r="A648" s="4" t="str">
        <f>IF(Produits!A529="","",Produits!A529)</f>
        <v/>
      </c>
      <c r="B648" s="4" t="str">
        <f>IF(Produits!B529="","",Produits!B529)</f>
        <v/>
      </c>
      <c r="C648" s="4" t="str">
        <f>IF(Produits!C529="","",Produits!C529)</f>
        <v/>
      </c>
      <c r="D648" s="4" t="str">
        <f>IF(Produits!D529="","",Produits!D529)</f>
        <v/>
      </c>
      <c r="E648" s="49" t="str">
        <f>IF(Produits!F529="","",Produits!F529)</f>
        <v/>
      </c>
      <c r="F648" s="50" t="str">
        <f>IF(Produits!H529="","",Produits!H529)</f>
        <v/>
      </c>
      <c r="H648" s="37"/>
      <c r="I648" s="2"/>
      <c r="J648" s="69">
        <f>SUM('Archives Entrées'!$N648:$AAV648)</f>
        <v>0</v>
      </c>
      <c r="K648" s="51" t="str">
        <f t="shared" si="41"/>
        <v>0,00€</v>
      </c>
      <c r="L648" s="69">
        <f>SUM('Archives Sorties'!$M648:$AAY648)</f>
        <v>0</v>
      </c>
      <c r="M648" s="51" t="str">
        <f t="shared" si="42"/>
        <v>0,00€</v>
      </c>
      <c r="P648" s="72"/>
      <c r="R648" s="185" t="str">
        <f t="shared" si="43"/>
        <v/>
      </c>
      <c r="S648" s="186" t="str">
        <f t="shared" si="44"/>
        <v/>
      </c>
      <c r="T648" s="187" t="str">
        <f>IF(R648="","",IF(O648=0,Famille!$D$5,IF(R648&lt;O648,Famille!$D$2,IF(R648&lt;=P648,Famille!$D$3,Famille!$D$4))))</f>
        <v/>
      </c>
    </row>
    <row r="649" spans="1:20" ht="12" customHeight="1" x14ac:dyDescent="0.2">
      <c r="A649" s="4" t="str">
        <f>IF(Produits!A530="","",Produits!A530)</f>
        <v/>
      </c>
      <c r="B649" s="4" t="str">
        <f>IF(Produits!B530="","",Produits!B530)</f>
        <v/>
      </c>
      <c r="C649" s="4" t="str">
        <f>IF(Produits!C530="","",Produits!C530)</f>
        <v/>
      </c>
      <c r="D649" s="4" t="str">
        <f>IF(Produits!D530="","",Produits!D530)</f>
        <v/>
      </c>
      <c r="E649" s="49" t="str">
        <f>IF(Produits!F530="","",Produits!F530)</f>
        <v/>
      </c>
      <c r="F649" s="50" t="str">
        <f>IF(Produits!H530="","",Produits!H530)</f>
        <v/>
      </c>
      <c r="H649" s="37"/>
      <c r="I649" s="2"/>
      <c r="J649" s="69">
        <f>SUM('Archives Entrées'!$N649:$AAV649)</f>
        <v>0</v>
      </c>
      <c r="K649" s="51" t="str">
        <f t="shared" si="41"/>
        <v>0,00€</v>
      </c>
      <c r="L649" s="69">
        <f>SUM('Archives Sorties'!$M649:$AAY649)</f>
        <v>0</v>
      </c>
      <c r="M649" s="51" t="str">
        <f t="shared" si="42"/>
        <v>0,00€</v>
      </c>
      <c r="P649" s="72"/>
      <c r="R649" s="185" t="str">
        <f t="shared" si="43"/>
        <v/>
      </c>
      <c r="S649" s="186" t="str">
        <f t="shared" si="44"/>
        <v/>
      </c>
      <c r="T649" s="187" t="str">
        <f>IF(R649="","",IF(O649=0,Famille!$D$5,IF(R649&lt;O649,Famille!$D$2,IF(R649&lt;=P649,Famille!$D$3,Famille!$D$4))))</f>
        <v/>
      </c>
    </row>
    <row r="650" spans="1:20" ht="12" customHeight="1" x14ac:dyDescent="0.2">
      <c r="A650" s="4" t="str">
        <f>IF(Produits!A531="","",Produits!A531)</f>
        <v/>
      </c>
      <c r="B650" s="4" t="str">
        <f>IF(Produits!B531="","",Produits!B531)</f>
        <v/>
      </c>
      <c r="C650" s="4" t="str">
        <f>IF(Produits!C531="","",Produits!C531)</f>
        <v/>
      </c>
      <c r="D650" s="4" t="str">
        <f>IF(Produits!D531="","",Produits!D531)</f>
        <v/>
      </c>
      <c r="E650" s="49" t="str">
        <f>IF(Produits!F531="","",Produits!F531)</f>
        <v/>
      </c>
      <c r="F650" s="50" t="str">
        <f>IF(Produits!H531="","",Produits!H531)</f>
        <v/>
      </c>
      <c r="H650" s="37"/>
      <c r="I650" s="2"/>
      <c r="J650" s="69">
        <f>SUM('Archives Entrées'!$N650:$AAV650)</f>
        <v>0</v>
      </c>
      <c r="K650" s="51" t="str">
        <f t="shared" si="41"/>
        <v>0,00€</v>
      </c>
      <c r="L650" s="69">
        <f>SUM('Archives Sorties'!$M650:$AAY650)</f>
        <v>0</v>
      </c>
      <c r="M650" s="51" t="str">
        <f t="shared" si="42"/>
        <v>0,00€</v>
      </c>
      <c r="P650" s="72"/>
      <c r="R650" s="185" t="str">
        <f t="shared" si="43"/>
        <v/>
      </c>
      <c r="S650" s="186" t="str">
        <f t="shared" si="44"/>
        <v/>
      </c>
      <c r="T650" s="187" t="str">
        <f>IF(R650="","",IF(O650=0,Famille!$D$5,IF(R650&lt;O650,Famille!$D$2,IF(R650&lt;=P650,Famille!$D$3,Famille!$D$4))))</f>
        <v/>
      </c>
    </row>
    <row r="651" spans="1:20" ht="12" customHeight="1" x14ac:dyDescent="0.2">
      <c r="A651" s="4" t="str">
        <f>IF(Produits!A532="","",Produits!A532)</f>
        <v/>
      </c>
      <c r="B651" s="4" t="str">
        <f>IF(Produits!B532="","",Produits!B532)</f>
        <v/>
      </c>
      <c r="C651" s="4" t="str">
        <f>IF(Produits!C532="","",Produits!C532)</f>
        <v/>
      </c>
      <c r="D651" s="4" t="str">
        <f>IF(Produits!D532="","",Produits!D532)</f>
        <v/>
      </c>
      <c r="E651" s="49" t="str">
        <f>IF(Produits!F532="","",Produits!F532)</f>
        <v/>
      </c>
      <c r="F651" s="50" t="str">
        <f>IF(Produits!H532="","",Produits!H532)</f>
        <v/>
      </c>
      <c r="H651" s="37"/>
      <c r="I651" s="2"/>
      <c r="J651" s="69">
        <f>SUM('Archives Entrées'!$N651:$AAV651)</f>
        <v>0</v>
      </c>
      <c r="K651" s="51" t="str">
        <f t="shared" si="41"/>
        <v>0,00€</v>
      </c>
      <c r="L651" s="69">
        <f>SUM('Archives Sorties'!$M651:$AAY651)</f>
        <v>0</v>
      </c>
      <c r="M651" s="51" t="str">
        <f t="shared" si="42"/>
        <v>0,00€</v>
      </c>
      <c r="P651" s="72"/>
      <c r="R651" s="185" t="str">
        <f t="shared" si="43"/>
        <v/>
      </c>
      <c r="S651" s="186" t="str">
        <f t="shared" si="44"/>
        <v/>
      </c>
      <c r="T651" s="187" t="str">
        <f>IF(R651="","",IF(O651=0,Famille!$D$5,IF(R651&lt;O651,Famille!$D$2,IF(R651&lt;=P651,Famille!$D$3,Famille!$D$4))))</f>
        <v/>
      </c>
    </row>
    <row r="652" spans="1:20" ht="12" customHeight="1" x14ac:dyDescent="0.2">
      <c r="A652" s="4" t="str">
        <f>IF(Produits!A533="","",Produits!A533)</f>
        <v/>
      </c>
      <c r="B652" s="4" t="str">
        <f>IF(Produits!B533="","",Produits!B533)</f>
        <v/>
      </c>
      <c r="C652" s="4" t="str">
        <f>IF(Produits!C533="","",Produits!C533)</f>
        <v/>
      </c>
      <c r="D652" s="4" t="str">
        <f>IF(Produits!D533="","",Produits!D533)</f>
        <v/>
      </c>
      <c r="E652" s="49" t="str">
        <f>IF(Produits!F533="","",Produits!F533)</f>
        <v/>
      </c>
      <c r="F652" s="50" t="str">
        <f>IF(Produits!H533="","",Produits!H533)</f>
        <v/>
      </c>
      <c r="H652" s="37"/>
      <c r="I652" s="2"/>
      <c r="J652" s="69">
        <f>SUM('Archives Entrées'!$N652:$AAV652)</f>
        <v>0</v>
      </c>
      <c r="K652" s="51" t="str">
        <f t="shared" si="41"/>
        <v>0,00€</v>
      </c>
      <c r="L652" s="69">
        <f>SUM('Archives Sorties'!$M652:$AAY652)</f>
        <v>0</v>
      </c>
      <c r="M652" s="51" t="str">
        <f t="shared" si="42"/>
        <v>0,00€</v>
      </c>
      <c r="P652" s="72"/>
      <c r="R652" s="185" t="str">
        <f t="shared" si="43"/>
        <v/>
      </c>
      <c r="S652" s="186" t="str">
        <f t="shared" si="44"/>
        <v/>
      </c>
      <c r="T652" s="187" t="str">
        <f>IF(R652="","",IF(O652=0,Famille!$D$5,IF(R652&lt;O652,Famille!$D$2,IF(R652&lt;=P652,Famille!$D$3,Famille!$D$4))))</f>
        <v/>
      </c>
    </row>
    <row r="653" spans="1:20" ht="12" customHeight="1" x14ac:dyDescent="0.2">
      <c r="A653" s="4" t="str">
        <f>IF(Produits!A534="","",Produits!A534)</f>
        <v/>
      </c>
      <c r="B653" s="4" t="str">
        <f>IF(Produits!B534="","",Produits!B534)</f>
        <v/>
      </c>
      <c r="C653" s="4" t="str">
        <f>IF(Produits!C534="","",Produits!C534)</f>
        <v/>
      </c>
      <c r="D653" s="4" t="str">
        <f>IF(Produits!D534="","",Produits!D534)</f>
        <v/>
      </c>
      <c r="E653" s="49" t="str">
        <f>IF(Produits!F534="","",Produits!F534)</f>
        <v/>
      </c>
      <c r="F653" s="50" t="str">
        <f>IF(Produits!H534="","",Produits!H534)</f>
        <v/>
      </c>
      <c r="H653" s="37"/>
      <c r="I653" s="2"/>
      <c r="J653" s="69">
        <f>SUM('Archives Entrées'!$N653:$AAV653)</f>
        <v>0</v>
      </c>
      <c r="K653" s="51" t="str">
        <f t="shared" si="41"/>
        <v>0,00€</v>
      </c>
      <c r="L653" s="69">
        <f>SUM('Archives Sorties'!$M653:$AAY653)</f>
        <v>0</v>
      </c>
      <c r="M653" s="51" t="str">
        <f t="shared" si="42"/>
        <v>0,00€</v>
      </c>
      <c r="P653" s="72"/>
      <c r="R653" s="185" t="str">
        <f t="shared" si="43"/>
        <v/>
      </c>
      <c r="S653" s="186" t="str">
        <f t="shared" si="44"/>
        <v/>
      </c>
      <c r="T653" s="187" t="str">
        <f>IF(R653="","",IF(O653=0,Famille!$D$5,IF(R653&lt;O653,Famille!$D$2,IF(R653&lt;=P653,Famille!$D$3,Famille!$D$4))))</f>
        <v/>
      </c>
    </row>
    <row r="654" spans="1:20" ht="12" customHeight="1" x14ac:dyDescent="0.2">
      <c r="A654" s="4" t="str">
        <f>IF(Produits!A535="","",Produits!A535)</f>
        <v/>
      </c>
      <c r="B654" s="4" t="str">
        <f>IF(Produits!B535="","",Produits!B535)</f>
        <v/>
      </c>
      <c r="C654" s="4" t="str">
        <f>IF(Produits!C535="","",Produits!C535)</f>
        <v/>
      </c>
      <c r="D654" s="4" t="str">
        <f>IF(Produits!D535="","",Produits!D535)</f>
        <v/>
      </c>
      <c r="E654" s="49" t="str">
        <f>IF(Produits!F535="","",Produits!F535)</f>
        <v/>
      </c>
      <c r="F654" s="50" t="str">
        <f>IF(Produits!H535="","",Produits!H535)</f>
        <v/>
      </c>
      <c r="H654" s="37"/>
      <c r="I654" s="2"/>
      <c r="J654" s="69">
        <f>SUM('Archives Entrées'!$N654:$AAV654)</f>
        <v>0</v>
      </c>
      <c r="K654" s="51" t="str">
        <f t="shared" si="41"/>
        <v>0,00€</v>
      </c>
      <c r="L654" s="69">
        <f>SUM('Archives Sorties'!$M654:$AAY654)</f>
        <v>0</v>
      </c>
      <c r="M654" s="51" t="str">
        <f t="shared" si="42"/>
        <v>0,00€</v>
      </c>
      <c r="P654" s="72"/>
      <c r="R654" s="185" t="str">
        <f t="shared" si="43"/>
        <v/>
      </c>
      <c r="S654" s="186" t="str">
        <f t="shared" si="44"/>
        <v/>
      </c>
      <c r="T654" s="187" t="str">
        <f>IF(R654="","",IF(O654=0,Famille!$D$5,IF(R654&lt;O654,Famille!$D$2,IF(R654&lt;=P654,Famille!$D$3,Famille!$D$4))))</f>
        <v/>
      </c>
    </row>
    <row r="655" spans="1:20" ht="12" customHeight="1" x14ac:dyDescent="0.2">
      <c r="A655" s="4" t="str">
        <f>IF(Produits!A536="","",Produits!A536)</f>
        <v/>
      </c>
      <c r="B655" s="4" t="str">
        <f>IF(Produits!B536="","",Produits!B536)</f>
        <v/>
      </c>
      <c r="C655" s="4" t="str">
        <f>IF(Produits!C536="","",Produits!C536)</f>
        <v/>
      </c>
      <c r="D655" s="4" t="str">
        <f>IF(Produits!D536="","",Produits!D536)</f>
        <v/>
      </c>
      <c r="E655" s="49" t="str">
        <f>IF(Produits!F536="","",Produits!F536)</f>
        <v/>
      </c>
      <c r="F655" s="50" t="str">
        <f>IF(Produits!H536="","",Produits!H536)</f>
        <v/>
      </c>
      <c r="H655" s="37"/>
      <c r="I655" s="2"/>
      <c r="J655" s="69">
        <f>SUM('Archives Entrées'!$N655:$AAV655)</f>
        <v>0</v>
      </c>
      <c r="K655" s="51" t="str">
        <f t="shared" si="41"/>
        <v>0,00€</v>
      </c>
      <c r="L655" s="69">
        <f>SUM('Archives Sorties'!$M655:$AAY655)</f>
        <v>0</v>
      </c>
      <c r="M655" s="51" t="str">
        <f t="shared" si="42"/>
        <v>0,00€</v>
      </c>
      <c r="P655" s="72"/>
      <c r="R655" s="185" t="str">
        <f t="shared" si="43"/>
        <v/>
      </c>
      <c r="S655" s="186" t="str">
        <f t="shared" si="44"/>
        <v/>
      </c>
      <c r="T655" s="187" t="str">
        <f>IF(R655="","",IF(O655=0,Famille!$D$5,IF(R655&lt;O655,Famille!$D$2,IF(R655&lt;=P655,Famille!$D$3,Famille!$D$4))))</f>
        <v/>
      </c>
    </row>
    <row r="656" spans="1:20" ht="12" customHeight="1" x14ac:dyDescent="0.2">
      <c r="A656" s="4" t="str">
        <f>IF(Produits!A537="","",Produits!A537)</f>
        <v/>
      </c>
      <c r="B656" s="4" t="str">
        <f>IF(Produits!B537="","",Produits!B537)</f>
        <v/>
      </c>
      <c r="C656" s="4" t="str">
        <f>IF(Produits!C537="","",Produits!C537)</f>
        <v/>
      </c>
      <c r="D656" s="4" t="str">
        <f>IF(Produits!D537="","",Produits!D537)</f>
        <v/>
      </c>
      <c r="E656" s="49" t="str">
        <f>IF(Produits!F537="","",Produits!F537)</f>
        <v/>
      </c>
      <c r="F656" s="50" t="str">
        <f>IF(Produits!H537="","",Produits!H537)</f>
        <v/>
      </c>
      <c r="H656" s="37"/>
      <c r="I656" s="2"/>
      <c r="J656" s="69">
        <f>SUM('Archives Entrées'!$N656:$AAV656)</f>
        <v>0</v>
      </c>
      <c r="K656" s="51" t="str">
        <f t="shared" si="41"/>
        <v>0,00€</v>
      </c>
      <c r="L656" s="69">
        <f>SUM('Archives Sorties'!$M656:$AAY656)</f>
        <v>0</v>
      </c>
      <c r="M656" s="51" t="str">
        <f t="shared" si="42"/>
        <v>0,00€</v>
      </c>
      <c r="P656" s="72"/>
      <c r="R656" s="185" t="str">
        <f t="shared" si="43"/>
        <v/>
      </c>
      <c r="S656" s="186" t="str">
        <f t="shared" si="44"/>
        <v/>
      </c>
      <c r="T656" s="187" t="str">
        <f>IF(R656="","",IF(O656=0,Famille!$D$5,IF(R656&lt;O656,Famille!$D$2,IF(R656&lt;=P656,Famille!$D$3,Famille!$D$4))))</f>
        <v/>
      </c>
    </row>
    <row r="657" spans="1:20" ht="12" customHeight="1" x14ac:dyDescent="0.2">
      <c r="A657" s="4" t="str">
        <f>IF(Produits!A538="","",Produits!A538)</f>
        <v/>
      </c>
      <c r="B657" s="4" t="str">
        <f>IF(Produits!B538="","",Produits!B538)</f>
        <v/>
      </c>
      <c r="C657" s="4" t="str">
        <f>IF(Produits!C538="","",Produits!C538)</f>
        <v/>
      </c>
      <c r="D657" s="4" t="str">
        <f>IF(Produits!D538="","",Produits!D538)</f>
        <v/>
      </c>
      <c r="E657" s="49" t="str">
        <f>IF(Produits!F538="","",Produits!F538)</f>
        <v/>
      </c>
      <c r="F657" s="50" t="str">
        <f>IF(Produits!H538="","",Produits!H538)</f>
        <v/>
      </c>
      <c r="H657" s="37"/>
      <c r="I657" s="2"/>
      <c r="J657" s="69">
        <f>SUM('Archives Entrées'!$N657:$AAV657)</f>
        <v>0</v>
      </c>
      <c r="K657" s="51" t="str">
        <f t="shared" si="41"/>
        <v>0,00€</v>
      </c>
      <c r="L657" s="69">
        <f>SUM('Archives Sorties'!$M657:$AAY657)</f>
        <v>0</v>
      </c>
      <c r="M657" s="51" t="str">
        <f t="shared" si="42"/>
        <v>0,00€</v>
      </c>
      <c r="P657" s="72"/>
      <c r="R657" s="185" t="str">
        <f t="shared" si="43"/>
        <v/>
      </c>
      <c r="S657" s="186" t="str">
        <f t="shared" si="44"/>
        <v/>
      </c>
      <c r="T657" s="187" t="str">
        <f>IF(R657="","",IF(O657=0,Famille!$D$5,IF(R657&lt;O657,Famille!$D$2,IF(R657&lt;=P657,Famille!$D$3,Famille!$D$4))))</f>
        <v/>
      </c>
    </row>
    <row r="658" spans="1:20" ht="12" customHeight="1" x14ac:dyDescent="0.2">
      <c r="A658" s="4" t="str">
        <f>IF(Produits!A539="","",Produits!A539)</f>
        <v/>
      </c>
      <c r="B658" s="4" t="str">
        <f>IF(Produits!B539="","",Produits!B539)</f>
        <v/>
      </c>
      <c r="C658" s="4" t="str">
        <f>IF(Produits!C539="","",Produits!C539)</f>
        <v/>
      </c>
      <c r="D658" s="4" t="str">
        <f>IF(Produits!D539="","",Produits!D539)</f>
        <v/>
      </c>
      <c r="E658" s="49" t="str">
        <f>IF(Produits!F539="","",Produits!F539)</f>
        <v/>
      </c>
      <c r="F658" s="50" t="str">
        <f>IF(Produits!H539="","",Produits!H539)</f>
        <v/>
      </c>
      <c r="H658" s="37"/>
      <c r="I658" s="2"/>
      <c r="J658" s="69">
        <f>SUM('Archives Entrées'!$N658:$AAV658)</f>
        <v>0</v>
      </c>
      <c r="K658" s="51" t="str">
        <f t="shared" si="41"/>
        <v>0,00€</v>
      </c>
      <c r="L658" s="69">
        <f>SUM('Archives Sorties'!$M658:$AAY658)</f>
        <v>0</v>
      </c>
      <c r="M658" s="51" t="str">
        <f t="shared" si="42"/>
        <v>0,00€</v>
      </c>
      <c r="P658" s="72"/>
      <c r="R658" s="185" t="str">
        <f t="shared" si="43"/>
        <v/>
      </c>
      <c r="S658" s="186" t="str">
        <f t="shared" si="44"/>
        <v/>
      </c>
      <c r="T658" s="187" t="str">
        <f>IF(R658="","",IF(O658=0,Famille!$D$5,IF(R658&lt;O658,Famille!$D$2,IF(R658&lt;=P658,Famille!$D$3,Famille!$D$4))))</f>
        <v/>
      </c>
    </row>
    <row r="659" spans="1:20" ht="12" customHeight="1" x14ac:dyDescent="0.2">
      <c r="A659" s="4" t="str">
        <f>IF(Produits!A540="","",Produits!A540)</f>
        <v/>
      </c>
      <c r="B659" s="4" t="str">
        <f>IF(Produits!B540="","",Produits!B540)</f>
        <v/>
      </c>
      <c r="C659" s="4" t="str">
        <f>IF(Produits!C540="","",Produits!C540)</f>
        <v/>
      </c>
      <c r="D659" s="4" t="str">
        <f>IF(Produits!D540="","",Produits!D540)</f>
        <v/>
      </c>
      <c r="E659" s="49" t="str">
        <f>IF(Produits!F540="","",Produits!F540)</f>
        <v/>
      </c>
      <c r="F659" s="50" t="str">
        <f>IF(Produits!H540="","",Produits!H540)</f>
        <v/>
      </c>
      <c r="H659" s="37"/>
      <c r="I659" s="2"/>
      <c r="J659" s="69">
        <f>SUM('Archives Entrées'!$N659:$AAV659)</f>
        <v>0</v>
      </c>
      <c r="K659" s="51" t="str">
        <f t="shared" si="41"/>
        <v>0,00€</v>
      </c>
      <c r="L659" s="69">
        <f>SUM('Archives Sorties'!$M659:$AAY659)</f>
        <v>0</v>
      </c>
      <c r="M659" s="51" t="str">
        <f t="shared" si="42"/>
        <v>0,00€</v>
      </c>
      <c r="P659" s="72"/>
      <c r="R659" s="185" t="str">
        <f t="shared" si="43"/>
        <v/>
      </c>
      <c r="S659" s="186" t="str">
        <f t="shared" si="44"/>
        <v/>
      </c>
      <c r="T659" s="187" t="str">
        <f>IF(R659="","",IF(O659=0,Famille!$D$5,IF(R659&lt;O659,Famille!$D$2,IF(R659&lt;=P659,Famille!$D$3,Famille!$D$4))))</f>
        <v/>
      </c>
    </row>
    <row r="660" spans="1:20" ht="12" customHeight="1" x14ac:dyDescent="0.2">
      <c r="A660" s="4" t="str">
        <f>IF(Produits!A541="","",Produits!A541)</f>
        <v/>
      </c>
      <c r="B660" s="4" t="str">
        <f>IF(Produits!B541="","",Produits!B541)</f>
        <v/>
      </c>
      <c r="C660" s="4" t="str">
        <f>IF(Produits!C541="","",Produits!C541)</f>
        <v/>
      </c>
      <c r="D660" s="4" t="str">
        <f>IF(Produits!D541="","",Produits!D541)</f>
        <v/>
      </c>
      <c r="E660" s="49" t="str">
        <f>IF(Produits!F541="","",Produits!F541)</f>
        <v/>
      </c>
      <c r="F660" s="50" t="str">
        <f>IF(Produits!H541="","",Produits!H541)</f>
        <v/>
      </c>
      <c r="H660" s="37"/>
      <c r="I660" s="2"/>
      <c r="J660" s="69">
        <f>SUM('Archives Entrées'!$N660:$AAV660)</f>
        <v>0</v>
      </c>
      <c r="K660" s="51" t="str">
        <f t="shared" si="41"/>
        <v>0,00€</v>
      </c>
      <c r="L660" s="69">
        <f>SUM('Archives Sorties'!$M660:$AAY660)</f>
        <v>0</v>
      </c>
      <c r="M660" s="51" t="str">
        <f t="shared" si="42"/>
        <v>0,00€</v>
      </c>
      <c r="P660" s="72"/>
      <c r="R660" s="185" t="str">
        <f t="shared" si="43"/>
        <v/>
      </c>
      <c r="S660" s="186" t="str">
        <f t="shared" si="44"/>
        <v/>
      </c>
      <c r="T660" s="187" t="str">
        <f>IF(R660="","",IF(O660=0,Famille!$D$5,IF(R660&lt;O660,Famille!$D$2,IF(R660&lt;=P660,Famille!$D$3,Famille!$D$4))))</f>
        <v/>
      </c>
    </row>
    <row r="661" spans="1:20" ht="12" customHeight="1" x14ac:dyDescent="0.2">
      <c r="A661" s="4" t="str">
        <f>IF(Produits!A542="","",Produits!A542)</f>
        <v/>
      </c>
      <c r="B661" s="4" t="str">
        <f>IF(Produits!B542="","",Produits!B542)</f>
        <v/>
      </c>
      <c r="C661" s="4" t="str">
        <f>IF(Produits!C542="","",Produits!C542)</f>
        <v/>
      </c>
      <c r="D661" s="4" t="str">
        <f>IF(Produits!D542="","",Produits!D542)</f>
        <v/>
      </c>
      <c r="E661" s="49" t="str">
        <f>IF(Produits!F542="","",Produits!F542)</f>
        <v/>
      </c>
      <c r="F661" s="50" t="str">
        <f>IF(Produits!H542="","",Produits!H542)</f>
        <v/>
      </c>
      <c r="H661" s="37"/>
      <c r="I661" s="2"/>
      <c r="J661" s="69">
        <f>SUM('Archives Entrées'!$N661:$AAV661)</f>
        <v>0</v>
      </c>
      <c r="K661" s="51" t="str">
        <f t="shared" si="41"/>
        <v>0,00€</v>
      </c>
      <c r="L661" s="69">
        <f>SUM('Archives Sorties'!$M661:$AAY661)</f>
        <v>0</v>
      </c>
      <c r="M661" s="51" t="str">
        <f t="shared" si="42"/>
        <v>0,00€</v>
      </c>
      <c r="P661" s="72"/>
      <c r="R661" s="185" t="str">
        <f t="shared" si="43"/>
        <v/>
      </c>
      <c r="S661" s="186" t="str">
        <f t="shared" si="44"/>
        <v/>
      </c>
      <c r="T661" s="187" t="str">
        <f>IF(R661="","",IF(O661=0,Famille!$D$5,IF(R661&lt;O661,Famille!$D$2,IF(R661&lt;=P661,Famille!$D$3,Famille!$D$4))))</f>
        <v/>
      </c>
    </row>
    <row r="662" spans="1:20" ht="12" customHeight="1" x14ac:dyDescent="0.2">
      <c r="A662" s="4" t="str">
        <f>IF(Produits!A543="","",Produits!A543)</f>
        <v/>
      </c>
      <c r="B662" s="4" t="str">
        <f>IF(Produits!B543="","",Produits!B543)</f>
        <v/>
      </c>
      <c r="C662" s="4" t="str">
        <f>IF(Produits!C543="","",Produits!C543)</f>
        <v/>
      </c>
      <c r="D662" s="4" t="str">
        <f>IF(Produits!D543="","",Produits!D543)</f>
        <v/>
      </c>
      <c r="E662" s="49" t="str">
        <f>IF(Produits!F543="","",Produits!F543)</f>
        <v/>
      </c>
      <c r="F662" s="50" t="str">
        <f>IF(Produits!H543="","",Produits!H543)</f>
        <v/>
      </c>
      <c r="H662" s="37"/>
      <c r="I662" s="2"/>
      <c r="J662" s="69">
        <f>SUM('Archives Entrées'!$N662:$AAV662)</f>
        <v>0</v>
      </c>
      <c r="K662" s="51" t="str">
        <f t="shared" si="41"/>
        <v>0,00€</v>
      </c>
      <c r="L662" s="69">
        <f>SUM('Archives Sorties'!$M662:$AAY662)</f>
        <v>0</v>
      </c>
      <c r="M662" s="51" t="str">
        <f t="shared" si="42"/>
        <v>0,00€</v>
      </c>
      <c r="P662" s="72"/>
      <c r="R662" s="185" t="str">
        <f t="shared" si="43"/>
        <v/>
      </c>
      <c r="S662" s="186" t="str">
        <f t="shared" si="44"/>
        <v/>
      </c>
      <c r="T662" s="187" t="str">
        <f>IF(R662="","",IF(O662=0,Famille!$D$5,IF(R662&lt;O662,Famille!$D$2,IF(R662&lt;=P662,Famille!$D$3,Famille!$D$4))))</f>
        <v/>
      </c>
    </row>
    <row r="663" spans="1:20" ht="12" customHeight="1" x14ac:dyDescent="0.2">
      <c r="A663" s="4" t="str">
        <f>IF(Produits!A544="","",Produits!A544)</f>
        <v/>
      </c>
      <c r="B663" s="4" t="str">
        <f>IF(Produits!B544="","",Produits!B544)</f>
        <v/>
      </c>
      <c r="C663" s="4" t="str">
        <f>IF(Produits!C544="","",Produits!C544)</f>
        <v/>
      </c>
      <c r="D663" s="4" t="str">
        <f>IF(Produits!D544="","",Produits!D544)</f>
        <v/>
      </c>
      <c r="E663" s="49" t="str">
        <f>IF(Produits!F544="","",Produits!F544)</f>
        <v/>
      </c>
      <c r="F663" s="50" t="str">
        <f>IF(Produits!H544="","",Produits!H544)</f>
        <v/>
      </c>
      <c r="H663" s="37"/>
      <c r="I663" s="2"/>
      <c r="J663" s="69">
        <f>SUM('Archives Entrées'!$N663:$AAV663)</f>
        <v>0</v>
      </c>
      <c r="K663" s="51" t="str">
        <f t="shared" si="41"/>
        <v>0,00€</v>
      </c>
      <c r="L663" s="69">
        <f>SUM('Archives Sorties'!$M663:$AAY663)</f>
        <v>0</v>
      </c>
      <c r="M663" s="51" t="str">
        <f t="shared" si="42"/>
        <v>0,00€</v>
      </c>
      <c r="P663" s="72"/>
      <c r="R663" s="185" t="str">
        <f t="shared" si="43"/>
        <v/>
      </c>
      <c r="S663" s="186" t="str">
        <f t="shared" si="44"/>
        <v/>
      </c>
      <c r="T663" s="187" t="str">
        <f>IF(R663="","",IF(O663=0,Famille!$D$5,IF(R663&lt;O663,Famille!$D$2,IF(R663&lt;=P663,Famille!$D$3,Famille!$D$4))))</f>
        <v/>
      </c>
    </row>
    <row r="664" spans="1:20" ht="12" customHeight="1" x14ac:dyDescent="0.2">
      <c r="A664" s="4" t="str">
        <f>IF(Produits!A545="","",Produits!A545)</f>
        <v/>
      </c>
      <c r="B664" s="4" t="str">
        <f>IF(Produits!B545="","",Produits!B545)</f>
        <v/>
      </c>
      <c r="C664" s="4" t="str">
        <f>IF(Produits!C545="","",Produits!C545)</f>
        <v/>
      </c>
      <c r="D664" s="4" t="str">
        <f>IF(Produits!D545="","",Produits!D545)</f>
        <v/>
      </c>
      <c r="E664" s="49" t="str">
        <f>IF(Produits!F545="","",Produits!F545)</f>
        <v/>
      </c>
      <c r="F664" s="50" t="str">
        <f>IF(Produits!H545="","",Produits!H545)</f>
        <v/>
      </c>
      <c r="H664" s="37"/>
      <c r="I664" s="2"/>
      <c r="J664" s="69">
        <f>SUM('Archives Entrées'!$N664:$AAV664)</f>
        <v>0</v>
      </c>
      <c r="K664" s="51" t="str">
        <f t="shared" si="41"/>
        <v>0,00€</v>
      </c>
      <c r="L664" s="69">
        <f>SUM('Archives Sorties'!$M664:$AAY664)</f>
        <v>0</v>
      </c>
      <c r="M664" s="51" t="str">
        <f t="shared" si="42"/>
        <v>0,00€</v>
      </c>
      <c r="P664" s="72"/>
      <c r="R664" s="185" t="str">
        <f t="shared" si="43"/>
        <v/>
      </c>
      <c r="S664" s="186" t="str">
        <f t="shared" si="44"/>
        <v/>
      </c>
      <c r="T664" s="187" t="str">
        <f>IF(R664="","",IF(O664=0,Famille!$D$5,IF(R664&lt;O664,Famille!$D$2,IF(R664&lt;=P664,Famille!$D$3,Famille!$D$4))))</f>
        <v/>
      </c>
    </row>
    <row r="665" spans="1:20" ht="12" customHeight="1" x14ac:dyDescent="0.2">
      <c r="A665" s="4" t="str">
        <f>IF(Produits!A546="","",Produits!A546)</f>
        <v/>
      </c>
      <c r="B665" s="4" t="str">
        <f>IF(Produits!B546="","",Produits!B546)</f>
        <v/>
      </c>
      <c r="C665" s="4" t="str">
        <f>IF(Produits!C546="","",Produits!C546)</f>
        <v/>
      </c>
      <c r="D665" s="4" t="str">
        <f>IF(Produits!D546="","",Produits!D546)</f>
        <v/>
      </c>
      <c r="E665" s="49" t="str">
        <f>IF(Produits!F546="","",Produits!F546)</f>
        <v/>
      </c>
      <c r="F665" s="50" t="str">
        <f>IF(Produits!H546="","",Produits!H546)</f>
        <v/>
      </c>
      <c r="H665" s="37"/>
      <c r="I665" s="2"/>
      <c r="J665" s="69">
        <f>SUM('Archives Entrées'!$N665:$AAV665)</f>
        <v>0</v>
      </c>
      <c r="K665" s="51" t="str">
        <f t="shared" si="41"/>
        <v>0,00€</v>
      </c>
      <c r="L665" s="69">
        <f>SUM('Archives Sorties'!$M665:$AAY665)</f>
        <v>0</v>
      </c>
      <c r="M665" s="51" t="str">
        <f t="shared" si="42"/>
        <v>0,00€</v>
      </c>
      <c r="P665" s="72"/>
      <c r="R665" s="185" t="str">
        <f t="shared" si="43"/>
        <v/>
      </c>
      <c r="S665" s="186" t="str">
        <f t="shared" si="44"/>
        <v/>
      </c>
      <c r="T665" s="187" t="str">
        <f>IF(R665="","",IF(O665=0,Famille!$D$5,IF(R665&lt;O665,Famille!$D$2,IF(R665&lt;=P665,Famille!$D$3,Famille!$D$4))))</f>
        <v/>
      </c>
    </row>
    <row r="666" spans="1:20" ht="12" customHeight="1" x14ac:dyDescent="0.2">
      <c r="A666" s="4" t="str">
        <f>IF(Produits!A547="","",Produits!A547)</f>
        <v/>
      </c>
      <c r="B666" s="4" t="str">
        <f>IF(Produits!B547="","",Produits!B547)</f>
        <v/>
      </c>
      <c r="C666" s="4" t="str">
        <f>IF(Produits!C547="","",Produits!C547)</f>
        <v/>
      </c>
      <c r="D666" s="4" t="str">
        <f>IF(Produits!D547="","",Produits!D547)</f>
        <v/>
      </c>
      <c r="E666" s="49" t="str">
        <f>IF(Produits!F547="","",Produits!F547)</f>
        <v/>
      </c>
      <c r="F666" s="50" t="str">
        <f>IF(Produits!H547="","",Produits!H547)</f>
        <v/>
      </c>
      <c r="H666" s="37"/>
      <c r="I666" s="2"/>
      <c r="J666" s="69">
        <f>SUM('Archives Entrées'!$N666:$AAV666)</f>
        <v>0</v>
      </c>
      <c r="K666" s="51" t="str">
        <f t="shared" si="41"/>
        <v>0,00€</v>
      </c>
      <c r="L666" s="69">
        <f>SUM('Archives Sorties'!$M666:$AAY666)</f>
        <v>0</v>
      </c>
      <c r="M666" s="51" t="str">
        <f t="shared" si="42"/>
        <v>0,00€</v>
      </c>
      <c r="P666" s="72"/>
      <c r="R666" s="185" t="str">
        <f t="shared" si="43"/>
        <v/>
      </c>
      <c r="S666" s="186" t="str">
        <f t="shared" si="44"/>
        <v/>
      </c>
      <c r="T666" s="187" t="str">
        <f>IF(R666="","",IF(O666=0,Famille!$D$5,IF(R666&lt;O666,Famille!$D$2,IF(R666&lt;=P666,Famille!$D$3,Famille!$D$4))))</f>
        <v/>
      </c>
    </row>
    <row r="667" spans="1:20" ht="12" customHeight="1" x14ac:dyDescent="0.2">
      <c r="A667" s="4" t="str">
        <f>IF(Produits!A548="","",Produits!A548)</f>
        <v/>
      </c>
      <c r="B667" s="4" t="str">
        <f>IF(Produits!B548="","",Produits!B548)</f>
        <v/>
      </c>
      <c r="C667" s="4" t="str">
        <f>IF(Produits!C548="","",Produits!C548)</f>
        <v/>
      </c>
      <c r="D667" s="4" t="str">
        <f>IF(Produits!D548="","",Produits!D548)</f>
        <v/>
      </c>
      <c r="E667" s="49" t="str">
        <f>IF(Produits!F548="","",Produits!F548)</f>
        <v/>
      </c>
      <c r="F667" s="50" t="str">
        <f>IF(Produits!H548="","",Produits!H548)</f>
        <v/>
      </c>
      <c r="H667" s="37"/>
      <c r="I667" s="2"/>
      <c r="J667" s="69">
        <f>SUM('Archives Entrées'!$N667:$AAV667)</f>
        <v>0</v>
      </c>
      <c r="K667" s="51" t="str">
        <f t="shared" si="41"/>
        <v>0,00€</v>
      </c>
      <c r="L667" s="69">
        <f>SUM('Archives Sorties'!$M667:$AAY667)</f>
        <v>0</v>
      </c>
      <c r="M667" s="51" t="str">
        <f t="shared" si="42"/>
        <v>0,00€</v>
      </c>
      <c r="P667" s="72"/>
      <c r="R667" s="185" t="str">
        <f t="shared" si="43"/>
        <v/>
      </c>
      <c r="S667" s="186" t="str">
        <f t="shared" si="44"/>
        <v/>
      </c>
      <c r="T667" s="187" t="str">
        <f>IF(R667="","",IF(O667=0,Famille!$D$5,IF(R667&lt;O667,Famille!$D$2,IF(R667&lt;=P667,Famille!$D$3,Famille!$D$4))))</f>
        <v/>
      </c>
    </row>
    <row r="668" spans="1:20" ht="12" customHeight="1" x14ac:dyDescent="0.2">
      <c r="A668" s="4" t="str">
        <f>IF(Produits!A549="","",Produits!A549)</f>
        <v/>
      </c>
      <c r="B668" s="4" t="str">
        <f>IF(Produits!B549="","",Produits!B549)</f>
        <v/>
      </c>
      <c r="C668" s="4" t="str">
        <f>IF(Produits!C549="","",Produits!C549)</f>
        <v/>
      </c>
      <c r="D668" s="4" t="str">
        <f>IF(Produits!D549="","",Produits!D549)</f>
        <v/>
      </c>
      <c r="E668" s="49" t="str">
        <f>IF(Produits!F549="","",Produits!F549)</f>
        <v/>
      </c>
      <c r="F668" s="50" t="str">
        <f>IF(Produits!H549="","",Produits!H549)</f>
        <v/>
      </c>
      <c r="H668" s="37"/>
      <c r="I668" s="2"/>
      <c r="J668" s="69">
        <f>SUM('Archives Entrées'!$N668:$AAV668)</f>
        <v>0</v>
      </c>
      <c r="K668" s="51" t="str">
        <f t="shared" si="41"/>
        <v>0,00€</v>
      </c>
      <c r="L668" s="69">
        <f>SUM('Archives Sorties'!$M668:$AAY668)</f>
        <v>0</v>
      </c>
      <c r="M668" s="51" t="str">
        <f t="shared" si="42"/>
        <v>0,00€</v>
      </c>
      <c r="P668" s="72"/>
      <c r="R668" s="185" t="str">
        <f t="shared" si="43"/>
        <v/>
      </c>
      <c r="S668" s="186" t="str">
        <f t="shared" si="44"/>
        <v/>
      </c>
      <c r="T668" s="187" t="str">
        <f>IF(R668="","",IF(O668=0,Famille!$D$5,IF(R668&lt;O668,Famille!$D$2,IF(R668&lt;=P668,Famille!$D$3,Famille!$D$4))))</f>
        <v/>
      </c>
    </row>
    <row r="669" spans="1:20" ht="12" customHeight="1" x14ac:dyDescent="0.2">
      <c r="A669" s="4" t="str">
        <f>IF(Produits!A550="","",Produits!A550)</f>
        <v/>
      </c>
      <c r="B669" s="4" t="str">
        <f>IF(Produits!B550="","",Produits!B550)</f>
        <v/>
      </c>
      <c r="C669" s="4" t="str">
        <f>IF(Produits!C550="","",Produits!C550)</f>
        <v/>
      </c>
      <c r="D669" s="4" t="str">
        <f>IF(Produits!D550="","",Produits!D550)</f>
        <v/>
      </c>
      <c r="E669" s="49" t="str">
        <f>IF(Produits!F550="","",Produits!F550)</f>
        <v/>
      </c>
      <c r="F669" s="50" t="str">
        <f>IF(Produits!H550="","",Produits!H550)</f>
        <v/>
      </c>
      <c r="H669" s="37"/>
      <c r="I669" s="2"/>
      <c r="J669" s="69">
        <f>SUM('Archives Entrées'!$N669:$AAV669)</f>
        <v>0</v>
      </c>
      <c r="K669" s="51" t="str">
        <f t="shared" si="41"/>
        <v>0,00€</v>
      </c>
      <c r="L669" s="69">
        <f>SUM('Archives Sorties'!$M669:$AAY669)</f>
        <v>0</v>
      </c>
      <c r="M669" s="51" t="str">
        <f t="shared" si="42"/>
        <v>0,00€</v>
      </c>
      <c r="P669" s="72"/>
      <c r="R669" s="185" t="str">
        <f t="shared" si="43"/>
        <v/>
      </c>
      <c r="S669" s="186" t="str">
        <f t="shared" si="44"/>
        <v/>
      </c>
      <c r="T669" s="187" t="str">
        <f>IF(R669="","",IF(O669=0,Famille!$D$5,IF(R669&lt;O669,Famille!$D$2,IF(R669&lt;=P669,Famille!$D$3,Famille!$D$4))))</f>
        <v/>
      </c>
    </row>
    <row r="670" spans="1:20" ht="12" customHeight="1" x14ac:dyDescent="0.2">
      <c r="A670" s="4" t="str">
        <f>IF(Produits!A551="","",Produits!A551)</f>
        <v/>
      </c>
      <c r="B670" s="4" t="str">
        <f>IF(Produits!B551="","",Produits!B551)</f>
        <v/>
      </c>
      <c r="C670" s="4" t="str">
        <f>IF(Produits!C551="","",Produits!C551)</f>
        <v/>
      </c>
      <c r="D670" s="4" t="str">
        <f>IF(Produits!D551="","",Produits!D551)</f>
        <v/>
      </c>
      <c r="E670" s="49" t="str">
        <f>IF(Produits!F551="","",Produits!F551)</f>
        <v/>
      </c>
      <c r="F670" s="50" t="str">
        <f>IF(Produits!H551="","",Produits!H551)</f>
        <v/>
      </c>
      <c r="H670" s="37"/>
      <c r="I670" s="2"/>
      <c r="J670" s="69">
        <f>SUM('Archives Entrées'!$N670:$AAV670)</f>
        <v>0</v>
      </c>
      <c r="K670" s="51" t="str">
        <f t="shared" si="41"/>
        <v>0,00€</v>
      </c>
      <c r="L670" s="69">
        <f>SUM('Archives Sorties'!$M670:$AAY670)</f>
        <v>0</v>
      </c>
      <c r="M670" s="51" t="str">
        <f t="shared" si="42"/>
        <v>0,00€</v>
      </c>
      <c r="P670" s="72"/>
      <c r="R670" s="185" t="str">
        <f t="shared" si="43"/>
        <v/>
      </c>
      <c r="S670" s="186" t="str">
        <f t="shared" si="44"/>
        <v/>
      </c>
      <c r="T670" s="187" t="str">
        <f>IF(R670="","",IF(O670=0,Famille!$D$5,IF(R670&lt;O670,Famille!$D$2,IF(R670&lt;=P670,Famille!$D$3,Famille!$D$4))))</f>
        <v/>
      </c>
    </row>
    <row r="671" spans="1:20" ht="12" customHeight="1" x14ac:dyDescent="0.2">
      <c r="A671" s="4" t="str">
        <f>IF(Produits!A552="","",Produits!A552)</f>
        <v/>
      </c>
      <c r="B671" s="4" t="str">
        <f>IF(Produits!B552="","",Produits!B552)</f>
        <v/>
      </c>
      <c r="C671" s="4" t="str">
        <f>IF(Produits!C552="","",Produits!C552)</f>
        <v/>
      </c>
      <c r="D671" s="4" t="str">
        <f>IF(Produits!D552="","",Produits!D552)</f>
        <v/>
      </c>
      <c r="E671" s="49" t="str">
        <f>IF(Produits!F552="","",Produits!F552)</f>
        <v/>
      </c>
      <c r="F671" s="50" t="str">
        <f>IF(Produits!H552="","",Produits!H552)</f>
        <v/>
      </c>
      <c r="H671" s="37"/>
      <c r="I671" s="2"/>
      <c r="J671" s="69">
        <f>SUM('Archives Entrées'!$N671:$AAV671)</f>
        <v>0</v>
      </c>
      <c r="K671" s="51" t="str">
        <f t="shared" si="41"/>
        <v>0,00€</v>
      </c>
      <c r="L671" s="69">
        <f>SUM('Archives Sorties'!$M671:$AAY671)</f>
        <v>0</v>
      </c>
      <c r="M671" s="51" t="str">
        <f t="shared" si="42"/>
        <v>0,00€</v>
      </c>
      <c r="P671" s="72"/>
      <c r="R671" s="185" t="str">
        <f t="shared" si="43"/>
        <v/>
      </c>
      <c r="S671" s="186" t="str">
        <f t="shared" si="44"/>
        <v/>
      </c>
      <c r="T671" s="187" t="str">
        <f>IF(R671="","",IF(O671=0,Famille!$D$5,IF(R671&lt;O671,Famille!$D$2,IF(R671&lt;=P671,Famille!$D$3,Famille!$D$4))))</f>
        <v/>
      </c>
    </row>
    <row r="672" spans="1:20" ht="12" customHeight="1" x14ac:dyDescent="0.2">
      <c r="A672" s="4" t="str">
        <f>IF(Produits!A553="","",Produits!A553)</f>
        <v/>
      </c>
      <c r="B672" s="4" t="str">
        <f>IF(Produits!B553="","",Produits!B553)</f>
        <v/>
      </c>
      <c r="C672" s="4" t="str">
        <f>IF(Produits!C553="","",Produits!C553)</f>
        <v/>
      </c>
      <c r="D672" s="4" t="str">
        <f>IF(Produits!D553="","",Produits!D553)</f>
        <v/>
      </c>
      <c r="E672" s="49" t="str">
        <f>IF(Produits!F553="","",Produits!F553)</f>
        <v/>
      </c>
      <c r="F672" s="50" t="str">
        <f>IF(Produits!H553="","",Produits!H553)</f>
        <v/>
      </c>
      <c r="H672" s="37"/>
      <c r="I672" s="2"/>
      <c r="J672" s="69">
        <f>SUM('Archives Entrées'!$N672:$AAV672)</f>
        <v>0</v>
      </c>
      <c r="K672" s="51" t="str">
        <f t="shared" si="41"/>
        <v>0,00€</v>
      </c>
      <c r="L672" s="69">
        <f>SUM('Archives Sorties'!$M672:$AAY672)</f>
        <v>0</v>
      </c>
      <c r="M672" s="51" t="str">
        <f t="shared" si="42"/>
        <v>0,00€</v>
      </c>
      <c r="P672" s="72"/>
      <c r="R672" s="185" t="str">
        <f t="shared" si="43"/>
        <v/>
      </c>
      <c r="S672" s="186" t="str">
        <f t="shared" si="44"/>
        <v/>
      </c>
      <c r="T672" s="187" t="str">
        <f>IF(R672="","",IF(O672=0,Famille!$D$5,IF(R672&lt;O672,Famille!$D$2,IF(R672&lt;=P672,Famille!$D$3,Famille!$D$4))))</f>
        <v/>
      </c>
    </row>
    <row r="673" spans="1:20" ht="12" customHeight="1" x14ac:dyDescent="0.2">
      <c r="A673" s="4" t="str">
        <f>IF(Produits!A554="","",Produits!A554)</f>
        <v/>
      </c>
      <c r="B673" s="4" t="str">
        <f>IF(Produits!B554="","",Produits!B554)</f>
        <v/>
      </c>
      <c r="C673" s="4" t="str">
        <f>IF(Produits!C554="","",Produits!C554)</f>
        <v/>
      </c>
      <c r="D673" s="4" t="str">
        <f>IF(Produits!D554="","",Produits!D554)</f>
        <v/>
      </c>
      <c r="E673" s="49" t="str">
        <f>IF(Produits!F554="","",Produits!F554)</f>
        <v/>
      </c>
      <c r="F673" s="50" t="str">
        <f>IF(Produits!H554="","",Produits!H554)</f>
        <v/>
      </c>
      <c r="H673" s="37"/>
      <c r="I673" s="2"/>
      <c r="J673" s="69">
        <f>SUM('Archives Entrées'!$N673:$AAV673)</f>
        <v>0</v>
      </c>
      <c r="K673" s="51" t="str">
        <f t="shared" si="41"/>
        <v>0,00€</v>
      </c>
      <c r="L673" s="69">
        <f>SUM('Archives Sorties'!$M673:$AAY673)</f>
        <v>0</v>
      </c>
      <c r="M673" s="51" t="str">
        <f t="shared" si="42"/>
        <v>0,00€</v>
      </c>
      <c r="P673" s="72"/>
      <c r="R673" s="185" t="str">
        <f t="shared" si="43"/>
        <v/>
      </c>
      <c r="S673" s="186" t="str">
        <f t="shared" si="44"/>
        <v/>
      </c>
      <c r="T673" s="187" t="str">
        <f>IF(R673="","",IF(O673=0,Famille!$D$5,IF(R673&lt;O673,Famille!$D$2,IF(R673&lt;=P673,Famille!$D$3,Famille!$D$4))))</f>
        <v/>
      </c>
    </row>
    <row r="674" spans="1:20" ht="12" customHeight="1" x14ac:dyDescent="0.2">
      <c r="A674" s="4" t="str">
        <f>IF(Produits!A555="","",Produits!A555)</f>
        <v/>
      </c>
      <c r="B674" s="4" t="str">
        <f>IF(Produits!B555="","",Produits!B555)</f>
        <v/>
      </c>
      <c r="C674" s="4" t="str">
        <f>IF(Produits!C555="","",Produits!C555)</f>
        <v/>
      </c>
      <c r="D674" s="4" t="str">
        <f>IF(Produits!D555="","",Produits!D555)</f>
        <v/>
      </c>
      <c r="E674" s="49" t="str">
        <f>IF(Produits!F555="","",Produits!F555)</f>
        <v/>
      </c>
      <c r="F674" s="50" t="str">
        <f>IF(Produits!H555="","",Produits!H555)</f>
        <v/>
      </c>
      <c r="H674" s="37"/>
      <c r="I674" s="2"/>
      <c r="J674" s="69">
        <f>SUM('Archives Entrées'!$N674:$AAV674)</f>
        <v>0</v>
      </c>
      <c r="K674" s="51" t="str">
        <f t="shared" si="41"/>
        <v>0,00€</v>
      </c>
      <c r="L674" s="69">
        <f>SUM('Archives Sorties'!$M674:$AAY674)</f>
        <v>0</v>
      </c>
      <c r="M674" s="51" t="str">
        <f t="shared" si="42"/>
        <v>0,00€</v>
      </c>
      <c r="P674" s="72"/>
      <c r="R674" s="185" t="str">
        <f t="shared" si="43"/>
        <v/>
      </c>
      <c r="S674" s="186" t="str">
        <f t="shared" si="44"/>
        <v/>
      </c>
      <c r="T674" s="187" t="str">
        <f>IF(R674="","",IF(O674=0,Famille!$D$5,IF(R674&lt;O674,Famille!$D$2,IF(R674&lt;=P674,Famille!$D$3,Famille!$D$4))))</f>
        <v/>
      </c>
    </row>
    <row r="675" spans="1:20" ht="12" customHeight="1" x14ac:dyDescent="0.2">
      <c r="A675" s="4" t="str">
        <f>IF(Produits!A556="","",Produits!A556)</f>
        <v/>
      </c>
      <c r="B675" s="4" t="str">
        <f>IF(Produits!B556="","",Produits!B556)</f>
        <v/>
      </c>
      <c r="C675" s="4" t="str">
        <f>IF(Produits!C556="","",Produits!C556)</f>
        <v/>
      </c>
      <c r="D675" s="4" t="str">
        <f>IF(Produits!D556="","",Produits!D556)</f>
        <v/>
      </c>
      <c r="E675" s="49" t="str">
        <f>IF(Produits!F556="","",Produits!F556)</f>
        <v/>
      </c>
      <c r="F675" s="50" t="str">
        <f>IF(Produits!H556="","",Produits!H556)</f>
        <v/>
      </c>
      <c r="H675" s="37"/>
      <c r="I675" s="2"/>
      <c r="J675" s="69">
        <f>SUM('Archives Entrées'!$N675:$AAV675)</f>
        <v>0</v>
      </c>
      <c r="K675" s="51" t="str">
        <f t="shared" si="41"/>
        <v>0,00€</v>
      </c>
      <c r="L675" s="69">
        <f>SUM('Archives Sorties'!$M675:$AAY675)</f>
        <v>0</v>
      </c>
      <c r="M675" s="51" t="str">
        <f t="shared" si="42"/>
        <v>0,00€</v>
      </c>
      <c r="P675" s="72"/>
      <c r="R675" s="185" t="str">
        <f t="shared" si="43"/>
        <v/>
      </c>
      <c r="S675" s="186" t="str">
        <f t="shared" si="44"/>
        <v/>
      </c>
      <c r="T675" s="187" t="str">
        <f>IF(R675="","",IF(O675=0,Famille!$D$5,IF(R675&lt;O675,Famille!$D$2,IF(R675&lt;=P675,Famille!$D$3,Famille!$D$4))))</f>
        <v/>
      </c>
    </row>
    <row r="676" spans="1:20" ht="12" customHeight="1" x14ac:dyDescent="0.2">
      <c r="A676" s="4" t="str">
        <f>IF(Produits!A557="","",Produits!A557)</f>
        <v/>
      </c>
      <c r="B676" s="4" t="str">
        <f>IF(Produits!B557="","",Produits!B557)</f>
        <v/>
      </c>
      <c r="C676" s="4" t="str">
        <f>IF(Produits!C557="","",Produits!C557)</f>
        <v/>
      </c>
      <c r="D676" s="4" t="str">
        <f>IF(Produits!D557="","",Produits!D557)</f>
        <v/>
      </c>
      <c r="E676" s="49" t="str">
        <f>IF(Produits!F557="","",Produits!F557)</f>
        <v/>
      </c>
      <c r="F676" s="50" t="str">
        <f>IF(Produits!H557="","",Produits!H557)</f>
        <v/>
      </c>
      <c r="H676" s="37"/>
      <c r="I676" s="2"/>
      <c r="J676" s="69">
        <f>SUM('Archives Entrées'!$N676:$AAV676)</f>
        <v>0</v>
      </c>
      <c r="K676" s="51" t="str">
        <f t="shared" si="41"/>
        <v>0,00€</v>
      </c>
      <c r="L676" s="69">
        <f>SUM('Archives Sorties'!$M676:$AAY676)</f>
        <v>0</v>
      </c>
      <c r="M676" s="51" t="str">
        <f t="shared" si="42"/>
        <v>0,00€</v>
      </c>
      <c r="P676" s="72"/>
      <c r="R676" s="185" t="str">
        <f t="shared" si="43"/>
        <v/>
      </c>
      <c r="S676" s="186" t="str">
        <f t="shared" si="44"/>
        <v/>
      </c>
      <c r="T676" s="187" t="str">
        <f>IF(R676="","",IF(O676=0,Famille!$D$5,IF(R676&lt;O676,Famille!$D$2,IF(R676&lt;=P676,Famille!$D$3,Famille!$D$4))))</f>
        <v/>
      </c>
    </row>
    <row r="677" spans="1:20" ht="12" customHeight="1" x14ac:dyDescent="0.2">
      <c r="A677" s="4" t="str">
        <f>IF(Produits!A558="","",Produits!A558)</f>
        <v/>
      </c>
      <c r="B677" s="4" t="str">
        <f>IF(Produits!B558="","",Produits!B558)</f>
        <v/>
      </c>
      <c r="C677" s="4" t="str">
        <f>IF(Produits!C558="","",Produits!C558)</f>
        <v/>
      </c>
      <c r="D677" s="4" t="str">
        <f>IF(Produits!D558="","",Produits!D558)</f>
        <v/>
      </c>
      <c r="E677" s="49" t="str">
        <f>IF(Produits!F558="","",Produits!F558)</f>
        <v/>
      </c>
      <c r="F677" s="50" t="str">
        <f>IF(Produits!H558="","",Produits!H558)</f>
        <v/>
      </c>
      <c r="H677" s="37"/>
      <c r="I677" s="2"/>
      <c r="J677" s="69">
        <f>SUM('Archives Entrées'!$N677:$AAV677)</f>
        <v>0</v>
      </c>
      <c r="K677" s="51" t="str">
        <f t="shared" si="41"/>
        <v>0,00€</v>
      </c>
      <c r="L677" s="69">
        <f>SUM('Archives Sorties'!$M677:$AAY677)</f>
        <v>0</v>
      </c>
      <c r="M677" s="51" t="str">
        <f t="shared" si="42"/>
        <v>0,00€</v>
      </c>
      <c r="P677" s="72"/>
      <c r="R677" s="185" t="str">
        <f t="shared" si="43"/>
        <v/>
      </c>
      <c r="S677" s="186" t="str">
        <f t="shared" si="44"/>
        <v/>
      </c>
      <c r="T677" s="187" t="str">
        <f>IF(R677="","",IF(O677=0,Famille!$D$5,IF(R677&lt;O677,Famille!$D$2,IF(R677&lt;=P677,Famille!$D$3,Famille!$D$4))))</f>
        <v/>
      </c>
    </row>
    <row r="678" spans="1:20" ht="12" customHeight="1" x14ac:dyDescent="0.2">
      <c r="A678" s="4" t="str">
        <f>IF(Produits!A559="","",Produits!A559)</f>
        <v/>
      </c>
      <c r="B678" s="4" t="str">
        <f>IF(Produits!B559="","",Produits!B559)</f>
        <v/>
      </c>
      <c r="C678" s="4" t="str">
        <f>IF(Produits!C559="","",Produits!C559)</f>
        <v/>
      </c>
      <c r="D678" s="4" t="str">
        <f>IF(Produits!D559="","",Produits!D559)</f>
        <v/>
      </c>
      <c r="E678" s="49" t="str">
        <f>IF(Produits!F559="","",Produits!F559)</f>
        <v/>
      </c>
      <c r="F678" s="50" t="str">
        <f>IF(Produits!H559="","",Produits!H559)</f>
        <v/>
      </c>
      <c r="H678" s="37"/>
      <c r="I678" s="2"/>
      <c r="J678" s="69">
        <f>SUM('Archives Entrées'!$N678:$AAV678)</f>
        <v>0</v>
      </c>
      <c r="K678" s="51" t="str">
        <f t="shared" si="41"/>
        <v>0,00€</v>
      </c>
      <c r="L678" s="69">
        <f>SUM('Archives Sorties'!$M678:$AAY678)</f>
        <v>0</v>
      </c>
      <c r="M678" s="51" t="str">
        <f t="shared" si="42"/>
        <v>0,00€</v>
      </c>
      <c r="P678" s="72"/>
      <c r="R678" s="185" t="str">
        <f t="shared" si="43"/>
        <v/>
      </c>
      <c r="S678" s="186" t="str">
        <f t="shared" si="44"/>
        <v/>
      </c>
      <c r="T678" s="187" t="str">
        <f>IF(R678="","",IF(O678=0,Famille!$D$5,IF(R678&lt;O678,Famille!$D$2,IF(R678&lt;=P678,Famille!$D$3,Famille!$D$4))))</f>
        <v/>
      </c>
    </row>
    <row r="679" spans="1:20" ht="12" customHeight="1" x14ac:dyDescent="0.2">
      <c r="A679" s="4" t="str">
        <f>IF(Produits!A560="","",Produits!A560)</f>
        <v/>
      </c>
      <c r="B679" s="4" t="str">
        <f>IF(Produits!B560="","",Produits!B560)</f>
        <v/>
      </c>
      <c r="C679" s="4" t="str">
        <f>IF(Produits!C560="","",Produits!C560)</f>
        <v/>
      </c>
      <c r="D679" s="4" t="str">
        <f>IF(Produits!D560="","",Produits!D560)</f>
        <v/>
      </c>
      <c r="E679" s="49" t="str">
        <f>IF(Produits!F560="","",Produits!F560)</f>
        <v/>
      </c>
      <c r="F679" s="50" t="str">
        <f>IF(Produits!H560="","",Produits!H560)</f>
        <v/>
      </c>
      <c r="H679" s="37"/>
      <c r="I679" s="2"/>
      <c r="J679" s="69">
        <f>SUM('Archives Entrées'!$N679:$AAV679)</f>
        <v>0</v>
      </c>
      <c r="K679" s="51" t="str">
        <f t="shared" si="41"/>
        <v>0,00€</v>
      </c>
      <c r="L679" s="69">
        <f>SUM('Archives Sorties'!$M679:$AAY679)</f>
        <v>0</v>
      </c>
      <c r="M679" s="51" t="str">
        <f t="shared" si="42"/>
        <v>0,00€</v>
      </c>
      <c r="P679" s="72"/>
      <c r="R679" s="185" t="str">
        <f t="shared" si="43"/>
        <v/>
      </c>
      <c r="S679" s="186" t="str">
        <f t="shared" si="44"/>
        <v/>
      </c>
      <c r="T679" s="187" t="str">
        <f>IF(R679="","",IF(O679=0,Famille!$D$5,IF(R679&lt;O679,Famille!$D$2,IF(R679&lt;=P679,Famille!$D$3,Famille!$D$4))))</f>
        <v/>
      </c>
    </row>
    <row r="680" spans="1:20" ht="12" customHeight="1" x14ac:dyDescent="0.2">
      <c r="A680" s="4" t="str">
        <f>IF(Produits!A561="","",Produits!A561)</f>
        <v/>
      </c>
      <c r="B680" s="4" t="str">
        <f>IF(Produits!B561="","",Produits!B561)</f>
        <v/>
      </c>
      <c r="C680" s="4" t="str">
        <f>IF(Produits!C561="","",Produits!C561)</f>
        <v/>
      </c>
      <c r="D680" s="4" t="str">
        <f>IF(Produits!D561="","",Produits!D561)</f>
        <v/>
      </c>
      <c r="E680" s="49" t="str">
        <f>IF(Produits!F561="","",Produits!F561)</f>
        <v/>
      </c>
      <c r="F680" s="50" t="str">
        <f>IF(Produits!H561="","",Produits!H561)</f>
        <v/>
      </c>
      <c r="H680" s="37"/>
      <c r="I680" s="2"/>
      <c r="J680" s="69">
        <f>SUM('Archives Entrées'!$N680:$AAV680)</f>
        <v>0</v>
      </c>
      <c r="K680" s="51" t="str">
        <f t="shared" si="41"/>
        <v>0,00€</v>
      </c>
      <c r="L680" s="69">
        <f>SUM('Archives Sorties'!$M680:$AAY680)</f>
        <v>0</v>
      </c>
      <c r="M680" s="51" t="str">
        <f t="shared" si="42"/>
        <v>0,00€</v>
      </c>
      <c r="P680" s="72"/>
      <c r="R680" s="185" t="str">
        <f t="shared" si="43"/>
        <v/>
      </c>
      <c r="S680" s="186" t="str">
        <f t="shared" si="44"/>
        <v/>
      </c>
      <c r="T680" s="187" t="str">
        <f>IF(R680="","",IF(O680=0,Famille!$D$5,IF(R680&lt;O680,Famille!$D$2,IF(R680&lt;=P680,Famille!$D$3,Famille!$D$4))))</f>
        <v/>
      </c>
    </row>
    <row r="681" spans="1:20" ht="12" customHeight="1" x14ac:dyDescent="0.2">
      <c r="A681" s="4" t="str">
        <f>IF(Produits!A562="","",Produits!A562)</f>
        <v/>
      </c>
      <c r="B681" s="4" t="str">
        <f>IF(Produits!B562="","",Produits!B562)</f>
        <v/>
      </c>
      <c r="C681" s="4" t="str">
        <f>IF(Produits!C562="","",Produits!C562)</f>
        <v/>
      </c>
      <c r="D681" s="4" t="str">
        <f>IF(Produits!D562="","",Produits!D562)</f>
        <v/>
      </c>
      <c r="E681" s="49" t="str">
        <f>IF(Produits!F562="","",Produits!F562)</f>
        <v/>
      </c>
      <c r="F681" s="50" t="str">
        <f>IF(Produits!H562="","",Produits!H562)</f>
        <v/>
      </c>
      <c r="H681" s="37"/>
      <c r="I681" s="2"/>
      <c r="J681" s="69">
        <f>SUM('Archives Entrées'!$N681:$AAV681)</f>
        <v>0</v>
      </c>
      <c r="K681" s="51" t="str">
        <f t="shared" si="41"/>
        <v>0,00€</v>
      </c>
      <c r="L681" s="69">
        <f>SUM('Archives Sorties'!$M681:$AAY681)</f>
        <v>0</v>
      </c>
      <c r="M681" s="51" t="str">
        <f t="shared" si="42"/>
        <v>0,00€</v>
      </c>
      <c r="P681" s="72"/>
      <c r="R681" s="185" t="str">
        <f t="shared" si="43"/>
        <v/>
      </c>
      <c r="S681" s="186" t="str">
        <f t="shared" si="44"/>
        <v/>
      </c>
      <c r="T681" s="187" t="str">
        <f>IF(R681="","",IF(O681=0,Famille!$D$5,IF(R681&lt;O681,Famille!$D$2,IF(R681&lt;=P681,Famille!$D$3,Famille!$D$4))))</f>
        <v/>
      </c>
    </row>
    <row r="682" spans="1:20" ht="12" customHeight="1" x14ac:dyDescent="0.2">
      <c r="A682" s="4" t="str">
        <f>IF(Produits!A563="","",Produits!A563)</f>
        <v/>
      </c>
      <c r="B682" s="4" t="str">
        <f>IF(Produits!B563="","",Produits!B563)</f>
        <v/>
      </c>
      <c r="C682" s="4" t="str">
        <f>IF(Produits!C563="","",Produits!C563)</f>
        <v/>
      </c>
      <c r="D682" s="4" t="str">
        <f>IF(Produits!D563="","",Produits!D563)</f>
        <v/>
      </c>
      <c r="E682" s="49" t="str">
        <f>IF(Produits!F563="","",Produits!F563)</f>
        <v/>
      </c>
      <c r="F682" s="50" t="str">
        <f>IF(Produits!H563="","",Produits!H563)</f>
        <v/>
      </c>
      <c r="H682" s="37"/>
      <c r="I682" s="2"/>
      <c r="J682" s="69">
        <f>SUM('Archives Entrées'!$N682:$AAV682)</f>
        <v>0</v>
      </c>
      <c r="K682" s="51" t="str">
        <f t="shared" si="41"/>
        <v>0,00€</v>
      </c>
      <c r="L682" s="69">
        <f>SUM('Archives Sorties'!$M682:$AAY682)</f>
        <v>0</v>
      </c>
      <c r="M682" s="51" t="str">
        <f t="shared" si="42"/>
        <v>0,00€</v>
      </c>
      <c r="P682" s="72"/>
      <c r="R682" s="185" t="str">
        <f t="shared" si="43"/>
        <v/>
      </c>
      <c r="S682" s="186" t="str">
        <f t="shared" si="44"/>
        <v/>
      </c>
      <c r="T682" s="187" t="str">
        <f>IF(R682="","",IF(O682=0,Famille!$D$5,IF(R682&lt;O682,Famille!$D$2,IF(R682&lt;=P682,Famille!$D$3,Famille!$D$4))))</f>
        <v/>
      </c>
    </row>
    <row r="683" spans="1:20" ht="12" customHeight="1" x14ac:dyDescent="0.2">
      <c r="A683" s="4" t="str">
        <f>IF(Produits!A564="","",Produits!A564)</f>
        <v/>
      </c>
      <c r="B683" s="4" t="str">
        <f>IF(Produits!B564="","",Produits!B564)</f>
        <v/>
      </c>
      <c r="C683" s="4" t="str">
        <f>IF(Produits!C564="","",Produits!C564)</f>
        <v/>
      </c>
      <c r="D683" s="4" t="str">
        <f>IF(Produits!D564="","",Produits!D564)</f>
        <v/>
      </c>
      <c r="E683" s="49" t="str">
        <f>IF(Produits!F564="","",Produits!F564)</f>
        <v/>
      </c>
      <c r="F683" s="50" t="str">
        <f>IF(Produits!H564="","",Produits!H564)</f>
        <v/>
      </c>
      <c r="H683" s="37"/>
      <c r="I683" s="2"/>
      <c r="J683" s="69">
        <f>SUM('Archives Entrées'!$N683:$AAV683)</f>
        <v>0</v>
      </c>
      <c r="K683" s="51" t="str">
        <f t="shared" si="41"/>
        <v>0,00€</v>
      </c>
      <c r="L683" s="69">
        <f>SUM('Archives Sorties'!$M683:$AAY683)</f>
        <v>0</v>
      </c>
      <c r="M683" s="51" t="str">
        <f t="shared" si="42"/>
        <v>0,00€</v>
      </c>
      <c r="P683" s="72"/>
      <c r="R683" s="185" t="str">
        <f t="shared" si="43"/>
        <v/>
      </c>
      <c r="S683" s="186" t="str">
        <f t="shared" si="44"/>
        <v/>
      </c>
      <c r="T683" s="187" t="str">
        <f>IF(R683="","",IF(O683=0,Famille!$D$5,IF(R683&lt;O683,Famille!$D$2,IF(R683&lt;=P683,Famille!$D$3,Famille!$D$4))))</f>
        <v/>
      </c>
    </row>
    <row r="684" spans="1:20" ht="12" customHeight="1" x14ac:dyDescent="0.2">
      <c r="A684" s="4" t="str">
        <f>IF(Produits!A565="","",Produits!A565)</f>
        <v/>
      </c>
      <c r="B684" s="4" t="str">
        <f>IF(Produits!B565="","",Produits!B565)</f>
        <v/>
      </c>
      <c r="C684" s="4" t="str">
        <f>IF(Produits!C565="","",Produits!C565)</f>
        <v/>
      </c>
      <c r="D684" s="4" t="str">
        <f>IF(Produits!D565="","",Produits!D565)</f>
        <v/>
      </c>
      <c r="E684" s="49" t="str">
        <f>IF(Produits!F565="","",Produits!F565)</f>
        <v/>
      </c>
      <c r="F684" s="50" t="str">
        <f>IF(Produits!H565="","",Produits!H565)</f>
        <v/>
      </c>
      <c r="H684" s="37"/>
      <c r="I684" s="2"/>
      <c r="J684" s="69">
        <f>SUM('Archives Entrées'!$N684:$AAV684)</f>
        <v>0</v>
      </c>
      <c r="K684" s="51" t="str">
        <f t="shared" si="41"/>
        <v>0,00€</v>
      </c>
      <c r="L684" s="69">
        <f>SUM('Archives Sorties'!$M684:$AAY684)</f>
        <v>0</v>
      </c>
      <c r="M684" s="51" t="str">
        <f t="shared" si="42"/>
        <v>0,00€</v>
      </c>
      <c r="P684" s="72"/>
      <c r="R684" s="185" t="str">
        <f t="shared" si="43"/>
        <v/>
      </c>
      <c r="S684" s="186" t="str">
        <f t="shared" si="44"/>
        <v/>
      </c>
      <c r="T684" s="187" t="str">
        <f>IF(R684="","",IF(O684=0,Famille!$D$5,IF(R684&lt;O684,Famille!$D$2,IF(R684&lt;=P684,Famille!$D$3,Famille!$D$4))))</f>
        <v/>
      </c>
    </row>
    <row r="685" spans="1:20" ht="12" customHeight="1" x14ac:dyDescent="0.2">
      <c r="A685" s="4" t="str">
        <f>IF(Produits!A566="","",Produits!A566)</f>
        <v/>
      </c>
      <c r="B685" s="4" t="str">
        <f>IF(Produits!B566="","",Produits!B566)</f>
        <v/>
      </c>
      <c r="C685" s="4" t="str">
        <f>IF(Produits!C566="","",Produits!C566)</f>
        <v/>
      </c>
      <c r="D685" s="4" t="str">
        <f>IF(Produits!D566="","",Produits!D566)</f>
        <v/>
      </c>
      <c r="E685" s="49" t="str">
        <f>IF(Produits!F566="","",Produits!F566)</f>
        <v/>
      </c>
      <c r="F685" s="50" t="str">
        <f>IF(Produits!H566="","",Produits!H566)</f>
        <v/>
      </c>
      <c r="H685" s="37"/>
      <c r="I685" s="2"/>
      <c r="J685" s="69">
        <f>SUM('Archives Entrées'!$N685:$AAV685)</f>
        <v>0</v>
      </c>
      <c r="K685" s="51" t="str">
        <f t="shared" si="41"/>
        <v>0,00€</v>
      </c>
      <c r="L685" s="69">
        <f>SUM('Archives Sorties'!$M685:$AAY685)</f>
        <v>0</v>
      </c>
      <c r="M685" s="51" t="str">
        <f t="shared" si="42"/>
        <v>0,00€</v>
      </c>
      <c r="P685" s="72"/>
      <c r="R685" s="185" t="str">
        <f t="shared" si="43"/>
        <v/>
      </c>
      <c r="S685" s="186" t="str">
        <f t="shared" si="44"/>
        <v/>
      </c>
      <c r="T685" s="187" t="str">
        <f>IF(R685="","",IF(O685=0,Famille!$D$5,IF(R685&lt;O685,Famille!$D$2,IF(R685&lt;=P685,Famille!$D$3,Famille!$D$4))))</f>
        <v/>
      </c>
    </row>
    <row r="686" spans="1:20" ht="12" customHeight="1" x14ac:dyDescent="0.2">
      <c r="A686" s="4" t="str">
        <f>IF(Produits!A567="","",Produits!A567)</f>
        <v/>
      </c>
      <c r="B686" s="4" t="str">
        <f>IF(Produits!B567="","",Produits!B567)</f>
        <v/>
      </c>
      <c r="C686" s="4" t="str">
        <f>IF(Produits!C567="","",Produits!C567)</f>
        <v/>
      </c>
      <c r="D686" s="4" t="str">
        <f>IF(Produits!D567="","",Produits!D567)</f>
        <v/>
      </c>
      <c r="E686" s="49" t="str">
        <f>IF(Produits!F567="","",Produits!F567)</f>
        <v/>
      </c>
      <c r="F686" s="50" t="str">
        <f>IF(Produits!H567="","",Produits!H567)</f>
        <v/>
      </c>
      <c r="H686" s="37"/>
      <c r="I686" s="2"/>
      <c r="J686" s="69">
        <f>SUM('Archives Entrées'!$N686:$AAV686)</f>
        <v>0</v>
      </c>
      <c r="K686" s="51" t="str">
        <f t="shared" si="41"/>
        <v>0,00€</v>
      </c>
      <c r="L686" s="69">
        <f>SUM('Archives Sorties'!$M686:$AAY686)</f>
        <v>0</v>
      </c>
      <c r="M686" s="51" t="str">
        <f t="shared" si="42"/>
        <v>0,00€</v>
      </c>
      <c r="P686" s="72"/>
      <c r="R686" s="185" t="str">
        <f t="shared" si="43"/>
        <v/>
      </c>
      <c r="S686" s="186" t="str">
        <f t="shared" si="44"/>
        <v/>
      </c>
      <c r="T686" s="187" t="str">
        <f>IF(R686="","",IF(O686=0,Famille!$D$5,IF(R686&lt;O686,Famille!$D$2,IF(R686&lt;=P686,Famille!$D$3,Famille!$D$4))))</f>
        <v/>
      </c>
    </row>
    <row r="687" spans="1:20" ht="12" customHeight="1" x14ac:dyDescent="0.2">
      <c r="A687" s="4" t="str">
        <f>IF(Produits!A568="","",Produits!A568)</f>
        <v/>
      </c>
      <c r="B687" s="4" t="str">
        <f>IF(Produits!B568="","",Produits!B568)</f>
        <v/>
      </c>
      <c r="C687" s="4" t="str">
        <f>IF(Produits!C568="","",Produits!C568)</f>
        <v/>
      </c>
      <c r="D687" s="4" t="str">
        <f>IF(Produits!D568="","",Produits!D568)</f>
        <v/>
      </c>
      <c r="E687" s="49" t="str">
        <f>IF(Produits!F568="","",Produits!F568)</f>
        <v/>
      </c>
      <c r="F687" s="50" t="str">
        <f>IF(Produits!H568="","",Produits!H568)</f>
        <v/>
      </c>
      <c r="H687" s="37"/>
      <c r="I687" s="2"/>
      <c r="J687" s="69">
        <f>SUM('Archives Entrées'!$N687:$AAV687)</f>
        <v>0</v>
      </c>
      <c r="K687" s="51" t="str">
        <f t="shared" si="41"/>
        <v>0,00€</v>
      </c>
      <c r="L687" s="69">
        <f>SUM('Archives Sorties'!$M687:$AAY687)</f>
        <v>0</v>
      </c>
      <c r="M687" s="51" t="str">
        <f t="shared" si="42"/>
        <v>0,00€</v>
      </c>
      <c r="P687" s="72"/>
      <c r="R687" s="185" t="str">
        <f t="shared" si="43"/>
        <v/>
      </c>
      <c r="S687" s="186" t="str">
        <f t="shared" si="44"/>
        <v/>
      </c>
      <c r="T687" s="187" t="str">
        <f>IF(R687="","",IF(O687=0,Famille!$D$5,IF(R687&lt;O687,Famille!$D$2,IF(R687&lt;=P687,Famille!$D$3,Famille!$D$4))))</f>
        <v/>
      </c>
    </row>
    <row r="688" spans="1:20" ht="12" customHeight="1" x14ac:dyDescent="0.2">
      <c r="A688" s="4" t="str">
        <f>IF(Produits!A569="","",Produits!A569)</f>
        <v/>
      </c>
      <c r="B688" s="4" t="str">
        <f>IF(Produits!B569="","",Produits!B569)</f>
        <v/>
      </c>
      <c r="C688" s="4" t="str">
        <f>IF(Produits!C569="","",Produits!C569)</f>
        <v/>
      </c>
      <c r="D688" s="4" t="str">
        <f>IF(Produits!D569="","",Produits!D569)</f>
        <v/>
      </c>
      <c r="E688" s="49" t="str">
        <f>IF(Produits!F569="","",Produits!F569)</f>
        <v/>
      </c>
      <c r="F688" s="50" t="str">
        <f>IF(Produits!H569="","",Produits!H569)</f>
        <v/>
      </c>
      <c r="H688" s="37"/>
      <c r="I688" s="2"/>
      <c r="J688" s="69">
        <f>SUM('Archives Entrées'!$N688:$AAV688)</f>
        <v>0</v>
      </c>
      <c r="K688" s="51" t="str">
        <f t="shared" si="41"/>
        <v>0,00€</v>
      </c>
      <c r="L688" s="69">
        <f>SUM('Archives Sorties'!$M688:$AAY688)</f>
        <v>0</v>
      </c>
      <c r="M688" s="51" t="str">
        <f t="shared" si="42"/>
        <v>0,00€</v>
      </c>
      <c r="P688" s="72"/>
      <c r="R688" s="185" t="str">
        <f t="shared" si="43"/>
        <v/>
      </c>
      <c r="S688" s="186" t="str">
        <f t="shared" si="44"/>
        <v/>
      </c>
      <c r="T688" s="187" t="str">
        <f>IF(R688="","",IF(O688=0,Famille!$D$5,IF(R688&lt;O688,Famille!$D$2,IF(R688&lt;=P688,Famille!$D$3,Famille!$D$4))))</f>
        <v/>
      </c>
    </row>
    <row r="689" spans="1:20" ht="12" customHeight="1" x14ac:dyDescent="0.2">
      <c r="A689" s="4" t="str">
        <f>IF(Produits!A570="","",Produits!A570)</f>
        <v/>
      </c>
      <c r="B689" s="4" t="str">
        <f>IF(Produits!B570="","",Produits!B570)</f>
        <v/>
      </c>
      <c r="C689" s="4" t="str">
        <f>IF(Produits!C570="","",Produits!C570)</f>
        <v/>
      </c>
      <c r="D689" s="4" t="str">
        <f>IF(Produits!D570="","",Produits!D570)</f>
        <v/>
      </c>
      <c r="E689" s="49" t="str">
        <f>IF(Produits!F570="","",Produits!F570)</f>
        <v/>
      </c>
      <c r="F689" s="50" t="str">
        <f>IF(Produits!H570="","",Produits!H570)</f>
        <v/>
      </c>
      <c r="H689" s="37"/>
      <c r="I689" s="2"/>
      <c r="J689" s="69">
        <f>SUM('Archives Entrées'!$N689:$AAV689)</f>
        <v>0</v>
      </c>
      <c r="K689" s="51" t="str">
        <f t="shared" si="41"/>
        <v>0,00€</v>
      </c>
      <c r="L689" s="69">
        <f>SUM('Archives Sorties'!$M689:$AAY689)</f>
        <v>0</v>
      </c>
      <c r="M689" s="51" t="str">
        <f t="shared" si="42"/>
        <v>0,00€</v>
      </c>
      <c r="P689" s="72"/>
      <c r="R689" s="185" t="str">
        <f t="shared" si="43"/>
        <v/>
      </c>
      <c r="S689" s="186" t="str">
        <f t="shared" si="44"/>
        <v/>
      </c>
      <c r="T689" s="187" t="str">
        <f>IF(R689="","",IF(O689=0,Famille!$D$5,IF(R689&lt;O689,Famille!$D$2,IF(R689&lt;=P689,Famille!$D$3,Famille!$D$4))))</f>
        <v/>
      </c>
    </row>
    <row r="690" spans="1:20" ht="12" customHeight="1" x14ac:dyDescent="0.2">
      <c r="A690" s="4" t="str">
        <f>IF(Produits!A571="","",Produits!A571)</f>
        <v/>
      </c>
      <c r="B690" s="4" t="str">
        <f>IF(Produits!B571="","",Produits!B571)</f>
        <v/>
      </c>
      <c r="C690" s="4" t="str">
        <f>IF(Produits!C571="","",Produits!C571)</f>
        <v/>
      </c>
      <c r="D690" s="4" t="str">
        <f>IF(Produits!D571="","",Produits!D571)</f>
        <v/>
      </c>
      <c r="E690" s="49" t="str">
        <f>IF(Produits!F571="","",Produits!F571)</f>
        <v/>
      </c>
      <c r="F690" s="50" t="str">
        <f>IF(Produits!H571="","",Produits!H571)</f>
        <v/>
      </c>
      <c r="H690" s="37"/>
      <c r="I690" s="2"/>
      <c r="J690" s="69">
        <f>SUM('Archives Entrées'!$N690:$AAV690)</f>
        <v>0</v>
      </c>
      <c r="K690" s="51" t="str">
        <f t="shared" si="41"/>
        <v>0,00€</v>
      </c>
      <c r="L690" s="69">
        <f>SUM('Archives Sorties'!$M690:$AAY690)</f>
        <v>0</v>
      </c>
      <c r="M690" s="51" t="str">
        <f t="shared" si="42"/>
        <v>0,00€</v>
      </c>
      <c r="P690" s="72"/>
      <c r="R690" s="185" t="str">
        <f t="shared" si="43"/>
        <v/>
      </c>
      <c r="S690" s="186" t="str">
        <f t="shared" si="44"/>
        <v/>
      </c>
      <c r="T690" s="187" t="str">
        <f>IF(R690="","",IF(O690=0,Famille!$D$5,IF(R690&lt;O690,Famille!$D$2,IF(R690&lt;=P690,Famille!$D$3,Famille!$D$4))))</f>
        <v/>
      </c>
    </row>
    <row r="691" spans="1:20" ht="12" customHeight="1" x14ac:dyDescent="0.2">
      <c r="A691" s="4" t="str">
        <f>IF(Produits!A572="","",Produits!A572)</f>
        <v/>
      </c>
      <c r="B691" s="4" t="str">
        <f>IF(Produits!B572="","",Produits!B572)</f>
        <v/>
      </c>
      <c r="C691" s="4" t="str">
        <f>IF(Produits!C572="","",Produits!C572)</f>
        <v/>
      </c>
      <c r="D691" s="4" t="str">
        <f>IF(Produits!D572="","",Produits!D572)</f>
        <v/>
      </c>
      <c r="E691" s="49" t="str">
        <f>IF(Produits!F572="","",Produits!F572)</f>
        <v/>
      </c>
      <c r="F691" s="50" t="str">
        <f>IF(Produits!H572="","",Produits!H572)</f>
        <v/>
      </c>
      <c r="H691" s="37"/>
      <c r="I691" s="2"/>
      <c r="J691" s="69">
        <f>SUM('Archives Entrées'!$N691:$AAV691)</f>
        <v>0</v>
      </c>
      <c r="K691" s="51" t="str">
        <f t="shared" si="41"/>
        <v>0,00€</v>
      </c>
      <c r="L691" s="69">
        <f>SUM('Archives Sorties'!$M691:$AAY691)</f>
        <v>0</v>
      </c>
      <c r="M691" s="51" t="str">
        <f t="shared" si="42"/>
        <v>0,00€</v>
      </c>
      <c r="P691" s="72"/>
      <c r="R691" s="185" t="str">
        <f t="shared" si="43"/>
        <v/>
      </c>
      <c r="S691" s="186" t="str">
        <f t="shared" si="44"/>
        <v/>
      </c>
      <c r="T691" s="187" t="str">
        <f>IF(R691="","",IF(O691=0,Famille!$D$5,IF(R691&lt;O691,Famille!$D$2,IF(R691&lt;=P691,Famille!$D$3,Famille!$D$4))))</f>
        <v/>
      </c>
    </row>
    <row r="692" spans="1:20" ht="12" customHeight="1" x14ac:dyDescent="0.2">
      <c r="A692" s="4" t="str">
        <f>IF(Produits!A573="","",Produits!A573)</f>
        <v/>
      </c>
      <c r="B692" s="4" t="str">
        <f>IF(Produits!B573="","",Produits!B573)</f>
        <v/>
      </c>
      <c r="C692" s="4" t="str">
        <f>IF(Produits!C573="","",Produits!C573)</f>
        <v/>
      </c>
      <c r="D692" s="4" t="str">
        <f>IF(Produits!D573="","",Produits!D573)</f>
        <v/>
      </c>
      <c r="E692" s="49" t="str">
        <f>IF(Produits!F573="","",Produits!F573)</f>
        <v/>
      </c>
      <c r="F692" s="50" t="str">
        <f>IF(Produits!H573="","",Produits!H573)</f>
        <v/>
      </c>
      <c r="H692" s="37"/>
      <c r="I692" s="2"/>
      <c r="J692" s="69">
        <f>SUM('Archives Entrées'!$N692:$AAV692)</f>
        <v>0</v>
      </c>
      <c r="K692" s="51" t="str">
        <f t="shared" si="41"/>
        <v>0,00€</v>
      </c>
      <c r="L692" s="69">
        <f>SUM('Archives Sorties'!$M692:$AAY692)</f>
        <v>0</v>
      </c>
      <c r="M692" s="51" t="str">
        <f t="shared" si="42"/>
        <v>0,00€</v>
      </c>
      <c r="P692" s="72"/>
      <c r="R692" s="185" t="str">
        <f t="shared" si="43"/>
        <v/>
      </c>
      <c r="S692" s="186" t="str">
        <f t="shared" si="44"/>
        <v/>
      </c>
      <c r="T692" s="187" t="str">
        <f>IF(R692="","",IF(O692=0,Famille!$D$5,IF(R692&lt;O692,Famille!$D$2,IF(R692&lt;=P692,Famille!$D$3,Famille!$D$4))))</f>
        <v/>
      </c>
    </row>
    <row r="693" spans="1:20" ht="12" customHeight="1" x14ac:dyDescent="0.2">
      <c r="A693" s="4" t="str">
        <f>IF(Produits!A574="","",Produits!A574)</f>
        <v/>
      </c>
      <c r="B693" s="4" t="str">
        <f>IF(Produits!B574="","",Produits!B574)</f>
        <v/>
      </c>
      <c r="C693" s="4" t="str">
        <f>IF(Produits!C574="","",Produits!C574)</f>
        <v/>
      </c>
      <c r="D693" s="4" t="str">
        <f>IF(Produits!D574="","",Produits!D574)</f>
        <v/>
      </c>
      <c r="E693" s="49" t="str">
        <f>IF(Produits!F574="","",Produits!F574)</f>
        <v/>
      </c>
      <c r="F693" s="50" t="str">
        <f>IF(Produits!H574="","",Produits!H574)</f>
        <v/>
      </c>
      <c r="H693" s="37"/>
      <c r="I693" s="2"/>
      <c r="J693" s="69">
        <f>SUM('Archives Entrées'!$N693:$AAV693)</f>
        <v>0</v>
      </c>
      <c r="K693" s="51" t="str">
        <f t="shared" si="41"/>
        <v>0,00€</v>
      </c>
      <c r="L693" s="69">
        <f>SUM('Archives Sorties'!$M693:$AAY693)</f>
        <v>0</v>
      </c>
      <c r="M693" s="51" t="str">
        <f t="shared" si="42"/>
        <v>0,00€</v>
      </c>
      <c r="P693" s="72"/>
      <c r="R693" s="185" t="str">
        <f t="shared" si="43"/>
        <v/>
      </c>
      <c r="S693" s="186" t="str">
        <f t="shared" si="44"/>
        <v/>
      </c>
      <c r="T693" s="187" t="str">
        <f>IF(R693="","",IF(O693=0,Famille!$D$5,IF(R693&lt;O693,Famille!$D$2,IF(R693&lt;=P693,Famille!$D$3,Famille!$D$4))))</f>
        <v/>
      </c>
    </row>
    <row r="694" spans="1:20" ht="12" customHeight="1" x14ac:dyDescent="0.2">
      <c r="A694" s="4" t="str">
        <f>IF(Produits!A575="","",Produits!A575)</f>
        <v/>
      </c>
      <c r="B694" s="4" t="str">
        <f>IF(Produits!B575="","",Produits!B575)</f>
        <v/>
      </c>
      <c r="C694" s="4" t="str">
        <f>IF(Produits!C575="","",Produits!C575)</f>
        <v/>
      </c>
      <c r="D694" s="4" t="str">
        <f>IF(Produits!D575="","",Produits!D575)</f>
        <v/>
      </c>
      <c r="E694" s="49" t="str">
        <f>IF(Produits!F575="","",Produits!F575)</f>
        <v/>
      </c>
      <c r="F694" s="50" t="str">
        <f>IF(Produits!H575="","",Produits!H575)</f>
        <v/>
      </c>
      <c r="H694" s="37"/>
      <c r="I694" s="2"/>
      <c r="J694" s="69">
        <f>SUM('Archives Entrées'!$N694:$AAV694)</f>
        <v>0</v>
      </c>
      <c r="K694" s="51" t="str">
        <f t="shared" si="41"/>
        <v>0,00€</v>
      </c>
      <c r="L694" s="69">
        <f>SUM('Archives Sorties'!$M694:$AAY694)</f>
        <v>0</v>
      </c>
      <c r="M694" s="51" t="str">
        <f t="shared" si="42"/>
        <v>0,00€</v>
      </c>
      <c r="P694" s="72"/>
      <c r="R694" s="185" t="str">
        <f t="shared" si="43"/>
        <v/>
      </c>
      <c r="S694" s="186" t="str">
        <f t="shared" si="44"/>
        <v/>
      </c>
      <c r="T694" s="187" t="str">
        <f>IF(R694="","",IF(O694=0,Famille!$D$5,IF(R694&lt;O694,Famille!$D$2,IF(R694&lt;=P694,Famille!$D$3,Famille!$D$4))))</f>
        <v/>
      </c>
    </row>
    <row r="695" spans="1:20" ht="12" customHeight="1" x14ac:dyDescent="0.2">
      <c r="A695" s="4" t="str">
        <f>IF(Produits!A576="","",Produits!A576)</f>
        <v/>
      </c>
      <c r="B695" s="4" t="str">
        <f>IF(Produits!B576="","",Produits!B576)</f>
        <v/>
      </c>
      <c r="C695" s="4" t="str">
        <f>IF(Produits!C576="","",Produits!C576)</f>
        <v/>
      </c>
      <c r="D695" s="4" t="str">
        <f>IF(Produits!D576="","",Produits!D576)</f>
        <v/>
      </c>
      <c r="E695" s="49" t="str">
        <f>IF(Produits!F576="","",Produits!F576)</f>
        <v/>
      </c>
      <c r="F695" s="50" t="str">
        <f>IF(Produits!H576="","",Produits!H576)</f>
        <v/>
      </c>
      <c r="H695" s="37"/>
      <c r="I695" s="2"/>
      <c r="J695" s="69">
        <f>SUM('Archives Entrées'!$N695:$AAV695)</f>
        <v>0</v>
      </c>
      <c r="K695" s="51" t="str">
        <f t="shared" si="41"/>
        <v>0,00€</v>
      </c>
      <c r="L695" s="69">
        <f>SUM('Archives Sorties'!$M695:$AAY695)</f>
        <v>0</v>
      </c>
      <c r="M695" s="51" t="str">
        <f t="shared" si="42"/>
        <v>0,00€</v>
      </c>
      <c r="P695" s="72"/>
      <c r="R695" s="185" t="str">
        <f t="shared" si="43"/>
        <v/>
      </c>
      <c r="S695" s="186" t="str">
        <f t="shared" si="44"/>
        <v/>
      </c>
      <c r="T695" s="187" t="str">
        <f>IF(R695="","",IF(O695=0,Famille!$D$5,IF(R695&lt;O695,Famille!$D$2,IF(R695&lt;=P695,Famille!$D$3,Famille!$D$4))))</f>
        <v/>
      </c>
    </row>
    <row r="696" spans="1:20" ht="12" customHeight="1" x14ac:dyDescent="0.2">
      <c r="A696" s="4" t="str">
        <f>IF(Produits!A577="","",Produits!A577)</f>
        <v/>
      </c>
      <c r="B696" s="4" t="str">
        <f>IF(Produits!B577="","",Produits!B577)</f>
        <v/>
      </c>
      <c r="C696" s="4" t="str">
        <f>IF(Produits!C577="","",Produits!C577)</f>
        <v/>
      </c>
      <c r="D696" s="4" t="str">
        <f>IF(Produits!D577="","",Produits!D577)</f>
        <v/>
      </c>
      <c r="E696" s="49" t="str">
        <f>IF(Produits!F577="","",Produits!F577)</f>
        <v/>
      </c>
      <c r="F696" s="50" t="str">
        <f>IF(Produits!H577="","",Produits!H577)</f>
        <v/>
      </c>
      <c r="H696" s="37"/>
      <c r="I696" s="2"/>
      <c r="J696" s="69">
        <f>SUM('Archives Entrées'!$N696:$AAV696)</f>
        <v>0</v>
      </c>
      <c r="K696" s="51" t="str">
        <f t="shared" si="41"/>
        <v>0,00€</v>
      </c>
      <c r="L696" s="69">
        <f>SUM('Archives Sorties'!$M696:$AAY696)</f>
        <v>0</v>
      </c>
      <c r="M696" s="51" t="str">
        <f t="shared" si="42"/>
        <v>0,00€</v>
      </c>
      <c r="P696" s="72"/>
      <c r="R696" s="185" t="str">
        <f t="shared" si="43"/>
        <v/>
      </c>
      <c r="S696" s="186" t="str">
        <f t="shared" si="44"/>
        <v/>
      </c>
      <c r="T696" s="187" t="str">
        <f>IF(R696="","",IF(O696=0,Famille!$D$5,IF(R696&lt;O696,Famille!$D$2,IF(R696&lt;=P696,Famille!$D$3,Famille!$D$4))))</f>
        <v/>
      </c>
    </row>
    <row r="697" spans="1:20" ht="12" customHeight="1" x14ac:dyDescent="0.2">
      <c r="A697" s="4" t="str">
        <f>IF(Produits!A578="","",Produits!A578)</f>
        <v/>
      </c>
      <c r="B697" s="4" t="str">
        <f>IF(Produits!B578="","",Produits!B578)</f>
        <v/>
      </c>
      <c r="C697" s="4" t="str">
        <f>IF(Produits!C578="","",Produits!C578)</f>
        <v/>
      </c>
      <c r="D697" s="4" t="str">
        <f>IF(Produits!D578="","",Produits!D578)</f>
        <v/>
      </c>
      <c r="E697" s="49" t="str">
        <f>IF(Produits!F578="","",Produits!F578)</f>
        <v/>
      </c>
      <c r="F697" s="50" t="str">
        <f>IF(Produits!H578="","",Produits!H578)</f>
        <v/>
      </c>
      <c r="H697" s="37"/>
      <c r="I697" s="2"/>
      <c r="J697" s="69">
        <f>SUM('Archives Entrées'!$N697:$AAV697)</f>
        <v>0</v>
      </c>
      <c r="K697" s="51" t="str">
        <f t="shared" si="41"/>
        <v>0,00€</v>
      </c>
      <c r="L697" s="69">
        <f>SUM('Archives Sorties'!$M697:$AAY697)</f>
        <v>0</v>
      </c>
      <c r="M697" s="51" t="str">
        <f t="shared" si="42"/>
        <v>0,00€</v>
      </c>
      <c r="P697" s="72"/>
      <c r="R697" s="185" t="str">
        <f t="shared" si="43"/>
        <v/>
      </c>
      <c r="S697" s="186" t="str">
        <f t="shared" si="44"/>
        <v/>
      </c>
      <c r="T697" s="187" t="str">
        <f>IF(R697="","",IF(O697=0,Famille!$D$5,IF(R697&lt;O697,Famille!$D$2,IF(R697&lt;=P697,Famille!$D$3,Famille!$D$4))))</f>
        <v/>
      </c>
    </row>
    <row r="698" spans="1:20" ht="12" customHeight="1" x14ac:dyDescent="0.2">
      <c r="A698" s="4" t="str">
        <f>IF(Produits!A579="","",Produits!A579)</f>
        <v/>
      </c>
      <c r="B698" s="4" t="str">
        <f>IF(Produits!B579="","",Produits!B579)</f>
        <v/>
      </c>
      <c r="C698" s="4" t="str">
        <f>IF(Produits!C579="","",Produits!C579)</f>
        <v/>
      </c>
      <c r="D698" s="4" t="str">
        <f>IF(Produits!D579="","",Produits!D579)</f>
        <v/>
      </c>
      <c r="E698" s="49" t="str">
        <f>IF(Produits!F579="","",Produits!F579)</f>
        <v/>
      </c>
      <c r="F698" s="50" t="str">
        <f>IF(Produits!H579="","",Produits!H579)</f>
        <v/>
      </c>
      <c r="H698" s="37"/>
      <c r="I698" s="2"/>
      <c r="J698" s="69">
        <f>SUM('Archives Entrées'!$N698:$AAV698)</f>
        <v>0</v>
      </c>
      <c r="K698" s="51" t="str">
        <f t="shared" si="41"/>
        <v>0,00€</v>
      </c>
      <c r="L698" s="69">
        <f>SUM('Archives Sorties'!$M698:$AAY698)</f>
        <v>0</v>
      </c>
      <c r="M698" s="51" t="str">
        <f t="shared" si="42"/>
        <v>0,00€</v>
      </c>
      <c r="P698" s="72"/>
      <c r="R698" s="185" t="str">
        <f t="shared" si="43"/>
        <v/>
      </c>
      <c r="S698" s="186" t="str">
        <f t="shared" si="44"/>
        <v/>
      </c>
      <c r="T698" s="187" t="str">
        <f>IF(R698="","",IF(O698=0,Famille!$D$5,IF(R698&lt;O698,Famille!$D$2,IF(R698&lt;=P698,Famille!$D$3,Famille!$D$4))))</f>
        <v/>
      </c>
    </row>
    <row r="699" spans="1:20" ht="12" customHeight="1" x14ac:dyDescent="0.2">
      <c r="A699" s="4" t="str">
        <f>IF(Produits!A580="","",Produits!A580)</f>
        <v/>
      </c>
      <c r="B699" s="4" t="str">
        <f>IF(Produits!B580="","",Produits!B580)</f>
        <v/>
      </c>
      <c r="C699" s="4" t="str">
        <f>IF(Produits!C580="","",Produits!C580)</f>
        <v/>
      </c>
      <c r="D699" s="4" t="str">
        <f>IF(Produits!D580="","",Produits!D580)</f>
        <v/>
      </c>
      <c r="E699" s="49" t="str">
        <f>IF(Produits!F580="","",Produits!F580)</f>
        <v/>
      </c>
      <c r="F699" s="50" t="str">
        <f>IF(Produits!H580="","",Produits!H580)</f>
        <v/>
      </c>
      <c r="H699" s="37"/>
      <c r="I699" s="2"/>
      <c r="J699" s="69">
        <f>SUM('Archives Entrées'!$N699:$AAV699)</f>
        <v>0</v>
      </c>
      <c r="K699" s="51" t="str">
        <f t="shared" si="41"/>
        <v>0,00€</v>
      </c>
      <c r="L699" s="69">
        <f>SUM('Archives Sorties'!$M699:$AAY699)</f>
        <v>0</v>
      </c>
      <c r="M699" s="51" t="str">
        <f t="shared" si="42"/>
        <v>0,00€</v>
      </c>
      <c r="P699" s="72"/>
      <c r="R699" s="185" t="str">
        <f t="shared" si="43"/>
        <v/>
      </c>
      <c r="S699" s="186" t="str">
        <f t="shared" si="44"/>
        <v/>
      </c>
      <c r="T699" s="187" t="str">
        <f>IF(R699="","",IF(O699=0,Famille!$D$5,IF(R699&lt;O699,Famille!$D$2,IF(R699&lt;=P699,Famille!$D$3,Famille!$D$4))))</f>
        <v/>
      </c>
    </row>
    <row r="700" spans="1:20" ht="12" customHeight="1" x14ac:dyDescent="0.2">
      <c r="A700" s="4" t="str">
        <f>IF(Produits!A581="","",Produits!A581)</f>
        <v/>
      </c>
      <c r="B700" s="4" t="str">
        <f>IF(Produits!B581="","",Produits!B581)</f>
        <v/>
      </c>
      <c r="C700" s="4" t="str">
        <f>IF(Produits!C581="","",Produits!C581)</f>
        <v/>
      </c>
      <c r="D700" s="4" t="str">
        <f>IF(Produits!D581="","",Produits!D581)</f>
        <v/>
      </c>
      <c r="E700" s="49" t="str">
        <f>IF(Produits!F581="","",Produits!F581)</f>
        <v/>
      </c>
      <c r="F700" s="50" t="str">
        <f>IF(Produits!H581="","",Produits!H581)</f>
        <v/>
      </c>
      <c r="H700" s="37"/>
      <c r="I700" s="2"/>
      <c r="J700" s="69">
        <f>SUM('Archives Entrées'!$N700:$AAV700)</f>
        <v>0</v>
      </c>
      <c r="K700" s="51" t="str">
        <f t="shared" si="41"/>
        <v>0,00€</v>
      </c>
      <c r="L700" s="69">
        <f>SUM('Archives Sorties'!$M700:$AAY700)</f>
        <v>0</v>
      </c>
      <c r="M700" s="51" t="str">
        <f t="shared" si="42"/>
        <v>0,00€</v>
      </c>
      <c r="P700" s="72"/>
      <c r="R700" s="185" t="str">
        <f t="shared" si="43"/>
        <v/>
      </c>
      <c r="S700" s="186" t="str">
        <f t="shared" si="44"/>
        <v/>
      </c>
      <c r="T700" s="187" t="str">
        <f>IF(R700="","",IF(O700=0,Famille!$D$5,IF(R700&lt;O700,Famille!$D$2,IF(R700&lt;=P700,Famille!$D$3,Famille!$D$4))))</f>
        <v/>
      </c>
    </row>
    <row r="701" spans="1:20" ht="12" customHeight="1" x14ac:dyDescent="0.2">
      <c r="A701" s="4" t="str">
        <f>IF(Produits!A582="","",Produits!A582)</f>
        <v/>
      </c>
      <c r="B701" s="4" t="str">
        <f>IF(Produits!B582="","",Produits!B582)</f>
        <v/>
      </c>
      <c r="C701" s="4" t="str">
        <f>IF(Produits!C582="","",Produits!C582)</f>
        <v/>
      </c>
      <c r="D701" s="4" t="str">
        <f>IF(Produits!D582="","",Produits!D582)</f>
        <v/>
      </c>
      <c r="E701" s="49" t="str">
        <f>IF(Produits!F582="","",Produits!F582)</f>
        <v/>
      </c>
      <c r="F701" s="50" t="str">
        <f>IF(Produits!H582="","",Produits!H582)</f>
        <v/>
      </c>
      <c r="H701" s="37"/>
      <c r="I701" s="2"/>
      <c r="J701" s="69">
        <f>SUM('Archives Entrées'!$N701:$AAV701)</f>
        <v>0</v>
      </c>
      <c r="K701" s="51" t="str">
        <f t="shared" si="41"/>
        <v>0,00€</v>
      </c>
      <c r="L701" s="69">
        <f>SUM('Archives Sorties'!$M701:$AAY701)</f>
        <v>0</v>
      </c>
      <c r="M701" s="51" t="str">
        <f t="shared" si="42"/>
        <v>0,00€</v>
      </c>
      <c r="P701" s="72"/>
      <c r="R701" s="185" t="str">
        <f t="shared" si="43"/>
        <v/>
      </c>
      <c r="S701" s="186" t="str">
        <f t="shared" si="44"/>
        <v/>
      </c>
      <c r="T701" s="187" t="str">
        <f>IF(R701="","",IF(O701=0,Famille!$D$5,IF(R701&lt;O701,Famille!$D$2,IF(R701&lt;=P701,Famille!$D$3,Famille!$D$4))))</f>
        <v/>
      </c>
    </row>
    <row r="702" spans="1:20" ht="12" customHeight="1" x14ac:dyDescent="0.2">
      <c r="A702" s="4" t="str">
        <f>IF(Produits!A583="","",Produits!A583)</f>
        <v/>
      </c>
      <c r="B702" s="4" t="str">
        <f>IF(Produits!B583="","",Produits!B583)</f>
        <v/>
      </c>
      <c r="C702" s="4" t="str">
        <f>IF(Produits!C583="","",Produits!C583)</f>
        <v/>
      </c>
      <c r="D702" s="4" t="str">
        <f>IF(Produits!D583="","",Produits!D583)</f>
        <v/>
      </c>
      <c r="E702" s="49" t="str">
        <f>IF(Produits!F583="","",Produits!F583)</f>
        <v/>
      </c>
      <c r="F702" s="50" t="str">
        <f>IF(Produits!H583="","",Produits!H583)</f>
        <v/>
      </c>
      <c r="H702" s="37"/>
      <c r="I702" s="2"/>
      <c r="J702" s="69">
        <f>SUM('Archives Entrées'!$N702:$AAV702)</f>
        <v>0</v>
      </c>
      <c r="K702" s="51" t="str">
        <f t="shared" si="41"/>
        <v>0,00€</v>
      </c>
      <c r="L702" s="69">
        <f>SUM('Archives Sorties'!$M702:$AAY702)</f>
        <v>0</v>
      </c>
      <c r="M702" s="51" t="str">
        <f t="shared" si="42"/>
        <v>0,00€</v>
      </c>
      <c r="P702" s="72"/>
      <c r="R702" s="185" t="str">
        <f t="shared" si="43"/>
        <v/>
      </c>
      <c r="S702" s="186" t="str">
        <f t="shared" si="44"/>
        <v/>
      </c>
      <c r="T702" s="187" t="str">
        <f>IF(R702="","",IF(O702=0,Famille!$D$5,IF(R702&lt;O702,Famille!$D$2,IF(R702&lt;=P702,Famille!$D$3,Famille!$D$4))))</f>
        <v/>
      </c>
    </row>
    <row r="703" spans="1:20" ht="12" customHeight="1" x14ac:dyDescent="0.2">
      <c r="A703" s="4" t="str">
        <f>IF(Produits!A584="","",Produits!A584)</f>
        <v/>
      </c>
      <c r="B703" s="4" t="str">
        <f>IF(Produits!B584="","",Produits!B584)</f>
        <v/>
      </c>
      <c r="C703" s="4" t="str">
        <f>IF(Produits!C584="","",Produits!C584)</f>
        <v/>
      </c>
      <c r="D703" s="4" t="str">
        <f>IF(Produits!D584="","",Produits!D584)</f>
        <v/>
      </c>
      <c r="E703" s="49" t="str">
        <f>IF(Produits!F584="","",Produits!F584)</f>
        <v/>
      </c>
      <c r="F703" s="50" t="str">
        <f>IF(Produits!H584="","",Produits!H584)</f>
        <v/>
      </c>
      <c r="H703" s="37"/>
      <c r="I703" s="2"/>
      <c r="J703" s="69">
        <f>SUM('Archives Entrées'!$N703:$AAV703)</f>
        <v>0</v>
      </c>
      <c r="K703" s="51" t="str">
        <f t="shared" si="41"/>
        <v>0,00€</v>
      </c>
      <c r="L703" s="69">
        <f>SUM('Archives Sorties'!$M703:$AAY703)</f>
        <v>0</v>
      </c>
      <c r="M703" s="51" t="str">
        <f t="shared" si="42"/>
        <v>0,00€</v>
      </c>
      <c r="P703" s="72"/>
      <c r="R703" s="185" t="str">
        <f t="shared" si="43"/>
        <v/>
      </c>
      <c r="S703" s="186" t="str">
        <f t="shared" si="44"/>
        <v/>
      </c>
      <c r="T703" s="187" t="str">
        <f>IF(R703="","",IF(O703=0,Famille!$D$5,IF(R703&lt;O703,Famille!$D$2,IF(R703&lt;=P703,Famille!$D$3,Famille!$D$4))))</f>
        <v/>
      </c>
    </row>
    <row r="704" spans="1:20" ht="12" customHeight="1" x14ac:dyDescent="0.2">
      <c r="A704" s="4" t="str">
        <f>IF(Produits!A585="","",Produits!A585)</f>
        <v/>
      </c>
      <c r="B704" s="4" t="str">
        <f>IF(Produits!B585="","",Produits!B585)</f>
        <v/>
      </c>
      <c r="C704" s="4" t="str">
        <f>IF(Produits!C585="","",Produits!C585)</f>
        <v/>
      </c>
      <c r="D704" s="4" t="str">
        <f>IF(Produits!D585="","",Produits!D585)</f>
        <v/>
      </c>
      <c r="E704" s="49" t="str">
        <f>IF(Produits!F585="","",Produits!F585)</f>
        <v/>
      </c>
      <c r="F704" s="50" t="str">
        <f>IF(Produits!H585="","",Produits!H585)</f>
        <v/>
      </c>
      <c r="H704" s="37"/>
      <c r="I704" s="2"/>
      <c r="J704" s="69">
        <f>SUM('Archives Entrées'!$N704:$AAV704)</f>
        <v>0</v>
      </c>
      <c r="K704" s="51" t="str">
        <f t="shared" si="41"/>
        <v>0,00€</v>
      </c>
      <c r="L704" s="69">
        <f>SUM('Archives Sorties'!$M704:$AAY704)</f>
        <v>0</v>
      </c>
      <c r="M704" s="51" t="str">
        <f t="shared" si="42"/>
        <v>0,00€</v>
      </c>
      <c r="P704" s="72"/>
      <c r="R704" s="185" t="str">
        <f t="shared" si="43"/>
        <v/>
      </c>
      <c r="S704" s="186" t="str">
        <f t="shared" si="44"/>
        <v/>
      </c>
      <c r="T704" s="187" t="str">
        <f>IF(R704="","",IF(O704=0,Famille!$D$5,IF(R704&lt;O704,Famille!$D$2,IF(R704&lt;=P704,Famille!$D$3,Famille!$D$4))))</f>
        <v/>
      </c>
    </row>
    <row r="705" spans="1:20" ht="12" customHeight="1" x14ac:dyDescent="0.2">
      <c r="A705" s="4" t="str">
        <f>IF(Produits!A586="","",Produits!A586)</f>
        <v/>
      </c>
      <c r="B705" s="4" t="str">
        <f>IF(Produits!B586="","",Produits!B586)</f>
        <v/>
      </c>
      <c r="C705" s="4" t="str">
        <f>IF(Produits!C586="","",Produits!C586)</f>
        <v/>
      </c>
      <c r="D705" s="4" t="str">
        <f>IF(Produits!D586="","",Produits!D586)</f>
        <v/>
      </c>
      <c r="E705" s="49" t="str">
        <f>IF(Produits!F586="","",Produits!F586)</f>
        <v/>
      </c>
      <c r="F705" s="50" t="str">
        <f>IF(Produits!H586="","",Produits!H586)</f>
        <v/>
      </c>
      <c r="H705" s="37"/>
      <c r="I705" s="2"/>
      <c r="J705" s="69">
        <f>SUM('Archives Entrées'!$N705:$AAV705)</f>
        <v>0</v>
      </c>
      <c r="K705" s="51" t="str">
        <f t="shared" si="41"/>
        <v>0,00€</v>
      </c>
      <c r="L705" s="69">
        <f>SUM('Archives Sorties'!$M705:$AAY705)</f>
        <v>0</v>
      </c>
      <c r="M705" s="51" t="str">
        <f t="shared" si="42"/>
        <v>0,00€</v>
      </c>
      <c r="P705" s="72"/>
      <c r="R705" s="185" t="str">
        <f t="shared" si="43"/>
        <v/>
      </c>
      <c r="S705" s="186" t="str">
        <f t="shared" si="44"/>
        <v/>
      </c>
      <c r="T705" s="187" t="str">
        <f>IF(R705="","",IF(O705=0,Famille!$D$5,IF(R705&lt;O705,Famille!$D$2,IF(R705&lt;=P705,Famille!$D$3,Famille!$D$4))))</f>
        <v/>
      </c>
    </row>
    <row r="706" spans="1:20" ht="12" customHeight="1" x14ac:dyDescent="0.2">
      <c r="A706" s="4" t="str">
        <f>IF(Produits!A587="","",Produits!A587)</f>
        <v/>
      </c>
      <c r="B706" s="4" t="str">
        <f>IF(Produits!B587="","",Produits!B587)</f>
        <v/>
      </c>
      <c r="C706" s="4" t="str">
        <f>IF(Produits!C587="","",Produits!C587)</f>
        <v/>
      </c>
      <c r="D706" s="4" t="str">
        <f>IF(Produits!D587="","",Produits!D587)</f>
        <v/>
      </c>
      <c r="E706" s="49" t="str">
        <f>IF(Produits!F587="","",Produits!F587)</f>
        <v/>
      </c>
      <c r="F706" s="50" t="str">
        <f>IF(Produits!H587="","",Produits!H587)</f>
        <v/>
      </c>
      <c r="H706" s="37"/>
      <c r="I706" s="2"/>
      <c r="J706" s="69">
        <f>SUM('Archives Entrées'!$N706:$AAV706)</f>
        <v>0</v>
      </c>
      <c r="K706" s="51" t="str">
        <f t="shared" si="41"/>
        <v>0,00€</v>
      </c>
      <c r="L706" s="69">
        <f>SUM('Archives Sorties'!$M706:$AAY706)</f>
        <v>0</v>
      </c>
      <c r="M706" s="51" t="str">
        <f t="shared" si="42"/>
        <v>0,00€</v>
      </c>
      <c r="P706" s="72"/>
      <c r="R706" s="185" t="str">
        <f t="shared" si="43"/>
        <v/>
      </c>
      <c r="S706" s="186" t="str">
        <f t="shared" si="44"/>
        <v/>
      </c>
      <c r="T706" s="187" t="str">
        <f>IF(R706="","",IF(O706=0,Famille!$D$5,IF(R706&lt;O706,Famille!$D$2,IF(R706&lt;=P706,Famille!$D$3,Famille!$D$4))))</f>
        <v/>
      </c>
    </row>
    <row r="707" spans="1:20" ht="12" customHeight="1" x14ac:dyDescent="0.2">
      <c r="A707" s="4" t="str">
        <f>IF(Produits!A588="","",Produits!A588)</f>
        <v/>
      </c>
      <c r="B707" s="4" t="str">
        <f>IF(Produits!B588="","",Produits!B588)</f>
        <v/>
      </c>
      <c r="C707" s="4" t="str">
        <f>IF(Produits!C588="","",Produits!C588)</f>
        <v/>
      </c>
      <c r="D707" s="4" t="str">
        <f>IF(Produits!D588="","",Produits!D588)</f>
        <v/>
      </c>
      <c r="E707" s="49" t="str">
        <f>IF(Produits!F588="","",Produits!F588)</f>
        <v/>
      </c>
      <c r="F707" s="50" t="str">
        <f>IF(Produits!H588="","",Produits!H588)</f>
        <v/>
      </c>
      <c r="H707" s="37"/>
      <c r="I707" s="2"/>
      <c r="J707" s="69">
        <f>SUM('Archives Entrées'!$N707:$AAV707)</f>
        <v>0</v>
      </c>
      <c r="K707" s="51" t="str">
        <f t="shared" si="41"/>
        <v>0,00€</v>
      </c>
      <c r="L707" s="69">
        <f>SUM('Archives Sorties'!$M707:$AAY707)</f>
        <v>0</v>
      </c>
      <c r="M707" s="51" t="str">
        <f t="shared" si="42"/>
        <v>0,00€</v>
      </c>
      <c r="P707" s="72"/>
      <c r="R707" s="185" t="str">
        <f t="shared" si="43"/>
        <v/>
      </c>
      <c r="S707" s="186" t="str">
        <f t="shared" si="44"/>
        <v/>
      </c>
      <c r="T707" s="187" t="str">
        <f>IF(R707="","",IF(O707=0,Famille!$D$5,IF(R707&lt;O707,Famille!$D$2,IF(R707&lt;=P707,Famille!$D$3,Famille!$D$4))))</f>
        <v/>
      </c>
    </row>
    <row r="708" spans="1:20" ht="12" customHeight="1" x14ac:dyDescent="0.2">
      <c r="A708" s="4" t="str">
        <f>IF(Produits!A589="","",Produits!A589)</f>
        <v/>
      </c>
      <c r="B708" s="4" t="str">
        <f>IF(Produits!B589="","",Produits!B589)</f>
        <v/>
      </c>
      <c r="C708" s="4" t="str">
        <f>IF(Produits!C589="","",Produits!C589)</f>
        <v/>
      </c>
      <c r="D708" s="4" t="str">
        <f>IF(Produits!D589="","",Produits!D589)</f>
        <v/>
      </c>
      <c r="E708" s="49" t="str">
        <f>IF(Produits!F589="","",Produits!F589)</f>
        <v/>
      </c>
      <c r="F708" s="50" t="str">
        <f>IF(Produits!H589="","",Produits!H589)</f>
        <v/>
      </c>
      <c r="H708" s="37"/>
      <c r="I708" s="2"/>
      <c r="J708" s="69">
        <f>SUM('Archives Entrées'!$N708:$AAV708)</f>
        <v>0</v>
      </c>
      <c r="K708" s="51" t="str">
        <f t="shared" si="41"/>
        <v>0,00€</v>
      </c>
      <c r="L708" s="69">
        <f>SUM('Archives Sorties'!$M708:$AAY708)</f>
        <v>0</v>
      </c>
      <c r="M708" s="51" t="str">
        <f t="shared" si="42"/>
        <v>0,00€</v>
      </c>
      <c r="P708" s="72"/>
      <c r="R708" s="185" t="str">
        <f t="shared" si="43"/>
        <v/>
      </c>
      <c r="S708" s="186" t="str">
        <f t="shared" si="44"/>
        <v/>
      </c>
      <c r="T708" s="187" t="str">
        <f>IF(R708="","",IF(O708=0,Famille!$D$5,IF(R708&lt;O708,Famille!$D$2,IF(R708&lt;=P708,Famille!$D$3,Famille!$D$4))))</f>
        <v/>
      </c>
    </row>
    <row r="709" spans="1:20" ht="12" customHeight="1" x14ac:dyDescent="0.2">
      <c r="A709" s="4" t="str">
        <f>IF(Produits!A590="","",Produits!A590)</f>
        <v/>
      </c>
      <c r="B709" s="4" t="str">
        <f>IF(Produits!B590="","",Produits!B590)</f>
        <v/>
      </c>
      <c r="C709" s="4" t="str">
        <f>IF(Produits!C590="","",Produits!C590)</f>
        <v/>
      </c>
      <c r="D709" s="4" t="str">
        <f>IF(Produits!D590="","",Produits!D590)</f>
        <v/>
      </c>
      <c r="E709" s="49" t="str">
        <f>IF(Produits!F590="","",Produits!F590)</f>
        <v/>
      </c>
      <c r="F709" s="50" t="str">
        <f>IF(Produits!H590="","",Produits!H590)</f>
        <v/>
      </c>
      <c r="H709" s="37"/>
      <c r="I709" s="2"/>
      <c r="J709" s="69">
        <f>SUM('Archives Entrées'!$N709:$AAV709)</f>
        <v>0</v>
      </c>
      <c r="K709" s="51" t="str">
        <f t="shared" ref="K709:K772" si="45">IF(J709=0,"0,00€",J709*F709)</f>
        <v>0,00€</v>
      </c>
      <c r="L709" s="69">
        <f>SUM('Archives Sorties'!$M709:$AAY709)</f>
        <v>0</v>
      </c>
      <c r="M709" s="51" t="str">
        <f t="shared" ref="M709:M772" si="46">IF(L709=0,"0,00€",L709*F709)</f>
        <v>0,00€</v>
      </c>
      <c r="P709" s="72"/>
      <c r="R709" s="185" t="str">
        <f t="shared" ref="R709:R772" si="47">IF(A709="","",((J709+H709)-L709))</f>
        <v/>
      </c>
      <c r="S709" s="186" t="str">
        <f t="shared" ref="S709:S772" si="48">IF(R709="","",IF(R709=0,0,IF(R709&lt;O709,0,IF(R709&lt;=P709,1,2))))</f>
        <v/>
      </c>
      <c r="T709" s="187" t="str">
        <f>IF(R709="","",IF(O709=0,Famille!$D$5,IF(R709&lt;O709,Famille!$D$2,IF(R709&lt;=P709,Famille!$D$3,Famille!$D$4))))</f>
        <v/>
      </c>
    </row>
    <row r="710" spans="1:20" ht="12" customHeight="1" x14ac:dyDescent="0.2">
      <c r="A710" s="4" t="str">
        <f>IF(Produits!A591="","",Produits!A591)</f>
        <v/>
      </c>
      <c r="B710" s="4" t="str">
        <f>IF(Produits!B591="","",Produits!B591)</f>
        <v/>
      </c>
      <c r="C710" s="4" t="str">
        <f>IF(Produits!C591="","",Produits!C591)</f>
        <v/>
      </c>
      <c r="D710" s="4" t="str">
        <f>IF(Produits!D591="","",Produits!D591)</f>
        <v/>
      </c>
      <c r="E710" s="49" t="str">
        <f>IF(Produits!F591="","",Produits!F591)</f>
        <v/>
      </c>
      <c r="F710" s="50" t="str">
        <f>IF(Produits!H591="","",Produits!H591)</f>
        <v/>
      </c>
      <c r="H710" s="37"/>
      <c r="I710" s="2"/>
      <c r="J710" s="69">
        <f>SUM('Archives Entrées'!$N710:$AAV710)</f>
        <v>0</v>
      </c>
      <c r="K710" s="51" t="str">
        <f t="shared" si="45"/>
        <v>0,00€</v>
      </c>
      <c r="L710" s="69">
        <f>SUM('Archives Sorties'!$M710:$AAY710)</f>
        <v>0</v>
      </c>
      <c r="M710" s="51" t="str">
        <f t="shared" si="46"/>
        <v>0,00€</v>
      </c>
      <c r="P710" s="72"/>
      <c r="R710" s="185" t="str">
        <f t="shared" si="47"/>
        <v/>
      </c>
      <c r="S710" s="186" t="str">
        <f t="shared" si="48"/>
        <v/>
      </c>
      <c r="T710" s="187" t="str">
        <f>IF(R710="","",IF(O710=0,Famille!$D$5,IF(R710&lt;O710,Famille!$D$2,IF(R710&lt;=P710,Famille!$D$3,Famille!$D$4))))</f>
        <v/>
      </c>
    </row>
    <row r="711" spans="1:20" ht="12" customHeight="1" x14ac:dyDescent="0.2">
      <c r="A711" s="4" t="str">
        <f>IF(Produits!A592="","",Produits!A592)</f>
        <v/>
      </c>
      <c r="B711" s="4" t="str">
        <f>IF(Produits!B592="","",Produits!B592)</f>
        <v/>
      </c>
      <c r="C711" s="4" t="str">
        <f>IF(Produits!C592="","",Produits!C592)</f>
        <v/>
      </c>
      <c r="D711" s="4" t="str">
        <f>IF(Produits!D592="","",Produits!D592)</f>
        <v/>
      </c>
      <c r="E711" s="49" t="str">
        <f>IF(Produits!F592="","",Produits!F592)</f>
        <v/>
      </c>
      <c r="F711" s="50" t="str">
        <f>IF(Produits!H592="","",Produits!H592)</f>
        <v/>
      </c>
      <c r="H711" s="37"/>
      <c r="I711" s="2"/>
      <c r="J711" s="69">
        <f>SUM('Archives Entrées'!$N711:$AAV711)</f>
        <v>0</v>
      </c>
      <c r="K711" s="51" t="str">
        <f t="shared" si="45"/>
        <v>0,00€</v>
      </c>
      <c r="L711" s="69">
        <f>SUM('Archives Sorties'!$M711:$AAY711)</f>
        <v>0</v>
      </c>
      <c r="M711" s="51" t="str">
        <f t="shared" si="46"/>
        <v>0,00€</v>
      </c>
      <c r="P711" s="72"/>
      <c r="R711" s="185" t="str">
        <f t="shared" si="47"/>
        <v/>
      </c>
      <c r="S711" s="186" t="str">
        <f t="shared" si="48"/>
        <v/>
      </c>
      <c r="T711" s="187" t="str">
        <f>IF(R711="","",IF(O711=0,Famille!$D$5,IF(R711&lt;O711,Famille!$D$2,IF(R711&lt;=P711,Famille!$D$3,Famille!$D$4))))</f>
        <v/>
      </c>
    </row>
    <row r="712" spans="1:20" ht="12" customHeight="1" x14ac:dyDescent="0.2">
      <c r="A712" s="4" t="str">
        <f>IF(Produits!A593="","",Produits!A593)</f>
        <v/>
      </c>
      <c r="B712" s="4" t="str">
        <f>IF(Produits!B593="","",Produits!B593)</f>
        <v/>
      </c>
      <c r="C712" s="4" t="str">
        <f>IF(Produits!C593="","",Produits!C593)</f>
        <v/>
      </c>
      <c r="D712" s="4" t="str">
        <f>IF(Produits!D593="","",Produits!D593)</f>
        <v/>
      </c>
      <c r="E712" s="49" t="str">
        <f>IF(Produits!F593="","",Produits!F593)</f>
        <v/>
      </c>
      <c r="F712" s="50" t="str">
        <f>IF(Produits!H593="","",Produits!H593)</f>
        <v/>
      </c>
      <c r="H712" s="37"/>
      <c r="I712" s="2"/>
      <c r="J712" s="69">
        <f>SUM('Archives Entrées'!$N712:$AAV712)</f>
        <v>0</v>
      </c>
      <c r="K712" s="51" t="str">
        <f t="shared" si="45"/>
        <v>0,00€</v>
      </c>
      <c r="L712" s="69">
        <f>SUM('Archives Sorties'!$M712:$AAY712)</f>
        <v>0</v>
      </c>
      <c r="M712" s="51" t="str">
        <f t="shared" si="46"/>
        <v>0,00€</v>
      </c>
      <c r="P712" s="72"/>
      <c r="R712" s="185" t="str">
        <f t="shared" si="47"/>
        <v/>
      </c>
      <c r="S712" s="186" t="str">
        <f t="shared" si="48"/>
        <v/>
      </c>
      <c r="T712" s="187" t="str">
        <f>IF(R712="","",IF(O712=0,Famille!$D$5,IF(R712&lt;O712,Famille!$D$2,IF(R712&lt;=P712,Famille!$D$3,Famille!$D$4))))</f>
        <v/>
      </c>
    </row>
    <row r="713" spans="1:20" ht="12" customHeight="1" x14ac:dyDescent="0.2">
      <c r="A713" s="4" t="str">
        <f>IF(Produits!A594="","",Produits!A594)</f>
        <v/>
      </c>
      <c r="B713" s="4" t="str">
        <f>IF(Produits!B594="","",Produits!B594)</f>
        <v/>
      </c>
      <c r="C713" s="4" t="str">
        <f>IF(Produits!C594="","",Produits!C594)</f>
        <v/>
      </c>
      <c r="D713" s="4" t="str">
        <f>IF(Produits!D594="","",Produits!D594)</f>
        <v/>
      </c>
      <c r="E713" s="49" t="str">
        <f>IF(Produits!F594="","",Produits!F594)</f>
        <v/>
      </c>
      <c r="F713" s="50" t="str">
        <f>IF(Produits!H594="","",Produits!H594)</f>
        <v/>
      </c>
      <c r="H713" s="37"/>
      <c r="I713" s="2"/>
      <c r="J713" s="69">
        <f>SUM('Archives Entrées'!$N713:$AAV713)</f>
        <v>0</v>
      </c>
      <c r="K713" s="51" t="str">
        <f t="shared" si="45"/>
        <v>0,00€</v>
      </c>
      <c r="L713" s="69">
        <f>SUM('Archives Sorties'!$M713:$AAY713)</f>
        <v>0</v>
      </c>
      <c r="M713" s="51" t="str">
        <f t="shared" si="46"/>
        <v>0,00€</v>
      </c>
      <c r="P713" s="72"/>
      <c r="R713" s="185" t="str">
        <f t="shared" si="47"/>
        <v/>
      </c>
      <c r="S713" s="186" t="str">
        <f t="shared" si="48"/>
        <v/>
      </c>
      <c r="T713" s="187" t="str">
        <f>IF(R713="","",IF(O713=0,Famille!$D$5,IF(R713&lt;O713,Famille!$D$2,IF(R713&lt;=P713,Famille!$D$3,Famille!$D$4))))</f>
        <v/>
      </c>
    </row>
    <row r="714" spans="1:20" ht="12" customHeight="1" x14ac:dyDescent="0.2">
      <c r="A714" s="4" t="str">
        <f>IF(Produits!A595="","",Produits!A595)</f>
        <v/>
      </c>
      <c r="B714" s="4" t="str">
        <f>IF(Produits!B595="","",Produits!B595)</f>
        <v/>
      </c>
      <c r="C714" s="4" t="str">
        <f>IF(Produits!C595="","",Produits!C595)</f>
        <v/>
      </c>
      <c r="D714" s="4" t="str">
        <f>IF(Produits!D595="","",Produits!D595)</f>
        <v/>
      </c>
      <c r="E714" s="49" t="str">
        <f>IF(Produits!F595="","",Produits!F595)</f>
        <v/>
      </c>
      <c r="F714" s="50" t="str">
        <f>IF(Produits!H595="","",Produits!H595)</f>
        <v/>
      </c>
      <c r="H714" s="37"/>
      <c r="I714" s="2"/>
      <c r="J714" s="69">
        <f>SUM('Archives Entrées'!$N714:$AAV714)</f>
        <v>0</v>
      </c>
      <c r="K714" s="51" t="str">
        <f t="shared" si="45"/>
        <v>0,00€</v>
      </c>
      <c r="L714" s="69">
        <f>SUM('Archives Sorties'!$M714:$AAY714)</f>
        <v>0</v>
      </c>
      <c r="M714" s="51" t="str">
        <f t="shared" si="46"/>
        <v>0,00€</v>
      </c>
      <c r="P714" s="72"/>
      <c r="R714" s="185" t="str">
        <f t="shared" si="47"/>
        <v/>
      </c>
      <c r="S714" s="186" t="str">
        <f t="shared" si="48"/>
        <v/>
      </c>
      <c r="T714" s="187" t="str">
        <f>IF(R714="","",IF(O714=0,Famille!$D$5,IF(R714&lt;O714,Famille!$D$2,IF(R714&lt;=P714,Famille!$D$3,Famille!$D$4))))</f>
        <v/>
      </c>
    </row>
    <row r="715" spans="1:20" ht="12" customHeight="1" x14ac:dyDescent="0.2">
      <c r="A715" s="4" t="str">
        <f>IF(Produits!A596="","",Produits!A596)</f>
        <v/>
      </c>
      <c r="B715" s="4" t="str">
        <f>IF(Produits!B596="","",Produits!B596)</f>
        <v/>
      </c>
      <c r="C715" s="4" t="str">
        <f>IF(Produits!C596="","",Produits!C596)</f>
        <v/>
      </c>
      <c r="D715" s="4" t="str">
        <f>IF(Produits!D596="","",Produits!D596)</f>
        <v/>
      </c>
      <c r="E715" s="49" t="str">
        <f>IF(Produits!F596="","",Produits!F596)</f>
        <v/>
      </c>
      <c r="F715" s="50" t="str">
        <f>IF(Produits!H596="","",Produits!H596)</f>
        <v/>
      </c>
      <c r="H715" s="37"/>
      <c r="I715" s="2"/>
      <c r="J715" s="69">
        <f>SUM('Archives Entrées'!$N715:$AAV715)</f>
        <v>0</v>
      </c>
      <c r="K715" s="51" t="str">
        <f t="shared" si="45"/>
        <v>0,00€</v>
      </c>
      <c r="L715" s="69">
        <f>SUM('Archives Sorties'!$M715:$AAY715)</f>
        <v>0</v>
      </c>
      <c r="M715" s="51" t="str">
        <f t="shared" si="46"/>
        <v>0,00€</v>
      </c>
      <c r="P715" s="72"/>
      <c r="R715" s="185" t="str">
        <f t="shared" si="47"/>
        <v/>
      </c>
      <c r="S715" s="186" t="str">
        <f t="shared" si="48"/>
        <v/>
      </c>
      <c r="T715" s="187" t="str">
        <f>IF(R715="","",IF(O715=0,Famille!$D$5,IF(R715&lt;O715,Famille!$D$2,IF(R715&lt;=P715,Famille!$D$3,Famille!$D$4))))</f>
        <v/>
      </c>
    </row>
    <row r="716" spans="1:20" ht="12" customHeight="1" x14ac:dyDescent="0.2">
      <c r="A716" s="4" t="str">
        <f>IF(Produits!A597="","",Produits!A597)</f>
        <v/>
      </c>
      <c r="B716" s="4" t="str">
        <f>IF(Produits!B597="","",Produits!B597)</f>
        <v/>
      </c>
      <c r="C716" s="4" t="str">
        <f>IF(Produits!C597="","",Produits!C597)</f>
        <v/>
      </c>
      <c r="D716" s="4" t="str">
        <f>IF(Produits!D597="","",Produits!D597)</f>
        <v/>
      </c>
      <c r="E716" s="49" t="str">
        <f>IF(Produits!F597="","",Produits!F597)</f>
        <v/>
      </c>
      <c r="F716" s="50" t="str">
        <f>IF(Produits!H597="","",Produits!H597)</f>
        <v/>
      </c>
      <c r="H716" s="37"/>
      <c r="I716" s="2"/>
      <c r="J716" s="69">
        <f>SUM('Archives Entrées'!$N716:$AAV716)</f>
        <v>0</v>
      </c>
      <c r="K716" s="51" t="str">
        <f t="shared" si="45"/>
        <v>0,00€</v>
      </c>
      <c r="L716" s="69">
        <f>SUM('Archives Sorties'!$M716:$AAY716)</f>
        <v>0</v>
      </c>
      <c r="M716" s="51" t="str">
        <f t="shared" si="46"/>
        <v>0,00€</v>
      </c>
      <c r="P716" s="72"/>
      <c r="R716" s="185" t="str">
        <f t="shared" si="47"/>
        <v/>
      </c>
      <c r="S716" s="186" t="str">
        <f t="shared" si="48"/>
        <v/>
      </c>
      <c r="T716" s="187" t="str">
        <f>IF(R716="","",IF(O716=0,Famille!$D$5,IF(R716&lt;O716,Famille!$D$2,IF(R716&lt;=P716,Famille!$D$3,Famille!$D$4))))</f>
        <v/>
      </c>
    </row>
    <row r="717" spans="1:20" ht="12" customHeight="1" x14ac:dyDescent="0.2">
      <c r="A717" s="4" t="str">
        <f>IF(Produits!A598="","",Produits!A598)</f>
        <v/>
      </c>
      <c r="B717" s="4" t="str">
        <f>IF(Produits!B598="","",Produits!B598)</f>
        <v/>
      </c>
      <c r="C717" s="4" t="str">
        <f>IF(Produits!C598="","",Produits!C598)</f>
        <v/>
      </c>
      <c r="D717" s="4" t="str">
        <f>IF(Produits!D598="","",Produits!D598)</f>
        <v/>
      </c>
      <c r="E717" s="49" t="str">
        <f>IF(Produits!F598="","",Produits!F598)</f>
        <v/>
      </c>
      <c r="F717" s="50" t="str">
        <f>IF(Produits!H598="","",Produits!H598)</f>
        <v/>
      </c>
      <c r="H717" s="37"/>
      <c r="I717" s="2"/>
      <c r="J717" s="69">
        <f>SUM('Archives Entrées'!$N717:$AAV717)</f>
        <v>0</v>
      </c>
      <c r="K717" s="51" t="str">
        <f t="shared" si="45"/>
        <v>0,00€</v>
      </c>
      <c r="L717" s="69">
        <f>SUM('Archives Sorties'!$M717:$AAY717)</f>
        <v>0</v>
      </c>
      <c r="M717" s="51" t="str">
        <f t="shared" si="46"/>
        <v>0,00€</v>
      </c>
      <c r="P717" s="72"/>
      <c r="R717" s="185" t="str">
        <f t="shared" si="47"/>
        <v/>
      </c>
      <c r="S717" s="186" t="str">
        <f t="shared" si="48"/>
        <v/>
      </c>
      <c r="T717" s="187" t="str">
        <f>IF(R717="","",IF(O717=0,Famille!$D$5,IF(R717&lt;O717,Famille!$D$2,IF(R717&lt;=P717,Famille!$D$3,Famille!$D$4))))</f>
        <v/>
      </c>
    </row>
    <row r="718" spans="1:20" ht="12" customHeight="1" x14ac:dyDescent="0.2">
      <c r="A718" s="4" t="str">
        <f>IF(Produits!A599="","",Produits!A599)</f>
        <v/>
      </c>
      <c r="B718" s="4" t="str">
        <f>IF(Produits!B599="","",Produits!B599)</f>
        <v/>
      </c>
      <c r="C718" s="4" t="str">
        <f>IF(Produits!C599="","",Produits!C599)</f>
        <v/>
      </c>
      <c r="D718" s="4" t="str">
        <f>IF(Produits!D599="","",Produits!D599)</f>
        <v/>
      </c>
      <c r="E718" s="49" t="str">
        <f>IF(Produits!F599="","",Produits!F599)</f>
        <v/>
      </c>
      <c r="F718" s="50" t="str">
        <f>IF(Produits!H599="","",Produits!H599)</f>
        <v/>
      </c>
      <c r="H718" s="37"/>
      <c r="I718" s="2"/>
      <c r="J718" s="69">
        <f>SUM('Archives Entrées'!$N718:$AAV718)</f>
        <v>0</v>
      </c>
      <c r="K718" s="51" t="str">
        <f t="shared" si="45"/>
        <v>0,00€</v>
      </c>
      <c r="L718" s="69">
        <f>SUM('Archives Sorties'!$M718:$AAY718)</f>
        <v>0</v>
      </c>
      <c r="M718" s="51" t="str">
        <f t="shared" si="46"/>
        <v>0,00€</v>
      </c>
      <c r="P718" s="72"/>
      <c r="R718" s="185" t="str">
        <f t="shared" si="47"/>
        <v/>
      </c>
      <c r="S718" s="186" t="str">
        <f t="shared" si="48"/>
        <v/>
      </c>
      <c r="T718" s="187" t="str">
        <f>IF(R718="","",IF(O718=0,Famille!$D$5,IF(R718&lt;O718,Famille!$D$2,IF(R718&lt;=P718,Famille!$D$3,Famille!$D$4))))</f>
        <v/>
      </c>
    </row>
    <row r="719" spans="1:20" ht="12" customHeight="1" x14ac:dyDescent="0.2">
      <c r="A719" s="4" t="str">
        <f>IF(Produits!A600="","",Produits!A600)</f>
        <v/>
      </c>
      <c r="B719" s="4" t="str">
        <f>IF(Produits!B600="","",Produits!B600)</f>
        <v/>
      </c>
      <c r="C719" s="4" t="str">
        <f>IF(Produits!C600="","",Produits!C600)</f>
        <v/>
      </c>
      <c r="D719" s="4" t="str">
        <f>IF(Produits!D600="","",Produits!D600)</f>
        <v/>
      </c>
      <c r="E719" s="49" t="str">
        <f>IF(Produits!F600="","",Produits!F600)</f>
        <v/>
      </c>
      <c r="F719" s="50" t="str">
        <f>IF(Produits!H600="","",Produits!H600)</f>
        <v/>
      </c>
      <c r="H719" s="37"/>
      <c r="I719" s="2"/>
      <c r="J719" s="69">
        <f>SUM('Archives Entrées'!$N719:$AAV719)</f>
        <v>0</v>
      </c>
      <c r="K719" s="51" t="str">
        <f t="shared" si="45"/>
        <v>0,00€</v>
      </c>
      <c r="L719" s="69">
        <f>SUM('Archives Sorties'!$M719:$AAY719)</f>
        <v>0</v>
      </c>
      <c r="M719" s="51" t="str">
        <f t="shared" si="46"/>
        <v>0,00€</v>
      </c>
      <c r="P719" s="72"/>
      <c r="R719" s="185" t="str">
        <f t="shared" si="47"/>
        <v/>
      </c>
      <c r="S719" s="186" t="str">
        <f t="shared" si="48"/>
        <v/>
      </c>
      <c r="T719" s="187" t="str">
        <f>IF(R719="","",IF(O719=0,Famille!$D$5,IF(R719&lt;O719,Famille!$D$2,IF(R719&lt;=P719,Famille!$D$3,Famille!$D$4))))</f>
        <v/>
      </c>
    </row>
    <row r="720" spans="1:20" ht="12" customHeight="1" x14ac:dyDescent="0.2">
      <c r="A720" s="4" t="str">
        <f>IF(Produits!A601="","",Produits!A601)</f>
        <v/>
      </c>
      <c r="B720" s="4" t="str">
        <f>IF(Produits!B601="","",Produits!B601)</f>
        <v/>
      </c>
      <c r="C720" s="4" t="str">
        <f>IF(Produits!C601="","",Produits!C601)</f>
        <v/>
      </c>
      <c r="D720" s="4" t="str">
        <f>IF(Produits!D601="","",Produits!D601)</f>
        <v/>
      </c>
      <c r="E720" s="49" t="str">
        <f>IF(Produits!F601="","",Produits!F601)</f>
        <v/>
      </c>
      <c r="F720" s="50" t="str">
        <f>IF(Produits!H601="","",Produits!H601)</f>
        <v/>
      </c>
      <c r="H720" s="37"/>
      <c r="I720" s="2"/>
      <c r="J720" s="69">
        <f>SUM('Archives Entrées'!$N720:$AAV720)</f>
        <v>0</v>
      </c>
      <c r="K720" s="51" t="str">
        <f t="shared" si="45"/>
        <v>0,00€</v>
      </c>
      <c r="L720" s="69">
        <f>SUM('Archives Sorties'!$M720:$AAY720)</f>
        <v>0</v>
      </c>
      <c r="M720" s="51" t="str">
        <f t="shared" si="46"/>
        <v>0,00€</v>
      </c>
      <c r="P720" s="72"/>
      <c r="R720" s="185" t="str">
        <f t="shared" si="47"/>
        <v/>
      </c>
      <c r="S720" s="186" t="str">
        <f t="shared" si="48"/>
        <v/>
      </c>
      <c r="T720" s="187" t="str">
        <f>IF(R720="","",IF(O720=0,Famille!$D$5,IF(R720&lt;O720,Famille!$D$2,IF(R720&lt;=P720,Famille!$D$3,Famille!$D$4))))</f>
        <v/>
      </c>
    </row>
    <row r="721" spans="1:20" ht="12" customHeight="1" x14ac:dyDescent="0.2">
      <c r="A721" s="4" t="str">
        <f>IF(Produits!A602="","",Produits!A602)</f>
        <v/>
      </c>
      <c r="B721" s="4" t="str">
        <f>IF(Produits!B602="","",Produits!B602)</f>
        <v/>
      </c>
      <c r="C721" s="4" t="str">
        <f>IF(Produits!C602="","",Produits!C602)</f>
        <v/>
      </c>
      <c r="D721" s="4" t="str">
        <f>IF(Produits!D602="","",Produits!D602)</f>
        <v/>
      </c>
      <c r="E721" s="49" t="str">
        <f>IF(Produits!F602="","",Produits!F602)</f>
        <v/>
      </c>
      <c r="F721" s="50" t="str">
        <f>IF(Produits!H602="","",Produits!H602)</f>
        <v/>
      </c>
      <c r="H721" s="37"/>
      <c r="I721" s="2"/>
      <c r="J721" s="69">
        <f>SUM('Archives Entrées'!$N721:$AAV721)</f>
        <v>0</v>
      </c>
      <c r="K721" s="51" t="str">
        <f t="shared" si="45"/>
        <v>0,00€</v>
      </c>
      <c r="L721" s="69">
        <f>SUM('Archives Sorties'!$M721:$AAY721)</f>
        <v>0</v>
      </c>
      <c r="M721" s="51" t="str">
        <f t="shared" si="46"/>
        <v>0,00€</v>
      </c>
      <c r="P721" s="72"/>
      <c r="R721" s="185" t="str">
        <f t="shared" si="47"/>
        <v/>
      </c>
      <c r="S721" s="186" t="str">
        <f t="shared" si="48"/>
        <v/>
      </c>
      <c r="T721" s="187" t="str">
        <f>IF(R721="","",IF(O721=0,Famille!$D$5,IF(R721&lt;O721,Famille!$D$2,IF(R721&lt;=P721,Famille!$D$3,Famille!$D$4))))</f>
        <v/>
      </c>
    </row>
    <row r="722" spans="1:20" ht="12" customHeight="1" x14ac:dyDescent="0.2">
      <c r="A722" s="4" t="str">
        <f>IF(Produits!A603="","",Produits!A603)</f>
        <v/>
      </c>
      <c r="B722" s="4" t="str">
        <f>IF(Produits!B603="","",Produits!B603)</f>
        <v/>
      </c>
      <c r="C722" s="4" t="str">
        <f>IF(Produits!C603="","",Produits!C603)</f>
        <v/>
      </c>
      <c r="D722" s="4" t="str">
        <f>IF(Produits!D603="","",Produits!D603)</f>
        <v/>
      </c>
      <c r="E722" s="49" t="str">
        <f>IF(Produits!F603="","",Produits!F603)</f>
        <v/>
      </c>
      <c r="F722" s="50" t="str">
        <f>IF(Produits!H603="","",Produits!H603)</f>
        <v/>
      </c>
      <c r="H722" s="37"/>
      <c r="I722" s="2"/>
      <c r="J722" s="69">
        <f>SUM('Archives Entrées'!$N722:$AAV722)</f>
        <v>0</v>
      </c>
      <c r="K722" s="51" t="str">
        <f t="shared" si="45"/>
        <v>0,00€</v>
      </c>
      <c r="L722" s="69">
        <f>SUM('Archives Sorties'!$M722:$AAY722)</f>
        <v>0</v>
      </c>
      <c r="M722" s="51" t="str">
        <f t="shared" si="46"/>
        <v>0,00€</v>
      </c>
      <c r="P722" s="72"/>
      <c r="R722" s="185" t="str">
        <f t="shared" si="47"/>
        <v/>
      </c>
      <c r="S722" s="186" t="str">
        <f t="shared" si="48"/>
        <v/>
      </c>
      <c r="T722" s="187" t="str">
        <f>IF(R722="","",IF(O722=0,Famille!$D$5,IF(R722&lt;O722,Famille!$D$2,IF(R722&lt;=P722,Famille!$D$3,Famille!$D$4))))</f>
        <v/>
      </c>
    </row>
    <row r="723" spans="1:20" ht="12" customHeight="1" x14ac:dyDescent="0.2">
      <c r="A723" s="4" t="str">
        <f>IF(Produits!A604="","",Produits!A604)</f>
        <v/>
      </c>
      <c r="B723" s="4" t="str">
        <f>IF(Produits!B604="","",Produits!B604)</f>
        <v/>
      </c>
      <c r="C723" s="4" t="str">
        <f>IF(Produits!C604="","",Produits!C604)</f>
        <v/>
      </c>
      <c r="D723" s="4" t="str">
        <f>IF(Produits!D604="","",Produits!D604)</f>
        <v/>
      </c>
      <c r="E723" s="49" t="str">
        <f>IF(Produits!F604="","",Produits!F604)</f>
        <v/>
      </c>
      <c r="F723" s="50" t="str">
        <f>IF(Produits!H604="","",Produits!H604)</f>
        <v/>
      </c>
      <c r="H723" s="37"/>
      <c r="I723" s="2"/>
      <c r="J723" s="69">
        <f>SUM('Archives Entrées'!$N723:$AAV723)</f>
        <v>0</v>
      </c>
      <c r="K723" s="51" t="str">
        <f t="shared" si="45"/>
        <v>0,00€</v>
      </c>
      <c r="L723" s="69">
        <f>SUM('Archives Sorties'!$M723:$AAY723)</f>
        <v>0</v>
      </c>
      <c r="M723" s="51" t="str">
        <f t="shared" si="46"/>
        <v>0,00€</v>
      </c>
      <c r="P723" s="72"/>
      <c r="R723" s="185" t="str">
        <f t="shared" si="47"/>
        <v/>
      </c>
      <c r="S723" s="186" t="str">
        <f t="shared" si="48"/>
        <v/>
      </c>
      <c r="T723" s="187" t="str">
        <f>IF(R723="","",IF(O723=0,Famille!$D$5,IF(R723&lt;O723,Famille!$D$2,IF(R723&lt;=P723,Famille!$D$3,Famille!$D$4))))</f>
        <v/>
      </c>
    </row>
    <row r="724" spans="1:20" ht="12" customHeight="1" x14ac:dyDescent="0.2">
      <c r="A724" s="4" t="str">
        <f>IF(Produits!A605="","",Produits!A605)</f>
        <v/>
      </c>
      <c r="B724" s="4" t="str">
        <f>IF(Produits!B605="","",Produits!B605)</f>
        <v/>
      </c>
      <c r="C724" s="4" t="str">
        <f>IF(Produits!C605="","",Produits!C605)</f>
        <v/>
      </c>
      <c r="D724" s="4" t="str">
        <f>IF(Produits!D605="","",Produits!D605)</f>
        <v/>
      </c>
      <c r="E724" s="49" t="str">
        <f>IF(Produits!F605="","",Produits!F605)</f>
        <v/>
      </c>
      <c r="F724" s="50" t="str">
        <f>IF(Produits!H605="","",Produits!H605)</f>
        <v/>
      </c>
      <c r="H724" s="37"/>
      <c r="I724" s="2"/>
      <c r="J724" s="69">
        <f>SUM('Archives Entrées'!$N724:$AAV724)</f>
        <v>0</v>
      </c>
      <c r="K724" s="51" t="str">
        <f t="shared" si="45"/>
        <v>0,00€</v>
      </c>
      <c r="L724" s="69">
        <f>SUM('Archives Sorties'!$M724:$AAY724)</f>
        <v>0</v>
      </c>
      <c r="M724" s="51" t="str">
        <f t="shared" si="46"/>
        <v>0,00€</v>
      </c>
      <c r="P724" s="72"/>
      <c r="R724" s="185" t="str">
        <f t="shared" si="47"/>
        <v/>
      </c>
      <c r="S724" s="186" t="str">
        <f t="shared" si="48"/>
        <v/>
      </c>
      <c r="T724" s="187" t="str">
        <f>IF(R724="","",IF(O724=0,Famille!$D$5,IF(R724&lt;O724,Famille!$D$2,IF(R724&lt;=P724,Famille!$D$3,Famille!$D$4))))</f>
        <v/>
      </c>
    </row>
    <row r="725" spans="1:20" ht="12" customHeight="1" x14ac:dyDescent="0.2">
      <c r="A725" s="4" t="str">
        <f>IF(Produits!A606="","",Produits!A606)</f>
        <v/>
      </c>
      <c r="B725" s="4" t="str">
        <f>IF(Produits!B606="","",Produits!B606)</f>
        <v/>
      </c>
      <c r="C725" s="4" t="str">
        <f>IF(Produits!C606="","",Produits!C606)</f>
        <v/>
      </c>
      <c r="D725" s="4" t="str">
        <f>IF(Produits!D606="","",Produits!D606)</f>
        <v/>
      </c>
      <c r="E725" s="49" t="str">
        <f>IF(Produits!F606="","",Produits!F606)</f>
        <v/>
      </c>
      <c r="F725" s="50" t="str">
        <f>IF(Produits!H606="","",Produits!H606)</f>
        <v/>
      </c>
      <c r="H725" s="37"/>
      <c r="I725" s="2"/>
      <c r="J725" s="69">
        <f>SUM('Archives Entrées'!$N725:$AAV725)</f>
        <v>0</v>
      </c>
      <c r="K725" s="51" t="str">
        <f t="shared" si="45"/>
        <v>0,00€</v>
      </c>
      <c r="L725" s="69">
        <f>SUM('Archives Sorties'!$M725:$AAY725)</f>
        <v>0</v>
      </c>
      <c r="M725" s="51" t="str">
        <f t="shared" si="46"/>
        <v>0,00€</v>
      </c>
      <c r="P725" s="72"/>
      <c r="R725" s="185" t="str">
        <f t="shared" si="47"/>
        <v/>
      </c>
      <c r="S725" s="186" t="str">
        <f t="shared" si="48"/>
        <v/>
      </c>
      <c r="T725" s="187" t="str">
        <f>IF(R725="","",IF(O725=0,Famille!$D$5,IF(R725&lt;O725,Famille!$D$2,IF(R725&lt;=P725,Famille!$D$3,Famille!$D$4))))</f>
        <v/>
      </c>
    </row>
    <row r="726" spans="1:20" ht="12" customHeight="1" x14ac:dyDescent="0.2">
      <c r="A726" s="4" t="str">
        <f>IF(Produits!A607="","",Produits!A607)</f>
        <v/>
      </c>
      <c r="B726" s="4" t="str">
        <f>IF(Produits!B607="","",Produits!B607)</f>
        <v/>
      </c>
      <c r="C726" s="4" t="str">
        <f>IF(Produits!C607="","",Produits!C607)</f>
        <v/>
      </c>
      <c r="D726" s="4" t="str">
        <f>IF(Produits!D607="","",Produits!D607)</f>
        <v/>
      </c>
      <c r="E726" s="49" t="str">
        <f>IF(Produits!F607="","",Produits!F607)</f>
        <v/>
      </c>
      <c r="F726" s="50" t="str">
        <f>IF(Produits!H607="","",Produits!H607)</f>
        <v/>
      </c>
      <c r="H726" s="37"/>
      <c r="I726" s="2"/>
      <c r="J726" s="69">
        <f>SUM('Archives Entrées'!$N726:$AAV726)</f>
        <v>0</v>
      </c>
      <c r="K726" s="51" t="str">
        <f t="shared" si="45"/>
        <v>0,00€</v>
      </c>
      <c r="L726" s="69">
        <f>SUM('Archives Sorties'!$M726:$AAY726)</f>
        <v>0</v>
      </c>
      <c r="M726" s="51" t="str">
        <f t="shared" si="46"/>
        <v>0,00€</v>
      </c>
      <c r="P726" s="72"/>
      <c r="R726" s="185" t="str">
        <f t="shared" si="47"/>
        <v/>
      </c>
      <c r="S726" s="186" t="str">
        <f t="shared" si="48"/>
        <v/>
      </c>
      <c r="T726" s="187" t="str">
        <f>IF(R726="","",IF(O726=0,Famille!$D$5,IF(R726&lt;O726,Famille!$D$2,IF(R726&lt;=P726,Famille!$D$3,Famille!$D$4))))</f>
        <v/>
      </c>
    </row>
    <row r="727" spans="1:20" ht="12" customHeight="1" x14ac:dyDescent="0.2">
      <c r="A727" s="4" t="str">
        <f>IF(Produits!A608="","",Produits!A608)</f>
        <v/>
      </c>
      <c r="B727" s="4" t="str">
        <f>IF(Produits!B608="","",Produits!B608)</f>
        <v/>
      </c>
      <c r="C727" s="4" t="str">
        <f>IF(Produits!C608="","",Produits!C608)</f>
        <v/>
      </c>
      <c r="D727" s="4" t="str">
        <f>IF(Produits!D608="","",Produits!D608)</f>
        <v/>
      </c>
      <c r="E727" s="49" t="str">
        <f>IF(Produits!F608="","",Produits!F608)</f>
        <v/>
      </c>
      <c r="F727" s="50" t="str">
        <f>IF(Produits!H608="","",Produits!H608)</f>
        <v/>
      </c>
      <c r="H727" s="37"/>
      <c r="I727" s="2"/>
      <c r="J727" s="69">
        <f>SUM('Archives Entrées'!$N727:$AAV727)</f>
        <v>0</v>
      </c>
      <c r="K727" s="51" t="str">
        <f t="shared" si="45"/>
        <v>0,00€</v>
      </c>
      <c r="L727" s="69">
        <f>SUM('Archives Sorties'!$M727:$AAY727)</f>
        <v>0</v>
      </c>
      <c r="M727" s="51" t="str">
        <f t="shared" si="46"/>
        <v>0,00€</v>
      </c>
      <c r="P727" s="72"/>
      <c r="R727" s="185" t="str">
        <f t="shared" si="47"/>
        <v/>
      </c>
      <c r="S727" s="186" t="str">
        <f t="shared" si="48"/>
        <v/>
      </c>
      <c r="T727" s="187" t="str">
        <f>IF(R727="","",IF(O727=0,Famille!$D$5,IF(R727&lt;O727,Famille!$D$2,IF(R727&lt;=P727,Famille!$D$3,Famille!$D$4))))</f>
        <v/>
      </c>
    </row>
    <row r="728" spans="1:20" ht="12" customHeight="1" x14ac:dyDescent="0.2">
      <c r="A728" s="4" t="str">
        <f>IF(Produits!A609="","",Produits!A609)</f>
        <v/>
      </c>
      <c r="B728" s="4" t="str">
        <f>IF(Produits!B609="","",Produits!B609)</f>
        <v/>
      </c>
      <c r="C728" s="4" t="str">
        <f>IF(Produits!C609="","",Produits!C609)</f>
        <v/>
      </c>
      <c r="D728" s="4" t="str">
        <f>IF(Produits!D609="","",Produits!D609)</f>
        <v/>
      </c>
      <c r="E728" s="49" t="str">
        <f>IF(Produits!F609="","",Produits!F609)</f>
        <v/>
      </c>
      <c r="F728" s="50" t="str">
        <f>IF(Produits!H609="","",Produits!H609)</f>
        <v/>
      </c>
      <c r="H728" s="37"/>
      <c r="I728" s="2"/>
      <c r="J728" s="69">
        <f>SUM('Archives Entrées'!$N728:$AAV728)</f>
        <v>0</v>
      </c>
      <c r="K728" s="51" t="str">
        <f t="shared" si="45"/>
        <v>0,00€</v>
      </c>
      <c r="L728" s="69">
        <f>SUM('Archives Sorties'!$M728:$AAY728)</f>
        <v>0</v>
      </c>
      <c r="M728" s="51" t="str">
        <f t="shared" si="46"/>
        <v>0,00€</v>
      </c>
      <c r="P728" s="72"/>
      <c r="R728" s="185" t="str">
        <f t="shared" si="47"/>
        <v/>
      </c>
      <c r="S728" s="186" t="str">
        <f t="shared" si="48"/>
        <v/>
      </c>
      <c r="T728" s="187" t="str">
        <f>IF(R728="","",IF(O728=0,Famille!$D$5,IF(R728&lt;O728,Famille!$D$2,IF(R728&lt;=P728,Famille!$D$3,Famille!$D$4))))</f>
        <v/>
      </c>
    </row>
    <row r="729" spans="1:20" ht="12" customHeight="1" x14ac:dyDescent="0.2">
      <c r="A729" s="4" t="str">
        <f>IF(Produits!A610="","",Produits!A610)</f>
        <v/>
      </c>
      <c r="B729" s="4" t="str">
        <f>IF(Produits!B610="","",Produits!B610)</f>
        <v/>
      </c>
      <c r="C729" s="4" t="str">
        <f>IF(Produits!C610="","",Produits!C610)</f>
        <v/>
      </c>
      <c r="D729" s="4" t="str">
        <f>IF(Produits!D610="","",Produits!D610)</f>
        <v/>
      </c>
      <c r="E729" s="49" t="str">
        <f>IF(Produits!F610="","",Produits!F610)</f>
        <v/>
      </c>
      <c r="F729" s="50" t="str">
        <f>IF(Produits!H610="","",Produits!H610)</f>
        <v/>
      </c>
      <c r="H729" s="37"/>
      <c r="I729" s="2"/>
      <c r="J729" s="69">
        <f>SUM('Archives Entrées'!$N729:$AAV729)</f>
        <v>0</v>
      </c>
      <c r="K729" s="51" t="str">
        <f t="shared" si="45"/>
        <v>0,00€</v>
      </c>
      <c r="L729" s="69">
        <f>SUM('Archives Sorties'!$M729:$AAY729)</f>
        <v>0</v>
      </c>
      <c r="M729" s="51" t="str">
        <f t="shared" si="46"/>
        <v>0,00€</v>
      </c>
      <c r="P729" s="72"/>
      <c r="R729" s="185" t="str">
        <f t="shared" si="47"/>
        <v/>
      </c>
      <c r="S729" s="186" t="str">
        <f t="shared" si="48"/>
        <v/>
      </c>
      <c r="T729" s="187" t="str">
        <f>IF(R729="","",IF(O729=0,Famille!$D$5,IF(R729&lt;O729,Famille!$D$2,IF(R729&lt;=P729,Famille!$D$3,Famille!$D$4))))</f>
        <v/>
      </c>
    </row>
    <row r="730" spans="1:20" ht="12" customHeight="1" x14ac:dyDescent="0.2">
      <c r="A730" s="4" t="str">
        <f>IF(Produits!A611="","",Produits!A611)</f>
        <v/>
      </c>
      <c r="B730" s="4" t="str">
        <f>IF(Produits!B611="","",Produits!B611)</f>
        <v/>
      </c>
      <c r="C730" s="4" t="str">
        <f>IF(Produits!C611="","",Produits!C611)</f>
        <v/>
      </c>
      <c r="D730" s="4" t="str">
        <f>IF(Produits!D611="","",Produits!D611)</f>
        <v/>
      </c>
      <c r="E730" s="49" t="str">
        <f>IF(Produits!F611="","",Produits!F611)</f>
        <v/>
      </c>
      <c r="F730" s="50" t="str">
        <f>IF(Produits!H611="","",Produits!H611)</f>
        <v/>
      </c>
      <c r="H730" s="37"/>
      <c r="I730" s="2"/>
      <c r="J730" s="69">
        <f>SUM('Archives Entrées'!$N730:$AAV730)</f>
        <v>0</v>
      </c>
      <c r="K730" s="51" t="str">
        <f t="shared" si="45"/>
        <v>0,00€</v>
      </c>
      <c r="L730" s="69">
        <f>SUM('Archives Sorties'!$M730:$AAY730)</f>
        <v>0</v>
      </c>
      <c r="M730" s="51" t="str">
        <f t="shared" si="46"/>
        <v>0,00€</v>
      </c>
      <c r="P730" s="72"/>
      <c r="R730" s="185" t="str">
        <f t="shared" si="47"/>
        <v/>
      </c>
      <c r="S730" s="186" t="str">
        <f t="shared" si="48"/>
        <v/>
      </c>
      <c r="T730" s="187" t="str">
        <f>IF(R730="","",IF(O730=0,Famille!$D$5,IF(R730&lt;O730,Famille!$D$2,IF(R730&lt;=P730,Famille!$D$3,Famille!$D$4))))</f>
        <v/>
      </c>
    </row>
    <row r="731" spans="1:20" ht="12" customHeight="1" x14ac:dyDescent="0.2">
      <c r="A731" s="4" t="str">
        <f>IF(Produits!A612="","",Produits!A612)</f>
        <v/>
      </c>
      <c r="B731" s="4" t="str">
        <f>IF(Produits!B612="","",Produits!B612)</f>
        <v/>
      </c>
      <c r="C731" s="4" t="str">
        <f>IF(Produits!C612="","",Produits!C612)</f>
        <v/>
      </c>
      <c r="D731" s="4" t="str">
        <f>IF(Produits!D612="","",Produits!D612)</f>
        <v/>
      </c>
      <c r="E731" s="49" t="str">
        <f>IF(Produits!F612="","",Produits!F612)</f>
        <v/>
      </c>
      <c r="F731" s="50" t="str">
        <f>IF(Produits!H612="","",Produits!H612)</f>
        <v/>
      </c>
      <c r="H731" s="37"/>
      <c r="I731" s="2"/>
      <c r="J731" s="69">
        <f>SUM('Archives Entrées'!$N731:$AAV731)</f>
        <v>0</v>
      </c>
      <c r="K731" s="51" t="str">
        <f t="shared" si="45"/>
        <v>0,00€</v>
      </c>
      <c r="L731" s="69">
        <f>SUM('Archives Sorties'!$M731:$AAY731)</f>
        <v>0</v>
      </c>
      <c r="M731" s="51" t="str">
        <f t="shared" si="46"/>
        <v>0,00€</v>
      </c>
      <c r="P731" s="72"/>
      <c r="R731" s="185" t="str">
        <f t="shared" si="47"/>
        <v/>
      </c>
      <c r="S731" s="186" t="str">
        <f t="shared" si="48"/>
        <v/>
      </c>
      <c r="T731" s="187" t="str">
        <f>IF(R731="","",IF(O731=0,Famille!$D$5,IF(R731&lt;O731,Famille!$D$2,IF(R731&lt;=P731,Famille!$D$3,Famille!$D$4))))</f>
        <v/>
      </c>
    </row>
    <row r="732" spans="1:20" ht="12" customHeight="1" x14ac:dyDescent="0.2">
      <c r="A732" s="4" t="str">
        <f>IF(Produits!A613="","",Produits!A613)</f>
        <v/>
      </c>
      <c r="B732" s="4" t="str">
        <f>IF(Produits!B613="","",Produits!B613)</f>
        <v/>
      </c>
      <c r="C732" s="4" t="str">
        <f>IF(Produits!C613="","",Produits!C613)</f>
        <v/>
      </c>
      <c r="D732" s="4" t="str">
        <f>IF(Produits!D613="","",Produits!D613)</f>
        <v/>
      </c>
      <c r="E732" s="49" t="str">
        <f>IF(Produits!F613="","",Produits!F613)</f>
        <v/>
      </c>
      <c r="F732" s="50" t="str">
        <f>IF(Produits!H613="","",Produits!H613)</f>
        <v/>
      </c>
      <c r="H732" s="37"/>
      <c r="I732" s="2"/>
      <c r="J732" s="69">
        <f>SUM('Archives Entrées'!$N732:$AAV732)</f>
        <v>0</v>
      </c>
      <c r="K732" s="51" t="str">
        <f t="shared" si="45"/>
        <v>0,00€</v>
      </c>
      <c r="L732" s="69">
        <f>SUM('Archives Sorties'!$M732:$AAY732)</f>
        <v>0</v>
      </c>
      <c r="M732" s="51" t="str">
        <f t="shared" si="46"/>
        <v>0,00€</v>
      </c>
      <c r="P732" s="72"/>
      <c r="R732" s="185" t="str">
        <f t="shared" si="47"/>
        <v/>
      </c>
      <c r="S732" s="186" t="str">
        <f t="shared" si="48"/>
        <v/>
      </c>
      <c r="T732" s="187" t="str">
        <f>IF(R732="","",IF(O732=0,Famille!$D$5,IF(R732&lt;O732,Famille!$D$2,IF(R732&lt;=P732,Famille!$D$3,Famille!$D$4))))</f>
        <v/>
      </c>
    </row>
    <row r="733" spans="1:20" ht="12" customHeight="1" x14ac:dyDescent="0.2">
      <c r="A733" s="4" t="str">
        <f>IF(Produits!A614="","",Produits!A614)</f>
        <v/>
      </c>
      <c r="B733" s="4" t="str">
        <f>IF(Produits!B614="","",Produits!B614)</f>
        <v/>
      </c>
      <c r="C733" s="4" t="str">
        <f>IF(Produits!C614="","",Produits!C614)</f>
        <v/>
      </c>
      <c r="D733" s="4" t="str">
        <f>IF(Produits!D614="","",Produits!D614)</f>
        <v/>
      </c>
      <c r="E733" s="49" t="str">
        <f>IF(Produits!F614="","",Produits!F614)</f>
        <v/>
      </c>
      <c r="F733" s="50" t="str">
        <f>IF(Produits!H614="","",Produits!H614)</f>
        <v/>
      </c>
      <c r="H733" s="37"/>
      <c r="I733" s="2"/>
      <c r="J733" s="69">
        <f>SUM('Archives Entrées'!$N733:$AAV733)</f>
        <v>0</v>
      </c>
      <c r="K733" s="51" t="str">
        <f t="shared" si="45"/>
        <v>0,00€</v>
      </c>
      <c r="L733" s="69">
        <f>SUM('Archives Sorties'!$M733:$AAY733)</f>
        <v>0</v>
      </c>
      <c r="M733" s="51" t="str">
        <f t="shared" si="46"/>
        <v>0,00€</v>
      </c>
      <c r="P733" s="72"/>
      <c r="R733" s="185" t="str">
        <f t="shared" si="47"/>
        <v/>
      </c>
      <c r="S733" s="186" t="str">
        <f t="shared" si="48"/>
        <v/>
      </c>
      <c r="T733" s="187" t="str">
        <f>IF(R733="","",IF(O733=0,Famille!$D$5,IF(R733&lt;O733,Famille!$D$2,IF(R733&lt;=P733,Famille!$D$3,Famille!$D$4))))</f>
        <v/>
      </c>
    </row>
    <row r="734" spans="1:20" ht="12" customHeight="1" x14ac:dyDescent="0.2">
      <c r="A734" s="4" t="str">
        <f>IF(Produits!A615="","",Produits!A615)</f>
        <v/>
      </c>
      <c r="B734" s="4" t="str">
        <f>IF(Produits!B615="","",Produits!B615)</f>
        <v/>
      </c>
      <c r="C734" s="4" t="str">
        <f>IF(Produits!C615="","",Produits!C615)</f>
        <v/>
      </c>
      <c r="D734" s="4" t="str">
        <f>IF(Produits!D615="","",Produits!D615)</f>
        <v/>
      </c>
      <c r="E734" s="49" t="str">
        <f>IF(Produits!F615="","",Produits!F615)</f>
        <v/>
      </c>
      <c r="F734" s="50" t="str">
        <f>IF(Produits!H615="","",Produits!H615)</f>
        <v/>
      </c>
      <c r="H734" s="37"/>
      <c r="I734" s="2"/>
      <c r="J734" s="69">
        <f>SUM('Archives Entrées'!$N734:$AAV734)</f>
        <v>0</v>
      </c>
      <c r="K734" s="51" t="str">
        <f t="shared" si="45"/>
        <v>0,00€</v>
      </c>
      <c r="L734" s="69">
        <f>SUM('Archives Sorties'!$M734:$AAY734)</f>
        <v>0</v>
      </c>
      <c r="M734" s="51" t="str">
        <f t="shared" si="46"/>
        <v>0,00€</v>
      </c>
      <c r="P734" s="72"/>
      <c r="R734" s="185" t="str">
        <f t="shared" si="47"/>
        <v/>
      </c>
      <c r="S734" s="186" t="str">
        <f t="shared" si="48"/>
        <v/>
      </c>
      <c r="T734" s="187" t="str">
        <f>IF(R734="","",IF(O734=0,Famille!$D$5,IF(R734&lt;O734,Famille!$D$2,IF(R734&lt;=P734,Famille!$D$3,Famille!$D$4))))</f>
        <v/>
      </c>
    </row>
    <row r="735" spans="1:20" ht="12" customHeight="1" x14ac:dyDescent="0.2">
      <c r="A735" s="4" t="str">
        <f>IF(Produits!A616="","",Produits!A616)</f>
        <v/>
      </c>
      <c r="B735" s="4" t="str">
        <f>IF(Produits!B616="","",Produits!B616)</f>
        <v/>
      </c>
      <c r="C735" s="4" t="str">
        <f>IF(Produits!C616="","",Produits!C616)</f>
        <v/>
      </c>
      <c r="D735" s="4" t="str">
        <f>IF(Produits!D616="","",Produits!D616)</f>
        <v/>
      </c>
      <c r="E735" s="49" t="str">
        <f>IF(Produits!F616="","",Produits!F616)</f>
        <v/>
      </c>
      <c r="F735" s="50" t="str">
        <f>IF(Produits!H616="","",Produits!H616)</f>
        <v/>
      </c>
      <c r="H735" s="37"/>
      <c r="I735" s="2"/>
      <c r="J735" s="69">
        <f>SUM('Archives Entrées'!$N735:$AAV735)</f>
        <v>0</v>
      </c>
      <c r="K735" s="51" t="str">
        <f t="shared" si="45"/>
        <v>0,00€</v>
      </c>
      <c r="L735" s="69">
        <f>SUM('Archives Sorties'!$M735:$AAY735)</f>
        <v>0</v>
      </c>
      <c r="M735" s="51" t="str">
        <f t="shared" si="46"/>
        <v>0,00€</v>
      </c>
      <c r="P735" s="72"/>
      <c r="R735" s="185" t="str">
        <f t="shared" si="47"/>
        <v/>
      </c>
      <c r="S735" s="186" t="str">
        <f t="shared" si="48"/>
        <v/>
      </c>
      <c r="T735" s="187" t="str">
        <f>IF(R735="","",IF(O735=0,Famille!$D$5,IF(R735&lt;O735,Famille!$D$2,IF(R735&lt;=P735,Famille!$D$3,Famille!$D$4))))</f>
        <v/>
      </c>
    </row>
    <row r="736" spans="1:20" ht="12" customHeight="1" x14ac:dyDescent="0.2">
      <c r="A736" s="4" t="str">
        <f>IF(Produits!A617="","",Produits!A617)</f>
        <v/>
      </c>
      <c r="B736" s="4" t="str">
        <f>IF(Produits!B617="","",Produits!B617)</f>
        <v/>
      </c>
      <c r="C736" s="4" t="str">
        <f>IF(Produits!C617="","",Produits!C617)</f>
        <v/>
      </c>
      <c r="D736" s="4" t="str">
        <f>IF(Produits!D617="","",Produits!D617)</f>
        <v/>
      </c>
      <c r="E736" s="49" t="str">
        <f>IF(Produits!F617="","",Produits!F617)</f>
        <v/>
      </c>
      <c r="F736" s="50" t="str">
        <f>IF(Produits!H617="","",Produits!H617)</f>
        <v/>
      </c>
      <c r="H736" s="37"/>
      <c r="I736" s="2"/>
      <c r="J736" s="69">
        <f>SUM('Archives Entrées'!$N736:$AAV736)</f>
        <v>0</v>
      </c>
      <c r="K736" s="51" t="str">
        <f t="shared" si="45"/>
        <v>0,00€</v>
      </c>
      <c r="L736" s="69">
        <f>SUM('Archives Sorties'!$M736:$AAY736)</f>
        <v>0</v>
      </c>
      <c r="M736" s="51" t="str">
        <f t="shared" si="46"/>
        <v>0,00€</v>
      </c>
      <c r="P736" s="72"/>
      <c r="R736" s="185" t="str">
        <f t="shared" si="47"/>
        <v/>
      </c>
      <c r="S736" s="186" t="str">
        <f t="shared" si="48"/>
        <v/>
      </c>
      <c r="T736" s="187" t="str">
        <f>IF(R736="","",IF(O736=0,Famille!$D$5,IF(R736&lt;O736,Famille!$D$2,IF(R736&lt;=P736,Famille!$D$3,Famille!$D$4))))</f>
        <v/>
      </c>
    </row>
    <row r="737" spans="1:20" ht="12" customHeight="1" x14ac:dyDescent="0.2">
      <c r="A737" s="4" t="str">
        <f>IF(Produits!A618="","",Produits!A618)</f>
        <v/>
      </c>
      <c r="B737" s="4" t="str">
        <f>IF(Produits!B618="","",Produits!B618)</f>
        <v/>
      </c>
      <c r="C737" s="4" t="str">
        <f>IF(Produits!C618="","",Produits!C618)</f>
        <v/>
      </c>
      <c r="D737" s="4" t="str">
        <f>IF(Produits!D618="","",Produits!D618)</f>
        <v/>
      </c>
      <c r="E737" s="49" t="str">
        <f>IF(Produits!F618="","",Produits!F618)</f>
        <v/>
      </c>
      <c r="F737" s="50" t="str">
        <f>IF(Produits!H618="","",Produits!H618)</f>
        <v/>
      </c>
      <c r="H737" s="37"/>
      <c r="I737" s="2"/>
      <c r="J737" s="69">
        <f>SUM('Archives Entrées'!$N737:$AAV737)</f>
        <v>0</v>
      </c>
      <c r="K737" s="51" t="str">
        <f t="shared" si="45"/>
        <v>0,00€</v>
      </c>
      <c r="L737" s="69">
        <f>SUM('Archives Sorties'!$M737:$AAY737)</f>
        <v>0</v>
      </c>
      <c r="M737" s="51" t="str">
        <f t="shared" si="46"/>
        <v>0,00€</v>
      </c>
      <c r="P737" s="72"/>
      <c r="R737" s="185" t="str">
        <f t="shared" si="47"/>
        <v/>
      </c>
      <c r="S737" s="186" t="str">
        <f t="shared" si="48"/>
        <v/>
      </c>
      <c r="T737" s="187" t="str">
        <f>IF(R737="","",IF(O737=0,Famille!$D$5,IF(R737&lt;O737,Famille!$D$2,IF(R737&lt;=P737,Famille!$D$3,Famille!$D$4))))</f>
        <v/>
      </c>
    </row>
    <row r="738" spans="1:20" ht="12" customHeight="1" x14ac:dyDescent="0.2">
      <c r="A738" s="4" t="str">
        <f>IF(Produits!A619="","",Produits!A619)</f>
        <v/>
      </c>
      <c r="B738" s="4" t="str">
        <f>IF(Produits!B619="","",Produits!B619)</f>
        <v/>
      </c>
      <c r="C738" s="4" t="str">
        <f>IF(Produits!C619="","",Produits!C619)</f>
        <v/>
      </c>
      <c r="D738" s="4" t="str">
        <f>IF(Produits!D619="","",Produits!D619)</f>
        <v/>
      </c>
      <c r="E738" s="49" t="str">
        <f>IF(Produits!F619="","",Produits!F619)</f>
        <v/>
      </c>
      <c r="F738" s="50" t="str">
        <f>IF(Produits!H619="","",Produits!H619)</f>
        <v/>
      </c>
      <c r="H738" s="37"/>
      <c r="I738" s="2"/>
      <c r="J738" s="69">
        <f>SUM('Archives Entrées'!$N738:$AAV738)</f>
        <v>0</v>
      </c>
      <c r="K738" s="51" t="str">
        <f t="shared" si="45"/>
        <v>0,00€</v>
      </c>
      <c r="L738" s="69">
        <f>SUM('Archives Sorties'!$M738:$AAY738)</f>
        <v>0</v>
      </c>
      <c r="M738" s="51" t="str">
        <f t="shared" si="46"/>
        <v>0,00€</v>
      </c>
      <c r="P738" s="72"/>
      <c r="R738" s="185" t="str">
        <f t="shared" si="47"/>
        <v/>
      </c>
      <c r="S738" s="186" t="str">
        <f t="shared" si="48"/>
        <v/>
      </c>
      <c r="T738" s="187" t="str">
        <f>IF(R738="","",IF(O738=0,Famille!$D$5,IF(R738&lt;O738,Famille!$D$2,IF(R738&lt;=P738,Famille!$D$3,Famille!$D$4))))</f>
        <v/>
      </c>
    </row>
    <row r="739" spans="1:20" ht="12" customHeight="1" x14ac:dyDescent="0.2">
      <c r="A739" s="4" t="str">
        <f>IF(Produits!A620="","",Produits!A620)</f>
        <v/>
      </c>
      <c r="B739" s="4" t="str">
        <f>IF(Produits!B620="","",Produits!B620)</f>
        <v/>
      </c>
      <c r="C739" s="4" t="str">
        <f>IF(Produits!C620="","",Produits!C620)</f>
        <v/>
      </c>
      <c r="D739" s="4" t="str">
        <f>IF(Produits!D620="","",Produits!D620)</f>
        <v/>
      </c>
      <c r="E739" s="49" t="str">
        <f>IF(Produits!F620="","",Produits!F620)</f>
        <v/>
      </c>
      <c r="F739" s="50" t="str">
        <f>IF(Produits!H620="","",Produits!H620)</f>
        <v/>
      </c>
      <c r="H739" s="37"/>
      <c r="I739" s="2"/>
      <c r="J739" s="69">
        <f>SUM('Archives Entrées'!$N739:$AAV739)</f>
        <v>0</v>
      </c>
      <c r="K739" s="51" t="str">
        <f t="shared" si="45"/>
        <v>0,00€</v>
      </c>
      <c r="L739" s="69">
        <f>SUM('Archives Sorties'!$M739:$AAY739)</f>
        <v>0</v>
      </c>
      <c r="M739" s="51" t="str">
        <f t="shared" si="46"/>
        <v>0,00€</v>
      </c>
      <c r="P739" s="72"/>
      <c r="R739" s="185" t="str">
        <f t="shared" si="47"/>
        <v/>
      </c>
      <c r="S739" s="186" t="str">
        <f t="shared" si="48"/>
        <v/>
      </c>
      <c r="T739" s="187" t="str">
        <f>IF(R739="","",IF(O739=0,Famille!$D$5,IF(R739&lt;O739,Famille!$D$2,IF(R739&lt;=P739,Famille!$D$3,Famille!$D$4))))</f>
        <v/>
      </c>
    </row>
    <row r="740" spans="1:20" ht="12" customHeight="1" x14ac:dyDescent="0.2">
      <c r="A740" s="4" t="str">
        <f>IF(Produits!A621="","",Produits!A621)</f>
        <v/>
      </c>
      <c r="B740" s="4" t="str">
        <f>IF(Produits!B621="","",Produits!B621)</f>
        <v/>
      </c>
      <c r="C740" s="4" t="str">
        <f>IF(Produits!C621="","",Produits!C621)</f>
        <v/>
      </c>
      <c r="D740" s="4" t="str">
        <f>IF(Produits!D621="","",Produits!D621)</f>
        <v/>
      </c>
      <c r="E740" s="49" t="str">
        <f>IF(Produits!F621="","",Produits!F621)</f>
        <v/>
      </c>
      <c r="F740" s="50" t="str">
        <f>IF(Produits!H621="","",Produits!H621)</f>
        <v/>
      </c>
      <c r="H740" s="37"/>
      <c r="I740" s="2"/>
      <c r="J740" s="69">
        <f>SUM('Archives Entrées'!$N740:$AAV740)</f>
        <v>0</v>
      </c>
      <c r="K740" s="51" t="str">
        <f t="shared" si="45"/>
        <v>0,00€</v>
      </c>
      <c r="L740" s="69">
        <f>SUM('Archives Sorties'!$M740:$AAY740)</f>
        <v>0</v>
      </c>
      <c r="M740" s="51" t="str">
        <f t="shared" si="46"/>
        <v>0,00€</v>
      </c>
      <c r="P740" s="72"/>
      <c r="R740" s="185" t="str">
        <f t="shared" si="47"/>
        <v/>
      </c>
      <c r="S740" s="186" t="str">
        <f t="shared" si="48"/>
        <v/>
      </c>
      <c r="T740" s="187" t="str">
        <f>IF(R740="","",IF(O740=0,Famille!$D$5,IF(R740&lt;O740,Famille!$D$2,IF(R740&lt;=P740,Famille!$D$3,Famille!$D$4))))</f>
        <v/>
      </c>
    </row>
    <row r="741" spans="1:20" ht="12" customHeight="1" x14ac:dyDescent="0.2">
      <c r="A741" s="4" t="str">
        <f>IF(Produits!A622="","",Produits!A622)</f>
        <v/>
      </c>
      <c r="B741" s="4" t="str">
        <f>IF(Produits!B622="","",Produits!B622)</f>
        <v/>
      </c>
      <c r="C741" s="4" t="str">
        <f>IF(Produits!C622="","",Produits!C622)</f>
        <v/>
      </c>
      <c r="D741" s="4" t="str">
        <f>IF(Produits!D622="","",Produits!D622)</f>
        <v/>
      </c>
      <c r="E741" s="49" t="str">
        <f>IF(Produits!F622="","",Produits!F622)</f>
        <v/>
      </c>
      <c r="F741" s="50" t="str">
        <f>IF(Produits!H622="","",Produits!H622)</f>
        <v/>
      </c>
      <c r="H741" s="37"/>
      <c r="I741" s="2"/>
      <c r="J741" s="69">
        <f>SUM('Archives Entrées'!$N741:$AAV741)</f>
        <v>0</v>
      </c>
      <c r="K741" s="51" t="str">
        <f t="shared" si="45"/>
        <v>0,00€</v>
      </c>
      <c r="L741" s="69">
        <f>SUM('Archives Sorties'!$M741:$AAY741)</f>
        <v>0</v>
      </c>
      <c r="M741" s="51" t="str">
        <f t="shared" si="46"/>
        <v>0,00€</v>
      </c>
      <c r="P741" s="72"/>
      <c r="R741" s="185" t="str">
        <f t="shared" si="47"/>
        <v/>
      </c>
      <c r="S741" s="186" t="str">
        <f t="shared" si="48"/>
        <v/>
      </c>
      <c r="T741" s="187" t="str">
        <f>IF(R741="","",IF(O741=0,Famille!$D$5,IF(R741&lt;O741,Famille!$D$2,IF(R741&lt;=P741,Famille!$D$3,Famille!$D$4))))</f>
        <v/>
      </c>
    </row>
    <row r="742" spans="1:20" ht="12" customHeight="1" x14ac:dyDescent="0.2">
      <c r="A742" s="4" t="str">
        <f>IF(Produits!A623="","",Produits!A623)</f>
        <v/>
      </c>
      <c r="B742" s="4" t="str">
        <f>IF(Produits!B623="","",Produits!B623)</f>
        <v/>
      </c>
      <c r="C742" s="4" t="str">
        <f>IF(Produits!C623="","",Produits!C623)</f>
        <v/>
      </c>
      <c r="D742" s="4" t="str">
        <f>IF(Produits!D623="","",Produits!D623)</f>
        <v/>
      </c>
      <c r="E742" s="49" t="str">
        <f>IF(Produits!F623="","",Produits!F623)</f>
        <v/>
      </c>
      <c r="F742" s="50" t="str">
        <f>IF(Produits!H623="","",Produits!H623)</f>
        <v/>
      </c>
      <c r="H742" s="37"/>
      <c r="I742" s="2"/>
      <c r="J742" s="69">
        <f>SUM('Archives Entrées'!$N742:$AAV742)</f>
        <v>0</v>
      </c>
      <c r="K742" s="51" t="str">
        <f t="shared" si="45"/>
        <v>0,00€</v>
      </c>
      <c r="L742" s="69">
        <f>SUM('Archives Sorties'!$M742:$AAY742)</f>
        <v>0</v>
      </c>
      <c r="M742" s="51" t="str">
        <f t="shared" si="46"/>
        <v>0,00€</v>
      </c>
      <c r="P742" s="72"/>
      <c r="R742" s="185" t="str">
        <f t="shared" si="47"/>
        <v/>
      </c>
      <c r="S742" s="186" t="str">
        <f t="shared" si="48"/>
        <v/>
      </c>
      <c r="T742" s="187" t="str">
        <f>IF(R742="","",IF(O742=0,Famille!$D$5,IF(R742&lt;O742,Famille!$D$2,IF(R742&lt;=P742,Famille!$D$3,Famille!$D$4))))</f>
        <v/>
      </c>
    </row>
    <row r="743" spans="1:20" ht="12" customHeight="1" x14ac:dyDescent="0.2">
      <c r="A743" s="4" t="str">
        <f>IF(Produits!A624="","",Produits!A624)</f>
        <v/>
      </c>
      <c r="B743" s="4" t="str">
        <f>IF(Produits!B624="","",Produits!B624)</f>
        <v/>
      </c>
      <c r="C743" s="4" t="str">
        <f>IF(Produits!C624="","",Produits!C624)</f>
        <v/>
      </c>
      <c r="D743" s="4" t="str">
        <f>IF(Produits!D624="","",Produits!D624)</f>
        <v/>
      </c>
      <c r="E743" s="49" t="str">
        <f>IF(Produits!F624="","",Produits!F624)</f>
        <v/>
      </c>
      <c r="F743" s="50" t="str">
        <f>IF(Produits!H624="","",Produits!H624)</f>
        <v/>
      </c>
      <c r="H743" s="37"/>
      <c r="I743" s="2"/>
      <c r="J743" s="69">
        <f>SUM('Archives Entrées'!$N743:$AAV743)</f>
        <v>0</v>
      </c>
      <c r="K743" s="51" t="str">
        <f t="shared" si="45"/>
        <v>0,00€</v>
      </c>
      <c r="L743" s="69">
        <f>SUM('Archives Sorties'!$M743:$AAY743)</f>
        <v>0</v>
      </c>
      <c r="M743" s="51" t="str">
        <f t="shared" si="46"/>
        <v>0,00€</v>
      </c>
      <c r="P743" s="72"/>
      <c r="R743" s="185" t="str">
        <f t="shared" si="47"/>
        <v/>
      </c>
      <c r="S743" s="186" t="str">
        <f t="shared" si="48"/>
        <v/>
      </c>
      <c r="T743" s="187" t="str">
        <f>IF(R743="","",IF(O743=0,Famille!$D$5,IF(R743&lt;O743,Famille!$D$2,IF(R743&lt;=P743,Famille!$D$3,Famille!$D$4))))</f>
        <v/>
      </c>
    </row>
    <row r="744" spans="1:20" ht="12" customHeight="1" x14ac:dyDescent="0.2">
      <c r="A744" s="4" t="str">
        <f>IF(Produits!A625="","",Produits!A625)</f>
        <v/>
      </c>
      <c r="B744" s="4" t="str">
        <f>IF(Produits!B625="","",Produits!B625)</f>
        <v/>
      </c>
      <c r="C744" s="4" t="str">
        <f>IF(Produits!C625="","",Produits!C625)</f>
        <v/>
      </c>
      <c r="D744" s="4" t="str">
        <f>IF(Produits!D625="","",Produits!D625)</f>
        <v/>
      </c>
      <c r="E744" s="49" t="str">
        <f>IF(Produits!F625="","",Produits!F625)</f>
        <v/>
      </c>
      <c r="F744" s="50" t="str">
        <f>IF(Produits!H625="","",Produits!H625)</f>
        <v/>
      </c>
      <c r="H744" s="37"/>
      <c r="I744" s="2"/>
      <c r="J744" s="69">
        <f>SUM('Archives Entrées'!$N744:$AAV744)</f>
        <v>0</v>
      </c>
      <c r="K744" s="51" t="str">
        <f t="shared" si="45"/>
        <v>0,00€</v>
      </c>
      <c r="L744" s="69">
        <f>SUM('Archives Sorties'!$M744:$AAY744)</f>
        <v>0</v>
      </c>
      <c r="M744" s="51" t="str">
        <f t="shared" si="46"/>
        <v>0,00€</v>
      </c>
      <c r="P744" s="72"/>
      <c r="R744" s="185" t="str">
        <f t="shared" si="47"/>
        <v/>
      </c>
      <c r="S744" s="186" t="str">
        <f t="shared" si="48"/>
        <v/>
      </c>
      <c r="T744" s="187" t="str">
        <f>IF(R744="","",IF(O744=0,Famille!$D$5,IF(R744&lt;O744,Famille!$D$2,IF(R744&lt;=P744,Famille!$D$3,Famille!$D$4))))</f>
        <v/>
      </c>
    </row>
    <row r="745" spans="1:20" ht="12" customHeight="1" x14ac:dyDescent="0.2">
      <c r="A745" s="4" t="str">
        <f>IF(Produits!A626="","",Produits!A626)</f>
        <v/>
      </c>
      <c r="B745" s="4" t="str">
        <f>IF(Produits!B626="","",Produits!B626)</f>
        <v/>
      </c>
      <c r="C745" s="4" t="str">
        <f>IF(Produits!C626="","",Produits!C626)</f>
        <v/>
      </c>
      <c r="D745" s="4" t="str">
        <f>IF(Produits!D626="","",Produits!D626)</f>
        <v/>
      </c>
      <c r="E745" s="49" t="str">
        <f>IF(Produits!F626="","",Produits!F626)</f>
        <v/>
      </c>
      <c r="F745" s="50" t="str">
        <f>IF(Produits!H626="","",Produits!H626)</f>
        <v/>
      </c>
      <c r="H745" s="37"/>
      <c r="I745" s="2"/>
      <c r="J745" s="69">
        <f>SUM('Archives Entrées'!$N745:$AAV745)</f>
        <v>0</v>
      </c>
      <c r="K745" s="51" t="str">
        <f t="shared" si="45"/>
        <v>0,00€</v>
      </c>
      <c r="L745" s="69">
        <f>SUM('Archives Sorties'!$M745:$AAY745)</f>
        <v>0</v>
      </c>
      <c r="M745" s="51" t="str">
        <f t="shared" si="46"/>
        <v>0,00€</v>
      </c>
      <c r="P745" s="72"/>
      <c r="R745" s="185" t="str">
        <f t="shared" si="47"/>
        <v/>
      </c>
      <c r="S745" s="186" t="str">
        <f t="shared" si="48"/>
        <v/>
      </c>
      <c r="T745" s="187" t="str">
        <f>IF(R745="","",IF(O745=0,Famille!$D$5,IF(R745&lt;O745,Famille!$D$2,IF(R745&lt;=P745,Famille!$D$3,Famille!$D$4))))</f>
        <v/>
      </c>
    </row>
    <row r="746" spans="1:20" ht="12" customHeight="1" x14ac:dyDescent="0.2">
      <c r="A746" s="4" t="str">
        <f>IF(Produits!A627="","",Produits!A627)</f>
        <v/>
      </c>
      <c r="B746" s="4" t="str">
        <f>IF(Produits!B627="","",Produits!B627)</f>
        <v/>
      </c>
      <c r="C746" s="4" t="str">
        <f>IF(Produits!C627="","",Produits!C627)</f>
        <v/>
      </c>
      <c r="D746" s="4" t="str">
        <f>IF(Produits!D627="","",Produits!D627)</f>
        <v/>
      </c>
      <c r="E746" s="49" t="str">
        <f>IF(Produits!F627="","",Produits!F627)</f>
        <v/>
      </c>
      <c r="F746" s="50" t="str">
        <f>IF(Produits!H627="","",Produits!H627)</f>
        <v/>
      </c>
      <c r="H746" s="37"/>
      <c r="I746" s="2"/>
      <c r="J746" s="69">
        <f>SUM('Archives Entrées'!$N746:$AAV746)</f>
        <v>0</v>
      </c>
      <c r="K746" s="51" t="str">
        <f t="shared" si="45"/>
        <v>0,00€</v>
      </c>
      <c r="L746" s="69">
        <f>SUM('Archives Sorties'!$M746:$AAY746)</f>
        <v>0</v>
      </c>
      <c r="M746" s="51" t="str">
        <f t="shared" si="46"/>
        <v>0,00€</v>
      </c>
      <c r="P746" s="72"/>
      <c r="R746" s="185" t="str">
        <f t="shared" si="47"/>
        <v/>
      </c>
      <c r="S746" s="186" t="str">
        <f t="shared" si="48"/>
        <v/>
      </c>
      <c r="T746" s="187" t="str">
        <f>IF(R746="","",IF(O746=0,Famille!$D$5,IF(R746&lt;O746,Famille!$D$2,IF(R746&lt;=P746,Famille!$D$3,Famille!$D$4))))</f>
        <v/>
      </c>
    </row>
    <row r="747" spans="1:20" ht="12" customHeight="1" x14ac:dyDescent="0.2">
      <c r="A747" s="4" t="str">
        <f>IF(Produits!A628="","",Produits!A628)</f>
        <v/>
      </c>
      <c r="B747" s="4" t="str">
        <f>IF(Produits!B628="","",Produits!B628)</f>
        <v/>
      </c>
      <c r="C747" s="4" t="str">
        <f>IF(Produits!C628="","",Produits!C628)</f>
        <v/>
      </c>
      <c r="D747" s="4" t="str">
        <f>IF(Produits!D628="","",Produits!D628)</f>
        <v/>
      </c>
      <c r="E747" s="49" t="str">
        <f>IF(Produits!F628="","",Produits!F628)</f>
        <v/>
      </c>
      <c r="F747" s="50" t="str">
        <f>IF(Produits!H628="","",Produits!H628)</f>
        <v/>
      </c>
      <c r="H747" s="37"/>
      <c r="I747" s="2"/>
      <c r="J747" s="69">
        <f>SUM('Archives Entrées'!$N747:$AAV747)</f>
        <v>0</v>
      </c>
      <c r="K747" s="51" t="str">
        <f t="shared" si="45"/>
        <v>0,00€</v>
      </c>
      <c r="L747" s="69">
        <f>SUM('Archives Sorties'!$M747:$AAY747)</f>
        <v>0</v>
      </c>
      <c r="M747" s="51" t="str">
        <f t="shared" si="46"/>
        <v>0,00€</v>
      </c>
      <c r="P747" s="72"/>
      <c r="R747" s="185" t="str">
        <f t="shared" si="47"/>
        <v/>
      </c>
      <c r="S747" s="186" t="str">
        <f t="shared" si="48"/>
        <v/>
      </c>
      <c r="T747" s="187" t="str">
        <f>IF(R747="","",IF(O747=0,Famille!$D$5,IF(R747&lt;O747,Famille!$D$2,IF(R747&lt;=P747,Famille!$D$3,Famille!$D$4))))</f>
        <v/>
      </c>
    </row>
    <row r="748" spans="1:20" ht="12" customHeight="1" x14ac:dyDescent="0.2">
      <c r="A748" s="4" t="str">
        <f>IF(Produits!A629="","",Produits!A629)</f>
        <v/>
      </c>
      <c r="B748" s="4" t="str">
        <f>IF(Produits!B629="","",Produits!B629)</f>
        <v/>
      </c>
      <c r="C748" s="4" t="str">
        <f>IF(Produits!C629="","",Produits!C629)</f>
        <v/>
      </c>
      <c r="D748" s="4" t="str">
        <f>IF(Produits!D629="","",Produits!D629)</f>
        <v/>
      </c>
      <c r="E748" s="49" t="str">
        <f>IF(Produits!F629="","",Produits!F629)</f>
        <v/>
      </c>
      <c r="F748" s="50" t="str">
        <f>IF(Produits!H629="","",Produits!H629)</f>
        <v/>
      </c>
      <c r="H748" s="37"/>
      <c r="I748" s="2"/>
      <c r="J748" s="69">
        <f>SUM('Archives Entrées'!$N748:$AAV748)</f>
        <v>0</v>
      </c>
      <c r="K748" s="51" t="str">
        <f t="shared" si="45"/>
        <v>0,00€</v>
      </c>
      <c r="L748" s="69">
        <f>SUM('Archives Sorties'!$M748:$AAY748)</f>
        <v>0</v>
      </c>
      <c r="M748" s="51" t="str">
        <f t="shared" si="46"/>
        <v>0,00€</v>
      </c>
      <c r="P748" s="72"/>
      <c r="R748" s="185" t="str">
        <f t="shared" si="47"/>
        <v/>
      </c>
      <c r="S748" s="186" t="str">
        <f t="shared" si="48"/>
        <v/>
      </c>
      <c r="T748" s="187" t="str">
        <f>IF(R748="","",IF(O748=0,Famille!$D$5,IF(R748&lt;O748,Famille!$D$2,IF(R748&lt;=P748,Famille!$D$3,Famille!$D$4))))</f>
        <v/>
      </c>
    </row>
    <row r="749" spans="1:20" ht="12" customHeight="1" x14ac:dyDescent="0.2">
      <c r="A749" s="4" t="str">
        <f>IF(Produits!A630="","",Produits!A630)</f>
        <v/>
      </c>
      <c r="B749" s="4" t="str">
        <f>IF(Produits!B630="","",Produits!B630)</f>
        <v/>
      </c>
      <c r="C749" s="4" t="str">
        <f>IF(Produits!C630="","",Produits!C630)</f>
        <v/>
      </c>
      <c r="D749" s="4" t="str">
        <f>IF(Produits!D630="","",Produits!D630)</f>
        <v/>
      </c>
      <c r="E749" s="49" t="str">
        <f>IF(Produits!F630="","",Produits!F630)</f>
        <v/>
      </c>
      <c r="F749" s="50" t="str">
        <f>IF(Produits!H630="","",Produits!H630)</f>
        <v/>
      </c>
      <c r="H749" s="37"/>
      <c r="I749" s="2"/>
      <c r="J749" s="69">
        <f>SUM('Archives Entrées'!$N749:$AAV749)</f>
        <v>0</v>
      </c>
      <c r="K749" s="51" t="str">
        <f t="shared" si="45"/>
        <v>0,00€</v>
      </c>
      <c r="L749" s="69">
        <f>SUM('Archives Sorties'!$M749:$AAY749)</f>
        <v>0</v>
      </c>
      <c r="M749" s="51" t="str">
        <f t="shared" si="46"/>
        <v>0,00€</v>
      </c>
      <c r="P749" s="72"/>
      <c r="R749" s="185" t="str">
        <f t="shared" si="47"/>
        <v/>
      </c>
      <c r="S749" s="186" t="str">
        <f t="shared" si="48"/>
        <v/>
      </c>
      <c r="T749" s="187" t="str">
        <f>IF(R749="","",IF(O749=0,Famille!$D$5,IF(R749&lt;O749,Famille!$D$2,IF(R749&lt;=P749,Famille!$D$3,Famille!$D$4))))</f>
        <v/>
      </c>
    </row>
    <row r="750" spans="1:20" ht="12" customHeight="1" x14ac:dyDescent="0.2">
      <c r="A750" s="4" t="str">
        <f>IF(Produits!A631="","",Produits!A631)</f>
        <v/>
      </c>
      <c r="B750" s="4" t="str">
        <f>IF(Produits!B631="","",Produits!B631)</f>
        <v/>
      </c>
      <c r="C750" s="4" t="str">
        <f>IF(Produits!C631="","",Produits!C631)</f>
        <v/>
      </c>
      <c r="D750" s="4" t="str">
        <f>IF(Produits!D631="","",Produits!D631)</f>
        <v/>
      </c>
      <c r="E750" s="49" t="str">
        <f>IF(Produits!F631="","",Produits!F631)</f>
        <v/>
      </c>
      <c r="F750" s="50" t="str">
        <f>IF(Produits!H631="","",Produits!H631)</f>
        <v/>
      </c>
      <c r="H750" s="37"/>
      <c r="I750" s="2"/>
      <c r="J750" s="69">
        <f>SUM('Archives Entrées'!$N750:$AAV750)</f>
        <v>0</v>
      </c>
      <c r="K750" s="51" t="str">
        <f t="shared" si="45"/>
        <v>0,00€</v>
      </c>
      <c r="L750" s="69">
        <f>SUM('Archives Sorties'!$M750:$AAY750)</f>
        <v>0</v>
      </c>
      <c r="M750" s="51" t="str">
        <f t="shared" si="46"/>
        <v>0,00€</v>
      </c>
      <c r="P750" s="72"/>
      <c r="R750" s="185" t="str">
        <f t="shared" si="47"/>
        <v/>
      </c>
      <c r="S750" s="186" t="str">
        <f t="shared" si="48"/>
        <v/>
      </c>
      <c r="T750" s="187" t="str">
        <f>IF(R750="","",IF(O750=0,Famille!$D$5,IF(R750&lt;O750,Famille!$D$2,IF(R750&lt;=P750,Famille!$D$3,Famille!$D$4))))</f>
        <v/>
      </c>
    </row>
    <row r="751" spans="1:20" ht="12" customHeight="1" x14ac:dyDescent="0.2">
      <c r="A751" s="4" t="str">
        <f>IF(Produits!A632="","",Produits!A632)</f>
        <v/>
      </c>
      <c r="B751" s="4" t="str">
        <f>IF(Produits!B632="","",Produits!B632)</f>
        <v/>
      </c>
      <c r="C751" s="4" t="str">
        <f>IF(Produits!C632="","",Produits!C632)</f>
        <v/>
      </c>
      <c r="D751" s="4" t="str">
        <f>IF(Produits!D632="","",Produits!D632)</f>
        <v/>
      </c>
      <c r="E751" s="49" t="str">
        <f>IF(Produits!F632="","",Produits!F632)</f>
        <v/>
      </c>
      <c r="F751" s="50" t="str">
        <f>IF(Produits!H632="","",Produits!H632)</f>
        <v/>
      </c>
      <c r="H751" s="37"/>
      <c r="I751" s="2"/>
      <c r="J751" s="69">
        <f>SUM('Archives Entrées'!$N751:$AAV751)</f>
        <v>0</v>
      </c>
      <c r="K751" s="51" t="str">
        <f t="shared" si="45"/>
        <v>0,00€</v>
      </c>
      <c r="L751" s="69">
        <f>SUM('Archives Sorties'!$M751:$AAY751)</f>
        <v>0</v>
      </c>
      <c r="M751" s="51" t="str">
        <f t="shared" si="46"/>
        <v>0,00€</v>
      </c>
      <c r="P751" s="72"/>
      <c r="R751" s="185" t="str">
        <f t="shared" si="47"/>
        <v/>
      </c>
      <c r="S751" s="186" t="str">
        <f t="shared" si="48"/>
        <v/>
      </c>
      <c r="T751" s="187" t="str">
        <f>IF(R751="","",IF(O751=0,Famille!$D$5,IF(R751&lt;O751,Famille!$D$2,IF(R751&lt;=P751,Famille!$D$3,Famille!$D$4))))</f>
        <v/>
      </c>
    </row>
    <row r="752" spans="1:20" ht="12" customHeight="1" x14ac:dyDescent="0.2">
      <c r="A752" s="4" t="str">
        <f>IF(Produits!A633="","",Produits!A633)</f>
        <v/>
      </c>
      <c r="B752" s="4" t="str">
        <f>IF(Produits!B633="","",Produits!B633)</f>
        <v/>
      </c>
      <c r="C752" s="4" t="str">
        <f>IF(Produits!C633="","",Produits!C633)</f>
        <v/>
      </c>
      <c r="D752" s="4" t="str">
        <f>IF(Produits!D633="","",Produits!D633)</f>
        <v/>
      </c>
      <c r="E752" s="49" t="str">
        <f>IF(Produits!F633="","",Produits!F633)</f>
        <v/>
      </c>
      <c r="F752" s="50" t="str">
        <f>IF(Produits!H633="","",Produits!H633)</f>
        <v/>
      </c>
      <c r="H752" s="37"/>
      <c r="I752" s="2"/>
      <c r="J752" s="69">
        <f>SUM('Archives Entrées'!$N752:$AAV752)</f>
        <v>0</v>
      </c>
      <c r="K752" s="51" t="str">
        <f t="shared" si="45"/>
        <v>0,00€</v>
      </c>
      <c r="L752" s="69">
        <f>SUM('Archives Sorties'!$M752:$AAY752)</f>
        <v>0</v>
      </c>
      <c r="M752" s="51" t="str">
        <f t="shared" si="46"/>
        <v>0,00€</v>
      </c>
      <c r="P752" s="72"/>
      <c r="R752" s="185" t="str">
        <f t="shared" si="47"/>
        <v/>
      </c>
      <c r="S752" s="186" t="str">
        <f t="shared" si="48"/>
        <v/>
      </c>
      <c r="T752" s="187" t="str">
        <f>IF(R752="","",IF(O752=0,Famille!$D$5,IF(R752&lt;O752,Famille!$D$2,IF(R752&lt;=P752,Famille!$D$3,Famille!$D$4))))</f>
        <v/>
      </c>
    </row>
    <row r="753" spans="1:20" ht="12" customHeight="1" x14ac:dyDescent="0.2">
      <c r="A753" s="4" t="str">
        <f>IF(Produits!A634="","",Produits!A634)</f>
        <v/>
      </c>
      <c r="B753" s="4" t="str">
        <f>IF(Produits!B634="","",Produits!B634)</f>
        <v/>
      </c>
      <c r="C753" s="4" t="str">
        <f>IF(Produits!C634="","",Produits!C634)</f>
        <v/>
      </c>
      <c r="D753" s="4" t="str">
        <f>IF(Produits!D634="","",Produits!D634)</f>
        <v/>
      </c>
      <c r="E753" s="49" t="str">
        <f>IF(Produits!F634="","",Produits!F634)</f>
        <v/>
      </c>
      <c r="F753" s="50" t="str">
        <f>IF(Produits!H634="","",Produits!H634)</f>
        <v/>
      </c>
      <c r="H753" s="37"/>
      <c r="I753" s="2"/>
      <c r="J753" s="69">
        <f>SUM('Archives Entrées'!$N753:$AAV753)</f>
        <v>0</v>
      </c>
      <c r="K753" s="51" t="str">
        <f t="shared" si="45"/>
        <v>0,00€</v>
      </c>
      <c r="L753" s="69">
        <f>SUM('Archives Sorties'!$M753:$AAY753)</f>
        <v>0</v>
      </c>
      <c r="M753" s="51" t="str">
        <f t="shared" si="46"/>
        <v>0,00€</v>
      </c>
      <c r="P753" s="72"/>
      <c r="R753" s="185" t="str">
        <f t="shared" si="47"/>
        <v/>
      </c>
      <c r="S753" s="186" t="str">
        <f t="shared" si="48"/>
        <v/>
      </c>
      <c r="T753" s="187" t="str">
        <f>IF(R753="","",IF(O753=0,Famille!$D$5,IF(R753&lt;O753,Famille!$D$2,IF(R753&lt;=P753,Famille!$D$3,Famille!$D$4))))</f>
        <v/>
      </c>
    </row>
    <row r="754" spans="1:20" ht="12" customHeight="1" x14ac:dyDescent="0.2">
      <c r="A754" s="4" t="str">
        <f>IF(Produits!A635="","",Produits!A635)</f>
        <v/>
      </c>
      <c r="B754" s="4" t="str">
        <f>IF(Produits!B635="","",Produits!B635)</f>
        <v/>
      </c>
      <c r="C754" s="4" t="str">
        <f>IF(Produits!C635="","",Produits!C635)</f>
        <v/>
      </c>
      <c r="D754" s="4" t="str">
        <f>IF(Produits!D635="","",Produits!D635)</f>
        <v/>
      </c>
      <c r="E754" s="49" t="str">
        <f>IF(Produits!F635="","",Produits!F635)</f>
        <v/>
      </c>
      <c r="F754" s="50" t="str">
        <f>IF(Produits!H635="","",Produits!H635)</f>
        <v/>
      </c>
      <c r="H754" s="37"/>
      <c r="I754" s="2"/>
      <c r="J754" s="69">
        <f>SUM('Archives Entrées'!$N754:$AAV754)</f>
        <v>0</v>
      </c>
      <c r="K754" s="51" t="str">
        <f t="shared" si="45"/>
        <v>0,00€</v>
      </c>
      <c r="L754" s="69">
        <f>SUM('Archives Sorties'!$M754:$AAY754)</f>
        <v>0</v>
      </c>
      <c r="M754" s="51" t="str">
        <f t="shared" si="46"/>
        <v>0,00€</v>
      </c>
      <c r="P754" s="72"/>
      <c r="R754" s="185" t="str">
        <f t="shared" si="47"/>
        <v/>
      </c>
      <c r="S754" s="186" t="str">
        <f t="shared" si="48"/>
        <v/>
      </c>
      <c r="T754" s="187" t="str">
        <f>IF(R754="","",IF(O754=0,Famille!$D$5,IF(R754&lt;O754,Famille!$D$2,IF(R754&lt;=P754,Famille!$D$3,Famille!$D$4))))</f>
        <v/>
      </c>
    </row>
    <row r="755" spans="1:20" ht="12" customHeight="1" x14ac:dyDescent="0.2">
      <c r="A755" s="4" t="str">
        <f>IF(Produits!A636="","",Produits!A636)</f>
        <v/>
      </c>
      <c r="B755" s="4" t="str">
        <f>IF(Produits!B636="","",Produits!B636)</f>
        <v/>
      </c>
      <c r="C755" s="4" t="str">
        <f>IF(Produits!C636="","",Produits!C636)</f>
        <v/>
      </c>
      <c r="D755" s="4" t="str">
        <f>IF(Produits!D636="","",Produits!D636)</f>
        <v/>
      </c>
      <c r="E755" s="49" t="str">
        <f>IF(Produits!F636="","",Produits!F636)</f>
        <v/>
      </c>
      <c r="F755" s="50" t="str">
        <f>IF(Produits!H636="","",Produits!H636)</f>
        <v/>
      </c>
      <c r="H755" s="37"/>
      <c r="I755" s="2"/>
      <c r="J755" s="69">
        <f>SUM('Archives Entrées'!$N755:$AAV755)</f>
        <v>0</v>
      </c>
      <c r="K755" s="51" t="str">
        <f t="shared" si="45"/>
        <v>0,00€</v>
      </c>
      <c r="L755" s="69">
        <f>SUM('Archives Sorties'!$M755:$AAY755)</f>
        <v>0</v>
      </c>
      <c r="M755" s="51" t="str">
        <f t="shared" si="46"/>
        <v>0,00€</v>
      </c>
      <c r="P755" s="72"/>
      <c r="R755" s="185" t="str">
        <f t="shared" si="47"/>
        <v/>
      </c>
      <c r="S755" s="186" t="str">
        <f t="shared" si="48"/>
        <v/>
      </c>
      <c r="T755" s="187" t="str">
        <f>IF(R755="","",IF(O755=0,Famille!$D$5,IF(R755&lt;O755,Famille!$D$2,IF(R755&lt;=P755,Famille!$D$3,Famille!$D$4))))</f>
        <v/>
      </c>
    </row>
    <row r="756" spans="1:20" ht="12" customHeight="1" x14ac:dyDescent="0.2">
      <c r="A756" s="4" t="str">
        <f>IF(Produits!A637="","",Produits!A637)</f>
        <v/>
      </c>
      <c r="B756" s="4" t="str">
        <f>IF(Produits!B637="","",Produits!B637)</f>
        <v/>
      </c>
      <c r="C756" s="4" t="str">
        <f>IF(Produits!C637="","",Produits!C637)</f>
        <v/>
      </c>
      <c r="D756" s="4" t="str">
        <f>IF(Produits!D637="","",Produits!D637)</f>
        <v/>
      </c>
      <c r="E756" s="49" t="str">
        <f>IF(Produits!F637="","",Produits!F637)</f>
        <v/>
      </c>
      <c r="F756" s="50" t="str">
        <f>IF(Produits!H637="","",Produits!H637)</f>
        <v/>
      </c>
      <c r="H756" s="37"/>
      <c r="I756" s="2"/>
      <c r="J756" s="69">
        <f>SUM('Archives Entrées'!$N756:$AAV756)</f>
        <v>0</v>
      </c>
      <c r="K756" s="51" t="str">
        <f t="shared" si="45"/>
        <v>0,00€</v>
      </c>
      <c r="L756" s="69">
        <f>SUM('Archives Sorties'!$M756:$AAY756)</f>
        <v>0</v>
      </c>
      <c r="M756" s="51" t="str">
        <f t="shared" si="46"/>
        <v>0,00€</v>
      </c>
      <c r="P756" s="72"/>
      <c r="R756" s="185" t="str">
        <f t="shared" si="47"/>
        <v/>
      </c>
      <c r="S756" s="186" t="str">
        <f t="shared" si="48"/>
        <v/>
      </c>
      <c r="T756" s="187" t="str">
        <f>IF(R756="","",IF(O756=0,Famille!$D$5,IF(R756&lt;O756,Famille!$D$2,IF(R756&lt;=P756,Famille!$D$3,Famille!$D$4))))</f>
        <v/>
      </c>
    </row>
    <row r="757" spans="1:20" ht="12" customHeight="1" x14ac:dyDescent="0.2">
      <c r="A757" s="4" t="str">
        <f>IF(Produits!A638="","",Produits!A638)</f>
        <v/>
      </c>
      <c r="B757" s="4" t="str">
        <f>IF(Produits!B638="","",Produits!B638)</f>
        <v/>
      </c>
      <c r="C757" s="4" t="str">
        <f>IF(Produits!C638="","",Produits!C638)</f>
        <v/>
      </c>
      <c r="D757" s="4" t="str">
        <f>IF(Produits!D638="","",Produits!D638)</f>
        <v/>
      </c>
      <c r="E757" s="49" t="str">
        <f>IF(Produits!F638="","",Produits!F638)</f>
        <v/>
      </c>
      <c r="F757" s="50" t="str">
        <f>IF(Produits!H638="","",Produits!H638)</f>
        <v/>
      </c>
      <c r="H757" s="37"/>
      <c r="I757" s="2"/>
      <c r="J757" s="69">
        <f>SUM('Archives Entrées'!$N757:$AAV757)</f>
        <v>0</v>
      </c>
      <c r="K757" s="51" t="str">
        <f t="shared" si="45"/>
        <v>0,00€</v>
      </c>
      <c r="L757" s="69">
        <f>SUM('Archives Sorties'!$M757:$AAY757)</f>
        <v>0</v>
      </c>
      <c r="M757" s="51" t="str">
        <f t="shared" si="46"/>
        <v>0,00€</v>
      </c>
      <c r="P757" s="72"/>
      <c r="R757" s="185" t="str">
        <f t="shared" si="47"/>
        <v/>
      </c>
      <c r="S757" s="186" t="str">
        <f t="shared" si="48"/>
        <v/>
      </c>
      <c r="T757" s="187" t="str">
        <f>IF(R757="","",IF(O757=0,Famille!$D$5,IF(R757&lt;O757,Famille!$D$2,IF(R757&lt;=P757,Famille!$D$3,Famille!$D$4))))</f>
        <v/>
      </c>
    </row>
    <row r="758" spans="1:20" ht="12" customHeight="1" x14ac:dyDescent="0.2">
      <c r="A758" s="4" t="str">
        <f>IF(Produits!A639="","",Produits!A639)</f>
        <v/>
      </c>
      <c r="B758" s="4" t="str">
        <f>IF(Produits!B639="","",Produits!B639)</f>
        <v/>
      </c>
      <c r="C758" s="4" t="str">
        <f>IF(Produits!C639="","",Produits!C639)</f>
        <v/>
      </c>
      <c r="D758" s="4" t="str">
        <f>IF(Produits!D639="","",Produits!D639)</f>
        <v/>
      </c>
      <c r="E758" s="49" t="str">
        <f>IF(Produits!F639="","",Produits!F639)</f>
        <v/>
      </c>
      <c r="F758" s="50" t="str">
        <f>IF(Produits!H639="","",Produits!H639)</f>
        <v/>
      </c>
      <c r="H758" s="37"/>
      <c r="I758" s="2"/>
      <c r="J758" s="69">
        <f>SUM('Archives Entrées'!$N758:$AAV758)</f>
        <v>0</v>
      </c>
      <c r="K758" s="51" t="str">
        <f t="shared" si="45"/>
        <v>0,00€</v>
      </c>
      <c r="L758" s="69">
        <f>SUM('Archives Sorties'!$M758:$AAY758)</f>
        <v>0</v>
      </c>
      <c r="M758" s="51" t="str">
        <f t="shared" si="46"/>
        <v>0,00€</v>
      </c>
      <c r="P758" s="72"/>
      <c r="R758" s="185" t="str">
        <f t="shared" si="47"/>
        <v/>
      </c>
      <c r="S758" s="186" t="str">
        <f t="shared" si="48"/>
        <v/>
      </c>
      <c r="T758" s="187" t="str">
        <f>IF(R758="","",IF(O758=0,Famille!$D$5,IF(R758&lt;O758,Famille!$D$2,IF(R758&lt;=P758,Famille!$D$3,Famille!$D$4))))</f>
        <v/>
      </c>
    </row>
    <row r="759" spans="1:20" ht="12" customHeight="1" x14ac:dyDescent="0.2">
      <c r="A759" s="4" t="str">
        <f>IF(Produits!A640="","",Produits!A640)</f>
        <v/>
      </c>
      <c r="B759" s="4" t="str">
        <f>IF(Produits!B640="","",Produits!B640)</f>
        <v/>
      </c>
      <c r="C759" s="4" t="str">
        <f>IF(Produits!C640="","",Produits!C640)</f>
        <v/>
      </c>
      <c r="D759" s="4" t="str">
        <f>IF(Produits!D640="","",Produits!D640)</f>
        <v/>
      </c>
      <c r="E759" s="49" t="str">
        <f>IF(Produits!F640="","",Produits!F640)</f>
        <v/>
      </c>
      <c r="F759" s="50" t="str">
        <f>IF(Produits!H640="","",Produits!H640)</f>
        <v/>
      </c>
      <c r="H759" s="37"/>
      <c r="I759" s="2"/>
      <c r="J759" s="69">
        <f>SUM('Archives Entrées'!$N759:$AAV759)</f>
        <v>0</v>
      </c>
      <c r="K759" s="51" t="str">
        <f t="shared" si="45"/>
        <v>0,00€</v>
      </c>
      <c r="L759" s="69">
        <f>SUM('Archives Sorties'!$M759:$AAY759)</f>
        <v>0</v>
      </c>
      <c r="M759" s="51" t="str">
        <f t="shared" si="46"/>
        <v>0,00€</v>
      </c>
      <c r="P759" s="72"/>
      <c r="R759" s="185" t="str">
        <f t="shared" si="47"/>
        <v/>
      </c>
      <c r="S759" s="186" t="str">
        <f t="shared" si="48"/>
        <v/>
      </c>
      <c r="T759" s="187" t="str">
        <f>IF(R759="","",IF(O759=0,Famille!$D$5,IF(R759&lt;O759,Famille!$D$2,IF(R759&lt;=P759,Famille!$D$3,Famille!$D$4))))</f>
        <v/>
      </c>
    </row>
    <row r="760" spans="1:20" ht="12" customHeight="1" x14ac:dyDescent="0.2">
      <c r="A760" s="4" t="str">
        <f>IF(Produits!A641="","",Produits!A641)</f>
        <v/>
      </c>
      <c r="B760" s="4" t="str">
        <f>IF(Produits!B641="","",Produits!B641)</f>
        <v/>
      </c>
      <c r="C760" s="4" t="str">
        <f>IF(Produits!C641="","",Produits!C641)</f>
        <v/>
      </c>
      <c r="D760" s="4" t="str">
        <f>IF(Produits!D641="","",Produits!D641)</f>
        <v/>
      </c>
      <c r="E760" s="49" t="str">
        <f>IF(Produits!F641="","",Produits!F641)</f>
        <v/>
      </c>
      <c r="F760" s="50" t="str">
        <f>IF(Produits!H641="","",Produits!H641)</f>
        <v/>
      </c>
      <c r="H760" s="37"/>
      <c r="I760" s="2"/>
      <c r="J760" s="69">
        <f>SUM('Archives Entrées'!$N760:$AAV760)</f>
        <v>0</v>
      </c>
      <c r="K760" s="51" t="str">
        <f t="shared" si="45"/>
        <v>0,00€</v>
      </c>
      <c r="L760" s="69">
        <f>SUM('Archives Sorties'!$M760:$AAY760)</f>
        <v>0</v>
      </c>
      <c r="M760" s="51" t="str">
        <f t="shared" si="46"/>
        <v>0,00€</v>
      </c>
      <c r="P760" s="72"/>
      <c r="R760" s="185" t="str">
        <f t="shared" si="47"/>
        <v/>
      </c>
      <c r="S760" s="186" t="str">
        <f t="shared" si="48"/>
        <v/>
      </c>
      <c r="T760" s="187" t="str">
        <f>IF(R760="","",IF(O760=0,Famille!$D$5,IF(R760&lt;O760,Famille!$D$2,IF(R760&lt;=P760,Famille!$D$3,Famille!$D$4))))</f>
        <v/>
      </c>
    </row>
    <row r="761" spans="1:20" ht="12" customHeight="1" x14ac:dyDescent="0.2">
      <c r="A761" s="4" t="str">
        <f>IF(Produits!A642="","",Produits!A642)</f>
        <v/>
      </c>
      <c r="B761" s="4" t="str">
        <f>IF(Produits!B642="","",Produits!B642)</f>
        <v/>
      </c>
      <c r="C761" s="4" t="str">
        <f>IF(Produits!C642="","",Produits!C642)</f>
        <v/>
      </c>
      <c r="D761" s="4" t="str">
        <f>IF(Produits!D642="","",Produits!D642)</f>
        <v/>
      </c>
      <c r="E761" s="49" t="str">
        <f>IF(Produits!F642="","",Produits!F642)</f>
        <v/>
      </c>
      <c r="F761" s="50" t="str">
        <f>IF(Produits!H642="","",Produits!H642)</f>
        <v/>
      </c>
      <c r="H761" s="37"/>
      <c r="I761" s="2"/>
      <c r="J761" s="69">
        <f>SUM('Archives Entrées'!$N761:$AAV761)</f>
        <v>0</v>
      </c>
      <c r="K761" s="51" t="str">
        <f t="shared" si="45"/>
        <v>0,00€</v>
      </c>
      <c r="L761" s="69">
        <f>SUM('Archives Sorties'!$M761:$AAY761)</f>
        <v>0</v>
      </c>
      <c r="M761" s="51" t="str">
        <f t="shared" si="46"/>
        <v>0,00€</v>
      </c>
      <c r="P761" s="72"/>
      <c r="R761" s="185" t="str">
        <f t="shared" si="47"/>
        <v/>
      </c>
      <c r="S761" s="186" t="str">
        <f t="shared" si="48"/>
        <v/>
      </c>
      <c r="T761" s="187" t="str">
        <f>IF(R761="","",IF(O761=0,Famille!$D$5,IF(R761&lt;O761,Famille!$D$2,IF(R761&lt;=P761,Famille!$D$3,Famille!$D$4))))</f>
        <v/>
      </c>
    </row>
    <row r="762" spans="1:20" ht="12" customHeight="1" x14ac:dyDescent="0.2">
      <c r="A762" s="4" t="str">
        <f>IF(Produits!A643="","",Produits!A643)</f>
        <v/>
      </c>
      <c r="B762" s="4" t="str">
        <f>IF(Produits!B643="","",Produits!B643)</f>
        <v/>
      </c>
      <c r="C762" s="4" t="str">
        <f>IF(Produits!C643="","",Produits!C643)</f>
        <v/>
      </c>
      <c r="D762" s="4" t="str">
        <f>IF(Produits!D643="","",Produits!D643)</f>
        <v/>
      </c>
      <c r="E762" s="49" t="str">
        <f>IF(Produits!F643="","",Produits!F643)</f>
        <v/>
      </c>
      <c r="F762" s="50" t="str">
        <f>IF(Produits!H643="","",Produits!H643)</f>
        <v/>
      </c>
      <c r="H762" s="37"/>
      <c r="I762" s="2"/>
      <c r="J762" s="69">
        <f>SUM('Archives Entrées'!$N762:$AAV762)</f>
        <v>0</v>
      </c>
      <c r="K762" s="51" t="str">
        <f t="shared" si="45"/>
        <v>0,00€</v>
      </c>
      <c r="L762" s="69">
        <f>SUM('Archives Sorties'!$M762:$AAY762)</f>
        <v>0</v>
      </c>
      <c r="M762" s="51" t="str">
        <f t="shared" si="46"/>
        <v>0,00€</v>
      </c>
      <c r="P762" s="72"/>
      <c r="R762" s="185" t="str">
        <f t="shared" si="47"/>
        <v/>
      </c>
      <c r="S762" s="186" t="str">
        <f t="shared" si="48"/>
        <v/>
      </c>
      <c r="T762" s="187" t="str">
        <f>IF(R762="","",IF(O762=0,Famille!$D$5,IF(R762&lt;O762,Famille!$D$2,IF(R762&lt;=P762,Famille!$D$3,Famille!$D$4))))</f>
        <v/>
      </c>
    </row>
    <row r="763" spans="1:20" ht="12" customHeight="1" x14ac:dyDescent="0.2">
      <c r="A763" s="4" t="str">
        <f>IF(Produits!A644="","",Produits!A644)</f>
        <v/>
      </c>
      <c r="B763" s="4" t="str">
        <f>IF(Produits!B644="","",Produits!B644)</f>
        <v/>
      </c>
      <c r="C763" s="4" t="str">
        <f>IF(Produits!C644="","",Produits!C644)</f>
        <v/>
      </c>
      <c r="D763" s="4" t="str">
        <f>IF(Produits!D644="","",Produits!D644)</f>
        <v/>
      </c>
      <c r="E763" s="49" t="str">
        <f>IF(Produits!F644="","",Produits!F644)</f>
        <v/>
      </c>
      <c r="F763" s="50" t="str">
        <f>IF(Produits!H644="","",Produits!H644)</f>
        <v/>
      </c>
      <c r="H763" s="37"/>
      <c r="I763" s="2"/>
      <c r="J763" s="69">
        <f>SUM('Archives Entrées'!$N763:$AAV763)</f>
        <v>0</v>
      </c>
      <c r="K763" s="51" t="str">
        <f t="shared" si="45"/>
        <v>0,00€</v>
      </c>
      <c r="L763" s="69">
        <f>SUM('Archives Sorties'!$M763:$AAY763)</f>
        <v>0</v>
      </c>
      <c r="M763" s="51" t="str">
        <f t="shared" si="46"/>
        <v>0,00€</v>
      </c>
      <c r="P763" s="72"/>
      <c r="R763" s="185" t="str">
        <f t="shared" si="47"/>
        <v/>
      </c>
      <c r="S763" s="186" t="str">
        <f t="shared" si="48"/>
        <v/>
      </c>
      <c r="T763" s="187" t="str">
        <f>IF(R763="","",IF(O763=0,Famille!$D$5,IF(R763&lt;O763,Famille!$D$2,IF(R763&lt;=P763,Famille!$D$3,Famille!$D$4))))</f>
        <v/>
      </c>
    </row>
    <row r="764" spans="1:20" ht="12" customHeight="1" x14ac:dyDescent="0.2">
      <c r="A764" s="4" t="str">
        <f>IF(Produits!A645="","",Produits!A645)</f>
        <v/>
      </c>
      <c r="B764" s="4" t="str">
        <f>IF(Produits!B645="","",Produits!B645)</f>
        <v/>
      </c>
      <c r="C764" s="4" t="str">
        <f>IF(Produits!C645="","",Produits!C645)</f>
        <v/>
      </c>
      <c r="D764" s="4" t="str">
        <f>IF(Produits!D645="","",Produits!D645)</f>
        <v/>
      </c>
      <c r="E764" s="49" t="str">
        <f>IF(Produits!F645="","",Produits!F645)</f>
        <v/>
      </c>
      <c r="F764" s="50" t="str">
        <f>IF(Produits!H645="","",Produits!H645)</f>
        <v/>
      </c>
      <c r="H764" s="37"/>
      <c r="I764" s="2"/>
      <c r="J764" s="69">
        <f>SUM('Archives Entrées'!$N764:$AAV764)</f>
        <v>0</v>
      </c>
      <c r="K764" s="51" t="str">
        <f t="shared" si="45"/>
        <v>0,00€</v>
      </c>
      <c r="L764" s="69">
        <f>SUM('Archives Sorties'!$M764:$AAY764)</f>
        <v>0</v>
      </c>
      <c r="M764" s="51" t="str">
        <f t="shared" si="46"/>
        <v>0,00€</v>
      </c>
      <c r="P764" s="72"/>
      <c r="R764" s="185" t="str">
        <f t="shared" si="47"/>
        <v/>
      </c>
      <c r="S764" s="186" t="str">
        <f t="shared" si="48"/>
        <v/>
      </c>
      <c r="T764" s="187" t="str">
        <f>IF(R764="","",IF(O764=0,Famille!$D$5,IF(R764&lt;O764,Famille!$D$2,IF(R764&lt;=P764,Famille!$D$3,Famille!$D$4))))</f>
        <v/>
      </c>
    </row>
    <row r="765" spans="1:20" ht="12" customHeight="1" x14ac:dyDescent="0.2">
      <c r="A765" s="4" t="str">
        <f>IF(Produits!A646="","",Produits!A646)</f>
        <v/>
      </c>
      <c r="B765" s="4" t="str">
        <f>IF(Produits!B646="","",Produits!B646)</f>
        <v/>
      </c>
      <c r="C765" s="4" t="str">
        <f>IF(Produits!C646="","",Produits!C646)</f>
        <v/>
      </c>
      <c r="D765" s="4" t="str">
        <f>IF(Produits!D646="","",Produits!D646)</f>
        <v/>
      </c>
      <c r="E765" s="49" t="str">
        <f>IF(Produits!F646="","",Produits!F646)</f>
        <v/>
      </c>
      <c r="F765" s="50" t="str">
        <f>IF(Produits!H646="","",Produits!H646)</f>
        <v/>
      </c>
      <c r="H765" s="37"/>
      <c r="I765" s="2"/>
      <c r="J765" s="69">
        <f>SUM('Archives Entrées'!$N765:$AAV765)</f>
        <v>0</v>
      </c>
      <c r="K765" s="51" t="str">
        <f t="shared" si="45"/>
        <v>0,00€</v>
      </c>
      <c r="L765" s="69">
        <f>SUM('Archives Sorties'!$M765:$AAY765)</f>
        <v>0</v>
      </c>
      <c r="M765" s="51" t="str">
        <f t="shared" si="46"/>
        <v>0,00€</v>
      </c>
      <c r="P765" s="72"/>
      <c r="R765" s="185" t="str">
        <f t="shared" si="47"/>
        <v/>
      </c>
      <c r="S765" s="186" t="str">
        <f t="shared" si="48"/>
        <v/>
      </c>
      <c r="T765" s="187" t="str">
        <f>IF(R765="","",IF(O765=0,Famille!$D$5,IF(R765&lt;O765,Famille!$D$2,IF(R765&lt;=P765,Famille!$D$3,Famille!$D$4))))</f>
        <v/>
      </c>
    </row>
    <row r="766" spans="1:20" ht="12" customHeight="1" x14ac:dyDescent="0.2">
      <c r="A766" s="4" t="str">
        <f>IF(Produits!A647="","",Produits!A647)</f>
        <v/>
      </c>
      <c r="B766" s="4" t="str">
        <f>IF(Produits!B647="","",Produits!B647)</f>
        <v/>
      </c>
      <c r="C766" s="4" t="str">
        <f>IF(Produits!C647="","",Produits!C647)</f>
        <v/>
      </c>
      <c r="D766" s="4" t="str">
        <f>IF(Produits!D647="","",Produits!D647)</f>
        <v/>
      </c>
      <c r="E766" s="49" t="str">
        <f>IF(Produits!F647="","",Produits!F647)</f>
        <v/>
      </c>
      <c r="F766" s="50" t="str">
        <f>IF(Produits!H647="","",Produits!H647)</f>
        <v/>
      </c>
      <c r="H766" s="37"/>
      <c r="I766" s="2"/>
      <c r="J766" s="69">
        <f>SUM('Archives Entrées'!$N766:$AAV766)</f>
        <v>0</v>
      </c>
      <c r="K766" s="51" t="str">
        <f t="shared" si="45"/>
        <v>0,00€</v>
      </c>
      <c r="L766" s="69">
        <f>SUM('Archives Sorties'!$M766:$AAY766)</f>
        <v>0</v>
      </c>
      <c r="M766" s="51" t="str">
        <f t="shared" si="46"/>
        <v>0,00€</v>
      </c>
      <c r="P766" s="72"/>
      <c r="R766" s="185" t="str">
        <f t="shared" si="47"/>
        <v/>
      </c>
      <c r="S766" s="186" t="str">
        <f t="shared" si="48"/>
        <v/>
      </c>
      <c r="T766" s="187" t="str">
        <f>IF(R766="","",IF(O766=0,Famille!$D$5,IF(R766&lt;O766,Famille!$D$2,IF(R766&lt;=P766,Famille!$D$3,Famille!$D$4))))</f>
        <v/>
      </c>
    </row>
    <row r="767" spans="1:20" ht="12" customHeight="1" x14ac:dyDescent="0.2">
      <c r="A767" s="4" t="str">
        <f>IF(Produits!A648="","",Produits!A648)</f>
        <v/>
      </c>
      <c r="B767" s="4" t="str">
        <f>IF(Produits!B648="","",Produits!B648)</f>
        <v/>
      </c>
      <c r="C767" s="4" t="str">
        <f>IF(Produits!C648="","",Produits!C648)</f>
        <v/>
      </c>
      <c r="D767" s="4" t="str">
        <f>IF(Produits!D648="","",Produits!D648)</f>
        <v/>
      </c>
      <c r="E767" s="49" t="str">
        <f>IF(Produits!F648="","",Produits!F648)</f>
        <v/>
      </c>
      <c r="F767" s="50" t="str">
        <f>IF(Produits!H648="","",Produits!H648)</f>
        <v/>
      </c>
      <c r="H767" s="37"/>
      <c r="I767" s="2"/>
      <c r="J767" s="69">
        <f>SUM('Archives Entrées'!$N767:$AAV767)</f>
        <v>0</v>
      </c>
      <c r="K767" s="51" t="str">
        <f t="shared" si="45"/>
        <v>0,00€</v>
      </c>
      <c r="L767" s="69">
        <f>SUM('Archives Sorties'!$M767:$AAY767)</f>
        <v>0</v>
      </c>
      <c r="M767" s="51" t="str">
        <f t="shared" si="46"/>
        <v>0,00€</v>
      </c>
      <c r="P767" s="72"/>
      <c r="R767" s="185" t="str">
        <f t="shared" si="47"/>
        <v/>
      </c>
      <c r="S767" s="186" t="str">
        <f t="shared" si="48"/>
        <v/>
      </c>
      <c r="T767" s="187" t="str">
        <f>IF(R767="","",IF(O767=0,Famille!$D$5,IF(R767&lt;O767,Famille!$D$2,IF(R767&lt;=P767,Famille!$D$3,Famille!$D$4))))</f>
        <v/>
      </c>
    </row>
    <row r="768" spans="1:20" ht="12" customHeight="1" x14ac:dyDescent="0.2">
      <c r="A768" s="4" t="str">
        <f>IF(Produits!A649="","",Produits!A649)</f>
        <v/>
      </c>
      <c r="B768" s="4" t="str">
        <f>IF(Produits!B649="","",Produits!B649)</f>
        <v/>
      </c>
      <c r="C768" s="4" t="str">
        <f>IF(Produits!C649="","",Produits!C649)</f>
        <v/>
      </c>
      <c r="D768" s="4" t="str">
        <f>IF(Produits!D649="","",Produits!D649)</f>
        <v/>
      </c>
      <c r="E768" s="49" t="str">
        <f>IF(Produits!F649="","",Produits!F649)</f>
        <v/>
      </c>
      <c r="F768" s="50" t="str">
        <f>IF(Produits!H649="","",Produits!H649)</f>
        <v/>
      </c>
      <c r="H768" s="37"/>
      <c r="I768" s="2"/>
      <c r="J768" s="69">
        <f>SUM('Archives Entrées'!$N768:$AAV768)</f>
        <v>0</v>
      </c>
      <c r="K768" s="51" t="str">
        <f t="shared" si="45"/>
        <v>0,00€</v>
      </c>
      <c r="L768" s="69">
        <f>SUM('Archives Sorties'!$M768:$AAY768)</f>
        <v>0</v>
      </c>
      <c r="M768" s="51" t="str">
        <f t="shared" si="46"/>
        <v>0,00€</v>
      </c>
      <c r="P768" s="72"/>
      <c r="R768" s="185" t="str">
        <f t="shared" si="47"/>
        <v/>
      </c>
      <c r="S768" s="186" t="str">
        <f t="shared" si="48"/>
        <v/>
      </c>
      <c r="T768" s="187" t="str">
        <f>IF(R768="","",IF(O768=0,Famille!$D$5,IF(R768&lt;O768,Famille!$D$2,IF(R768&lt;=P768,Famille!$D$3,Famille!$D$4))))</f>
        <v/>
      </c>
    </row>
    <row r="769" spans="1:20" ht="12" customHeight="1" x14ac:dyDescent="0.2">
      <c r="A769" s="4" t="str">
        <f>IF(Produits!A650="","",Produits!A650)</f>
        <v/>
      </c>
      <c r="B769" s="4" t="str">
        <f>IF(Produits!B650="","",Produits!B650)</f>
        <v/>
      </c>
      <c r="C769" s="4" t="str">
        <f>IF(Produits!C650="","",Produits!C650)</f>
        <v/>
      </c>
      <c r="D769" s="4" t="str">
        <f>IF(Produits!D650="","",Produits!D650)</f>
        <v/>
      </c>
      <c r="E769" s="49" t="str">
        <f>IF(Produits!F650="","",Produits!F650)</f>
        <v/>
      </c>
      <c r="F769" s="50" t="str">
        <f>IF(Produits!H650="","",Produits!H650)</f>
        <v/>
      </c>
      <c r="H769" s="37"/>
      <c r="I769" s="2"/>
      <c r="J769" s="69">
        <f>SUM('Archives Entrées'!$N769:$AAV769)</f>
        <v>0</v>
      </c>
      <c r="K769" s="51" t="str">
        <f t="shared" si="45"/>
        <v>0,00€</v>
      </c>
      <c r="L769" s="69">
        <f>SUM('Archives Sorties'!$M769:$AAY769)</f>
        <v>0</v>
      </c>
      <c r="M769" s="51" t="str">
        <f t="shared" si="46"/>
        <v>0,00€</v>
      </c>
      <c r="P769" s="72"/>
      <c r="R769" s="185" t="str">
        <f t="shared" si="47"/>
        <v/>
      </c>
      <c r="S769" s="186" t="str">
        <f t="shared" si="48"/>
        <v/>
      </c>
      <c r="T769" s="187" t="str">
        <f>IF(R769="","",IF(O769=0,Famille!$D$5,IF(R769&lt;O769,Famille!$D$2,IF(R769&lt;=P769,Famille!$D$3,Famille!$D$4))))</f>
        <v/>
      </c>
    </row>
    <row r="770" spans="1:20" ht="12" customHeight="1" x14ac:dyDescent="0.2">
      <c r="A770" s="4" t="str">
        <f>IF(Produits!A651="","",Produits!A651)</f>
        <v/>
      </c>
      <c r="B770" s="4" t="str">
        <f>IF(Produits!B651="","",Produits!B651)</f>
        <v/>
      </c>
      <c r="C770" s="4" t="str">
        <f>IF(Produits!C651="","",Produits!C651)</f>
        <v/>
      </c>
      <c r="D770" s="4" t="str">
        <f>IF(Produits!D651="","",Produits!D651)</f>
        <v/>
      </c>
      <c r="E770" s="49" t="str">
        <f>IF(Produits!F651="","",Produits!F651)</f>
        <v/>
      </c>
      <c r="F770" s="50" t="str">
        <f>IF(Produits!H651="","",Produits!H651)</f>
        <v/>
      </c>
      <c r="H770" s="37"/>
      <c r="I770" s="2"/>
      <c r="J770" s="69">
        <f>SUM('Archives Entrées'!$N770:$AAV770)</f>
        <v>0</v>
      </c>
      <c r="K770" s="51" t="str">
        <f t="shared" si="45"/>
        <v>0,00€</v>
      </c>
      <c r="L770" s="69">
        <f>SUM('Archives Sorties'!$M770:$AAY770)</f>
        <v>0</v>
      </c>
      <c r="M770" s="51" t="str">
        <f t="shared" si="46"/>
        <v>0,00€</v>
      </c>
      <c r="P770" s="72"/>
      <c r="R770" s="185" t="str">
        <f t="shared" si="47"/>
        <v/>
      </c>
      <c r="S770" s="186" t="str">
        <f t="shared" si="48"/>
        <v/>
      </c>
      <c r="T770" s="187" t="str">
        <f>IF(R770="","",IF(O770=0,Famille!$D$5,IF(R770&lt;O770,Famille!$D$2,IF(R770&lt;=P770,Famille!$D$3,Famille!$D$4))))</f>
        <v/>
      </c>
    </row>
    <row r="771" spans="1:20" ht="12" customHeight="1" x14ac:dyDescent="0.2">
      <c r="A771" s="4" t="str">
        <f>IF(Produits!A652="","",Produits!A652)</f>
        <v/>
      </c>
      <c r="B771" s="4" t="str">
        <f>IF(Produits!B652="","",Produits!B652)</f>
        <v/>
      </c>
      <c r="C771" s="4" t="str">
        <f>IF(Produits!C652="","",Produits!C652)</f>
        <v/>
      </c>
      <c r="D771" s="4" t="str">
        <f>IF(Produits!D652="","",Produits!D652)</f>
        <v/>
      </c>
      <c r="E771" s="49" t="str">
        <f>IF(Produits!F652="","",Produits!F652)</f>
        <v/>
      </c>
      <c r="F771" s="50" t="str">
        <f>IF(Produits!H652="","",Produits!H652)</f>
        <v/>
      </c>
      <c r="H771" s="37"/>
      <c r="I771" s="2"/>
      <c r="J771" s="69">
        <f>SUM('Archives Entrées'!$N771:$AAV771)</f>
        <v>0</v>
      </c>
      <c r="K771" s="51" t="str">
        <f t="shared" si="45"/>
        <v>0,00€</v>
      </c>
      <c r="L771" s="69">
        <f>SUM('Archives Sorties'!$M771:$AAY771)</f>
        <v>0</v>
      </c>
      <c r="M771" s="51" t="str">
        <f t="shared" si="46"/>
        <v>0,00€</v>
      </c>
      <c r="P771" s="72"/>
      <c r="R771" s="185" t="str">
        <f t="shared" si="47"/>
        <v/>
      </c>
      <c r="S771" s="186" t="str">
        <f t="shared" si="48"/>
        <v/>
      </c>
      <c r="T771" s="187" t="str">
        <f>IF(R771="","",IF(O771=0,Famille!$D$5,IF(R771&lt;O771,Famille!$D$2,IF(R771&lt;=P771,Famille!$D$3,Famille!$D$4))))</f>
        <v/>
      </c>
    </row>
    <row r="772" spans="1:20" ht="12" customHeight="1" x14ac:dyDescent="0.2">
      <c r="A772" s="4" t="str">
        <f>IF(Produits!A653="","",Produits!A653)</f>
        <v/>
      </c>
      <c r="B772" s="4" t="str">
        <f>IF(Produits!B653="","",Produits!B653)</f>
        <v/>
      </c>
      <c r="C772" s="4" t="str">
        <f>IF(Produits!C653="","",Produits!C653)</f>
        <v/>
      </c>
      <c r="D772" s="4" t="str">
        <f>IF(Produits!D653="","",Produits!D653)</f>
        <v/>
      </c>
      <c r="E772" s="49" t="str">
        <f>IF(Produits!F653="","",Produits!F653)</f>
        <v/>
      </c>
      <c r="F772" s="50" t="str">
        <f>IF(Produits!H653="","",Produits!H653)</f>
        <v/>
      </c>
      <c r="H772" s="37"/>
      <c r="I772" s="2"/>
      <c r="J772" s="69">
        <f>SUM('Archives Entrées'!$N772:$AAV772)</f>
        <v>0</v>
      </c>
      <c r="K772" s="51" t="str">
        <f t="shared" si="45"/>
        <v>0,00€</v>
      </c>
      <c r="L772" s="69">
        <f>SUM('Archives Sorties'!$M772:$AAY772)</f>
        <v>0</v>
      </c>
      <c r="M772" s="51" t="str">
        <f t="shared" si="46"/>
        <v>0,00€</v>
      </c>
      <c r="P772" s="72"/>
      <c r="R772" s="185" t="str">
        <f t="shared" si="47"/>
        <v/>
      </c>
      <c r="S772" s="186" t="str">
        <f t="shared" si="48"/>
        <v/>
      </c>
      <c r="T772" s="187" t="str">
        <f>IF(R772="","",IF(O772=0,Famille!$D$5,IF(R772&lt;O772,Famille!$D$2,IF(R772&lt;=P772,Famille!$D$3,Famille!$D$4))))</f>
        <v/>
      </c>
    </row>
    <row r="773" spans="1:20" ht="12" customHeight="1" x14ac:dyDescent="0.2">
      <c r="A773" s="4" t="str">
        <f>IF(Produits!A654="","",Produits!A654)</f>
        <v/>
      </c>
      <c r="B773" s="4" t="str">
        <f>IF(Produits!B654="","",Produits!B654)</f>
        <v/>
      </c>
      <c r="C773" s="4" t="str">
        <f>IF(Produits!C654="","",Produits!C654)</f>
        <v/>
      </c>
      <c r="D773" s="4" t="str">
        <f>IF(Produits!D654="","",Produits!D654)</f>
        <v/>
      </c>
      <c r="E773" s="49" t="str">
        <f>IF(Produits!F654="","",Produits!F654)</f>
        <v/>
      </c>
      <c r="F773" s="50" t="str">
        <f>IF(Produits!H654="","",Produits!H654)</f>
        <v/>
      </c>
      <c r="H773" s="37"/>
      <c r="I773" s="2"/>
      <c r="J773" s="69">
        <f>SUM('Archives Entrées'!$N773:$AAV773)</f>
        <v>0</v>
      </c>
      <c r="K773" s="51" t="str">
        <f t="shared" ref="K773:K836" si="49">IF(J773=0,"0,00€",J773*F773)</f>
        <v>0,00€</v>
      </c>
      <c r="L773" s="69">
        <f>SUM('Archives Sorties'!$M773:$AAY773)</f>
        <v>0</v>
      </c>
      <c r="M773" s="51" t="str">
        <f t="shared" ref="M773:M836" si="50">IF(L773=0,"0,00€",L773*F773)</f>
        <v>0,00€</v>
      </c>
      <c r="P773" s="72"/>
      <c r="R773" s="185" t="str">
        <f t="shared" ref="R773:R836" si="51">IF(A773="","",((J773+H773)-L773))</f>
        <v/>
      </c>
      <c r="S773" s="186" t="str">
        <f t="shared" ref="S773:S836" si="52">IF(R773="","",IF(R773=0,0,IF(R773&lt;O773,0,IF(R773&lt;=P773,1,2))))</f>
        <v/>
      </c>
      <c r="T773" s="187" t="str">
        <f>IF(R773="","",IF(O773=0,Famille!$D$5,IF(R773&lt;O773,Famille!$D$2,IF(R773&lt;=P773,Famille!$D$3,Famille!$D$4))))</f>
        <v/>
      </c>
    </row>
    <row r="774" spans="1:20" ht="12" customHeight="1" x14ac:dyDescent="0.2">
      <c r="A774" s="4" t="str">
        <f>IF(Produits!A655="","",Produits!A655)</f>
        <v/>
      </c>
      <c r="B774" s="4" t="str">
        <f>IF(Produits!B655="","",Produits!B655)</f>
        <v/>
      </c>
      <c r="C774" s="4" t="str">
        <f>IF(Produits!C655="","",Produits!C655)</f>
        <v/>
      </c>
      <c r="D774" s="4" t="str">
        <f>IF(Produits!D655="","",Produits!D655)</f>
        <v/>
      </c>
      <c r="E774" s="49" t="str">
        <f>IF(Produits!F655="","",Produits!F655)</f>
        <v/>
      </c>
      <c r="F774" s="50" t="str">
        <f>IF(Produits!H655="","",Produits!H655)</f>
        <v/>
      </c>
      <c r="H774" s="37"/>
      <c r="I774" s="2"/>
      <c r="J774" s="69">
        <f>SUM('Archives Entrées'!$N774:$AAV774)</f>
        <v>0</v>
      </c>
      <c r="K774" s="51" t="str">
        <f t="shared" si="49"/>
        <v>0,00€</v>
      </c>
      <c r="L774" s="69">
        <f>SUM('Archives Sorties'!$M774:$AAY774)</f>
        <v>0</v>
      </c>
      <c r="M774" s="51" t="str">
        <f t="shared" si="50"/>
        <v>0,00€</v>
      </c>
      <c r="P774" s="72"/>
      <c r="R774" s="185" t="str">
        <f t="shared" si="51"/>
        <v/>
      </c>
      <c r="S774" s="186" t="str">
        <f t="shared" si="52"/>
        <v/>
      </c>
      <c r="T774" s="187" t="str">
        <f>IF(R774="","",IF(O774=0,Famille!$D$5,IF(R774&lt;O774,Famille!$D$2,IF(R774&lt;=P774,Famille!$D$3,Famille!$D$4))))</f>
        <v/>
      </c>
    </row>
    <row r="775" spans="1:20" ht="12" customHeight="1" x14ac:dyDescent="0.2">
      <c r="A775" s="4" t="str">
        <f>IF(Produits!A656="","",Produits!A656)</f>
        <v/>
      </c>
      <c r="B775" s="4" t="str">
        <f>IF(Produits!B656="","",Produits!B656)</f>
        <v/>
      </c>
      <c r="C775" s="4" t="str">
        <f>IF(Produits!C656="","",Produits!C656)</f>
        <v/>
      </c>
      <c r="D775" s="4" t="str">
        <f>IF(Produits!D656="","",Produits!D656)</f>
        <v/>
      </c>
      <c r="E775" s="49" t="str">
        <f>IF(Produits!F656="","",Produits!F656)</f>
        <v/>
      </c>
      <c r="F775" s="50" t="str">
        <f>IF(Produits!H656="","",Produits!H656)</f>
        <v/>
      </c>
      <c r="H775" s="37"/>
      <c r="I775" s="2"/>
      <c r="J775" s="69">
        <f>SUM('Archives Entrées'!$N775:$AAV775)</f>
        <v>0</v>
      </c>
      <c r="K775" s="51" t="str">
        <f t="shared" si="49"/>
        <v>0,00€</v>
      </c>
      <c r="L775" s="69">
        <f>SUM('Archives Sorties'!$M775:$AAY775)</f>
        <v>0</v>
      </c>
      <c r="M775" s="51" t="str">
        <f t="shared" si="50"/>
        <v>0,00€</v>
      </c>
      <c r="P775" s="72"/>
      <c r="R775" s="185" t="str">
        <f t="shared" si="51"/>
        <v/>
      </c>
      <c r="S775" s="186" t="str">
        <f t="shared" si="52"/>
        <v/>
      </c>
      <c r="T775" s="187" t="str">
        <f>IF(R775="","",IF(O775=0,Famille!$D$5,IF(R775&lt;O775,Famille!$D$2,IF(R775&lt;=P775,Famille!$D$3,Famille!$D$4))))</f>
        <v/>
      </c>
    </row>
    <row r="776" spans="1:20" ht="12" customHeight="1" x14ac:dyDescent="0.2">
      <c r="A776" s="4" t="str">
        <f>IF(Produits!A657="","",Produits!A657)</f>
        <v/>
      </c>
      <c r="B776" s="4" t="str">
        <f>IF(Produits!B657="","",Produits!B657)</f>
        <v/>
      </c>
      <c r="C776" s="4" t="str">
        <f>IF(Produits!C657="","",Produits!C657)</f>
        <v/>
      </c>
      <c r="D776" s="4" t="str">
        <f>IF(Produits!D657="","",Produits!D657)</f>
        <v/>
      </c>
      <c r="E776" s="49" t="str">
        <f>IF(Produits!F657="","",Produits!F657)</f>
        <v/>
      </c>
      <c r="F776" s="50" t="str">
        <f>IF(Produits!H657="","",Produits!H657)</f>
        <v/>
      </c>
      <c r="H776" s="37"/>
      <c r="I776" s="2"/>
      <c r="J776" s="69">
        <f>SUM('Archives Entrées'!$N776:$AAV776)</f>
        <v>0</v>
      </c>
      <c r="K776" s="51" t="str">
        <f t="shared" si="49"/>
        <v>0,00€</v>
      </c>
      <c r="L776" s="69">
        <f>SUM('Archives Sorties'!$M776:$AAY776)</f>
        <v>0</v>
      </c>
      <c r="M776" s="51" t="str">
        <f t="shared" si="50"/>
        <v>0,00€</v>
      </c>
      <c r="P776" s="72"/>
      <c r="R776" s="185" t="str">
        <f t="shared" si="51"/>
        <v/>
      </c>
      <c r="S776" s="186" t="str">
        <f t="shared" si="52"/>
        <v/>
      </c>
      <c r="T776" s="187" t="str">
        <f>IF(R776="","",IF(O776=0,Famille!$D$5,IF(R776&lt;O776,Famille!$D$2,IF(R776&lt;=P776,Famille!$D$3,Famille!$D$4))))</f>
        <v/>
      </c>
    </row>
    <row r="777" spans="1:20" ht="12" customHeight="1" x14ac:dyDescent="0.2">
      <c r="A777" s="4" t="str">
        <f>IF(Produits!A658="","",Produits!A658)</f>
        <v/>
      </c>
      <c r="B777" s="4" t="str">
        <f>IF(Produits!B658="","",Produits!B658)</f>
        <v/>
      </c>
      <c r="C777" s="4" t="str">
        <f>IF(Produits!C658="","",Produits!C658)</f>
        <v/>
      </c>
      <c r="D777" s="4" t="str">
        <f>IF(Produits!D658="","",Produits!D658)</f>
        <v/>
      </c>
      <c r="E777" s="49" t="str">
        <f>IF(Produits!F658="","",Produits!F658)</f>
        <v/>
      </c>
      <c r="F777" s="50" t="str">
        <f>IF(Produits!H658="","",Produits!H658)</f>
        <v/>
      </c>
      <c r="H777" s="37"/>
      <c r="I777" s="2"/>
      <c r="J777" s="69">
        <f>SUM('Archives Entrées'!$N777:$AAV777)</f>
        <v>0</v>
      </c>
      <c r="K777" s="51" t="str">
        <f t="shared" si="49"/>
        <v>0,00€</v>
      </c>
      <c r="L777" s="69">
        <f>SUM('Archives Sorties'!$M777:$AAY777)</f>
        <v>0</v>
      </c>
      <c r="M777" s="51" t="str">
        <f t="shared" si="50"/>
        <v>0,00€</v>
      </c>
      <c r="P777" s="72"/>
      <c r="R777" s="185" t="str">
        <f t="shared" si="51"/>
        <v/>
      </c>
      <c r="S777" s="186" t="str">
        <f t="shared" si="52"/>
        <v/>
      </c>
      <c r="T777" s="187" t="str">
        <f>IF(R777="","",IF(O777=0,Famille!$D$5,IF(R777&lt;O777,Famille!$D$2,IF(R777&lt;=P777,Famille!$D$3,Famille!$D$4))))</f>
        <v/>
      </c>
    </row>
    <row r="778" spans="1:20" ht="12" customHeight="1" x14ac:dyDescent="0.2">
      <c r="A778" s="4" t="str">
        <f>IF(Produits!A659="","",Produits!A659)</f>
        <v/>
      </c>
      <c r="B778" s="4" t="str">
        <f>IF(Produits!B659="","",Produits!B659)</f>
        <v/>
      </c>
      <c r="C778" s="4" t="str">
        <f>IF(Produits!C659="","",Produits!C659)</f>
        <v/>
      </c>
      <c r="D778" s="4" t="str">
        <f>IF(Produits!D659="","",Produits!D659)</f>
        <v/>
      </c>
      <c r="E778" s="49" t="str">
        <f>IF(Produits!F659="","",Produits!F659)</f>
        <v/>
      </c>
      <c r="F778" s="50" t="str">
        <f>IF(Produits!H659="","",Produits!H659)</f>
        <v/>
      </c>
      <c r="H778" s="37"/>
      <c r="I778" s="2"/>
      <c r="J778" s="69">
        <f>SUM('Archives Entrées'!$N778:$AAV778)</f>
        <v>0</v>
      </c>
      <c r="K778" s="51" t="str">
        <f t="shared" si="49"/>
        <v>0,00€</v>
      </c>
      <c r="L778" s="69">
        <f>SUM('Archives Sorties'!$M778:$AAY778)</f>
        <v>0</v>
      </c>
      <c r="M778" s="51" t="str">
        <f t="shared" si="50"/>
        <v>0,00€</v>
      </c>
      <c r="P778" s="72"/>
      <c r="R778" s="185" t="str">
        <f t="shared" si="51"/>
        <v/>
      </c>
      <c r="S778" s="186" t="str">
        <f t="shared" si="52"/>
        <v/>
      </c>
      <c r="T778" s="187" t="str">
        <f>IF(R778="","",IF(O778=0,Famille!$D$5,IF(R778&lt;O778,Famille!$D$2,IF(R778&lt;=P778,Famille!$D$3,Famille!$D$4))))</f>
        <v/>
      </c>
    </row>
    <row r="779" spans="1:20" ht="12" customHeight="1" x14ac:dyDescent="0.2">
      <c r="A779" s="4" t="str">
        <f>IF(Produits!A660="","",Produits!A660)</f>
        <v/>
      </c>
      <c r="B779" s="4" t="str">
        <f>IF(Produits!B660="","",Produits!B660)</f>
        <v/>
      </c>
      <c r="C779" s="4" t="str">
        <f>IF(Produits!C660="","",Produits!C660)</f>
        <v/>
      </c>
      <c r="D779" s="4" t="str">
        <f>IF(Produits!D660="","",Produits!D660)</f>
        <v/>
      </c>
      <c r="E779" s="49" t="str">
        <f>IF(Produits!F660="","",Produits!F660)</f>
        <v/>
      </c>
      <c r="F779" s="50" t="str">
        <f>IF(Produits!H660="","",Produits!H660)</f>
        <v/>
      </c>
      <c r="H779" s="37"/>
      <c r="I779" s="2"/>
      <c r="J779" s="69">
        <f>SUM('Archives Entrées'!$N779:$AAV779)</f>
        <v>0</v>
      </c>
      <c r="K779" s="51" t="str">
        <f t="shared" si="49"/>
        <v>0,00€</v>
      </c>
      <c r="L779" s="69">
        <f>SUM('Archives Sorties'!$M779:$AAY779)</f>
        <v>0</v>
      </c>
      <c r="M779" s="51" t="str">
        <f t="shared" si="50"/>
        <v>0,00€</v>
      </c>
      <c r="P779" s="72"/>
      <c r="R779" s="185" t="str">
        <f t="shared" si="51"/>
        <v/>
      </c>
      <c r="S779" s="186" t="str">
        <f t="shared" si="52"/>
        <v/>
      </c>
      <c r="T779" s="187" t="str">
        <f>IF(R779="","",IF(O779=0,Famille!$D$5,IF(R779&lt;O779,Famille!$D$2,IF(R779&lt;=P779,Famille!$D$3,Famille!$D$4))))</f>
        <v/>
      </c>
    </row>
    <row r="780" spans="1:20" ht="12" customHeight="1" x14ac:dyDescent="0.2">
      <c r="A780" s="4" t="str">
        <f>IF(Produits!A661="","",Produits!A661)</f>
        <v/>
      </c>
      <c r="B780" s="4" t="str">
        <f>IF(Produits!B661="","",Produits!B661)</f>
        <v/>
      </c>
      <c r="C780" s="4" t="str">
        <f>IF(Produits!C661="","",Produits!C661)</f>
        <v/>
      </c>
      <c r="D780" s="4" t="str">
        <f>IF(Produits!D661="","",Produits!D661)</f>
        <v/>
      </c>
      <c r="E780" s="49" t="str">
        <f>IF(Produits!F661="","",Produits!F661)</f>
        <v/>
      </c>
      <c r="F780" s="50" t="str">
        <f>IF(Produits!H661="","",Produits!H661)</f>
        <v/>
      </c>
      <c r="H780" s="37"/>
      <c r="I780" s="2"/>
      <c r="J780" s="69">
        <f>SUM('Archives Entrées'!$N780:$AAV780)</f>
        <v>0</v>
      </c>
      <c r="K780" s="51" t="str">
        <f t="shared" si="49"/>
        <v>0,00€</v>
      </c>
      <c r="L780" s="69">
        <f>SUM('Archives Sorties'!$M780:$AAY780)</f>
        <v>0</v>
      </c>
      <c r="M780" s="51" t="str">
        <f t="shared" si="50"/>
        <v>0,00€</v>
      </c>
      <c r="P780" s="72"/>
      <c r="R780" s="185" t="str">
        <f t="shared" si="51"/>
        <v/>
      </c>
      <c r="S780" s="186" t="str">
        <f t="shared" si="52"/>
        <v/>
      </c>
      <c r="T780" s="187" t="str">
        <f>IF(R780="","",IF(O780=0,Famille!$D$5,IF(R780&lt;O780,Famille!$D$2,IF(R780&lt;=P780,Famille!$D$3,Famille!$D$4))))</f>
        <v/>
      </c>
    </row>
    <row r="781" spans="1:20" ht="12" customHeight="1" x14ac:dyDescent="0.2">
      <c r="A781" s="4" t="str">
        <f>IF(Produits!A662="","",Produits!A662)</f>
        <v/>
      </c>
      <c r="B781" s="4" t="str">
        <f>IF(Produits!B662="","",Produits!B662)</f>
        <v/>
      </c>
      <c r="C781" s="4" t="str">
        <f>IF(Produits!C662="","",Produits!C662)</f>
        <v/>
      </c>
      <c r="D781" s="4" t="str">
        <f>IF(Produits!D662="","",Produits!D662)</f>
        <v/>
      </c>
      <c r="E781" s="49" t="str">
        <f>IF(Produits!F662="","",Produits!F662)</f>
        <v/>
      </c>
      <c r="F781" s="50" t="str">
        <f>IF(Produits!H662="","",Produits!H662)</f>
        <v/>
      </c>
      <c r="H781" s="37"/>
      <c r="I781" s="2"/>
      <c r="J781" s="69">
        <f>SUM('Archives Entrées'!$N781:$AAV781)</f>
        <v>0</v>
      </c>
      <c r="K781" s="51" t="str">
        <f t="shared" si="49"/>
        <v>0,00€</v>
      </c>
      <c r="L781" s="69">
        <f>SUM('Archives Sorties'!$M781:$AAY781)</f>
        <v>0</v>
      </c>
      <c r="M781" s="51" t="str">
        <f t="shared" si="50"/>
        <v>0,00€</v>
      </c>
      <c r="P781" s="72"/>
      <c r="R781" s="185" t="str">
        <f t="shared" si="51"/>
        <v/>
      </c>
      <c r="S781" s="186" t="str">
        <f t="shared" si="52"/>
        <v/>
      </c>
      <c r="T781" s="187" t="str">
        <f>IF(R781="","",IF(O781=0,Famille!$D$5,IF(R781&lt;O781,Famille!$D$2,IF(R781&lt;=P781,Famille!$D$3,Famille!$D$4))))</f>
        <v/>
      </c>
    </row>
    <row r="782" spans="1:20" ht="12" customHeight="1" x14ac:dyDescent="0.2">
      <c r="A782" s="4" t="str">
        <f>IF(Produits!A663="","",Produits!A663)</f>
        <v/>
      </c>
      <c r="B782" s="4" t="str">
        <f>IF(Produits!B663="","",Produits!B663)</f>
        <v/>
      </c>
      <c r="C782" s="4" t="str">
        <f>IF(Produits!C663="","",Produits!C663)</f>
        <v/>
      </c>
      <c r="D782" s="4" t="str">
        <f>IF(Produits!D663="","",Produits!D663)</f>
        <v/>
      </c>
      <c r="E782" s="49" t="str">
        <f>IF(Produits!F663="","",Produits!F663)</f>
        <v/>
      </c>
      <c r="F782" s="50" t="str">
        <f>IF(Produits!H663="","",Produits!H663)</f>
        <v/>
      </c>
      <c r="H782" s="37"/>
      <c r="I782" s="2"/>
      <c r="J782" s="69">
        <f>SUM('Archives Entrées'!$N782:$AAV782)</f>
        <v>0</v>
      </c>
      <c r="K782" s="51" t="str">
        <f t="shared" si="49"/>
        <v>0,00€</v>
      </c>
      <c r="L782" s="69">
        <f>SUM('Archives Sorties'!$M782:$AAY782)</f>
        <v>0</v>
      </c>
      <c r="M782" s="51" t="str">
        <f t="shared" si="50"/>
        <v>0,00€</v>
      </c>
      <c r="P782" s="72"/>
      <c r="R782" s="185" t="str">
        <f t="shared" si="51"/>
        <v/>
      </c>
      <c r="S782" s="186" t="str">
        <f t="shared" si="52"/>
        <v/>
      </c>
      <c r="T782" s="187" t="str">
        <f>IF(R782="","",IF(O782=0,Famille!$D$5,IF(R782&lt;O782,Famille!$D$2,IF(R782&lt;=P782,Famille!$D$3,Famille!$D$4))))</f>
        <v/>
      </c>
    </row>
    <row r="783" spans="1:20" ht="12" customHeight="1" x14ac:dyDescent="0.2">
      <c r="A783" s="4" t="str">
        <f>IF(Produits!A664="","",Produits!A664)</f>
        <v/>
      </c>
      <c r="B783" s="4" t="str">
        <f>IF(Produits!B664="","",Produits!B664)</f>
        <v/>
      </c>
      <c r="C783" s="4" t="str">
        <f>IF(Produits!C664="","",Produits!C664)</f>
        <v/>
      </c>
      <c r="D783" s="4" t="str">
        <f>IF(Produits!D664="","",Produits!D664)</f>
        <v/>
      </c>
      <c r="E783" s="49" t="str">
        <f>IF(Produits!F664="","",Produits!F664)</f>
        <v/>
      </c>
      <c r="F783" s="50" t="str">
        <f>IF(Produits!H664="","",Produits!H664)</f>
        <v/>
      </c>
      <c r="H783" s="37"/>
      <c r="I783" s="2"/>
      <c r="J783" s="69">
        <f>SUM('Archives Entrées'!$N783:$AAV783)</f>
        <v>0</v>
      </c>
      <c r="K783" s="51" t="str">
        <f t="shared" si="49"/>
        <v>0,00€</v>
      </c>
      <c r="L783" s="69">
        <f>SUM('Archives Sorties'!$M783:$AAY783)</f>
        <v>0</v>
      </c>
      <c r="M783" s="51" t="str">
        <f t="shared" si="50"/>
        <v>0,00€</v>
      </c>
      <c r="P783" s="72"/>
      <c r="R783" s="185" t="str">
        <f t="shared" si="51"/>
        <v/>
      </c>
      <c r="S783" s="186" t="str">
        <f t="shared" si="52"/>
        <v/>
      </c>
      <c r="T783" s="187" t="str">
        <f>IF(R783="","",IF(O783=0,Famille!$D$5,IF(R783&lt;O783,Famille!$D$2,IF(R783&lt;=P783,Famille!$D$3,Famille!$D$4))))</f>
        <v/>
      </c>
    </row>
    <row r="784" spans="1:20" ht="12" customHeight="1" x14ac:dyDescent="0.2">
      <c r="A784" s="4" t="str">
        <f>IF(Produits!A665="","",Produits!A665)</f>
        <v/>
      </c>
      <c r="B784" s="4" t="str">
        <f>IF(Produits!B665="","",Produits!B665)</f>
        <v/>
      </c>
      <c r="C784" s="4" t="str">
        <f>IF(Produits!C665="","",Produits!C665)</f>
        <v/>
      </c>
      <c r="D784" s="4" t="str">
        <f>IF(Produits!D665="","",Produits!D665)</f>
        <v/>
      </c>
      <c r="E784" s="49" t="str">
        <f>IF(Produits!F665="","",Produits!F665)</f>
        <v/>
      </c>
      <c r="F784" s="50" t="str">
        <f>IF(Produits!H665="","",Produits!H665)</f>
        <v/>
      </c>
      <c r="H784" s="37"/>
      <c r="I784" s="2"/>
      <c r="J784" s="69">
        <f>SUM('Archives Entrées'!$N784:$AAV784)</f>
        <v>0</v>
      </c>
      <c r="K784" s="51" t="str">
        <f t="shared" si="49"/>
        <v>0,00€</v>
      </c>
      <c r="L784" s="69">
        <f>SUM('Archives Sorties'!$M784:$AAY784)</f>
        <v>0</v>
      </c>
      <c r="M784" s="51" t="str">
        <f t="shared" si="50"/>
        <v>0,00€</v>
      </c>
      <c r="P784" s="72"/>
      <c r="R784" s="185" t="str">
        <f t="shared" si="51"/>
        <v/>
      </c>
      <c r="S784" s="186" t="str">
        <f t="shared" si="52"/>
        <v/>
      </c>
      <c r="T784" s="187" t="str">
        <f>IF(R784="","",IF(O784=0,Famille!$D$5,IF(R784&lt;O784,Famille!$D$2,IF(R784&lt;=P784,Famille!$D$3,Famille!$D$4))))</f>
        <v/>
      </c>
    </row>
    <row r="785" spans="1:20" ht="12" customHeight="1" x14ac:dyDescent="0.2">
      <c r="A785" s="4" t="str">
        <f>IF(Produits!A666="","",Produits!A666)</f>
        <v/>
      </c>
      <c r="B785" s="4" t="str">
        <f>IF(Produits!B666="","",Produits!B666)</f>
        <v/>
      </c>
      <c r="C785" s="4" t="str">
        <f>IF(Produits!C666="","",Produits!C666)</f>
        <v/>
      </c>
      <c r="D785" s="4" t="str">
        <f>IF(Produits!D666="","",Produits!D666)</f>
        <v/>
      </c>
      <c r="E785" s="49" t="str">
        <f>IF(Produits!F666="","",Produits!F666)</f>
        <v/>
      </c>
      <c r="F785" s="50" t="str">
        <f>IF(Produits!H666="","",Produits!H666)</f>
        <v/>
      </c>
      <c r="H785" s="37"/>
      <c r="I785" s="2"/>
      <c r="J785" s="69">
        <f>SUM('Archives Entrées'!$N785:$AAV785)</f>
        <v>0</v>
      </c>
      <c r="K785" s="51" t="str">
        <f t="shared" si="49"/>
        <v>0,00€</v>
      </c>
      <c r="L785" s="69">
        <f>SUM('Archives Sorties'!$M785:$AAY785)</f>
        <v>0</v>
      </c>
      <c r="M785" s="51" t="str">
        <f t="shared" si="50"/>
        <v>0,00€</v>
      </c>
      <c r="P785" s="72"/>
      <c r="R785" s="185" t="str">
        <f t="shared" si="51"/>
        <v/>
      </c>
      <c r="S785" s="186" t="str">
        <f t="shared" si="52"/>
        <v/>
      </c>
      <c r="T785" s="187" t="str">
        <f>IF(R785="","",IF(O785=0,Famille!$D$5,IF(R785&lt;O785,Famille!$D$2,IF(R785&lt;=P785,Famille!$D$3,Famille!$D$4))))</f>
        <v/>
      </c>
    </row>
    <row r="786" spans="1:20" ht="12" customHeight="1" x14ac:dyDescent="0.2">
      <c r="A786" s="4" t="str">
        <f>IF(Produits!A667="","",Produits!A667)</f>
        <v/>
      </c>
      <c r="B786" s="4" t="str">
        <f>IF(Produits!B667="","",Produits!B667)</f>
        <v/>
      </c>
      <c r="C786" s="4" t="str">
        <f>IF(Produits!C667="","",Produits!C667)</f>
        <v/>
      </c>
      <c r="D786" s="4" t="str">
        <f>IF(Produits!D667="","",Produits!D667)</f>
        <v/>
      </c>
      <c r="E786" s="49" t="str">
        <f>IF(Produits!F667="","",Produits!F667)</f>
        <v/>
      </c>
      <c r="F786" s="50" t="str">
        <f>IF(Produits!H667="","",Produits!H667)</f>
        <v/>
      </c>
      <c r="H786" s="37"/>
      <c r="I786" s="2"/>
      <c r="J786" s="69">
        <f>SUM('Archives Entrées'!$N786:$AAV786)</f>
        <v>0</v>
      </c>
      <c r="K786" s="51" t="str">
        <f t="shared" si="49"/>
        <v>0,00€</v>
      </c>
      <c r="L786" s="69">
        <f>SUM('Archives Sorties'!$M786:$AAY786)</f>
        <v>0</v>
      </c>
      <c r="M786" s="51" t="str">
        <f t="shared" si="50"/>
        <v>0,00€</v>
      </c>
      <c r="P786" s="72"/>
      <c r="R786" s="185" t="str">
        <f t="shared" si="51"/>
        <v/>
      </c>
      <c r="S786" s="186" t="str">
        <f t="shared" si="52"/>
        <v/>
      </c>
      <c r="T786" s="187" t="str">
        <f>IF(R786="","",IF(O786=0,Famille!$D$5,IF(R786&lt;O786,Famille!$D$2,IF(R786&lt;=P786,Famille!$D$3,Famille!$D$4))))</f>
        <v/>
      </c>
    </row>
    <row r="787" spans="1:20" ht="12" customHeight="1" x14ac:dyDescent="0.2">
      <c r="A787" s="4" t="str">
        <f>IF(Produits!A668="","",Produits!A668)</f>
        <v/>
      </c>
      <c r="B787" s="4" t="str">
        <f>IF(Produits!B668="","",Produits!B668)</f>
        <v/>
      </c>
      <c r="C787" s="4" t="str">
        <f>IF(Produits!C668="","",Produits!C668)</f>
        <v/>
      </c>
      <c r="D787" s="4" t="str">
        <f>IF(Produits!D668="","",Produits!D668)</f>
        <v/>
      </c>
      <c r="E787" s="49" t="str">
        <f>IF(Produits!F668="","",Produits!F668)</f>
        <v/>
      </c>
      <c r="F787" s="50" t="str">
        <f>IF(Produits!H668="","",Produits!H668)</f>
        <v/>
      </c>
      <c r="H787" s="37"/>
      <c r="I787" s="2"/>
      <c r="J787" s="69">
        <f>SUM('Archives Entrées'!$N787:$AAV787)</f>
        <v>0</v>
      </c>
      <c r="K787" s="51" t="str">
        <f t="shared" si="49"/>
        <v>0,00€</v>
      </c>
      <c r="L787" s="69">
        <f>SUM('Archives Sorties'!$M787:$AAY787)</f>
        <v>0</v>
      </c>
      <c r="M787" s="51" t="str">
        <f t="shared" si="50"/>
        <v>0,00€</v>
      </c>
      <c r="P787" s="72"/>
      <c r="R787" s="185" t="str">
        <f t="shared" si="51"/>
        <v/>
      </c>
      <c r="S787" s="186" t="str">
        <f t="shared" si="52"/>
        <v/>
      </c>
      <c r="T787" s="187" t="str">
        <f>IF(R787="","",IF(O787=0,Famille!$D$5,IF(R787&lt;O787,Famille!$D$2,IF(R787&lt;=P787,Famille!$D$3,Famille!$D$4))))</f>
        <v/>
      </c>
    </row>
    <row r="788" spans="1:20" ht="12" customHeight="1" x14ac:dyDescent="0.2">
      <c r="A788" s="4" t="str">
        <f>IF(Produits!A669="","",Produits!A669)</f>
        <v/>
      </c>
      <c r="B788" s="4" t="str">
        <f>IF(Produits!B669="","",Produits!B669)</f>
        <v/>
      </c>
      <c r="C788" s="4" t="str">
        <f>IF(Produits!C669="","",Produits!C669)</f>
        <v/>
      </c>
      <c r="D788" s="4" t="str">
        <f>IF(Produits!D669="","",Produits!D669)</f>
        <v/>
      </c>
      <c r="E788" s="49" t="str">
        <f>IF(Produits!F669="","",Produits!F669)</f>
        <v/>
      </c>
      <c r="F788" s="50" t="str">
        <f>IF(Produits!H669="","",Produits!H669)</f>
        <v/>
      </c>
      <c r="H788" s="37"/>
      <c r="I788" s="2"/>
      <c r="J788" s="69">
        <f>SUM('Archives Entrées'!$N788:$AAV788)</f>
        <v>0</v>
      </c>
      <c r="K788" s="51" t="str">
        <f t="shared" si="49"/>
        <v>0,00€</v>
      </c>
      <c r="L788" s="69">
        <f>SUM('Archives Sorties'!$M788:$AAY788)</f>
        <v>0</v>
      </c>
      <c r="M788" s="51" t="str">
        <f t="shared" si="50"/>
        <v>0,00€</v>
      </c>
      <c r="P788" s="72"/>
      <c r="R788" s="185" t="str">
        <f t="shared" si="51"/>
        <v/>
      </c>
      <c r="S788" s="186" t="str">
        <f t="shared" si="52"/>
        <v/>
      </c>
      <c r="T788" s="187" t="str">
        <f>IF(R788="","",IF(O788=0,Famille!$D$5,IF(R788&lt;O788,Famille!$D$2,IF(R788&lt;=P788,Famille!$D$3,Famille!$D$4))))</f>
        <v/>
      </c>
    </row>
    <row r="789" spans="1:20" ht="12" customHeight="1" x14ac:dyDescent="0.2">
      <c r="A789" s="4" t="str">
        <f>IF(Produits!A670="","",Produits!A670)</f>
        <v/>
      </c>
      <c r="B789" s="4" t="str">
        <f>IF(Produits!B670="","",Produits!B670)</f>
        <v/>
      </c>
      <c r="C789" s="4" t="str">
        <f>IF(Produits!C670="","",Produits!C670)</f>
        <v/>
      </c>
      <c r="D789" s="4" t="str">
        <f>IF(Produits!D670="","",Produits!D670)</f>
        <v/>
      </c>
      <c r="E789" s="49" t="str">
        <f>IF(Produits!F670="","",Produits!F670)</f>
        <v/>
      </c>
      <c r="F789" s="50" t="str">
        <f>IF(Produits!H670="","",Produits!H670)</f>
        <v/>
      </c>
      <c r="H789" s="37"/>
      <c r="I789" s="2"/>
      <c r="J789" s="69">
        <f>SUM('Archives Entrées'!$N789:$AAV789)</f>
        <v>0</v>
      </c>
      <c r="K789" s="51" t="str">
        <f t="shared" si="49"/>
        <v>0,00€</v>
      </c>
      <c r="L789" s="69">
        <f>SUM('Archives Sorties'!$M789:$AAY789)</f>
        <v>0</v>
      </c>
      <c r="M789" s="51" t="str">
        <f t="shared" si="50"/>
        <v>0,00€</v>
      </c>
      <c r="P789" s="72"/>
      <c r="R789" s="185" t="str">
        <f t="shared" si="51"/>
        <v/>
      </c>
      <c r="S789" s="186" t="str">
        <f t="shared" si="52"/>
        <v/>
      </c>
      <c r="T789" s="187" t="str">
        <f>IF(R789="","",IF(O789=0,Famille!$D$5,IF(R789&lt;O789,Famille!$D$2,IF(R789&lt;=P789,Famille!$D$3,Famille!$D$4))))</f>
        <v/>
      </c>
    </row>
    <row r="790" spans="1:20" ht="12" customHeight="1" x14ac:dyDescent="0.2">
      <c r="A790" s="4" t="str">
        <f>IF(Produits!A671="","",Produits!A671)</f>
        <v/>
      </c>
      <c r="B790" s="4" t="str">
        <f>IF(Produits!B671="","",Produits!B671)</f>
        <v/>
      </c>
      <c r="C790" s="4" t="str">
        <f>IF(Produits!C671="","",Produits!C671)</f>
        <v/>
      </c>
      <c r="D790" s="4" t="str">
        <f>IF(Produits!D671="","",Produits!D671)</f>
        <v/>
      </c>
      <c r="E790" s="49" t="str">
        <f>IF(Produits!F671="","",Produits!F671)</f>
        <v/>
      </c>
      <c r="F790" s="50" t="str">
        <f>IF(Produits!H671="","",Produits!H671)</f>
        <v/>
      </c>
      <c r="H790" s="37"/>
      <c r="I790" s="2"/>
      <c r="J790" s="69">
        <f>SUM('Archives Entrées'!$N790:$AAV790)</f>
        <v>0</v>
      </c>
      <c r="K790" s="51" t="str">
        <f t="shared" si="49"/>
        <v>0,00€</v>
      </c>
      <c r="L790" s="69">
        <f>SUM('Archives Sorties'!$M790:$AAY790)</f>
        <v>0</v>
      </c>
      <c r="M790" s="51" t="str">
        <f t="shared" si="50"/>
        <v>0,00€</v>
      </c>
      <c r="P790" s="72"/>
      <c r="R790" s="185" t="str">
        <f t="shared" si="51"/>
        <v/>
      </c>
      <c r="S790" s="186" t="str">
        <f t="shared" si="52"/>
        <v/>
      </c>
      <c r="T790" s="187" t="str">
        <f>IF(R790="","",IF(O790=0,Famille!$D$5,IF(R790&lt;O790,Famille!$D$2,IF(R790&lt;=P790,Famille!$D$3,Famille!$D$4))))</f>
        <v/>
      </c>
    </row>
    <row r="791" spans="1:20" ht="12" customHeight="1" x14ac:dyDescent="0.2">
      <c r="A791" s="4" t="str">
        <f>IF(Produits!A672="","",Produits!A672)</f>
        <v/>
      </c>
      <c r="B791" s="4" t="str">
        <f>IF(Produits!B672="","",Produits!B672)</f>
        <v/>
      </c>
      <c r="C791" s="4" t="str">
        <f>IF(Produits!C672="","",Produits!C672)</f>
        <v/>
      </c>
      <c r="D791" s="4" t="str">
        <f>IF(Produits!D672="","",Produits!D672)</f>
        <v/>
      </c>
      <c r="E791" s="49" t="str">
        <f>IF(Produits!F672="","",Produits!F672)</f>
        <v/>
      </c>
      <c r="F791" s="50" t="str">
        <f>IF(Produits!H672="","",Produits!H672)</f>
        <v/>
      </c>
      <c r="H791" s="37"/>
      <c r="I791" s="2"/>
      <c r="J791" s="69">
        <f>SUM('Archives Entrées'!$N791:$AAV791)</f>
        <v>0</v>
      </c>
      <c r="K791" s="51" t="str">
        <f t="shared" si="49"/>
        <v>0,00€</v>
      </c>
      <c r="L791" s="69">
        <f>SUM('Archives Sorties'!$M791:$AAY791)</f>
        <v>0</v>
      </c>
      <c r="M791" s="51" t="str">
        <f t="shared" si="50"/>
        <v>0,00€</v>
      </c>
      <c r="P791" s="72"/>
      <c r="R791" s="185" t="str">
        <f t="shared" si="51"/>
        <v/>
      </c>
      <c r="S791" s="186" t="str">
        <f t="shared" si="52"/>
        <v/>
      </c>
      <c r="T791" s="187" t="str">
        <f>IF(R791="","",IF(O791=0,Famille!$D$5,IF(R791&lt;O791,Famille!$D$2,IF(R791&lt;=P791,Famille!$D$3,Famille!$D$4))))</f>
        <v/>
      </c>
    </row>
    <row r="792" spans="1:20" ht="12" customHeight="1" x14ac:dyDescent="0.2">
      <c r="A792" s="4" t="str">
        <f>IF(Produits!A673="","",Produits!A673)</f>
        <v/>
      </c>
      <c r="B792" s="4" t="str">
        <f>IF(Produits!B673="","",Produits!B673)</f>
        <v/>
      </c>
      <c r="C792" s="4" t="str">
        <f>IF(Produits!C673="","",Produits!C673)</f>
        <v/>
      </c>
      <c r="D792" s="4" t="str">
        <f>IF(Produits!D673="","",Produits!D673)</f>
        <v/>
      </c>
      <c r="E792" s="49" t="str">
        <f>IF(Produits!F673="","",Produits!F673)</f>
        <v/>
      </c>
      <c r="F792" s="50" t="str">
        <f>IF(Produits!H673="","",Produits!H673)</f>
        <v/>
      </c>
      <c r="H792" s="37"/>
      <c r="I792" s="2"/>
      <c r="J792" s="69">
        <f>SUM('Archives Entrées'!$N792:$AAV792)</f>
        <v>0</v>
      </c>
      <c r="K792" s="51" t="str">
        <f t="shared" si="49"/>
        <v>0,00€</v>
      </c>
      <c r="L792" s="69">
        <f>SUM('Archives Sorties'!$M792:$AAY792)</f>
        <v>0</v>
      </c>
      <c r="M792" s="51" t="str">
        <f t="shared" si="50"/>
        <v>0,00€</v>
      </c>
      <c r="P792" s="72"/>
      <c r="R792" s="185" t="str">
        <f t="shared" si="51"/>
        <v/>
      </c>
      <c r="S792" s="186" t="str">
        <f t="shared" si="52"/>
        <v/>
      </c>
      <c r="T792" s="187" t="str">
        <f>IF(R792="","",IF(O792=0,Famille!$D$5,IF(R792&lt;O792,Famille!$D$2,IF(R792&lt;=P792,Famille!$D$3,Famille!$D$4))))</f>
        <v/>
      </c>
    </row>
    <row r="793" spans="1:20" ht="12" customHeight="1" x14ac:dyDescent="0.2">
      <c r="A793" s="4" t="str">
        <f>IF(Produits!A674="","",Produits!A674)</f>
        <v/>
      </c>
      <c r="B793" s="4" t="str">
        <f>IF(Produits!B674="","",Produits!B674)</f>
        <v/>
      </c>
      <c r="C793" s="4" t="str">
        <f>IF(Produits!C674="","",Produits!C674)</f>
        <v/>
      </c>
      <c r="D793" s="4" t="str">
        <f>IF(Produits!D674="","",Produits!D674)</f>
        <v/>
      </c>
      <c r="E793" s="49" t="str">
        <f>IF(Produits!F674="","",Produits!F674)</f>
        <v/>
      </c>
      <c r="F793" s="50" t="str">
        <f>IF(Produits!H674="","",Produits!H674)</f>
        <v/>
      </c>
      <c r="H793" s="37"/>
      <c r="I793" s="2"/>
      <c r="J793" s="69">
        <f>SUM('Archives Entrées'!$N793:$AAV793)</f>
        <v>0</v>
      </c>
      <c r="K793" s="51" t="str">
        <f t="shared" si="49"/>
        <v>0,00€</v>
      </c>
      <c r="L793" s="69">
        <f>SUM('Archives Sorties'!$M793:$AAY793)</f>
        <v>0</v>
      </c>
      <c r="M793" s="51" t="str">
        <f t="shared" si="50"/>
        <v>0,00€</v>
      </c>
      <c r="P793" s="72"/>
      <c r="R793" s="185" t="str">
        <f t="shared" si="51"/>
        <v/>
      </c>
      <c r="S793" s="186" t="str">
        <f t="shared" si="52"/>
        <v/>
      </c>
      <c r="T793" s="187" t="str">
        <f>IF(R793="","",IF(O793=0,Famille!$D$5,IF(R793&lt;O793,Famille!$D$2,IF(R793&lt;=P793,Famille!$D$3,Famille!$D$4))))</f>
        <v/>
      </c>
    </row>
    <row r="794" spans="1:20" ht="12" customHeight="1" x14ac:dyDescent="0.2">
      <c r="A794" s="4" t="str">
        <f>IF(Produits!A675="","",Produits!A675)</f>
        <v/>
      </c>
      <c r="B794" s="4" t="str">
        <f>IF(Produits!B675="","",Produits!B675)</f>
        <v/>
      </c>
      <c r="C794" s="4" t="str">
        <f>IF(Produits!C675="","",Produits!C675)</f>
        <v/>
      </c>
      <c r="D794" s="4" t="str">
        <f>IF(Produits!D675="","",Produits!D675)</f>
        <v/>
      </c>
      <c r="E794" s="49" t="str">
        <f>IF(Produits!F675="","",Produits!F675)</f>
        <v/>
      </c>
      <c r="F794" s="50" t="str">
        <f>IF(Produits!H675="","",Produits!H675)</f>
        <v/>
      </c>
      <c r="H794" s="37"/>
      <c r="I794" s="2"/>
      <c r="J794" s="69">
        <f>SUM('Archives Entrées'!$N794:$AAV794)</f>
        <v>0</v>
      </c>
      <c r="K794" s="51" t="str">
        <f t="shared" si="49"/>
        <v>0,00€</v>
      </c>
      <c r="L794" s="69">
        <f>SUM('Archives Sorties'!$M794:$AAY794)</f>
        <v>0</v>
      </c>
      <c r="M794" s="51" t="str">
        <f t="shared" si="50"/>
        <v>0,00€</v>
      </c>
      <c r="P794" s="72"/>
      <c r="R794" s="185" t="str">
        <f t="shared" si="51"/>
        <v/>
      </c>
      <c r="S794" s="186" t="str">
        <f t="shared" si="52"/>
        <v/>
      </c>
      <c r="T794" s="187" t="str">
        <f>IF(R794="","",IF(O794=0,Famille!$D$5,IF(R794&lt;O794,Famille!$D$2,IF(R794&lt;=P794,Famille!$D$3,Famille!$D$4))))</f>
        <v/>
      </c>
    </row>
    <row r="795" spans="1:20" ht="12" customHeight="1" x14ac:dyDescent="0.2">
      <c r="A795" s="4" t="str">
        <f>IF(Produits!A676="","",Produits!A676)</f>
        <v/>
      </c>
      <c r="B795" s="4" t="str">
        <f>IF(Produits!B676="","",Produits!B676)</f>
        <v/>
      </c>
      <c r="C795" s="4" t="str">
        <f>IF(Produits!C676="","",Produits!C676)</f>
        <v/>
      </c>
      <c r="D795" s="4" t="str">
        <f>IF(Produits!D676="","",Produits!D676)</f>
        <v/>
      </c>
      <c r="E795" s="49" t="str">
        <f>IF(Produits!F676="","",Produits!F676)</f>
        <v/>
      </c>
      <c r="F795" s="50" t="str">
        <f>IF(Produits!H676="","",Produits!H676)</f>
        <v/>
      </c>
      <c r="H795" s="37"/>
      <c r="I795" s="2"/>
      <c r="J795" s="69">
        <f>SUM('Archives Entrées'!$N795:$AAV795)</f>
        <v>0</v>
      </c>
      <c r="K795" s="51" t="str">
        <f t="shared" si="49"/>
        <v>0,00€</v>
      </c>
      <c r="L795" s="69">
        <f>SUM('Archives Sorties'!$M795:$AAY795)</f>
        <v>0</v>
      </c>
      <c r="M795" s="51" t="str">
        <f t="shared" si="50"/>
        <v>0,00€</v>
      </c>
      <c r="P795" s="72"/>
      <c r="R795" s="185" t="str">
        <f t="shared" si="51"/>
        <v/>
      </c>
      <c r="S795" s="186" t="str">
        <f t="shared" si="52"/>
        <v/>
      </c>
      <c r="T795" s="187" t="str">
        <f>IF(R795="","",IF(O795=0,Famille!$D$5,IF(R795&lt;O795,Famille!$D$2,IF(R795&lt;=P795,Famille!$D$3,Famille!$D$4))))</f>
        <v/>
      </c>
    </row>
    <row r="796" spans="1:20" ht="12" customHeight="1" x14ac:dyDescent="0.2">
      <c r="A796" s="4" t="str">
        <f>IF(Produits!A677="","",Produits!A677)</f>
        <v/>
      </c>
      <c r="B796" s="4" t="str">
        <f>IF(Produits!B677="","",Produits!B677)</f>
        <v/>
      </c>
      <c r="C796" s="4" t="str">
        <f>IF(Produits!C677="","",Produits!C677)</f>
        <v/>
      </c>
      <c r="D796" s="4" t="str">
        <f>IF(Produits!D677="","",Produits!D677)</f>
        <v/>
      </c>
      <c r="E796" s="49" t="str">
        <f>IF(Produits!F677="","",Produits!F677)</f>
        <v/>
      </c>
      <c r="F796" s="50" t="str">
        <f>IF(Produits!H677="","",Produits!H677)</f>
        <v/>
      </c>
      <c r="H796" s="37"/>
      <c r="I796" s="2"/>
      <c r="J796" s="69">
        <f>SUM('Archives Entrées'!$N796:$AAV796)</f>
        <v>0</v>
      </c>
      <c r="K796" s="51" t="str">
        <f t="shared" si="49"/>
        <v>0,00€</v>
      </c>
      <c r="L796" s="69">
        <f>SUM('Archives Sorties'!$M796:$AAY796)</f>
        <v>0</v>
      </c>
      <c r="M796" s="51" t="str">
        <f t="shared" si="50"/>
        <v>0,00€</v>
      </c>
      <c r="P796" s="72"/>
      <c r="R796" s="185" t="str">
        <f t="shared" si="51"/>
        <v/>
      </c>
      <c r="S796" s="186" t="str">
        <f t="shared" si="52"/>
        <v/>
      </c>
      <c r="T796" s="187" t="str">
        <f>IF(R796="","",IF(O796=0,Famille!$D$5,IF(R796&lt;O796,Famille!$D$2,IF(R796&lt;=P796,Famille!$D$3,Famille!$D$4))))</f>
        <v/>
      </c>
    </row>
    <row r="797" spans="1:20" ht="12" customHeight="1" x14ac:dyDescent="0.2">
      <c r="A797" s="4" t="str">
        <f>IF(Produits!A678="","",Produits!A678)</f>
        <v/>
      </c>
      <c r="B797" s="4" t="str">
        <f>IF(Produits!B678="","",Produits!B678)</f>
        <v/>
      </c>
      <c r="C797" s="4" t="str">
        <f>IF(Produits!C678="","",Produits!C678)</f>
        <v/>
      </c>
      <c r="D797" s="4" t="str">
        <f>IF(Produits!D678="","",Produits!D678)</f>
        <v/>
      </c>
      <c r="E797" s="49" t="str">
        <f>IF(Produits!F678="","",Produits!F678)</f>
        <v/>
      </c>
      <c r="F797" s="50" t="str">
        <f>IF(Produits!H678="","",Produits!H678)</f>
        <v/>
      </c>
      <c r="H797" s="37"/>
      <c r="I797" s="2"/>
      <c r="J797" s="69">
        <f>SUM('Archives Entrées'!$N797:$AAV797)</f>
        <v>0</v>
      </c>
      <c r="K797" s="51" t="str">
        <f t="shared" si="49"/>
        <v>0,00€</v>
      </c>
      <c r="L797" s="69">
        <f>SUM('Archives Sorties'!$M797:$AAY797)</f>
        <v>0</v>
      </c>
      <c r="M797" s="51" t="str">
        <f t="shared" si="50"/>
        <v>0,00€</v>
      </c>
      <c r="P797" s="72"/>
      <c r="R797" s="185" t="str">
        <f t="shared" si="51"/>
        <v/>
      </c>
      <c r="S797" s="186" t="str">
        <f t="shared" si="52"/>
        <v/>
      </c>
      <c r="T797" s="187" t="str">
        <f>IF(R797="","",IF(O797=0,Famille!$D$5,IF(R797&lt;O797,Famille!$D$2,IF(R797&lt;=P797,Famille!$D$3,Famille!$D$4))))</f>
        <v/>
      </c>
    </row>
    <row r="798" spans="1:20" ht="12" customHeight="1" x14ac:dyDescent="0.2">
      <c r="A798" s="4" t="str">
        <f>IF(Produits!A679="","",Produits!A679)</f>
        <v/>
      </c>
      <c r="B798" s="4" t="str">
        <f>IF(Produits!B679="","",Produits!B679)</f>
        <v/>
      </c>
      <c r="C798" s="4" t="str">
        <f>IF(Produits!C679="","",Produits!C679)</f>
        <v/>
      </c>
      <c r="D798" s="4" t="str">
        <f>IF(Produits!D679="","",Produits!D679)</f>
        <v/>
      </c>
      <c r="E798" s="49" t="str">
        <f>IF(Produits!F679="","",Produits!F679)</f>
        <v/>
      </c>
      <c r="F798" s="50" t="str">
        <f>IF(Produits!H679="","",Produits!H679)</f>
        <v/>
      </c>
      <c r="H798" s="37"/>
      <c r="I798" s="2"/>
      <c r="J798" s="69">
        <f>SUM('Archives Entrées'!$N798:$AAV798)</f>
        <v>0</v>
      </c>
      <c r="K798" s="51" t="str">
        <f t="shared" si="49"/>
        <v>0,00€</v>
      </c>
      <c r="L798" s="69">
        <f>SUM('Archives Sorties'!$M798:$AAY798)</f>
        <v>0</v>
      </c>
      <c r="M798" s="51" t="str">
        <f t="shared" si="50"/>
        <v>0,00€</v>
      </c>
      <c r="P798" s="72"/>
      <c r="R798" s="185" t="str">
        <f t="shared" si="51"/>
        <v/>
      </c>
      <c r="S798" s="186" t="str">
        <f t="shared" si="52"/>
        <v/>
      </c>
      <c r="T798" s="187" t="str">
        <f>IF(R798="","",IF(O798=0,Famille!$D$5,IF(R798&lt;O798,Famille!$D$2,IF(R798&lt;=P798,Famille!$D$3,Famille!$D$4))))</f>
        <v/>
      </c>
    </row>
    <row r="799" spans="1:20" ht="12" customHeight="1" x14ac:dyDescent="0.2">
      <c r="A799" s="4" t="str">
        <f>IF(Produits!A680="","",Produits!A680)</f>
        <v/>
      </c>
      <c r="B799" s="4" t="str">
        <f>IF(Produits!B680="","",Produits!B680)</f>
        <v/>
      </c>
      <c r="C799" s="4" t="str">
        <f>IF(Produits!C680="","",Produits!C680)</f>
        <v/>
      </c>
      <c r="D799" s="4" t="str">
        <f>IF(Produits!D680="","",Produits!D680)</f>
        <v/>
      </c>
      <c r="E799" s="49" t="str">
        <f>IF(Produits!F680="","",Produits!F680)</f>
        <v/>
      </c>
      <c r="F799" s="50" t="str">
        <f>IF(Produits!H680="","",Produits!H680)</f>
        <v/>
      </c>
      <c r="H799" s="37"/>
      <c r="I799" s="2"/>
      <c r="J799" s="69">
        <f>SUM('Archives Entrées'!$N799:$AAV799)</f>
        <v>0</v>
      </c>
      <c r="K799" s="51" t="str">
        <f t="shared" si="49"/>
        <v>0,00€</v>
      </c>
      <c r="L799" s="69">
        <f>SUM('Archives Sorties'!$M799:$AAY799)</f>
        <v>0</v>
      </c>
      <c r="M799" s="51" t="str">
        <f t="shared" si="50"/>
        <v>0,00€</v>
      </c>
      <c r="P799" s="72"/>
      <c r="R799" s="185" t="str">
        <f t="shared" si="51"/>
        <v/>
      </c>
      <c r="S799" s="186" t="str">
        <f t="shared" si="52"/>
        <v/>
      </c>
      <c r="T799" s="187" t="str">
        <f>IF(R799="","",IF(O799=0,Famille!$D$5,IF(R799&lt;O799,Famille!$D$2,IF(R799&lt;=P799,Famille!$D$3,Famille!$D$4))))</f>
        <v/>
      </c>
    </row>
    <row r="800" spans="1:20" ht="12" customHeight="1" x14ac:dyDescent="0.2">
      <c r="A800" s="4" t="str">
        <f>IF(Produits!A681="","",Produits!A681)</f>
        <v/>
      </c>
      <c r="B800" s="4" t="str">
        <f>IF(Produits!B681="","",Produits!B681)</f>
        <v/>
      </c>
      <c r="C800" s="4" t="str">
        <f>IF(Produits!C681="","",Produits!C681)</f>
        <v/>
      </c>
      <c r="D800" s="4" t="str">
        <f>IF(Produits!D681="","",Produits!D681)</f>
        <v/>
      </c>
      <c r="E800" s="49" t="str">
        <f>IF(Produits!F681="","",Produits!F681)</f>
        <v/>
      </c>
      <c r="F800" s="50" t="str">
        <f>IF(Produits!H681="","",Produits!H681)</f>
        <v/>
      </c>
      <c r="H800" s="37"/>
      <c r="I800" s="2"/>
      <c r="J800" s="69">
        <f>SUM('Archives Entrées'!$N800:$AAV800)</f>
        <v>0</v>
      </c>
      <c r="K800" s="51" t="str">
        <f t="shared" si="49"/>
        <v>0,00€</v>
      </c>
      <c r="L800" s="69">
        <f>SUM('Archives Sorties'!$M800:$AAY800)</f>
        <v>0</v>
      </c>
      <c r="M800" s="51" t="str">
        <f t="shared" si="50"/>
        <v>0,00€</v>
      </c>
      <c r="P800" s="72"/>
      <c r="R800" s="185" t="str">
        <f t="shared" si="51"/>
        <v/>
      </c>
      <c r="S800" s="186" t="str">
        <f t="shared" si="52"/>
        <v/>
      </c>
      <c r="T800" s="187" t="str">
        <f>IF(R800="","",IF(O800=0,Famille!$D$5,IF(R800&lt;O800,Famille!$D$2,IF(R800&lt;=P800,Famille!$D$3,Famille!$D$4))))</f>
        <v/>
      </c>
    </row>
    <row r="801" spans="1:20" ht="12" customHeight="1" x14ac:dyDescent="0.2">
      <c r="A801" s="4" t="str">
        <f>IF(Produits!A682="","",Produits!A682)</f>
        <v/>
      </c>
      <c r="B801" s="4" t="str">
        <f>IF(Produits!B682="","",Produits!B682)</f>
        <v/>
      </c>
      <c r="C801" s="4" t="str">
        <f>IF(Produits!C682="","",Produits!C682)</f>
        <v/>
      </c>
      <c r="D801" s="4" t="str">
        <f>IF(Produits!D682="","",Produits!D682)</f>
        <v/>
      </c>
      <c r="E801" s="49" t="str">
        <f>IF(Produits!F682="","",Produits!F682)</f>
        <v/>
      </c>
      <c r="F801" s="50" t="str">
        <f>IF(Produits!H682="","",Produits!H682)</f>
        <v/>
      </c>
      <c r="H801" s="37"/>
      <c r="I801" s="2"/>
      <c r="J801" s="69">
        <f>SUM('Archives Entrées'!$N801:$AAV801)</f>
        <v>0</v>
      </c>
      <c r="K801" s="51" t="str">
        <f t="shared" si="49"/>
        <v>0,00€</v>
      </c>
      <c r="L801" s="69">
        <f>SUM('Archives Sorties'!$M801:$AAY801)</f>
        <v>0</v>
      </c>
      <c r="M801" s="51" t="str">
        <f t="shared" si="50"/>
        <v>0,00€</v>
      </c>
      <c r="P801" s="72"/>
      <c r="R801" s="185" t="str">
        <f t="shared" si="51"/>
        <v/>
      </c>
      <c r="S801" s="186" t="str">
        <f t="shared" si="52"/>
        <v/>
      </c>
      <c r="T801" s="187" t="str">
        <f>IF(R801="","",IF(O801=0,Famille!$D$5,IF(R801&lt;O801,Famille!$D$2,IF(R801&lt;=P801,Famille!$D$3,Famille!$D$4))))</f>
        <v/>
      </c>
    </row>
    <row r="802" spans="1:20" ht="12" customHeight="1" x14ac:dyDescent="0.2">
      <c r="A802" s="4" t="str">
        <f>IF(Produits!A683="","",Produits!A683)</f>
        <v/>
      </c>
      <c r="B802" s="4" t="str">
        <f>IF(Produits!B683="","",Produits!B683)</f>
        <v/>
      </c>
      <c r="C802" s="4" t="str">
        <f>IF(Produits!C683="","",Produits!C683)</f>
        <v/>
      </c>
      <c r="D802" s="4" t="str">
        <f>IF(Produits!D683="","",Produits!D683)</f>
        <v/>
      </c>
      <c r="E802" s="49" t="str">
        <f>IF(Produits!F683="","",Produits!F683)</f>
        <v/>
      </c>
      <c r="F802" s="50" t="str">
        <f>IF(Produits!H683="","",Produits!H683)</f>
        <v/>
      </c>
      <c r="H802" s="37"/>
      <c r="I802" s="2"/>
      <c r="J802" s="69">
        <f>SUM('Archives Entrées'!$N802:$AAV802)</f>
        <v>0</v>
      </c>
      <c r="K802" s="51" t="str">
        <f t="shared" si="49"/>
        <v>0,00€</v>
      </c>
      <c r="L802" s="69">
        <f>SUM('Archives Sorties'!$M802:$AAY802)</f>
        <v>0</v>
      </c>
      <c r="M802" s="51" t="str">
        <f t="shared" si="50"/>
        <v>0,00€</v>
      </c>
      <c r="P802" s="72"/>
      <c r="R802" s="185" t="str">
        <f t="shared" si="51"/>
        <v/>
      </c>
      <c r="S802" s="186" t="str">
        <f t="shared" si="52"/>
        <v/>
      </c>
      <c r="T802" s="187" t="str">
        <f>IF(R802="","",IF(O802=0,Famille!$D$5,IF(R802&lt;O802,Famille!$D$2,IF(R802&lt;=P802,Famille!$D$3,Famille!$D$4))))</f>
        <v/>
      </c>
    </row>
    <row r="803" spans="1:20" ht="12" customHeight="1" x14ac:dyDescent="0.2">
      <c r="A803" s="4" t="str">
        <f>IF(Produits!A684="","",Produits!A684)</f>
        <v/>
      </c>
      <c r="B803" s="4" t="str">
        <f>IF(Produits!B684="","",Produits!B684)</f>
        <v/>
      </c>
      <c r="C803" s="4" t="str">
        <f>IF(Produits!C684="","",Produits!C684)</f>
        <v/>
      </c>
      <c r="D803" s="4" t="str">
        <f>IF(Produits!D684="","",Produits!D684)</f>
        <v/>
      </c>
      <c r="E803" s="49" t="str">
        <f>IF(Produits!F684="","",Produits!F684)</f>
        <v/>
      </c>
      <c r="F803" s="50" t="str">
        <f>IF(Produits!H684="","",Produits!H684)</f>
        <v/>
      </c>
      <c r="H803" s="37"/>
      <c r="I803" s="2"/>
      <c r="J803" s="69">
        <f>SUM('Archives Entrées'!$N803:$AAV803)</f>
        <v>0</v>
      </c>
      <c r="K803" s="51" t="str">
        <f t="shared" si="49"/>
        <v>0,00€</v>
      </c>
      <c r="L803" s="69">
        <f>SUM('Archives Sorties'!$M803:$AAY803)</f>
        <v>0</v>
      </c>
      <c r="M803" s="51" t="str">
        <f t="shared" si="50"/>
        <v>0,00€</v>
      </c>
      <c r="P803" s="72"/>
      <c r="R803" s="185" t="str">
        <f t="shared" si="51"/>
        <v/>
      </c>
      <c r="S803" s="186" t="str">
        <f t="shared" si="52"/>
        <v/>
      </c>
      <c r="T803" s="187" t="str">
        <f>IF(R803="","",IF(O803=0,Famille!$D$5,IF(R803&lt;O803,Famille!$D$2,IF(R803&lt;=P803,Famille!$D$3,Famille!$D$4))))</f>
        <v/>
      </c>
    </row>
    <row r="804" spans="1:20" ht="12" customHeight="1" x14ac:dyDescent="0.2">
      <c r="A804" s="4" t="str">
        <f>IF(Produits!A685="","",Produits!A685)</f>
        <v/>
      </c>
      <c r="B804" s="4" t="str">
        <f>IF(Produits!B685="","",Produits!B685)</f>
        <v/>
      </c>
      <c r="C804" s="4" t="str">
        <f>IF(Produits!C685="","",Produits!C685)</f>
        <v/>
      </c>
      <c r="D804" s="4" t="str">
        <f>IF(Produits!D685="","",Produits!D685)</f>
        <v/>
      </c>
      <c r="E804" s="49" t="str">
        <f>IF(Produits!F685="","",Produits!F685)</f>
        <v/>
      </c>
      <c r="F804" s="50" t="str">
        <f>IF(Produits!H685="","",Produits!H685)</f>
        <v/>
      </c>
      <c r="H804" s="37"/>
      <c r="I804" s="2"/>
      <c r="J804" s="69">
        <f>SUM('Archives Entrées'!$N804:$AAV804)</f>
        <v>0</v>
      </c>
      <c r="K804" s="51" t="str">
        <f t="shared" si="49"/>
        <v>0,00€</v>
      </c>
      <c r="L804" s="69">
        <f>SUM('Archives Sorties'!$M804:$AAY804)</f>
        <v>0</v>
      </c>
      <c r="M804" s="51" t="str">
        <f t="shared" si="50"/>
        <v>0,00€</v>
      </c>
      <c r="P804" s="72"/>
      <c r="R804" s="185" t="str">
        <f t="shared" si="51"/>
        <v/>
      </c>
      <c r="S804" s="186" t="str">
        <f t="shared" si="52"/>
        <v/>
      </c>
      <c r="T804" s="187" t="str">
        <f>IF(R804="","",IF(O804=0,Famille!$D$5,IF(R804&lt;O804,Famille!$D$2,IF(R804&lt;=P804,Famille!$D$3,Famille!$D$4))))</f>
        <v/>
      </c>
    </row>
    <row r="805" spans="1:20" ht="12" customHeight="1" x14ac:dyDescent="0.2">
      <c r="A805" s="4" t="str">
        <f>IF(Produits!A686="","",Produits!A686)</f>
        <v/>
      </c>
      <c r="B805" s="4" t="str">
        <f>IF(Produits!B686="","",Produits!B686)</f>
        <v/>
      </c>
      <c r="C805" s="4" t="str">
        <f>IF(Produits!C686="","",Produits!C686)</f>
        <v/>
      </c>
      <c r="D805" s="4" t="str">
        <f>IF(Produits!D686="","",Produits!D686)</f>
        <v/>
      </c>
      <c r="E805" s="49" t="str">
        <f>IF(Produits!F686="","",Produits!F686)</f>
        <v/>
      </c>
      <c r="F805" s="50" t="str">
        <f>IF(Produits!H686="","",Produits!H686)</f>
        <v/>
      </c>
      <c r="H805" s="37"/>
      <c r="I805" s="2"/>
      <c r="J805" s="69">
        <f>SUM('Archives Entrées'!$N805:$AAV805)</f>
        <v>0</v>
      </c>
      <c r="K805" s="51" t="str">
        <f t="shared" si="49"/>
        <v>0,00€</v>
      </c>
      <c r="L805" s="69">
        <f>SUM('Archives Sorties'!$M805:$AAY805)</f>
        <v>0</v>
      </c>
      <c r="M805" s="51" t="str">
        <f t="shared" si="50"/>
        <v>0,00€</v>
      </c>
      <c r="P805" s="72"/>
      <c r="R805" s="185" t="str">
        <f t="shared" si="51"/>
        <v/>
      </c>
      <c r="S805" s="186" t="str">
        <f t="shared" si="52"/>
        <v/>
      </c>
      <c r="T805" s="187" t="str">
        <f>IF(R805="","",IF(O805=0,Famille!$D$5,IF(R805&lt;O805,Famille!$D$2,IF(R805&lt;=P805,Famille!$D$3,Famille!$D$4))))</f>
        <v/>
      </c>
    </row>
    <row r="806" spans="1:20" ht="12" customHeight="1" x14ac:dyDescent="0.2">
      <c r="A806" s="4" t="str">
        <f>IF(Produits!A687="","",Produits!A687)</f>
        <v/>
      </c>
      <c r="B806" s="4" t="str">
        <f>IF(Produits!B687="","",Produits!B687)</f>
        <v/>
      </c>
      <c r="C806" s="4" t="str">
        <f>IF(Produits!C687="","",Produits!C687)</f>
        <v/>
      </c>
      <c r="D806" s="4" t="str">
        <f>IF(Produits!D687="","",Produits!D687)</f>
        <v/>
      </c>
      <c r="E806" s="49" t="str">
        <f>IF(Produits!F687="","",Produits!F687)</f>
        <v/>
      </c>
      <c r="F806" s="50" t="str">
        <f>IF(Produits!H687="","",Produits!H687)</f>
        <v/>
      </c>
      <c r="H806" s="37"/>
      <c r="I806" s="2"/>
      <c r="J806" s="69">
        <f>SUM('Archives Entrées'!$N806:$AAV806)</f>
        <v>0</v>
      </c>
      <c r="K806" s="51" t="str">
        <f t="shared" si="49"/>
        <v>0,00€</v>
      </c>
      <c r="L806" s="69">
        <f>SUM('Archives Sorties'!$M806:$AAY806)</f>
        <v>0</v>
      </c>
      <c r="M806" s="51" t="str">
        <f t="shared" si="50"/>
        <v>0,00€</v>
      </c>
      <c r="P806" s="72"/>
      <c r="R806" s="185" t="str">
        <f t="shared" si="51"/>
        <v/>
      </c>
      <c r="S806" s="186" t="str">
        <f t="shared" si="52"/>
        <v/>
      </c>
      <c r="T806" s="187" t="str">
        <f>IF(R806="","",IF(O806=0,Famille!$D$5,IF(R806&lt;O806,Famille!$D$2,IF(R806&lt;=P806,Famille!$D$3,Famille!$D$4))))</f>
        <v/>
      </c>
    </row>
    <row r="807" spans="1:20" ht="12" customHeight="1" x14ac:dyDescent="0.2">
      <c r="A807" s="4" t="str">
        <f>IF(Produits!A688="","",Produits!A688)</f>
        <v/>
      </c>
      <c r="B807" s="4" t="str">
        <f>IF(Produits!B688="","",Produits!B688)</f>
        <v/>
      </c>
      <c r="C807" s="4" t="str">
        <f>IF(Produits!C688="","",Produits!C688)</f>
        <v/>
      </c>
      <c r="D807" s="4" t="str">
        <f>IF(Produits!D688="","",Produits!D688)</f>
        <v/>
      </c>
      <c r="E807" s="49" t="str">
        <f>IF(Produits!F688="","",Produits!F688)</f>
        <v/>
      </c>
      <c r="F807" s="50" t="str">
        <f>IF(Produits!H688="","",Produits!H688)</f>
        <v/>
      </c>
      <c r="H807" s="37"/>
      <c r="I807" s="2"/>
      <c r="J807" s="69">
        <f>SUM('Archives Entrées'!$N807:$AAV807)</f>
        <v>0</v>
      </c>
      <c r="K807" s="51" t="str">
        <f t="shared" si="49"/>
        <v>0,00€</v>
      </c>
      <c r="L807" s="69">
        <f>SUM('Archives Sorties'!$M807:$AAY807)</f>
        <v>0</v>
      </c>
      <c r="M807" s="51" t="str">
        <f t="shared" si="50"/>
        <v>0,00€</v>
      </c>
      <c r="P807" s="72"/>
      <c r="R807" s="185" t="str">
        <f t="shared" si="51"/>
        <v/>
      </c>
      <c r="S807" s="186" t="str">
        <f t="shared" si="52"/>
        <v/>
      </c>
      <c r="T807" s="187" t="str">
        <f>IF(R807="","",IF(O807=0,Famille!$D$5,IF(R807&lt;O807,Famille!$D$2,IF(R807&lt;=P807,Famille!$D$3,Famille!$D$4))))</f>
        <v/>
      </c>
    </row>
    <row r="808" spans="1:20" ht="12" customHeight="1" x14ac:dyDescent="0.2">
      <c r="A808" s="4" t="str">
        <f>IF(Produits!A689="","",Produits!A689)</f>
        <v/>
      </c>
      <c r="B808" s="4" t="str">
        <f>IF(Produits!B689="","",Produits!B689)</f>
        <v/>
      </c>
      <c r="C808" s="4" t="str">
        <f>IF(Produits!C689="","",Produits!C689)</f>
        <v/>
      </c>
      <c r="D808" s="4" t="str">
        <f>IF(Produits!D689="","",Produits!D689)</f>
        <v/>
      </c>
      <c r="E808" s="49" t="str">
        <f>IF(Produits!F689="","",Produits!F689)</f>
        <v/>
      </c>
      <c r="F808" s="50" t="str">
        <f>IF(Produits!H689="","",Produits!H689)</f>
        <v/>
      </c>
      <c r="H808" s="37"/>
      <c r="I808" s="2"/>
      <c r="J808" s="69">
        <f>SUM('Archives Entrées'!$N808:$AAV808)</f>
        <v>0</v>
      </c>
      <c r="K808" s="51" t="str">
        <f t="shared" si="49"/>
        <v>0,00€</v>
      </c>
      <c r="L808" s="69">
        <f>SUM('Archives Sorties'!$M808:$AAY808)</f>
        <v>0</v>
      </c>
      <c r="M808" s="51" t="str">
        <f t="shared" si="50"/>
        <v>0,00€</v>
      </c>
      <c r="P808" s="72"/>
      <c r="R808" s="185" t="str">
        <f t="shared" si="51"/>
        <v/>
      </c>
      <c r="S808" s="186" t="str">
        <f t="shared" si="52"/>
        <v/>
      </c>
      <c r="T808" s="187" t="str">
        <f>IF(R808="","",IF(O808=0,Famille!$D$5,IF(R808&lt;O808,Famille!$D$2,IF(R808&lt;=P808,Famille!$D$3,Famille!$D$4))))</f>
        <v/>
      </c>
    </row>
    <row r="809" spans="1:20" ht="12" customHeight="1" x14ac:dyDescent="0.2">
      <c r="A809" s="4" t="str">
        <f>IF(Produits!A690="","",Produits!A690)</f>
        <v/>
      </c>
      <c r="B809" s="4" t="str">
        <f>IF(Produits!B690="","",Produits!B690)</f>
        <v/>
      </c>
      <c r="C809" s="4" t="str">
        <f>IF(Produits!C690="","",Produits!C690)</f>
        <v/>
      </c>
      <c r="D809" s="4" t="str">
        <f>IF(Produits!D690="","",Produits!D690)</f>
        <v/>
      </c>
      <c r="E809" s="49" t="str">
        <f>IF(Produits!F690="","",Produits!F690)</f>
        <v/>
      </c>
      <c r="F809" s="50" t="str">
        <f>IF(Produits!H690="","",Produits!H690)</f>
        <v/>
      </c>
      <c r="H809" s="37"/>
      <c r="I809" s="2"/>
      <c r="J809" s="69">
        <f>SUM('Archives Entrées'!$N809:$AAV809)</f>
        <v>0</v>
      </c>
      <c r="K809" s="51" t="str">
        <f t="shared" si="49"/>
        <v>0,00€</v>
      </c>
      <c r="L809" s="69">
        <f>SUM('Archives Sorties'!$M809:$AAY809)</f>
        <v>0</v>
      </c>
      <c r="M809" s="51" t="str">
        <f t="shared" si="50"/>
        <v>0,00€</v>
      </c>
      <c r="P809" s="72"/>
      <c r="R809" s="185" t="str">
        <f t="shared" si="51"/>
        <v/>
      </c>
      <c r="S809" s="186" t="str">
        <f t="shared" si="52"/>
        <v/>
      </c>
      <c r="T809" s="187" t="str">
        <f>IF(R809="","",IF(O809=0,Famille!$D$5,IF(R809&lt;O809,Famille!$D$2,IF(R809&lt;=P809,Famille!$D$3,Famille!$D$4))))</f>
        <v/>
      </c>
    </row>
    <row r="810" spans="1:20" ht="12" customHeight="1" x14ac:dyDescent="0.2">
      <c r="A810" s="4" t="str">
        <f>IF(Produits!A691="","",Produits!A691)</f>
        <v/>
      </c>
      <c r="B810" s="4" t="str">
        <f>IF(Produits!B691="","",Produits!B691)</f>
        <v/>
      </c>
      <c r="C810" s="4" t="str">
        <f>IF(Produits!C691="","",Produits!C691)</f>
        <v/>
      </c>
      <c r="D810" s="4" t="str">
        <f>IF(Produits!D691="","",Produits!D691)</f>
        <v/>
      </c>
      <c r="E810" s="49" t="str">
        <f>IF(Produits!F691="","",Produits!F691)</f>
        <v/>
      </c>
      <c r="F810" s="50" t="str">
        <f>IF(Produits!H691="","",Produits!H691)</f>
        <v/>
      </c>
      <c r="H810" s="37"/>
      <c r="I810" s="2"/>
      <c r="J810" s="69">
        <f>SUM('Archives Entrées'!$N810:$AAV810)</f>
        <v>0</v>
      </c>
      <c r="K810" s="51" t="str">
        <f t="shared" si="49"/>
        <v>0,00€</v>
      </c>
      <c r="L810" s="69">
        <f>SUM('Archives Sorties'!$M810:$AAY810)</f>
        <v>0</v>
      </c>
      <c r="M810" s="51" t="str">
        <f t="shared" si="50"/>
        <v>0,00€</v>
      </c>
      <c r="P810" s="72"/>
      <c r="R810" s="185" t="str">
        <f t="shared" si="51"/>
        <v/>
      </c>
      <c r="S810" s="186" t="str">
        <f t="shared" si="52"/>
        <v/>
      </c>
      <c r="T810" s="187" t="str">
        <f>IF(R810="","",IF(O810=0,Famille!$D$5,IF(R810&lt;O810,Famille!$D$2,IF(R810&lt;=P810,Famille!$D$3,Famille!$D$4))))</f>
        <v/>
      </c>
    </row>
    <row r="811" spans="1:20" ht="12" customHeight="1" x14ac:dyDescent="0.2">
      <c r="A811" s="4" t="str">
        <f>IF(Produits!A692="","",Produits!A692)</f>
        <v/>
      </c>
      <c r="B811" s="4" t="str">
        <f>IF(Produits!B692="","",Produits!B692)</f>
        <v/>
      </c>
      <c r="C811" s="4" t="str">
        <f>IF(Produits!C692="","",Produits!C692)</f>
        <v/>
      </c>
      <c r="D811" s="4" t="str">
        <f>IF(Produits!D692="","",Produits!D692)</f>
        <v/>
      </c>
      <c r="E811" s="49" t="str">
        <f>IF(Produits!F692="","",Produits!F692)</f>
        <v/>
      </c>
      <c r="F811" s="50" t="str">
        <f>IF(Produits!H692="","",Produits!H692)</f>
        <v/>
      </c>
      <c r="H811" s="37"/>
      <c r="I811" s="2"/>
      <c r="J811" s="69">
        <f>SUM('Archives Entrées'!$N811:$AAV811)</f>
        <v>0</v>
      </c>
      <c r="K811" s="51" t="str">
        <f t="shared" si="49"/>
        <v>0,00€</v>
      </c>
      <c r="L811" s="69">
        <f>SUM('Archives Sorties'!$M811:$AAY811)</f>
        <v>0</v>
      </c>
      <c r="M811" s="51" t="str">
        <f t="shared" si="50"/>
        <v>0,00€</v>
      </c>
      <c r="P811" s="72"/>
      <c r="R811" s="185" t="str">
        <f t="shared" si="51"/>
        <v/>
      </c>
      <c r="S811" s="186" t="str">
        <f t="shared" si="52"/>
        <v/>
      </c>
      <c r="T811" s="187" t="str">
        <f>IF(R811="","",IF(O811=0,Famille!$D$5,IF(R811&lt;O811,Famille!$D$2,IF(R811&lt;=P811,Famille!$D$3,Famille!$D$4))))</f>
        <v/>
      </c>
    </row>
    <row r="812" spans="1:20" ht="12" customHeight="1" x14ac:dyDescent="0.2">
      <c r="A812" s="4" t="str">
        <f>IF(Produits!A693="","",Produits!A693)</f>
        <v/>
      </c>
      <c r="B812" s="4" t="str">
        <f>IF(Produits!B693="","",Produits!B693)</f>
        <v/>
      </c>
      <c r="C812" s="4" t="str">
        <f>IF(Produits!C693="","",Produits!C693)</f>
        <v/>
      </c>
      <c r="D812" s="4" t="str">
        <f>IF(Produits!D693="","",Produits!D693)</f>
        <v/>
      </c>
      <c r="E812" s="49" t="str">
        <f>IF(Produits!F693="","",Produits!F693)</f>
        <v/>
      </c>
      <c r="F812" s="50" t="str">
        <f>IF(Produits!H693="","",Produits!H693)</f>
        <v/>
      </c>
      <c r="H812" s="37"/>
      <c r="I812" s="2"/>
      <c r="J812" s="69">
        <f>SUM('Archives Entrées'!$N812:$AAV812)</f>
        <v>0</v>
      </c>
      <c r="K812" s="51" t="str">
        <f t="shared" si="49"/>
        <v>0,00€</v>
      </c>
      <c r="L812" s="69">
        <f>SUM('Archives Sorties'!$M812:$AAY812)</f>
        <v>0</v>
      </c>
      <c r="M812" s="51" t="str">
        <f t="shared" si="50"/>
        <v>0,00€</v>
      </c>
      <c r="P812" s="72"/>
      <c r="R812" s="185" t="str">
        <f t="shared" si="51"/>
        <v/>
      </c>
      <c r="S812" s="186" t="str">
        <f t="shared" si="52"/>
        <v/>
      </c>
      <c r="T812" s="187" t="str">
        <f>IF(R812="","",IF(O812=0,Famille!$D$5,IF(R812&lt;O812,Famille!$D$2,IF(R812&lt;=P812,Famille!$D$3,Famille!$D$4))))</f>
        <v/>
      </c>
    </row>
    <row r="813" spans="1:20" ht="12" customHeight="1" x14ac:dyDescent="0.2">
      <c r="A813" s="4" t="str">
        <f>IF(Produits!A694="","",Produits!A694)</f>
        <v/>
      </c>
      <c r="B813" s="4" t="str">
        <f>IF(Produits!B694="","",Produits!B694)</f>
        <v/>
      </c>
      <c r="C813" s="4" t="str">
        <f>IF(Produits!C694="","",Produits!C694)</f>
        <v/>
      </c>
      <c r="D813" s="4" t="str">
        <f>IF(Produits!D694="","",Produits!D694)</f>
        <v/>
      </c>
      <c r="E813" s="49" t="str">
        <f>IF(Produits!F694="","",Produits!F694)</f>
        <v/>
      </c>
      <c r="F813" s="50" t="str">
        <f>IF(Produits!H694="","",Produits!H694)</f>
        <v/>
      </c>
      <c r="H813" s="37"/>
      <c r="I813" s="2"/>
      <c r="J813" s="69">
        <f>SUM('Archives Entrées'!$N813:$AAV813)</f>
        <v>0</v>
      </c>
      <c r="K813" s="51" t="str">
        <f t="shared" si="49"/>
        <v>0,00€</v>
      </c>
      <c r="L813" s="69">
        <f>SUM('Archives Sorties'!$M813:$AAY813)</f>
        <v>0</v>
      </c>
      <c r="M813" s="51" t="str">
        <f t="shared" si="50"/>
        <v>0,00€</v>
      </c>
      <c r="P813" s="72"/>
      <c r="R813" s="185" t="str">
        <f t="shared" si="51"/>
        <v/>
      </c>
      <c r="S813" s="186" t="str">
        <f t="shared" si="52"/>
        <v/>
      </c>
      <c r="T813" s="187" t="str">
        <f>IF(R813="","",IF(O813=0,Famille!$D$5,IF(R813&lt;O813,Famille!$D$2,IF(R813&lt;=P813,Famille!$D$3,Famille!$D$4))))</f>
        <v/>
      </c>
    </row>
    <row r="814" spans="1:20" ht="12" customHeight="1" x14ac:dyDescent="0.2">
      <c r="A814" s="4" t="str">
        <f>IF(Produits!A695="","",Produits!A695)</f>
        <v/>
      </c>
      <c r="B814" s="4" t="str">
        <f>IF(Produits!B695="","",Produits!B695)</f>
        <v/>
      </c>
      <c r="C814" s="4" t="str">
        <f>IF(Produits!C695="","",Produits!C695)</f>
        <v/>
      </c>
      <c r="D814" s="4" t="str">
        <f>IF(Produits!D695="","",Produits!D695)</f>
        <v/>
      </c>
      <c r="E814" s="49" t="str">
        <f>IF(Produits!F695="","",Produits!F695)</f>
        <v/>
      </c>
      <c r="F814" s="50" t="str">
        <f>IF(Produits!H695="","",Produits!H695)</f>
        <v/>
      </c>
      <c r="H814" s="37"/>
      <c r="I814" s="2"/>
      <c r="J814" s="69">
        <f>SUM('Archives Entrées'!$N814:$AAV814)</f>
        <v>0</v>
      </c>
      <c r="K814" s="51" t="str">
        <f t="shared" si="49"/>
        <v>0,00€</v>
      </c>
      <c r="L814" s="69">
        <f>SUM('Archives Sorties'!$M814:$AAY814)</f>
        <v>0</v>
      </c>
      <c r="M814" s="51" t="str">
        <f t="shared" si="50"/>
        <v>0,00€</v>
      </c>
      <c r="P814" s="72"/>
      <c r="R814" s="185" t="str">
        <f t="shared" si="51"/>
        <v/>
      </c>
      <c r="S814" s="186" t="str">
        <f t="shared" si="52"/>
        <v/>
      </c>
      <c r="T814" s="187" t="str">
        <f>IF(R814="","",IF(O814=0,Famille!$D$5,IF(R814&lt;O814,Famille!$D$2,IF(R814&lt;=P814,Famille!$D$3,Famille!$D$4))))</f>
        <v/>
      </c>
    </row>
    <row r="815" spans="1:20" ht="12" customHeight="1" x14ac:dyDescent="0.2">
      <c r="A815" s="4" t="str">
        <f>IF(Produits!A696="","",Produits!A696)</f>
        <v/>
      </c>
      <c r="B815" s="4" t="str">
        <f>IF(Produits!B696="","",Produits!B696)</f>
        <v/>
      </c>
      <c r="C815" s="4" t="str">
        <f>IF(Produits!C696="","",Produits!C696)</f>
        <v/>
      </c>
      <c r="D815" s="4" t="str">
        <f>IF(Produits!D696="","",Produits!D696)</f>
        <v/>
      </c>
      <c r="E815" s="49" t="str">
        <f>IF(Produits!F696="","",Produits!F696)</f>
        <v/>
      </c>
      <c r="F815" s="50" t="str">
        <f>IF(Produits!H696="","",Produits!H696)</f>
        <v/>
      </c>
      <c r="H815" s="37"/>
      <c r="I815" s="2"/>
      <c r="J815" s="69">
        <f>SUM('Archives Entrées'!$N815:$AAV815)</f>
        <v>0</v>
      </c>
      <c r="K815" s="51" t="str">
        <f t="shared" si="49"/>
        <v>0,00€</v>
      </c>
      <c r="L815" s="69">
        <f>SUM('Archives Sorties'!$M815:$AAY815)</f>
        <v>0</v>
      </c>
      <c r="M815" s="51" t="str">
        <f t="shared" si="50"/>
        <v>0,00€</v>
      </c>
      <c r="P815" s="72"/>
      <c r="R815" s="185" t="str">
        <f t="shared" si="51"/>
        <v/>
      </c>
      <c r="S815" s="186" t="str">
        <f t="shared" si="52"/>
        <v/>
      </c>
      <c r="T815" s="187" t="str">
        <f>IF(R815="","",IF(O815=0,Famille!$D$5,IF(R815&lt;O815,Famille!$D$2,IF(R815&lt;=P815,Famille!$D$3,Famille!$D$4))))</f>
        <v/>
      </c>
    </row>
    <row r="816" spans="1:20" ht="12" customHeight="1" x14ac:dyDescent="0.2">
      <c r="A816" s="4" t="str">
        <f>IF(Produits!A697="","",Produits!A697)</f>
        <v/>
      </c>
      <c r="B816" s="4" t="str">
        <f>IF(Produits!B697="","",Produits!B697)</f>
        <v/>
      </c>
      <c r="C816" s="4" t="str">
        <f>IF(Produits!C697="","",Produits!C697)</f>
        <v/>
      </c>
      <c r="D816" s="4" t="str">
        <f>IF(Produits!D697="","",Produits!D697)</f>
        <v/>
      </c>
      <c r="E816" s="49" t="str">
        <f>IF(Produits!F697="","",Produits!F697)</f>
        <v/>
      </c>
      <c r="F816" s="50" t="str">
        <f>IF(Produits!H697="","",Produits!H697)</f>
        <v/>
      </c>
      <c r="H816" s="37"/>
      <c r="I816" s="2"/>
      <c r="J816" s="69">
        <f>SUM('Archives Entrées'!$N816:$AAV816)</f>
        <v>0</v>
      </c>
      <c r="K816" s="51" t="str">
        <f t="shared" si="49"/>
        <v>0,00€</v>
      </c>
      <c r="L816" s="69">
        <f>SUM('Archives Sorties'!$M816:$AAY816)</f>
        <v>0</v>
      </c>
      <c r="M816" s="51" t="str">
        <f t="shared" si="50"/>
        <v>0,00€</v>
      </c>
      <c r="P816" s="72"/>
      <c r="R816" s="185" t="str">
        <f t="shared" si="51"/>
        <v/>
      </c>
      <c r="S816" s="186" t="str">
        <f t="shared" si="52"/>
        <v/>
      </c>
      <c r="T816" s="187" t="str">
        <f>IF(R816="","",IF(O816=0,Famille!$D$5,IF(R816&lt;O816,Famille!$D$2,IF(R816&lt;=P816,Famille!$D$3,Famille!$D$4))))</f>
        <v/>
      </c>
    </row>
    <row r="817" spans="1:20" ht="12" customHeight="1" x14ac:dyDescent="0.2">
      <c r="A817" s="4" t="str">
        <f>IF(Produits!A698="","",Produits!A698)</f>
        <v/>
      </c>
      <c r="B817" s="4" t="str">
        <f>IF(Produits!B698="","",Produits!B698)</f>
        <v/>
      </c>
      <c r="C817" s="4" t="str">
        <f>IF(Produits!C698="","",Produits!C698)</f>
        <v/>
      </c>
      <c r="D817" s="4" t="str">
        <f>IF(Produits!D698="","",Produits!D698)</f>
        <v/>
      </c>
      <c r="E817" s="49" t="str">
        <f>IF(Produits!F698="","",Produits!F698)</f>
        <v/>
      </c>
      <c r="F817" s="50" t="str">
        <f>IF(Produits!H698="","",Produits!H698)</f>
        <v/>
      </c>
      <c r="H817" s="37"/>
      <c r="I817" s="2"/>
      <c r="J817" s="69">
        <f>SUM('Archives Entrées'!$N817:$AAV817)</f>
        <v>0</v>
      </c>
      <c r="K817" s="51" t="str">
        <f t="shared" si="49"/>
        <v>0,00€</v>
      </c>
      <c r="L817" s="69">
        <f>SUM('Archives Sorties'!$M817:$AAY817)</f>
        <v>0</v>
      </c>
      <c r="M817" s="51" t="str">
        <f t="shared" si="50"/>
        <v>0,00€</v>
      </c>
      <c r="P817" s="72"/>
      <c r="R817" s="185" t="str">
        <f t="shared" si="51"/>
        <v/>
      </c>
      <c r="S817" s="186" t="str">
        <f t="shared" si="52"/>
        <v/>
      </c>
      <c r="T817" s="187" t="str">
        <f>IF(R817="","",IF(O817=0,Famille!$D$5,IF(R817&lt;O817,Famille!$D$2,IF(R817&lt;=P817,Famille!$D$3,Famille!$D$4))))</f>
        <v/>
      </c>
    </row>
    <row r="818" spans="1:20" ht="12" customHeight="1" x14ac:dyDescent="0.2">
      <c r="A818" s="4" t="str">
        <f>IF(Produits!A699="","",Produits!A699)</f>
        <v/>
      </c>
      <c r="B818" s="4" t="str">
        <f>IF(Produits!B699="","",Produits!B699)</f>
        <v/>
      </c>
      <c r="C818" s="4" t="str">
        <f>IF(Produits!C699="","",Produits!C699)</f>
        <v/>
      </c>
      <c r="D818" s="4" t="str">
        <f>IF(Produits!D699="","",Produits!D699)</f>
        <v/>
      </c>
      <c r="E818" s="49" t="str">
        <f>IF(Produits!F699="","",Produits!F699)</f>
        <v/>
      </c>
      <c r="F818" s="50" t="str">
        <f>IF(Produits!H699="","",Produits!H699)</f>
        <v/>
      </c>
      <c r="H818" s="37"/>
      <c r="I818" s="2"/>
      <c r="J818" s="69">
        <f>SUM('Archives Entrées'!$N818:$AAV818)</f>
        <v>0</v>
      </c>
      <c r="K818" s="51" t="str">
        <f t="shared" si="49"/>
        <v>0,00€</v>
      </c>
      <c r="L818" s="69">
        <f>SUM('Archives Sorties'!$M818:$AAY818)</f>
        <v>0</v>
      </c>
      <c r="M818" s="51" t="str">
        <f t="shared" si="50"/>
        <v>0,00€</v>
      </c>
      <c r="P818" s="72"/>
      <c r="R818" s="185" t="str">
        <f t="shared" si="51"/>
        <v/>
      </c>
      <c r="S818" s="186" t="str">
        <f t="shared" si="52"/>
        <v/>
      </c>
      <c r="T818" s="187" t="str">
        <f>IF(R818="","",IF(O818=0,Famille!$D$5,IF(R818&lt;O818,Famille!$D$2,IF(R818&lt;=P818,Famille!$D$3,Famille!$D$4))))</f>
        <v/>
      </c>
    </row>
    <row r="819" spans="1:20" ht="12" customHeight="1" x14ac:dyDescent="0.2">
      <c r="A819" s="4" t="str">
        <f>IF(Produits!A700="","",Produits!A700)</f>
        <v/>
      </c>
      <c r="B819" s="4" t="str">
        <f>IF(Produits!B700="","",Produits!B700)</f>
        <v/>
      </c>
      <c r="C819" s="4" t="str">
        <f>IF(Produits!C700="","",Produits!C700)</f>
        <v/>
      </c>
      <c r="D819" s="4" t="str">
        <f>IF(Produits!D700="","",Produits!D700)</f>
        <v/>
      </c>
      <c r="E819" s="49" t="str">
        <f>IF(Produits!F700="","",Produits!F700)</f>
        <v/>
      </c>
      <c r="F819" s="50" t="str">
        <f>IF(Produits!H700="","",Produits!H700)</f>
        <v/>
      </c>
      <c r="H819" s="37"/>
      <c r="I819" s="2"/>
      <c r="J819" s="69">
        <f>SUM('Archives Entrées'!$N819:$AAV819)</f>
        <v>0</v>
      </c>
      <c r="K819" s="51" t="str">
        <f t="shared" si="49"/>
        <v>0,00€</v>
      </c>
      <c r="L819" s="69">
        <f>SUM('Archives Sorties'!$M819:$AAY819)</f>
        <v>0</v>
      </c>
      <c r="M819" s="51" t="str">
        <f t="shared" si="50"/>
        <v>0,00€</v>
      </c>
      <c r="P819" s="72"/>
      <c r="R819" s="185" t="str">
        <f t="shared" si="51"/>
        <v/>
      </c>
      <c r="S819" s="186" t="str">
        <f t="shared" si="52"/>
        <v/>
      </c>
      <c r="T819" s="187" t="str">
        <f>IF(R819="","",IF(O819=0,Famille!$D$5,IF(R819&lt;O819,Famille!$D$2,IF(R819&lt;=P819,Famille!$D$3,Famille!$D$4))))</f>
        <v/>
      </c>
    </row>
    <row r="820" spans="1:20" ht="12" customHeight="1" x14ac:dyDescent="0.2">
      <c r="A820" s="4" t="str">
        <f>IF(Produits!A701="","",Produits!A701)</f>
        <v/>
      </c>
      <c r="B820" s="4" t="str">
        <f>IF(Produits!B701="","",Produits!B701)</f>
        <v/>
      </c>
      <c r="C820" s="4" t="str">
        <f>IF(Produits!C701="","",Produits!C701)</f>
        <v/>
      </c>
      <c r="D820" s="4" t="str">
        <f>IF(Produits!D701="","",Produits!D701)</f>
        <v/>
      </c>
      <c r="E820" s="49" t="str">
        <f>IF(Produits!F701="","",Produits!F701)</f>
        <v/>
      </c>
      <c r="F820" s="50" t="str">
        <f>IF(Produits!H701="","",Produits!H701)</f>
        <v/>
      </c>
      <c r="H820" s="37"/>
      <c r="I820" s="2"/>
      <c r="J820" s="69">
        <f>SUM('Archives Entrées'!$N820:$AAV820)</f>
        <v>0</v>
      </c>
      <c r="K820" s="51" t="str">
        <f t="shared" si="49"/>
        <v>0,00€</v>
      </c>
      <c r="L820" s="69">
        <f>SUM('Archives Sorties'!$M820:$AAY820)</f>
        <v>0</v>
      </c>
      <c r="M820" s="51" t="str">
        <f t="shared" si="50"/>
        <v>0,00€</v>
      </c>
      <c r="P820" s="72"/>
      <c r="R820" s="185" t="str">
        <f t="shared" si="51"/>
        <v/>
      </c>
      <c r="S820" s="186" t="str">
        <f t="shared" si="52"/>
        <v/>
      </c>
      <c r="T820" s="187" t="str">
        <f>IF(R820="","",IF(O820=0,Famille!$D$5,IF(R820&lt;O820,Famille!$D$2,IF(R820&lt;=P820,Famille!$D$3,Famille!$D$4))))</f>
        <v/>
      </c>
    </row>
    <row r="821" spans="1:20" ht="12" customHeight="1" x14ac:dyDescent="0.2">
      <c r="A821" s="4" t="str">
        <f>IF(Produits!A702="","",Produits!A702)</f>
        <v/>
      </c>
      <c r="B821" s="4" t="str">
        <f>IF(Produits!B702="","",Produits!B702)</f>
        <v/>
      </c>
      <c r="C821" s="4" t="str">
        <f>IF(Produits!C702="","",Produits!C702)</f>
        <v/>
      </c>
      <c r="D821" s="4" t="str">
        <f>IF(Produits!D702="","",Produits!D702)</f>
        <v/>
      </c>
      <c r="E821" s="49" t="str">
        <f>IF(Produits!F702="","",Produits!F702)</f>
        <v/>
      </c>
      <c r="F821" s="50" t="str">
        <f>IF(Produits!H702="","",Produits!H702)</f>
        <v/>
      </c>
      <c r="H821" s="37"/>
      <c r="I821" s="2"/>
      <c r="J821" s="69">
        <f>SUM('Archives Entrées'!$N821:$AAV821)</f>
        <v>0</v>
      </c>
      <c r="K821" s="51" t="str">
        <f t="shared" si="49"/>
        <v>0,00€</v>
      </c>
      <c r="L821" s="69">
        <f>SUM('Archives Sorties'!$M821:$AAY821)</f>
        <v>0</v>
      </c>
      <c r="M821" s="51" t="str">
        <f t="shared" si="50"/>
        <v>0,00€</v>
      </c>
      <c r="P821" s="72"/>
      <c r="R821" s="185" t="str">
        <f t="shared" si="51"/>
        <v/>
      </c>
      <c r="S821" s="186" t="str">
        <f t="shared" si="52"/>
        <v/>
      </c>
      <c r="T821" s="187" t="str">
        <f>IF(R821="","",IF(O821=0,Famille!$D$5,IF(R821&lt;O821,Famille!$D$2,IF(R821&lt;=P821,Famille!$D$3,Famille!$D$4))))</f>
        <v/>
      </c>
    </row>
    <row r="822" spans="1:20" ht="12" customHeight="1" x14ac:dyDescent="0.2">
      <c r="A822" s="4" t="str">
        <f>IF(Produits!A703="","",Produits!A703)</f>
        <v/>
      </c>
      <c r="B822" s="4" t="str">
        <f>IF(Produits!B703="","",Produits!B703)</f>
        <v/>
      </c>
      <c r="C822" s="4" t="str">
        <f>IF(Produits!C703="","",Produits!C703)</f>
        <v/>
      </c>
      <c r="D822" s="4" t="str">
        <f>IF(Produits!D703="","",Produits!D703)</f>
        <v/>
      </c>
      <c r="E822" s="49" t="str">
        <f>IF(Produits!F703="","",Produits!F703)</f>
        <v/>
      </c>
      <c r="F822" s="50" t="str">
        <f>IF(Produits!H703="","",Produits!H703)</f>
        <v/>
      </c>
      <c r="H822" s="37"/>
      <c r="I822" s="2"/>
      <c r="J822" s="69">
        <f>SUM('Archives Entrées'!$N822:$AAV822)</f>
        <v>0</v>
      </c>
      <c r="K822" s="51" t="str">
        <f t="shared" si="49"/>
        <v>0,00€</v>
      </c>
      <c r="L822" s="69">
        <f>SUM('Archives Sorties'!$M822:$AAY822)</f>
        <v>0</v>
      </c>
      <c r="M822" s="51" t="str">
        <f t="shared" si="50"/>
        <v>0,00€</v>
      </c>
      <c r="P822" s="72"/>
      <c r="R822" s="185" t="str">
        <f t="shared" si="51"/>
        <v/>
      </c>
      <c r="S822" s="186" t="str">
        <f t="shared" si="52"/>
        <v/>
      </c>
      <c r="T822" s="187" t="str">
        <f>IF(R822="","",IF(O822=0,Famille!$D$5,IF(R822&lt;O822,Famille!$D$2,IF(R822&lt;=P822,Famille!$D$3,Famille!$D$4))))</f>
        <v/>
      </c>
    </row>
    <row r="823" spans="1:20" ht="12" customHeight="1" x14ac:dyDescent="0.2">
      <c r="A823" s="4" t="str">
        <f>IF(Produits!A704="","",Produits!A704)</f>
        <v/>
      </c>
      <c r="B823" s="4" t="str">
        <f>IF(Produits!B704="","",Produits!B704)</f>
        <v/>
      </c>
      <c r="C823" s="4" t="str">
        <f>IF(Produits!C704="","",Produits!C704)</f>
        <v/>
      </c>
      <c r="D823" s="4" t="str">
        <f>IF(Produits!D704="","",Produits!D704)</f>
        <v/>
      </c>
      <c r="E823" s="49" t="str">
        <f>IF(Produits!F704="","",Produits!F704)</f>
        <v/>
      </c>
      <c r="F823" s="50" t="str">
        <f>IF(Produits!H704="","",Produits!H704)</f>
        <v/>
      </c>
      <c r="H823" s="37"/>
      <c r="I823" s="2"/>
      <c r="J823" s="69">
        <f>SUM('Archives Entrées'!$N823:$AAV823)</f>
        <v>0</v>
      </c>
      <c r="K823" s="51" t="str">
        <f t="shared" si="49"/>
        <v>0,00€</v>
      </c>
      <c r="L823" s="69">
        <f>SUM('Archives Sorties'!$M823:$AAY823)</f>
        <v>0</v>
      </c>
      <c r="M823" s="51" t="str">
        <f t="shared" si="50"/>
        <v>0,00€</v>
      </c>
      <c r="P823" s="72"/>
      <c r="R823" s="185" t="str">
        <f t="shared" si="51"/>
        <v/>
      </c>
      <c r="S823" s="186" t="str">
        <f t="shared" si="52"/>
        <v/>
      </c>
      <c r="T823" s="187" t="str">
        <f>IF(R823="","",IF(O823=0,Famille!$D$5,IF(R823&lt;O823,Famille!$D$2,IF(R823&lt;=P823,Famille!$D$3,Famille!$D$4))))</f>
        <v/>
      </c>
    </row>
    <row r="824" spans="1:20" ht="12" customHeight="1" x14ac:dyDescent="0.2">
      <c r="A824" s="4" t="str">
        <f>IF(Produits!A705="","",Produits!A705)</f>
        <v/>
      </c>
      <c r="B824" s="4" t="str">
        <f>IF(Produits!B705="","",Produits!B705)</f>
        <v/>
      </c>
      <c r="C824" s="4" t="str">
        <f>IF(Produits!C705="","",Produits!C705)</f>
        <v/>
      </c>
      <c r="D824" s="4" t="str">
        <f>IF(Produits!D705="","",Produits!D705)</f>
        <v/>
      </c>
      <c r="E824" s="49" t="str">
        <f>IF(Produits!F705="","",Produits!F705)</f>
        <v/>
      </c>
      <c r="F824" s="50" t="str">
        <f>IF(Produits!H705="","",Produits!H705)</f>
        <v/>
      </c>
      <c r="H824" s="37"/>
      <c r="I824" s="2"/>
      <c r="J824" s="69">
        <f>SUM('Archives Entrées'!$N824:$AAV824)</f>
        <v>0</v>
      </c>
      <c r="K824" s="51" t="str">
        <f t="shared" si="49"/>
        <v>0,00€</v>
      </c>
      <c r="L824" s="69">
        <f>SUM('Archives Sorties'!$M824:$AAY824)</f>
        <v>0</v>
      </c>
      <c r="M824" s="51" t="str">
        <f t="shared" si="50"/>
        <v>0,00€</v>
      </c>
      <c r="P824" s="72"/>
      <c r="R824" s="185" t="str">
        <f t="shared" si="51"/>
        <v/>
      </c>
      <c r="S824" s="186" t="str">
        <f t="shared" si="52"/>
        <v/>
      </c>
      <c r="T824" s="187" t="str">
        <f>IF(R824="","",IF(O824=0,Famille!$D$5,IF(R824&lt;O824,Famille!$D$2,IF(R824&lt;=P824,Famille!$D$3,Famille!$D$4))))</f>
        <v/>
      </c>
    </row>
    <row r="825" spans="1:20" ht="12" customHeight="1" x14ac:dyDescent="0.2">
      <c r="A825" s="4" t="str">
        <f>IF(Produits!A706="","",Produits!A706)</f>
        <v/>
      </c>
      <c r="B825" s="4" t="str">
        <f>IF(Produits!B706="","",Produits!B706)</f>
        <v/>
      </c>
      <c r="C825" s="4" t="str">
        <f>IF(Produits!C706="","",Produits!C706)</f>
        <v/>
      </c>
      <c r="D825" s="4" t="str">
        <f>IF(Produits!D706="","",Produits!D706)</f>
        <v/>
      </c>
      <c r="E825" s="49" t="str">
        <f>IF(Produits!F706="","",Produits!F706)</f>
        <v/>
      </c>
      <c r="F825" s="50" t="str">
        <f>IF(Produits!H706="","",Produits!H706)</f>
        <v/>
      </c>
      <c r="H825" s="37"/>
      <c r="I825" s="2"/>
      <c r="J825" s="69">
        <f>SUM('Archives Entrées'!$N825:$AAV825)</f>
        <v>0</v>
      </c>
      <c r="K825" s="51" t="str">
        <f t="shared" si="49"/>
        <v>0,00€</v>
      </c>
      <c r="L825" s="69">
        <f>SUM('Archives Sorties'!$M825:$AAY825)</f>
        <v>0</v>
      </c>
      <c r="M825" s="51" t="str">
        <f t="shared" si="50"/>
        <v>0,00€</v>
      </c>
      <c r="P825" s="72"/>
      <c r="R825" s="185" t="str">
        <f t="shared" si="51"/>
        <v/>
      </c>
      <c r="S825" s="186" t="str">
        <f t="shared" si="52"/>
        <v/>
      </c>
      <c r="T825" s="187" t="str">
        <f>IF(R825="","",IF(O825=0,Famille!$D$5,IF(R825&lt;O825,Famille!$D$2,IF(R825&lt;=P825,Famille!$D$3,Famille!$D$4))))</f>
        <v/>
      </c>
    </row>
    <row r="826" spans="1:20" ht="12" customHeight="1" x14ac:dyDescent="0.2">
      <c r="A826" s="4" t="str">
        <f>IF(Produits!A707="","",Produits!A707)</f>
        <v/>
      </c>
      <c r="B826" s="4" t="str">
        <f>IF(Produits!B707="","",Produits!B707)</f>
        <v/>
      </c>
      <c r="C826" s="4" t="str">
        <f>IF(Produits!C707="","",Produits!C707)</f>
        <v/>
      </c>
      <c r="D826" s="4" t="str">
        <f>IF(Produits!D707="","",Produits!D707)</f>
        <v/>
      </c>
      <c r="E826" s="49" t="str">
        <f>IF(Produits!F707="","",Produits!F707)</f>
        <v/>
      </c>
      <c r="F826" s="50" t="str">
        <f>IF(Produits!H707="","",Produits!H707)</f>
        <v/>
      </c>
      <c r="H826" s="37"/>
      <c r="I826" s="2"/>
      <c r="J826" s="69">
        <f>SUM('Archives Entrées'!$N826:$AAV826)</f>
        <v>0</v>
      </c>
      <c r="K826" s="51" t="str">
        <f t="shared" si="49"/>
        <v>0,00€</v>
      </c>
      <c r="L826" s="69">
        <f>SUM('Archives Sorties'!$M826:$AAY826)</f>
        <v>0</v>
      </c>
      <c r="M826" s="51" t="str">
        <f t="shared" si="50"/>
        <v>0,00€</v>
      </c>
      <c r="P826" s="72"/>
      <c r="R826" s="185" t="str">
        <f t="shared" si="51"/>
        <v/>
      </c>
      <c r="S826" s="186" t="str">
        <f t="shared" si="52"/>
        <v/>
      </c>
      <c r="T826" s="187" t="str">
        <f>IF(R826="","",IF(O826=0,Famille!$D$5,IF(R826&lt;O826,Famille!$D$2,IF(R826&lt;=P826,Famille!$D$3,Famille!$D$4))))</f>
        <v/>
      </c>
    </row>
    <row r="827" spans="1:20" ht="12" customHeight="1" x14ac:dyDescent="0.2">
      <c r="A827" s="4" t="str">
        <f>IF(Produits!A708="","",Produits!A708)</f>
        <v/>
      </c>
      <c r="B827" s="4" t="str">
        <f>IF(Produits!B708="","",Produits!B708)</f>
        <v/>
      </c>
      <c r="C827" s="4" t="str">
        <f>IF(Produits!C708="","",Produits!C708)</f>
        <v/>
      </c>
      <c r="D827" s="4" t="str">
        <f>IF(Produits!D708="","",Produits!D708)</f>
        <v/>
      </c>
      <c r="E827" s="49" t="str">
        <f>IF(Produits!F708="","",Produits!F708)</f>
        <v/>
      </c>
      <c r="F827" s="50" t="str">
        <f>IF(Produits!H708="","",Produits!H708)</f>
        <v/>
      </c>
      <c r="H827" s="37"/>
      <c r="I827" s="2"/>
      <c r="J827" s="69">
        <f>SUM('Archives Entrées'!$N827:$AAV827)</f>
        <v>0</v>
      </c>
      <c r="K827" s="51" t="str">
        <f t="shared" si="49"/>
        <v>0,00€</v>
      </c>
      <c r="L827" s="69">
        <f>SUM('Archives Sorties'!$M827:$AAY827)</f>
        <v>0</v>
      </c>
      <c r="M827" s="51" t="str">
        <f t="shared" si="50"/>
        <v>0,00€</v>
      </c>
      <c r="P827" s="72"/>
      <c r="R827" s="185" t="str">
        <f t="shared" si="51"/>
        <v/>
      </c>
      <c r="S827" s="186" t="str">
        <f t="shared" si="52"/>
        <v/>
      </c>
      <c r="T827" s="187" t="str">
        <f>IF(R827="","",IF(O827=0,Famille!$D$5,IF(R827&lt;O827,Famille!$D$2,IF(R827&lt;=P827,Famille!$D$3,Famille!$D$4))))</f>
        <v/>
      </c>
    </row>
    <row r="828" spans="1:20" ht="12" customHeight="1" x14ac:dyDescent="0.2">
      <c r="A828" s="4" t="str">
        <f>IF(Produits!A709="","",Produits!A709)</f>
        <v/>
      </c>
      <c r="B828" s="4" t="str">
        <f>IF(Produits!B709="","",Produits!B709)</f>
        <v/>
      </c>
      <c r="C828" s="4" t="str">
        <f>IF(Produits!C709="","",Produits!C709)</f>
        <v/>
      </c>
      <c r="D828" s="4" t="str">
        <f>IF(Produits!D709="","",Produits!D709)</f>
        <v/>
      </c>
      <c r="E828" s="49" t="str">
        <f>IF(Produits!F709="","",Produits!F709)</f>
        <v/>
      </c>
      <c r="F828" s="50" t="str">
        <f>IF(Produits!H709="","",Produits!H709)</f>
        <v/>
      </c>
      <c r="H828" s="37"/>
      <c r="I828" s="2"/>
      <c r="J828" s="69">
        <f>SUM('Archives Entrées'!$N828:$AAV828)</f>
        <v>0</v>
      </c>
      <c r="K828" s="51" t="str">
        <f t="shared" si="49"/>
        <v>0,00€</v>
      </c>
      <c r="L828" s="69">
        <f>SUM('Archives Sorties'!$M828:$AAY828)</f>
        <v>0</v>
      </c>
      <c r="M828" s="51" t="str">
        <f t="shared" si="50"/>
        <v>0,00€</v>
      </c>
      <c r="P828" s="72"/>
      <c r="R828" s="185" t="str">
        <f t="shared" si="51"/>
        <v/>
      </c>
      <c r="S828" s="186" t="str">
        <f t="shared" si="52"/>
        <v/>
      </c>
      <c r="T828" s="187" t="str">
        <f>IF(R828="","",IF(O828=0,Famille!$D$5,IF(R828&lt;O828,Famille!$D$2,IF(R828&lt;=P828,Famille!$D$3,Famille!$D$4))))</f>
        <v/>
      </c>
    </row>
    <row r="829" spans="1:20" ht="12" customHeight="1" x14ac:dyDescent="0.2">
      <c r="A829" s="4" t="str">
        <f>IF(Produits!A710="","",Produits!A710)</f>
        <v/>
      </c>
      <c r="B829" s="4" t="str">
        <f>IF(Produits!B710="","",Produits!B710)</f>
        <v/>
      </c>
      <c r="C829" s="4" t="str">
        <f>IF(Produits!C710="","",Produits!C710)</f>
        <v/>
      </c>
      <c r="D829" s="4" t="str">
        <f>IF(Produits!D710="","",Produits!D710)</f>
        <v/>
      </c>
      <c r="E829" s="49" t="str">
        <f>IF(Produits!F710="","",Produits!F710)</f>
        <v/>
      </c>
      <c r="F829" s="50" t="str">
        <f>IF(Produits!H710="","",Produits!H710)</f>
        <v/>
      </c>
      <c r="H829" s="37"/>
      <c r="I829" s="2"/>
      <c r="J829" s="69">
        <f>SUM('Archives Entrées'!$N829:$AAV829)</f>
        <v>0</v>
      </c>
      <c r="K829" s="51" t="str">
        <f t="shared" si="49"/>
        <v>0,00€</v>
      </c>
      <c r="L829" s="69">
        <f>SUM('Archives Sorties'!$M829:$AAY829)</f>
        <v>0</v>
      </c>
      <c r="M829" s="51" t="str">
        <f t="shared" si="50"/>
        <v>0,00€</v>
      </c>
      <c r="P829" s="72"/>
      <c r="R829" s="185" t="str">
        <f t="shared" si="51"/>
        <v/>
      </c>
      <c r="S829" s="186" t="str">
        <f t="shared" si="52"/>
        <v/>
      </c>
      <c r="T829" s="187" t="str">
        <f>IF(R829="","",IF(O829=0,Famille!$D$5,IF(R829&lt;O829,Famille!$D$2,IF(R829&lt;=P829,Famille!$D$3,Famille!$D$4))))</f>
        <v/>
      </c>
    </row>
    <row r="830" spans="1:20" ht="12" customHeight="1" x14ac:dyDescent="0.2">
      <c r="A830" s="4" t="str">
        <f>IF(Produits!A711="","",Produits!A711)</f>
        <v/>
      </c>
      <c r="B830" s="4" t="str">
        <f>IF(Produits!B711="","",Produits!B711)</f>
        <v/>
      </c>
      <c r="C830" s="4" t="str">
        <f>IF(Produits!C711="","",Produits!C711)</f>
        <v/>
      </c>
      <c r="D830" s="4" t="str">
        <f>IF(Produits!D711="","",Produits!D711)</f>
        <v/>
      </c>
      <c r="E830" s="49" t="str">
        <f>IF(Produits!F711="","",Produits!F711)</f>
        <v/>
      </c>
      <c r="F830" s="50" t="str">
        <f>IF(Produits!H711="","",Produits!H711)</f>
        <v/>
      </c>
      <c r="H830" s="37"/>
      <c r="I830" s="2"/>
      <c r="J830" s="69">
        <f>SUM('Archives Entrées'!$N830:$AAV830)</f>
        <v>0</v>
      </c>
      <c r="K830" s="51" t="str">
        <f t="shared" si="49"/>
        <v>0,00€</v>
      </c>
      <c r="L830" s="69">
        <f>SUM('Archives Sorties'!$M830:$AAY830)</f>
        <v>0</v>
      </c>
      <c r="M830" s="51" t="str">
        <f t="shared" si="50"/>
        <v>0,00€</v>
      </c>
      <c r="P830" s="72"/>
      <c r="R830" s="185" t="str">
        <f t="shared" si="51"/>
        <v/>
      </c>
      <c r="S830" s="186" t="str">
        <f t="shared" si="52"/>
        <v/>
      </c>
      <c r="T830" s="187" t="str">
        <f>IF(R830="","",IF(O830=0,Famille!$D$5,IF(R830&lt;O830,Famille!$D$2,IF(R830&lt;=P830,Famille!$D$3,Famille!$D$4))))</f>
        <v/>
      </c>
    </row>
    <row r="831" spans="1:20" ht="12" customHeight="1" x14ac:dyDescent="0.2">
      <c r="A831" s="4" t="str">
        <f>IF(Produits!A712="","",Produits!A712)</f>
        <v/>
      </c>
      <c r="B831" s="4" t="str">
        <f>IF(Produits!B712="","",Produits!B712)</f>
        <v/>
      </c>
      <c r="C831" s="4" t="str">
        <f>IF(Produits!C712="","",Produits!C712)</f>
        <v/>
      </c>
      <c r="D831" s="4" t="str">
        <f>IF(Produits!D712="","",Produits!D712)</f>
        <v/>
      </c>
      <c r="E831" s="49" t="str">
        <f>IF(Produits!F712="","",Produits!F712)</f>
        <v/>
      </c>
      <c r="F831" s="50" t="str">
        <f>IF(Produits!H712="","",Produits!H712)</f>
        <v/>
      </c>
      <c r="H831" s="37"/>
      <c r="I831" s="2"/>
      <c r="J831" s="69">
        <f>SUM('Archives Entrées'!$N831:$AAV831)</f>
        <v>0</v>
      </c>
      <c r="K831" s="51" t="str">
        <f t="shared" si="49"/>
        <v>0,00€</v>
      </c>
      <c r="L831" s="69">
        <f>SUM('Archives Sorties'!$M831:$AAY831)</f>
        <v>0</v>
      </c>
      <c r="M831" s="51" t="str">
        <f t="shared" si="50"/>
        <v>0,00€</v>
      </c>
      <c r="P831" s="72"/>
      <c r="R831" s="185" t="str">
        <f t="shared" si="51"/>
        <v/>
      </c>
      <c r="S831" s="186" t="str">
        <f t="shared" si="52"/>
        <v/>
      </c>
      <c r="T831" s="187" t="str">
        <f>IF(R831="","",IF(O831=0,Famille!$D$5,IF(R831&lt;O831,Famille!$D$2,IF(R831&lt;=P831,Famille!$D$3,Famille!$D$4))))</f>
        <v/>
      </c>
    </row>
    <row r="832" spans="1:20" ht="12" customHeight="1" x14ac:dyDescent="0.2">
      <c r="A832" s="4" t="str">
        <f>IF(Produits!A713="","",Produits!A713)</f>
        <v/>
      </c>
      <c r="B832" s="4" t="str">
        <f>IF(Produits!B713="","",Produits!B713)</f>
        <v/>
      </c>
      <c r="C832" s="4" t="str">
        <f>IF(Produits!C713="","",Produits!C713)</f>
        <v/>
      </c>
      <c r="D832" s="4" t="str">
        <f>IF(Produits!D713="","",Produits!D713)</f>
        <v/>
      </c>
      <c r="E832" s="49" t="str">
        <f>IF(Produits!F713="","",Produits!F713)</f>
        <v/>
      </c>
      <c r="F832" s="50" t="str">
        <f>IF(Produits!H713="","",Produits!H713)</f>
        <v/>
      </c>
      <c r="H832" s="37"/>
      <c r="I832" s="2"/>
      <c r="J832" s="69">
        <f>SUM('Archives Entrées'!$N832:$AAV832)</f>
        <v>0</v>
      </c>
      <c r="K832" s="51" t="str">
        <f t="shared" si="49"/>
        <v>0,00€</v>
      </c>
      <c r="L832" s="69">
        <f>SUM('Archives Sorties'!$M832:$AAY832)</f>
        <v>0</v>
      </c>
      <c r="M832" s="51" t="str">
        <f t="shared" si="50"/>
        <v>0,00€</v>
      </c>
      <c r="P832" s="72"/>
      <c r="R832" s="185" t="str">
        <f t="shared" si="51"/>
        <v/>
      </c>
      <c r="S832" s="186" t="str">
        <f t="shared" si="52"/>
        <v/>
      </c>
      <c r="T832" s="187" t="str">
        <f>IF(R832="","",IF(O832=0,Famille!$D$5,IF(R832&lt;O832,Famille!$D$2,IF(R832&lt;=P832,Famille!$D$3,Famille!$D$4))))</f>
        <v/>
      </c>
    </row>
    <row r="833" spans="1:20" ht="12" customHeight="1" x14ac:dyDescent="0.2">
      <c r="A833" s="4" t="str">
        <f>IF(Produits!A714="","",Produits!A714)</f>
        <v/>
      </c>
      <c r="B833" s="4" t="str">
        <f>IF(Produits!B714="","",Produits!B714)</f>
        <v/>
      </c>
      <c r="C833" s="4" t="str">
        <f>IF(Produits!C714="","",Produits!C714)</f>
        <v/>
      </c>
      <c r="D833" s="4" t="str">
        <f>IF(Produits!D714="","",Produits!D714)</f>
        <v/>
      </c>
      <c r="E833" s="49" t="str">
        <f>IF(Produits!F714="","",Produits!F714)</f>
        <v/>
      </c>
      <c r="F833" s="50" t="str">
        <f>IF(Produits!H714="","",Produits!H714)</f>
        <v/>
      </c>
      <c r="H833" s="37"/>
      <c r="I833" s="2"/>
      <c r="J833" s="69">
        <f>SUM('Archives Entrées'!$N833:$AAV833)</f>
        <v>0</v>
      </c>
      <c r="K833" s="51" t="str">
        <f t="shared" si="49"/>
        <v>0,00€</v>
      </c>
      <c r="L833" s="69">
        <f>SUM('Archives Sorties'!$M833:$AAY833)</f>
        <v>0</v>
      </c>
      <c r="M833" s="51" t="str">
        <f t="shared" si="50"/>
        <v>0,00€</v>
      </c>
      <c r="P833" s="72"/>
      <c r="R833" s="185" t="str">
        <f t="shared" si="51"/>
        <v/>
      </c>
      <c r="S833" s="186" t="str">
        <f t="shared" si="52"/>
        <v/>
      </c>
      <c r="T833" s="187" t="str">
        <f>IF(R833="","",IF(O833=0,Famille!$D$5,IF(R833&lt;O833,Famille!$D$2,IF(R833&lt;=P833,Famille!$D$3,Famille!$D$4))))</f>
        <v/>
      </c>
    </row>
    <row r="834" spans="1:20" ht="12" customHeight="1" x14ac:dyDescent="0.2">
      <c r="A834" s="4" t="str">
        <f>IF(Produits!A715="","",Produits!A715)</f>
        <v/>
      </c>
      <c r="B834" s="4" t="str">
        <f>IF(Produits!B715="","",Produits!B715)</f>
        <v/>
      </c>
      <c r="C834" s="4" t="str">
        <f>IF(Produits!C715="","",Produits!C715)</f>
        <v/>
      </c>
      <c r="D834" s="4" t="str">
        <f>IF(Produits!D715="","",Produits!D715)</f>
        <v/>
      </c>
      <c r="E834" s="49" t="str">
        <f>IF(Produits!F715="","",Produits!F715)</f>
        <v/>
      </c>
      <c r="F834" s="50" t="str">
        <f>IF(Produits!H715="","",Produits!H715)</f>
        <v/>
      </c>
      <c r="H834" s="37"/>
      <c r="I834" s="2"/>
      <c r="J834" s="69">
        <f>SUM('Archives Entrées'!$N834:$AAV834)</f>
        <v>0</v>
      </c>
      <c r="K834" s="51" t="str">
        <f t="shared" si="49"/>
        <v>0,00€</v>
      </c>
      <c r="L834" s="69">
        <f>SUM('Archives Sorties'!$M834:$AAY834)</f>
        <v>0</v>
      </c>
      <c r="M834" s="51" t="str">
        <f t="shared" si="50"/>
        <v>0,00€</v>
      </c>
      <c r="P834" s="72"/>
      <c r="R834" s="185" t="str">
        <f t="shared" si="51"/>
        <v/>
      </c>
      <c r="S834" s="186" t="str">
        <f t="shared" si="52"/>
        <v/>
      </c>
      <c r="T834" s="187" t="str">
        <f>IF(R834="","",IF(O834=0,Famille!$D$5,IF(R834&lt;O834,Famille!$D$2,IF(R834&lt;=P834,Famille!$D$3,Famille!$D$4))))</f>
        <v/>
      </c>
    </row>
    <row r="835" spans="1:20" ht="12" customHeight="1" x14ac:dyDescent="0.2">
      <c r="A835" s="4" t="str">
        <f>IF(Produits!A716="","",Produits!A716)</f>
        <v/>
      </c>
      <c r="B835" s="4" t="str">
        <f>IF(Produits!B716="","",Produits!B716)</f>
        <v/>
      </c>
      <c r="C835" s="4" t="str">
        <f>IF(Produits!C716="","",Produits!C716)</f>
        <v/>
      </c>
      <c r="D835" s="4" t="str">
        <f>IF(Produits!D716="","",Produits!D716)</f>
        <v/>
      </c>
      <c r="E835" s="49" t="str">
        <f>IF(Produits!F716="","",Produits!F716)</f>
        <v/>
      </c>
      <c r="F835" s="50" t="str">
        <f>IF(Produits!H716="","",Produits!H716)</f>
        <v/>
      </c>
      <c r="H835" s="37"/>
      <c r="I835" s="2"/>
      <c r="J835" s="69">
        <f>SUM('Archives Entrées'!$N835:$AAV835)</f>
        <v>0</v>
      </c>
      <c r="K835" s="51" t="str">
        <f t="shared" si="49"/>
        <v>0,00€</v>
      </c>
      <c r="L835" s="69">
        <f>SUM('Archives Sorties'!$M835:$AAY835)</f>
        <v>0</v>
      </c>
      <c r="M835" s="51" t="str">
        <f t="shared" si="50"/>
        <v>0,00€</v>
      </c>
      <c r="P835" s="72"/>
      <c r="R835" s="185" t="str">
        <f t="shared" si="51"/>
        <v/>
      </c>
      <c r="S835" s="186" t="str">
        <f t="shared" si="52"/>
        <v/>
      </c>
      <c r="T835" s="187" t="str">
        <f>IF(R835="","",IF(O835=0,Famille!$D$5,IF(R835&lt;O835,Famille!$D$2,IF(R835&lt;=P835,Famille!$D$3,Famille!$D$4))))</f>
        <v/>
      </c>
    </row>
    <row r="836" spans="1:20" ht="12" customHeight="1" x14ac:dyDescent="0.2">
      <c r="A836" s="4" t="str">
        <f>IF(Produits!A717="","",Produits!A717)</f>
        <v/>
      </c>
      <c r="B836" s="4" t="str">
        <f>IF(Produits!B717="","",Produits!B717)</f>
        <v/>
      </c>
      <c r="C836" s="4" t="str">
        <f>IF(Produits!C717="","",Produits!C717)</f>
        <v/>
      </c>
      <c r="D836" s="4" t="str">
        <f>IF(Produits!D717="","",Produits!D717)</f>
        <v/>
      </c>
      <c r="E836" s="49" t="str">
        <f>IF(Produits!F717="","",Produits!F717)</f>
        <v/>
      </c>
      <c r="F836" s="50" t="str">
        <f>IF(Produits!H717="","",Produits!H717)</f>
        <v/>
      </c>
      <c r="H836" s="37"/>
      <c r="I836" s="2"/>
      <c r="J836" s="69">
        <f>SUM('Archives Entrées'!$N836:$AAV836)</f>
        <v>0</v>
      </c>
      <c r="K836" s="51" t="str">
        <f t="shared" si="49"/>
        <v>0,00€</v>
      </c>
      <c r="L836" s="69">
        <f>SUM('Archives Sorties'!$M836:$AAY836)</f>
        <v>0</v>
      </c>
      <c r="M836" s="51" t="str">
        <f t="shared" si="50"/>
        <v>0,00€</v>
      </c>
      <c r="P836" s="72"/>
      <c r="R836" s="185" t="str">
        <f t="shared" si="51"/>
        <v/>
      </c>
      <c r="S836" s="186" t="str">
        <f t="shared" si="52"/>
        <v/>
      </c>
      <c r="T836" s="187" t="str">
        <f>IF(R836="","",IF(O836=0,Famille!$D$5,IF(R836&lt;O836,Famille!$D$2,IF(R836&lt;=P836,Famille!$D$3,Famille!$D$4))))</f>
        <v/>
      </c>
    </row>
    <row r="837" spans="1:20" ht="12" customHeight="1" x14ac:dyDescent="0.2">
      <c r="A837" s="4" t="str">
        <f>IF(Produits!A718="","",Produits!A718)</f>
        <v/>
      </c>
      <c r="B837" s="4" t="str">
        <f>IF(Produits!B718="","",Produits!B718)</f>
        <v/>
      </c>
      <c r="C837" s="4" t="str">
        <f>IF(Produits!C718="","",Produits!C718)</f>
        <v/>
      </c>
      <c r="D837" s="4" t="str">
        <f>IF(Produits!D718="","",Produits!D718)</f>
        <v/>
      </c>
      <c r="E837" s="49" t="str">
        <f>IF(Produits!F718="","",Produits!F718)</f>
        <v/>
      </c>
      <c r="F837" s="50" t="str">
        <f>IF(Produits!H718="","",Produits!H718)</f>
        <v/>
      </c>
      <c r="H837" s="37"/>
      <c r="I837" s="2"/>
      <c r="J837" s="69">
        <f>SUM('Archives Entrées'!$N837:$AAV837)</f>
        <v>0</v>
      </c>
      <c r="K837" s="51" t="str">
        <f t="shared" ref="K837:K900" si="53">IF(J837=0,"0,00€",J837*F837)</f>
        <v>0,00€</v>
      </c>
      <c r="L837" s="69">
        <f>SUM('Archives Sorties'!$M837:$AAY837)</f>
        <v>0</v>
      </c>
      <c r="M837" s="51" t="str">
        <f t="shared" ref="M837:M900" si="54">IF(L837=0,"0,00€",L837*F837)</f>
        <v>0,00€</v>
      </c>
      <c r="P837" s="72"/>
      <c r="R837" s="185" t="str">
        <f t="shared" ref="R837:R900" si="55">IF(A837="","",((J837+H837)-L837))</f>
        <v/>
      </c>
      <c r="S837" s="186" t="str">
        <f t="shared" ref="S837:S900" si="56">IF(R837="","",IF(R837=0,0,IF(R837&lt;O837,0,IF(R837&lt;=P837,1,2))))</f>
        <v/>
      </c>
      <c r="T837" s="187" t="str">
        <f>IF(R837="","",IF(O837=0,Famille!$D$5,IF(R837&lt;O837,Famille!$D$2,IF(R837&lt;=P837,Famille!$D$3,Famille!$D$4))))</f>
        <v/>
      </c>
    </row>
    <row r="838" spans="1:20" ht="12" customHeight="1" x14ac:dyDescent="0.2">
      <c r="A838" s="4" t="str">
        <f>IF(Produits!A719="","",Produits!A719)</f>
        <v/>
      </c>
      <c r="B838" s="4" t="str">
        <f>IF(Produits!B719="","",Produits!B719)</f>
        <v/>
      </c>
      <c r="C838" s="4" t="str">
        <f>IF(Produits!C719="","",Produits!C719)</f>
        <v/>
      </c>
      <c r="D838" s="4" t="str">
        <f>IF(Produits!D719="","",Produits!D719)</f>
        <v/>
      </c>
      <c r="E838" s="49" t="str">
        <f>IF(Produits!F719="","",Produits!F719)</f>
        <v/>
      </c>
      <c r="F838" s="50" t="str">
        <f>IF(Produits!H719="","",Produits!H719)</f>
        <v/>
      </c>
      <c r="H838" s="37"/>
      <c r="I838" s="2"/>
      <c r="J838" s="69">
        <f>SUM('Archives Entrées'!$N838:$AAV838)</f>
        <v>0</v>
      </c>
      <c r="K838" s="51" t="str">
        <f t="shared" si="53"/>
        <v>0,00€</v>
      </c>
      <c r="L838" s="69">
        <f>SUM('Archives Sorties'!$M838:$AAY838)</f>
        <v>0</v>
      </c>
      <c r="M838" s="51" t="str">
        <f t="shared" si="54"/>
        <v>0,00€</v>
      </c>
      <c r="P838" s="72"/>
      <c r="R838" s="185" t="str">
        <f t="shared" si="55"/>
        <v/>
      </c>
      <c r="S838" s="186" t="str">
        <f t="shared" si="56"/>
        <v/>
      </c>
      <c r="T838" s="187" t="str">
        <f>IF(R838="","",IF(O838=0,Famille!$D$5,IF(R838&lt;O838,Famille!$D$2,IF(R838&lt;=P838,Famille!$D$3,Famille!$D$4))))</f>
        <v/>
      </c>
    </row>
    <row r="839" spans="1:20" ht="12" customHeight="1" x14ac:dyDescent="0.2">
      <c r="A839" s="4" t="str">
        <f>IF(Produits!A720="","",Produits!A720)</f>
        <v/>
      </c>
      <c r="B839" s="4" t="str">
        <f>IF(Produits!B720="","",Produits!B720)</f>
        <v/>
      </c>
      <c r="C839" s="4" t="str">
        <f>IF(Produits!C720="","",Produits!C720)</f>
        <v/>
      </c>
      <c r="D839" s="4" t="str">
        <f>IF(Produits!D720="","",Produits!D720)</f>
        <v/>
      </c>
      <c r="E839" s="49" t="str">
        <f>IF(Produits!F720="","",Produits!F720)</f>
        <v/>
      </c>
      <c r="F839" s="50" t="str">
        <f>IF(Produits!H720="","",Produits!H720)</f>
        <v/>
      </c>
      <c r="H839" s="37"/>
      <c r="I839" s="2"/>
      <c r="J839" s="69">
        <f>SUM('Archives Entrées'!$N839:$AAV839)</f>
        <v>0</v>
      </c>
      <c r="K839" s="51" t="str">
        <f t="shared" si="53"/>
        <v>0,00€</v>
      </c>
      <c r="L839" s="69">
        <f>SUM('Archives Sorties'!$M839:$AAY839)</f>
        <v>0</v>
      </c>
      <c r="M839" s="51" t="str">
        <f t="shared" si="54"/>
        <v>0,00€</v>
      </c>
      <c r="P839" s="72"/>
      <c r="R839" s="185" t="str">
        <f t="shared" si="55"/>
        <v/>
      </c>
      <c r="S839" s="186" t="str">
        <f t="shared" si="56"/>
        <v/>
      </c>
      <c r="T839" s="187" t="str">
        <f>IF(R839="","",IF(O839=0,Famille!$D$5,IF(R839&lt;O839,Famille!$D$2,IF(R839&lt;=P839,Famille!$D$3,Famille!$D$4))))</f>
        <v/>
      </c>
    </row>
    <row r="840" spans="1:20" ht="12" customHeight="1" x14ac:dyDescent="0.2">
      <c r="A840" s="4" t="str">
        <f>IF(Produits!A721="","",Produits!A721)</f>
        <v/>
      </c>
      <c r="B840" s="4" t="str">
        <f>IF(Produits!B721="","",Produits!B721)</f>
        <v/>
      </c>
      <c r="C840" s="4" t="str">
        <f>IF(Produits!C721="","",Produits!C721)</f>
        <v/>
      </c>
      <c r="D840" s="4" t="str">
        <f>IF(Produits!D721="","",Produits!D721)</f>
        <v/>
      </c>
      <c r="E840" s="49" t="str">
        <f>IF(Produits!F721="","",Produits!F721)</f>
        <v/>
      </c>
      <c r="F840" s="50" t="str">
        <f>IF(Produits!H721="","",Produits!H721)</f>
        <v/>
      </c>
      <c r="H840" s="37"/>
      <c r="I840" s="2"/>
      <c r="J840" s="69">
        <f>SUM('Archives Entrées'!$N840:$AAV840)</f>
        <v>0</v>
      </c>
      <c r="K840" s="51" t="str">
        <f t="shared" si="53"/>
        <v>0,00€</v>
      </c>
      <c r="L840" s="69">
        <f>SUM('Archives Sorties'!$M840:$AAY840)</f>
        <v>0</v>
      </c>
      <c r="M840" s="51" t="str">
        <f t="shared" si="54"/>
        <v>0,00€</v>
      </c>
      <c r="P840" s="72"/>
      <c r="R840" s="185" t="str">
        <f t="shared" si="55"/>
        <v/>
      </c>
      <c r="S840" s="186" t="str">
        <f t="shared" si="56"/>
        <v/>
      </c>
      <c r="T840" s="187" t="str">
        <f>IF(R840="","",IF(O840=0,Famille!$D$5,IF(R840&lt;O840,Famille!$D$2,IF(R840&lt;=P840,Famille!$D$3,Famille!$D$4))))</f>
        <v/>
      </c>
    </row>
    <row r="841" spans="1:20" ht="12" customHeight="1" x14ac:dyDescent="0.2">
      <c r="A841" s="4" t="str">
        <f>IF(Produits!A722="","",Produits!A722)</f>
        <v/>
      </c>
      <c r="B841" s="4" t="str">
        <f>IF(Produits!B722="","",Produits!B722)</f>
        <v/>
      </c>
      <c r="C841" s="4" t="str">
        <f>IF(Produits!C722="","",Produits!C722)</f>
        <v/>
      </c>
      <c r="D841" s="4" t="str">
        <f>IF(Produits!D722="","",Produits!D722)</f>
        <v/>
      </c>
      <c r="E841" s="49" t="str">
        <f>IF(Produits!F722="","",Produits!F722)</f>
        <v/>
      </c>
      <c r="F841" s="50" t="str">
        <f>IF(Produits!H722="","",Produits!H722)</f>
        <v/>
      </c>
      <c r="H841" s="37"/>
      <c r="I841" s="2"/>
      <c r="J841" s="69">
        <f>SUM('Archives Entrées'!$N841:$AAV841)</f>
        <v>0</v>
      </c>
      <c r="K841" s="51" t="str">
        <f t="shared" si="53"/>
        <v>0,00€</v>
      </c>
      <c r="L841" s="69">
        <f>SUM('Archives Sorties'!$M841:$AAY841)</f>
        <v>0</v>
      </c>
      <c r="M841" s="51" t="str">
        <f t="shared" si="54"/>
        <v>0,00€</v>
      </c>
      <c r="P841" s="72"/>
      <c r="R841" s="185" t="str">
        <f t="shared" si="55"/>
        <v/>
      </c>
      <c r="S841" s="186" t="str">
        <f t="shared" si="56"/>
        <v/>
      </c>
      <c r="T841" s="187" t="str">
        <f>IF(R841="","",IF(O841=0,Famille!$D$5,IF(R841&lt;O841,Famille!$D$2,IF(R841&lt;=P841,Famille!$D$3,Famille!$D$4))))</f>
        <v/>
      </c>
    </row>
    <row r="842" spans="1:20" ht="12" customHeight="1" x14ac:dyDescent="0.2">
      <c r="A842" s="4" t="str">
        <f>IF(Produits!A723="","",Produits!A723)</f>
        <v/>
      </c>
      <c r="B842" s="4" t="str">
        <f>IF(Produits!B723="","",Produits!B723)</f>
        <v/>
      </c>
      <c r="C842" s="4" t="str">
        <f>IF(Produits!C723="","",Produits!C723)</f>
        <v/>
      </c>
      <c r="D842" s="4" t="str">
        <f>IF(Produits!D723="","",Produits!D723)</f>
        <v/>
      </c>
      <c r="E842" s="49" t="str">
        <f>IF(Produits!F723="","",Produits!F723)</f>
        <v/>
      </c>
      <c r="F842" s="50" t="str">
        <f>IF(Produits!H723="","",Produits!H723)</f>
        <v/>
      </c>
      <c r="H842" s="37"/>
      <c r="I842" s="2"/>
      <c r="J842" s="69">
        <f>SUM('Archives Entrées'!$N842:$AAV842)</f>
        <v>0</v>
      </c>
      <c r="K842" s="51" t="str">
        <f t="shared" si="53"/>
        <v>0,00€</v>
      </c>
      <c r="L842" s="69">
        <f>SUM('Archives Sorties'!$M842:$AAY842)</f>
        <v>0</v>
      </c>
      <c r="M842" s="51" t="str">
        <f t="shared" si="54"/>
        <v>0,00€</v>
      </c>
      <c r="P842" s="72"/>
      <c r="R842" s="185" t="str">
        <f t="shared" si="55"/>
        <v/>
      </c>
      <c r="S842" s="186" t="str">
        <f t="shared" si="56"/>
        <v/>
      </c>
      <c r="T842" s="187" t="str">
        <f>IF(R842="","",IF(O842=0,Famille!$D$5,IF(R842&lt;O842,Famille!$D$2,IF(R842&lt;=P842,Famille!$D$3,Famille!$D$4))))</f>
        <v/>
      </c>
    </row>
    <row r="843" spans="1:20" ht="12" customHeight="1" x14ac:dyDescent="0.2">
      <c r="A843" s="4" t="str">
        <f>IF(Produits!A724="","",Produits!A724)</f>
        <v/>
      </c>
      <c r="B843" s="4" t="str">
        <f>IF(Produits!B724="","",Produits!B724)</f>
        <v/>
      </c>
      <c r="C843" s="4" t="str">
        <f>IF(Produits!C724="","",Produits!C724)</f>
        <v/>
      </c>
      <c r="D843" s="4" t="str">
        <f>IF(Produits!D724="","",Produits!D724)</f>
        <v/>
      </c>
      <c r="E843" s="49" t="str">
        <f>IF(Produits!F724="","",Produits!F724)</f>
        <v/>
      </c>
      <c r="F843" s="50" t="str">
        <f>IF(Produits!H724="","",Produits!H724)</f>
        <v/>
      </c>
      <c r="H843" s="37"/>
      <c r="I843" s="2"/>
      <c r="J843" s="69">
        <f>SUM('Archives Entrées'!$N843:$AAV843)</f>
        <v>0</v>
      </c>
      <c r="K843" s="51" t="str">
        <f t="shared" si="53"/>
        <v>0,00€</v>
      </c>
      <c r="L843" s="69">
        <f>SUM('Archives Sorties'!$M843:$AAY843)</f>
        <v>0</v>
      </c>
      <c r="M843" s="51" t="str">
        <f t="shared" si="54"/>
        <v>0,00€</v>
      </c>
      <c r="P843" s="72"/>
      <c r="R843" s="185" t="str">
        <f t="shared" si="55"/>
        <v/>
      </c>
      <c r="S843" s="186" t="str">
        <f t="shared" si="56"/>
        <v/>
      </c>
      <c r="T843" s="187" t="str">
        <f>IF(R843="","",IF(O843=0,Famille!$D$5,IF(R843&lt;O843,Famille!$D$2,IF(R843&lt;=P843,Famille!$D$3,Famille!$D$4))))</f>
        <v/>
      </c>
    </row>
    <row r="844" spans="1:20" ht="12" customHeight="1" x14ac:dyDescent="0.2">
      <c r="A844" s="4" t="str">
        <f>IF(Produits!A725="","",Produits!A725)</f>
        <v/>
      </c>
      <c r="B844" s="4" t="str">
        <f>IF(Produits!B725="","",Produits!B725)</f>
        <v/>
      </c>
      <c r="C844" s="4" t="str">
        <f>IF(Produits!C725="","",Produits!C725)</f>
        <v/>
      </c>
      <c r="D844" s="4" t="str">
        <f>IF(Produits!D725="","",Produits!D725)</f>
        <v/>
      </c>
      <c r="E844" s="49" t="str">
        <f>IF(Produits!F725="","",Produits!F725)</f>
        <v/>
      </c>
      <c r="F844" s="50" t="str">
        <f>IF(Produits!H725="","",Produits!H725)</f>
        <v/>
      </c>
      <c r="H844" s="37"/>
      <c r="I844" s="2"/>
      <c r="J844" s="69">
        <f>SUM('Archives Entrées'!$N844:$AAV844)</f>
        <v>0</v>
      </c>
      <c r="K844" s="51" t="str">
        <f t="shared" si="53"/>
        <v>0,00€</v>
      </c>
      <c r="L844" s="69">
        <f>SUM('Archives Sorties'!$M844:$AAY844)</f>
        <v>0</v>
      </c>
      <c r="M844" s="51" t="str">
        <f t="shared" si="54"/>
        <v>0,00€</v>
      </c>
      <c r="P844" s="72"/>
      <c r="R844" s="185" t="str">
        <f t="shared" si="55"/>
        <v/>
      </c>
      <c r="S844" s="186" t="str">
        <f t="shared" si="56"/>
        <v/>
      </c>
      <c r="T844" s="187" t="str">
        <f>IF(R844="","",IF(O844=0,Famille!$D$5,IF(R844&lt;O844,Famille!$D$2,IF(R844&lt;=P844,Famille!$D$3,Famille!$D$4))))</f>
        <v/>
      </c>
    </row>
    <row r="845" spans="1:20" ht="12" customHeight="1" x14ac:dyDescent="0.2">
      <c r="A845" s="4" t="str">
        <f>IF(Produits!A726="","",Produits!A726)</f>
        <v/>
      </c>
      <c r="B845" s="4" t="str">
        <f>IF(Produits!B726="","",Produits!B726)</f>
        <v/>
      </c>
      <c r="C845" s="4" t="str">
        <f>IF(Produits!C726="","",Produits!C726)</f>
        <v/>
      </c>
      <c r="D845" s="4" t="str">
        <f>IF(Produits!D726="","",Produits!D726)</f>
        <v/>
      </c>
      <c r="E845" s="49" t="str">
        <f>IF(Produits!F726="","",Produits!F726)</f>
        <v/>
      </c>
      <c r="F845" s="50" t="str">
        <f>IF(Produits!H726="","",Produits!H726)</f>
        <v/>
      </c>
      <c r="H845" s="37"/>
      <c r="I845" s="2"/>
      <c r="J845" s="69">
        <f>SUM('Archives Entrées'!$N845:$AAV845)</f>
        <v>0</v>
      </c>
      <c r="K845" s="51" t="str">
        <f t="shared" si="53"/>
        <v>0,00€</v>
      </c>
      <c r="L845" s="69">
        <f>SUM('Archives Sorties'!$M845:$AAY845)</f>
        <v>0</v>
      </c>
      <c r="M845" s="51" t="str">
        <f t="shared" si="54"/>
        <v>0,00€</v>
      </c>
      <c r="P845" s="72"/>
      <c r="R845" s="185" t="str">
        <f t="shared" si="55"/>
        <v/>
      </c>
      <c r="S845" s="186" t="str">
        <f t="shared" si="56"/>
        <v/>
      </c>
      <c r="T845" s="187" t="str">
        <f>IF(R845="","",IF(O845=0,Famille!$D$5,IF(R845&lt;O845,Famille!$D$2,IF(R845&lt;=P845,Famille!$D$3,Famille!$D$4))))</f>
        <v/>
      </c>
    </row>
    <row r="846" spans="1:20" ht="12" customHeight="1" x14ac:dyDescent="0.2">
      <c r="A846" s="4" t="str">
        <f>IF(Produits!A727="","",Produits!A727)</f>
        <v/>
      </c>
      <c r="B846" s="4" t="str">
        <f>IF(Produits!B727="","",Produits!B727)</f>
        <v/>
      </c>
      <c r="C846" s="4" t="str">
        <f>IF(Produits!C727="","",Produits!C727)</f>
        <v/>
      </c>
      <c r="D846" s="4" t="str">
        <f>IF(Produits!D727="","",Produits!D727)</f>
        <v/>
      </c>
      <c r="E846" s="49" t="str">
        <f>IF(Produits!F727="","",Produits!F727)</f>
        <v/>
      </c>
      <c r="F846" s="50" t="str">
        <f>IF(Produits!H727="","",Produits!H727)</f>
        <v/>
      </c>
      <c r="H846" s="37"/>
      <c r="I846" s="2"/>
      <c r="J846" s="69">
        <f>SUM('Archives Entrées'!$N846:$AAV846)</f>
        <v>0</v>
      </c>
      <c r="K846" s="51" t="str">
        <f t="shared" si="53"/>
        <v>0,00€</v>
      </c>
      <c r="L846" s="69">
        <f>SUM('Archives Sorties'!$M846:$AAY846)</f>
        <v>0</v>
      </c>
      <c r="M846" s="51" t="str">
        <f t="shared" si="54"/>
        <v>0,00€</v>
      </c>
      <c r="P846" s="72"/>
      <c r="R846" s="185" t="str">
        <f t="shared" si="55"/>
        <v/>
      </c>
      <c r="S846" s="186" t="str">
        <f t="shared" si="56"/>
        <v/>
      </c>
      <c r="T846" s="187" t="str">
        <f>IF(R846="","",IF(O846=0,Famille!$D$5,IF(R846&lt;O846,Famille!$D$2,IF(R846&lt;=P846,Famille!$D$3,Famille!$D$4))))</f>
        <v/>
      </c>
    </row>
    <row r="847" spans="1:20" ht="12" customHeight="1" x14ac:dyDescent="0.2">
      <c r="A847" s="4" t="str">
        <f>IF(Produits!A728="","",Produits!A728)</f>
        <v/>
      </c>
      <c r="B847" s="4" t="str">
        <f>IF(Produits!B728="","",Produits!B728)</f>
        <v/>
      </c>
      <c r="C847" s="4" t="str">
        <f>IF(Produits!C728="","",Produits!C728)</f>
        <v/>
      </c>
      <c r="D847" s="4" t="str">
        <f>IF(Produits!D728="","",Produits!D728)</f>
        <v/>
      </c>
      <c r="E847" s="49" t="str">
        <f>IF(Produits!F728="","",Produits!F728)</f>
        <v/>
      </c>
      <c r="F847" s="50" t="str">
        <f>IF(Produits!H728="","",Produits!H728)</f>
        <v/>
      </c>
      <c r="H847" s="37"/>
      <c r="I847" s="2"/>
      <c r="J847" s="69">
        <f>SUM('Archives Entrées'!$N847:$AAV847)</f>
        <v>0</v>
      </c>
      <c r="K847" s="51" t="str">
        <f t="shared" si="53"/>
        <v>0,00€</v>
      </c>
      <c r="L847" s="69">
        <f>SUM('Archives Sorties'!$M847:$AAY847)</f>
        <v>0</v>
      </c>
      <c r="M847" s="51" t="str">
        <f t="shared" si="54"/>
        <v>0,00€</v>
      </c>
      <c r="P847" s="72"/>
      <c r="R847" s="185" t="str">
        <f t="shared" si="55"/>
        <v/>
      </c>
      <c r="S847" s="186" t="str">
        <f t="shared" si="56"/>
        <v/>
      </c>
      <c r="T847" s="187" t="str">
        <f>IF(R847="","",IF(O847=0,Famille!$D$5,IF(R847&lt;O847,Famille!$D$2,IF(R847&lt;=P847,Famille!$D$3,Famille!$D$4))))</f>
        <v/>
      </c>
    </row>
    <row r="848" spans="1:20" ht="12" customHeight="1" x14ac:dyDescent="0.2">
      <c r="A848" s="4" t="str">
        <f>IF(Produits!A729="","",Produits!A729)</f>
        <v/>
      </c>
      <c r="B848" s="4" t="str">
        <f>IF(Produits!B729="","",Produits!B729)</f>
        <v/>
      </c>
      <c r="C848" s="4" t="str">
        <f>IF(Produits!C729="","",Produits!C729)</f>
        <v/>
      </c>
      <c r="D848" s="4" t="str">
        <f>IF(Produits!D729="","",Produits!D729)</f>
        <v/>
      </c>
      <c r="E848" s="49" t="str">
        <f>IF(Produits!F729="","",Produits!F729)</f>
        <v/>
      </c>
      <c r="F848" s="50" t="str">
        <f>IF(Produits!H729="","",Produits!H729)</f>
        <v/>
      </c>
      <c r="H848" s="37"/>
      <c r="I848" s="2"/>
      <c r="J848" s="69">
        <f>SUM('Archives Entrées'!$N848:$AAV848)</f>
        <v>0</v>
      </c>
      <c r="K848" s="51" t="str">
        <f t="shared" si="53"/>
        <v>0,00€</v>
      </c>
      <c r="L848" s="69">
        <f>SUM('Archives Sorties'!$M848:$AAY848)</f>
        <v>0</v>
      </c>
      <c r="M848" s="51" t="str">
        <f t="shared" si="54"/>
        <v>0,00€</v>
      </c>
      <c r="P848" s="72"/>
      <c r="R848" s="185" t="str">
        <f t="shared" si="55"/>
        <v/>
      </c>
      <c r="S848" s="186" t="str">
        <f t="shared" si="56"/>
        <v/>
      </c>
      <c r="T848" s="187" t="str">
        <f>IF(R848="","",IF(O848=0,Famille!$D$5,IF(R848&lt;O848,Famille!$D$2,IF(R848&lt;=P848,Famille!$D$3,Famille!$D$4))))</f>
        <v/>
      </c>
    </row>
    <row r="849" spans="1:20" ht="12" customHeight="1" x14ac:dyDescent="0.2">
      <c r="A849" s="4" t="str">
        <f>IF(Produits!A730="","",Produits!A730)</f>
        <v/>
      </c>
      <c r="B849" s="4" t="str">
        <f>IF(Produits!B730="","",Produits!B730)</f>
        <v/>
      </c>
      <c r="C849" s="4" t="str">
        <f>IF(Produits!C730="","",Produits!C730)</f>
        <v/>
      </c>
      <c r="D849" s="4" t="str">
        <f>IF(Produits!D730="","",Produits!D730)</f>
        <v/>
      </c>
      <c r="E849" s="49" t="str">
        <f>IF(Produits!F730="","",Produits!F730)</f>
        <v/>
      </c>
      <c r="F849" s="50" t="str">
        <f>IF(Produits!H730="","",Produits!H730)</f>
        <v/>
      </c>
      <c r="H849" s="37"/>
      <c r="I849" s="2"/>
      <c r="J849" s="69">
        <f>SUM('Archives Entrées'!$N849:$AAV849)</f>
        <v>0</v>
      </c>
      <c r="K849" s="51" t="str">
        <f t="shared" si="53"/>
        <v>0,00€</v>
      </c>
      <c r="L849" s="69">
        <f>SUM('Archives Sorties'!$M849:$AAY849)</f>
        <v>0</v>
      </c>
      <c r="M849" s="51" t="str">
        <f t="shared" si="54"/>
        <v>0,00€</v>
      </c>
      <c r="P849" s="72"/>
      <c r="R849" s="185" t="str">
        <f t="shared" si="55"/>
        <v/>
      </c>
      <c r="S849" s="186" t="str">
        <f t="shared" si="56"/>
        <v/>
      </c>
      <c r="T849" s="187" t="str">
        <f>IF(R849="","",IF(O849=0,Famille!$D$5,IF(R849&lt;O849,Famille!$D$2,IF(R849&lt;=P849,Famille!$D$3,Famille!$D$4))))</f>
        <v/>
      </c>
    </row>
    <row r="850" spans="1:20" ht="12" customHeight="1" x14ac:dyDescent="0.2">
      <c r="A850" s="4" t="str">
        <f>IF(Produits!A731="","",Produits!A731)</f>
        <v/>
      </c>
      <c r="B850" s="4" t="str">
        <f>IF(Produits!B731="","",Produits!B731)</f>
        <v/>
      </c>
      <c r="C850" s="4" t="str">
        <f>IF(Produits!C731="","",Produits!C731)</f>
        <v/>
      </c>
      <c r="D850" s="4" t="str">
        <f>IF(Produits!D731="","",Produits!D731)</f>
        <v/>
      </c>
      <c r="E850" s="49" t="str">
        <f>IF(Produits!F731="","",Produits!F731)</f>
        <v/>
      </c>
      <c r="F850" s="50" t="str">
        <f>IF(Produits!H731="","",Produits!H731)</f>
        <v/>
      </c>
      <c r="H850" s="37"/>
      <c r="I850" s="2"/>
      <c r="J850" s="69">
        <f>SUM('Archives Entrées'!$N850:$AAV850)</f>
        <v>0</v>
      </c>
      <c r="K850" s="51" t="str">
        <f t="shared" si="53"/>
        <v>0,00€</v>
      </c>
      <c r="L850" s="69">
        <f>SUM('Archives Sorties'!$M850:$AAY850)</f>
        <v>0</v>
      </c>
      <c r="M850" s="51" t="str">
        <f t="shared" si="54"/>
        <v>0,00€</v>
      </c>
      <c r="P850" s="72"/>
      <c r="R850" s="185" t="str">
        <f t="shared" si="55"/>
        <v/>
      </c>
      <c r="S850" s="186" t="str">
        <f t="shared" si="56"/>
        <v/>
      </c>
      <c r="T850" s="187" t="str">
        <f>IF(R850="","",IF(O850=0,Famille!$D$5,IF(R850&lt;O850,Famille!$D$2,IF(R850&lt;=P850,Famille!$D$3,Famille!$D$4))))</f>
        <v/>
      </c>
    </row>
    <row r="851" spans="1:20" ht="12" customHeight="1" x14ac:dyDescent="0.2">
      <c r="A851" s="4" t="str">
        <f>IF(Produits!A732="","",Produits!A732)</f>
        <v/>
      </c>
      <c r="B851" s="4" t="str">
        <f>IF(Produits!B732="","",Produits!B732)</f>
        <v/>
      </c>
      <c r="C851" s="4" t="str">
        <f>IF(Produits!C732="","",Produits!C732)</f>
        <v/>
      </c>
      <c r="D851" s="4" t="str">
        <f>IF(Produits!D732="","",Produits!D732)</f>
        <v/>
      </c>
      <c r="E851" s="49" t="str">
        <f>IF(Produits!F732="","",Produits!F732)</f>
        <v/>
      </c>
      <c r="F851" s="50" t="str">
        <f>IF(Produits!H732="","",Produits!H732)</f>
        <v/>
      </c>
      <c r="H851" s="37"/>
      <c r="I851" s="2"/>
      <c r="J851" s="69">
        <f>SUM('Archives Entrées'!$N851:$AAV851)</f>
        <v>0</v>
      </c>
      <c r="K851" s="51" t="str">
        <f t="shared" si="53"/>
        <v>0,00€</v>
      </c>
      <c r="L851" s="69">
        <f>SUM('Archives Sorties'!$M851:$AAY851)</f>
        <v>0</v>
      </c>
      <c r="M851" s="51" t="str">
        <f t="shared" si="54"/>
        <v>0,00€</v>
      </c>
      <c r="P851" s="72"/>
      <c r="R851" s="185" t="str">
        <f t="shared" si="55"/>
        <v/>
      </c>
      <c r="S851" s="186" t="str">
        <f t="shared" si="56"/>
        <v/>
      </c>
      <c r="T851" s="187" t="str">
        <f>IF(R851="","",IF(O851=0,Famille!$D$5,IF(R851&lt;O851,Famille!$D$2,IF(R851&lt;=P851,Famille!$D$3,Famille!$D$4))))</f>
        <v/>
      </c>
    </row>
    <row r="852" spans="1:20" ht="12" customHeight="1" x14ac:dyDescent="0.2">
      <c r="A852" s="4" t="str">
        <f>IF(Produits!A733="","",Produits!A733)</f>
        <v/>
      </c>
      <c r="B852" s="4" t="str">
        <f>IF(Produits!B733="","",Produits!B733)</f>
        <v/>
      </c>
      <c r="C852" s="4" t="str">
        <f>IF(Produits!C733="","",Produits!C733)</f>
        <v/>
      </c>
      <c r="D852" s="4" t="str">
        <f>IF(Produits!D733="","",Produits!D733)</f>
        <v/>
      </c>
      <c r="E852" s="49" t="str">
        <f>IF(Produits!F733="","",Produits!F733)</f>
        <v/>
      </c>
      <c r="F852" s="50" t="str">
        <f>IF(Produits!H733="","",Produits!H733)</f>
        <v/>
      </c>
      <c r="H852" s="37"/>
      <c r="I852" s="2"/>
      <c r="J852" s="69">
        <f>SUM('Archives Entrées'!$N852:$AAV852)</f>
        <v>0</v>
      </c>
      <c r="K852" s="51" t="str">
        <f t="shared" si="53"/>
        <v>0,00€</v>
      </c>
      <c r="L852" s="69">
        <f>SUM('Archives Sorties'!$M852:$AAY852)</f>
        <v>0</v>
      </c>
      <c r="M852" s="51" t="str">
        <f t="shared" si="54"/>
        <v>0,00€</v>
      </c>
      <c r="P852" s="72"/>
      <c r="R852" s="185" t="str">
        <f t="shared" si="55"/>
        <v/>
      </c>
      <c r="S852" s="186" t="str">
        <f t="shared" si="56"/>
        <v/>
      </c>
      <c r="T852" s="187" t="str">
        <f>IF(R852="","",IF(O852=0,Famille!$D$5,IF(R852&lt;O852,Famille!$D$2,IF(R852&lt;=P852,Famille!$D$3,Famille!$D$4))))</f>
        <v/>
      </c>
    </row>
    <row r="853" spans="1:20" ht="12" customHeight="1" x14ac:dyDescent="0.2">
      <c r="A853" s="4" t="str">
        <f>IF(Produits!A734="","",Produits!A734)</f>
        <v/>
      </c>
      <c r="B853" s="4" t="str">
        <f>IF(Produits!B734="","",Produits!B734)</f>
        <v/>
      </c>
      <c r="C853" s="4" t="str">
        <f>IF(Produits!C734="","",Produits!C734)</f>
        <v/>
      </c>
      <c r="D853" s="4" t="str">
        <f>IF(Produits!D734="","",Produits!D734)</f>
        <v/>
      </c>
      <c r="E853" s="49" t="str">
        <f>IF(Produits!F734="","",Produits!F734)</f>
        <v/>
      </c>
      <c r="F853" s="50" t="str">
        <f>IF(Produits!H734="","",Produits!H734)</f>
        <v/>
      </c>
      <c r="H853" s="37"/>
      <c r="I853" s="2"/>
      <c r="J853" s="69">
        <f>SUM('Archives Entrées'!$N853:$AAV853)</f>
        <v>0</v>
      </c>
      <c r="K853" s="51" t="str">
        <f t="shared" si="53"/>
        <v>0,00€</v>
      </c>
      <c r="L853" s="69">
        <f>SUM('Archives Sorties'!$M853:$AAY853)</f>
        <v>0</v>
      </c>
      <c r="M853" s="51" t="str">
        <f t="shared" si="54"/>
        <v>0,00€</v>
      </c>
      <c r="P853" s="72"/>
      <c r="R853" s="185" t="str">
        <f t="shared" si="55"/>
        <v/>
      </c>
      <c r="S853" s="186" t="str">
        <f t="shared" si="56"/>
        <v/>
      </c>
      <c r="T853" s="187" t="str">
        <f>IF(R853="","",IF(O853=0,Famille!$D$5,IF(R853&lt;O853,Famille!$D$2,IF(R853&lt;=P853,Famille!$D$3,Famille!$D$4))))</f>
        <v/>
      </c>
    </row>
    <row r="854" spans="1:20" ht="12" customHeight="1" x14ac:dyDescent="0.2">
      <c r="A854" s="4" t="str">
        <f>IF(Produits!A735="","",Produits!A735)</f>
        <v/>
      </c>
      <c r="B854" s="4" t="str">
        <f>IF(Produits!B735="","",Produits!B735)</f>
        <v/>
      </c>
      <c r="C854" s="4" t="str">
        <f>IF(Produits!C735="","",Produits!C735)</f>
        <v/>
      </c>
      <c r="D854" s="4" t="str">
        <f>IF(Produits!D735="","",Produits!D735)</f>
        <v/>
      </c>
      <c r="E854" s="49" t="str">
        <f>IF(Produits!F735="","",Produits!F735)</f>
        <v/>
      </c>
      <c r="F854" s="50" t="str">
        <f>IF(Produits!H735="","",Produits!H735)</f>
        <v/>
      </c>
      <c r="H854" s="37"/>
      <c r="I854" s="2"/>
      <c r="J854" s="69">
        <f>SUM('Archives Entrées'!$N854:$AAV854)</f>
        <v>0</v>
      </c>
      <c r="K854" s="51" t="str">
        <f t="shared" si="53"/>
        <v>0,00€</v>
      </c>
      <c r="L854" s="69">
        <f>SUM('Archives Sorties'!$M854:$AAY854)</f>
        <v>0</v>
      </c>
      <c r="M854" s="51" t="str">
        <f t="shared" si="54"/>
        <v>0,00€</v>
      </c>
      <c r="P854" s="72"/>
      <c r="R854" s="185" t="str">
        <f t="shared" si="55"/>
        <v/>
      </c>
      <c r="S854" s="186" t="str">
        <f t="shared" si="56"/>
        <v/>
      </c>
      <c r="T854" s="187" t="str">
        <f>IF(R854="","",IF(O854=0,Famille!$D$5,IF(R854&lt;O854,Famille!$D$2,IF(R854&lt;=P854,Famille!$D$3,Famille!$D$4))))</f>
        <v/>
      </c>
    </row>
    <row r="855" spans="1:20" ht="12" customHeight="1" x14ac:dyDescent="0.2">
      <c r="A855" s="4" t="str">
        <f>IF(Produits!A736="","",Produits!A736)</f>
        <v/>
      </c>
      <c r="B855" s="4" t="str">
        <f>IF(Produits!B736="","",Produits!B736)</f>
        <v/>
      </c>
      <c r="C855" s="4" t="str">
        <f>IF(Produits!C736="","",Produits!C736)</f>
        <v/>
      </c>
      <c r="D855" s="4" t="str">
        <f>IF(Produits!D736="","",Produits!D736)</f>
        <v/>
      </c>
      <c r="E855" s="49" t="str">
        <f>IF(Produits!F736="","",Produits!F736)</f>
        <v/>
      </c>
      <c r="F855" s="50" t="str">
        <f>IF(Produits!H736="","",Produits!H736)</f>
        <v/>
      </c>
      <c r="H855" s="37"/>
      <c r="I855" s="2"/>
      <c r="J855" s="69">
        <f>SUM('Archives Entrées'!$N855:$AAV855)</f>
        <v>0</v>
      </c>
      <c r="K855" s="51" t="str">
        <f t="shared" si="53"/>
        <v>0,00€</v>
      </c>
      <c r="L855" s="69">
        <f>SUM('Archives Sorties'!$M855:$AAY855)</f>
        <v>0</v>
      </c>
      <c r="M855" s="51" t="str">
        <f t="shared" si="54"/>
        <v>0,00€</v>
      </c>
      <c r="P855" s="72"/>
      <c r="R855" s="185" t="str">
        <f t="shared" si="55"/>
        <v/>
      </c>
      <c r="S855" s="186" t="str">
        <f t="shared" si="56"/>
        <v/>
      </c>
      <c r="T855" s="187" t="str">
        <f>IF(R855="","",IF(O855=0,Famille!$D$5,IF(R855&lt;O855,Famille!$D$2,IF(R855&lt;=P855,Famille!$D$3,Famille!$D$4))))</f>
        <v/>
      </c>
    </row>
    <row r="856" spans="1:20" ht="12" customHeight="1" x14ac:dyDescent="0.2">
      <c r="A856" s="4" t="str">
        <f>IF(Produits!A737="","",Produits!A737)</f>
        <v/>
      </c>
      <c r="B856" s="4" t="str">
        <f>IF(Produits!B737="","",Produits!B737)</f>
        <v/>
      </c>
      <c r="C856" s="4" t="str">
        <f>IF(Produits!C737="","",Produits!C737)</f>
        <v/>
      </c>
      <c r="D856" s="4" t="str">
        <f>IF(Produits!D737="","",Produits!D737)</f>
        <v/>
      </c>
      <c r="E856" s="49" t="str">
        <f>IF(Produits!F737="","",Produits!F737)</f>
        <v/>
      </c>
      <c r="F856" s="50" t="str">
        <f>IF(Produits!H737="","",Produits!H737)</f>
        <v/>
      </c>
      <c r="H856" s="37"/>
      <c r="I856" s="2"/>
      <c r="J856" s="69">
        <f>SUM('Archives Entrées'!$N856:$AAV856)</f>
        <v>0</v>
      </c>
      <c r="K856" s="51" t="str">
        <f t="shared" si="53"/>
        <v>0,00€</v>
      </c>
      <c r="L856" s="69">
        <f>SUM('Archives Sorties'!$M856:$AAY856)</f>
        <v>0</v>
      </c>
      <c r="M856" s="51" t="str">
        <f t="shared" si="54"/>
        <v>0,00€</v>
      </c>
      <c r="P856" s="72"/>
      <c r="R856" s="185" t="str">
        <f t="shared" si="55"/>
        <v/>
      </c>
      <c r="S856" s="186" t="str">
        <f t="shared" si="56"/>
        <v/>
      </c>
      <c r="T856" s="187" t="str">
        <f>IF(R856="","",IF(O856=0,Famille!$D$5,IF(R856&lt;O856,Famille!$D$2,IF(R856&lt;=P856,Famille!$D$3,Famille!$D$4))))</f>
        <v/>
      </c>
    </row>
    <row r="857" spans="1:20" ht="12" customHeight="1" x14ac:dyDescent="0.2">
      <c r="A857" s="4" t="str">
        <f>IF(Produits!A738="","",Produits!A738)</f>
        <v/>
      </c>
      <c r="B857" s="4" t="str">
        <f>IF(Produits!B738="","",Produits!B738)</f>
        <v/>
      </c>
      <c r="C857" s="4" t="str">
        <f>IF(Produits!C738="","",Produits!C738)</f>
        <v/>
      </c>
      <c r="D857" s="4" t="str">
        <f>IF(Produits!D738="","",Produits!D738)</f>
        <v/>
      </c>
      <c r="E857" s="49" t="str">
        <f>IF(Produits!F738="","",Produits!F738)</f>
        <v/>
      </c>
      <c r="F857" s="50" t="str">
        <f>IF(Produits!H738="","",Produits!H738)</f>
        <v/>
      </c>
      <c r="H857" s="37"/>
      <c r="I857" s="2"/>
      <c r="J857" s="69">
        <f>SUM('Archives Entrées'!$N857:$AAV857)</f>
        <v>0</v>
      </c>
      <c r="K857" s="51" t="str">
        <f t="shared" si="53"/>
        <v>0,00€</v>
      </c>
      <c r="L857" s="69">
        <f>SUM('Archives Sorties'!$M857:$AAY857)</f>
        <v>0</v>
      </c>
      <c r="M857" s="51" t="str">
        <f t="shared" si="54"/>
        <v>0,00€</v>
      </c>
      <c r="P857" s="72"/>
      <c r="R857" s="185" t="str">
        <f t="shared" si="55"/>
        <v/>
      </c>
      <c r="S857" s="186" t="str">
        <f t="shared" si="56"/>
        <v/>
      </c>
      <c r="T857" s="187" t="str">
        <f>IF(R857="","",IF(O857=0,Famille!$D$5,IF(R857&lt;O857,Famille!$D$2,IF(R857&lt;=P857,Famille!$D$3,Famille!$D$4))))</f>
        <v/>
      </c>
    </row>
    <row r="858" spans="1:20" ht="12" customHeight="1" x14ac:dyDescent="0.2">
      <c r="A858" s="4" t="str">
        <f>IF(Produits!A739="","",Produits!A739)</f>
        <v/>
      </c>
      <c r="B858" s="4" t="str">
        <f>IF(Produits!B739="","",Produits!B739)</f>
        <v/>
      </c>
      <c r="C858" s="4" t="str">
        <f>IF(Produits!C739="","",Produits!C739)</f>
        <v/>
      </c>
      <c r="D858" s="4" t="str">
        <f>IF(Produits!D739="","",Produits!D739)</f>
        <v/>
      </c>
      <c r="E858" s="49" t="str">
        <f>IF(Produits!F739="","",Produits!F739)</f>
        <v/>
      </c>
      <c r="F858" s="50" t="str">
        <f>IF(Produits!H739="","",Produits!H739)</f>
        <v/>
      </c>
      <c r="H858" s="37"/>
      <c r="I858" s="2"/>
      <c r="J858" s="69">
        <f>SUM('Archives Entrées'!$N858:$AAV858)</f>
        <v>0</v>
      </c>
      <c r="K858" s="51" t="str">
        <f t="shared" si="53"/>
        <v>0,00€</v>
      </c>
      <c r="L858" s="69">
        <f>SUM('Archives Sorties'!$M858:$AAY858)</f>
        <v>0</v>
      </c>
      <c r="M858" s="51" t="str">
        <f t="shared" si="54"/>
        <v>0,00€</v>
      </c>
      <c r="P858" s="72"/>
      <c r="R858" s="185" t="str">
        <f t="shared" si="55"/>
        <v/>
      </c>
      <c r="S858" s="186" t="str">
        <f t="shared" si="56"/>
        <v/>
      </c>
      <c r="T858" s="187" t="str">
        <f>IF(R858="","",IF(O858=0,Famille!$D$5,IF(R858&lt;O858,Famille!$D$2,IF(R858&lt;=P858,Famille!$D$3,Famille!$D$4))))</f>
        <v/>
      </c>
    </row>
    <row r="859" spans="1:20" ht="12" customHeight="1" x14ac:dyDescent="0.2">
      <c r="A859" s="4" t="str">
        <f>IF(Produits!A740="","",Produits!A740)</f>
        <v/>
      </c>
      <c r="B859" s="4" t="str">
        <f>IF(Produits!B740="","",Produits!B740)</f>
        <v/>
      </c>
      <c r="C859" s="4" t="str">
        <f>IF(Produits!C740="","",Produits!C740)</f>
        <v/>
      </c>
      <c r="D859" s="4" t="str">
        <f>IF(Produits!D740="","",Produits!D740)</f>
        <v/>
      </c>
      <c r="E859" s="49" t="str">
        <f>IF(Produits!F740="","",Produits!F740)</f>
        <v/>
      </c>
      <c r="F859" s="50" t="str">
        <f>IF(Produits!H740="","",Produits!H740)</f>
        <v/>
      </c>
      <c r="H859" s="37"/>
      <c r="I859" s="2"/>
      <c r="J859" s="69">
        <f>SUM('Archives Entrées'!$N859:$AAV859)</f>
        <v>0</v>
      </c>
      <c r="K859" s="51" t="str">
        <f t="shared" si="53"/>
        <v>0,00€</v>
      </c>
      <c r="L859" s="69">
        <f>SUM('Archives Sorties'!$M859:$AAY859)</f>
        <v>0</v>
      </c>
      <c r="M859" s="51" t="str">
        <f t="shared" si="54"/>
        <v>0,00€</v>
      </c>
      <c r="P859" s="72"/>
      <c r="R859" s="185" t="str">
        <f t="shared" si="55"/>
        <v/>
      </c>
      <c r="S859" s="186" t="str">
        <f t="shared" si="56"/>
        <v/>
      </c>
      <c r="T859" s="187" t="str">
        <f>IF(R859="","",IF(O859=0,Famille!$D$5,IF(R859&lt;O859,Famille!$D$2,IF(R859&lt;=P859,Famille!$D$3,Famille!$D$4))))</f>
        <v/>
      </c>
    </row>
    <row r="860" spans="1:20" ht="12" customHeight="1" x14ac:dyDescent="0.2">
      <c r="A860" s="4" t="str">
        <f>IF(Produits!A741="","",Produits!A741)</f>
        <v/>
      </c>
      <c r="B860" s="4" t="str">
        <f>IF(Produits!B741="","",Produits!B741)</f>
        <v/>
      </c>
      <c r="C860" s="4" t="str">
        <f>IF(Produits!C741="","",Produits!C741)</f>
        <v/>
      </c>
      <c r="D860" s="4" t="str">
        <f>IF(Produits!D741="","",Produits!D741)</f>
        <v/>
      </c>
      <c r="E860" s="49" t="str">
        <f>IF(Produits!F741="","",Produits!F741)</f>
        <v/>
      </c>
      <c r="F860" s="50" t="str">
        <f>IF(Produits!H741="","",Produits!H741)</f>
        <v/>
      </c>
      <c r="H860" s="37"/>
      <c r="I860" s="2"/>
      <c r="J860" s="69">
        <f>SUM('Archives Entrées'!$N860:$AAV860)</f>
        <v>0</v>
      </c>
      <c r="K860" s="51" t="str">
        <f t="shared" si="53"/>
        <v>0,00€</v>
      </c>
      <c r="L860" s="69">
        <f>SUM('Archives Sorties'!$M860:$AAY860)</f>
        <v>0</v>
      </c>
      <c r="M860" s="51" t="str">
        <f t="shared" si="54"/>
        <v>0,00€</v>
      </c>
      <c r="P860" s="72"/>
      <c r="R860" s="185" t="str">
        <f t="shared" si="55"/>
        <v/>
      </c>
      <c r="S860" s="186" t="str">
        <f t="shared" si="56"/>
        <v/>
      </c>
      <c r="T860" s="187" t="str">
        <f>IF(R860="","",IF(O860=0,Famille!$D$5,IF(R860&lt;O860,Famille!$D$2,IF(R860&lt;=P860,Famille!$D$3,Famille!$D$4))))</f>
        <v/>
      </c>
    </row>
    <row r="861" spans="1:20" ht="12" customHeight="1" x14ac:dyDescent="0.2">
      <c r="A861" s="4" t="str">
        <f>IF(Produits!A742="","",Produits!A742)</f>
        <v/>
      </c>
      <c r="B861" s="4" t="str">
        <f>IF(Produits!B742="","",Produits!B742)</f>
        <v/>
      </c>
      <c r="C861" s="4" t="str">
        <f>IF(Produits!C742="","",Produits!C742)</f>
        <v/>
      </c>
      <c r="D861" s="4" t="str">
        <f>IF(Produits!D742="","",Produits!D742)</f>
        <v/>
      </c>
      <c r="E861" s="49" t="str">
        <f>IF(Produits!F742="","",Produits!F742)</f>
        <v/>
      </c>
      <c r="F861" s="50" t="str">
        <f>IF(Produits!H742="","",Produits!H742)</f>
        <v/>
      </c>
      <c r="H861" s="37"/>
      <c r="I861" s="2"/>
      <c r="J861" s="69">
        <f>SUM('Archives Entrées'!$N861:$AAV861)</f>
        <v>0</v>
      </c>
      <c r="K861" s="51" t="str">
        <f t="shared" si="53"/>
        <v>0,00€</v>
      </c>
      <c r="L861" s="69">
        <f>SUM('Archives Sorties'!$M861:$AAY861)</f>
        <v>0</v>
      </c>
      <c r="M861" s="51" t="str">
        <f t="shared" si="54"/>
        <v>0,00€</v>
      </c>
      <c r="P861" s="72"/>
      <c r="R861" s="185" t="str">
        <f t="shared" si="55"/>
        <v/>
      </c>
      <c r="S861" s="186" t="str">
        <f t="shared" si="56"/>
        <v/>
      </c>
      <c r="T861" s="187" t="str">
        <f>IF(R861="","",IF(O861=0,Famille!$D$5,IF(R861&lt;O861,Famille!$D$2,IF(R861&lt;=P861,Famille!$D$3,Famille!$D$4))))</f>
        <v/>
      </c>
    </row>
    <row r="862" spans="1:20" ht="12" customHeight="1" x14ac:dyDescent="0.2">
      <c r="A862" s="4" t="str">
        <f>IF(Produits!A743="","",Produits!A743)</f>
        <v/>
      </c>
      <c r="B862" s="4" t="str">
        <f>IF(Produits!B743="","",Produits!B743)</f>
        <v/>
      </c>
      <c r="C862" s="4" t="str">
        <f>IF(Produits!C743="","",Produits!C743)</f>
        <v/>
      </c>
      <c r="D862" s="4" t="str">
        <f>IF(Produits!D743="","",Produits!D743)</f>
        <v/>
      </c>
      <c r="E862" s="49" t="str">
        <f>IF(Produits!F743="","",Produits!F743)</f>
        <v/>
      </c>
      <c r="F862" s="50" t="str">
        <f>IF(Produits!H743="","",Produits!H743)</f>
        <v/>
      </c>
      <c r="H862" s="37"/>
      <c r="I862" s="2"/>
      <c r="J862" s="69">
        <f>SUM('Archives Entrées'!$N862:$AAV862)</f>
        <v>0</v>
      </c>
      <c r="K862" s="51" t="str">
        <f t="shared" si="53"/>
        <v>0,00€</v>
      </c>
      <c r="L862" s="69">
        <f>SUM('Archives Sorties'!$M862:$AAY862)</f>
        <v>0</v>
      </c>
      <c r="M862" s="51" t="str">
        <f t="shared" si="54"/>
        <v>0,00€</v>
      </c>
      <c r="P862" s="72"/>
      <c r="R862" s="185" t="str">
        <f t="shared" si="55"/>
        <v/>
      </c>
      <c r="S862" s="186" t="str">
        <f t="shared" si="56"/>
        <v/>
      </c>
      <c r="T862" s="187" t="str">
        <f>IF(R862="","",IF(O862=0,Famille!$D$5,IF(R862&lt;O862,Famille!$D$2,IF(R862&lt;=P862,Famille!$D$3,Famille!$D$4))))</f>
        <v/>
      </c>
    </row>
    <row r="863" spans="1:20" ht="12" customHeight="1" x14ac:dyDescent="0.2">
      <c r="A863" s="4" t="str">
        <f>IF(Produits!A744="","",Produits!A744)</f>
        <v/>
      </c>
      <c r="B863" s="4" t="str">
        <f>IF(Produits!B744="","",Produits!B744)</f>
        <v/>
      </c>
      <c r="C863" s="4" t="str">
        <f>IF(Produits!C744="","",Produits!C744)</f>
        <v/>
      </c>
      <c r="D863" s="4" t="str">
        <f>IF(Produits!D744="","",Produits!D744)</f>
        <v/>
      </c>
      <c r="E863" s="49" t="str">
        <f>IF(Produits!F744="","",Produits!F744)</f>
        <v/>
      </c>
      <c r="F863" s="50" t="str">
        <f>IF(Produits!H744="","",Produits!H744)</f>
        <v/>
      </c>
      <c r="H863" s="37"/>
      <c r="I863" s="2"/>
      <c r="J863" s="69">
        <f>SUM('Archives Entrées'!$N863:$AAV863)</f>
        <v>0</v>
      </c>
      <c r="K863" s="51" t="str">
        <f t="shared" si="53"/>
        <v>0,00€</v>
      </c>
      <c r="L863" s="69">
        <f>SUM('Archives Sorties'!$M863:$AAY863)</f>
        <v>0</v>
      </c>
      <c r="M863" s="51" t="str">
        <f t="shared" si="54"/>
        <v>0,00€</v>
      </c>
      <c r="P863" s="72"/>
      <c r="R863" s="185" t="str">
        <f t="shared" si="55"/>
        <v/>
      </c>
      <c r="S863" s="186" t="str">
        <f t="shared" si="56"/>
        <v/>
      </c>
      <c r="T863" s="187" t="str">
        <f>IF(R863="","",IF(O863=0,Famille!$D$5,IF(R863&lt;O863,Famille!$D$2,IF(R863&lt;=P863,Famille!$D$3,Famille!$D$4))))</f>
        <v/>
      </c>
    </row>
    <row r="864" spans="1:20" ht="12" customHeight="1" x14ac:dyDescent="0.2">
      <c r="A864" s="4" t="str">
        <f>IF(Produits!A745="","",Produits!A745)</f>
        <v/>
      </c>
      <c r="B864" s="4" t="str">
        <f>IF(Produits!B745="","",Produits!B745)</f>
        <v/>
      </c>
      <c r="C864" s="4" t="str">
        <f>IF(Produits!C745="","",Produits!C745)</f>
        <v/>
      </c>
      <c r="D864" s="4" t="str">
        <f>IF(Produits!D745="","",Produits!D745)</f>
        <v/>
      </c>
      <c r="E864" s="49" t="str">
        <f>IF(Produits!F745="","",Produits!F745)</f>
        <v/>
      </c>
      <c r="F864" s="50" t="str">
        <f>IF(Produits!H745="","",Produits!H745)</f>
        <v/>
      </c>
      <c r="H864" s="37"/>
      <c r="I864" s="2"/>
      <c r="J864" s="69">
        <f>SUM('Archives Entrées'!$N864:$AAV864)</f>
        <v>0</v>
      </c>
      <c r="K864" s="51" t="str">
        <f t="shared" si="53"/>
        <v>0,00€</v>
      </c>
      <c r="L864" s="69">
        <f>SUM('Archives Sorties'!$M864:$AAY864)</f>
        <v>0</v>
      </c>
      <c r="M864" s="51" t="str">
        <f t="shared" si="54"/>
        <v>0,00€</v>
      </c>
      <c r="P864" s="72"/>
      <c r="R864" s="185" t="str">
        <f t="shared" si="55"/>
        <v/>
      </c>
      <c r="S864" s="186" t="str">
        <f t="shared" si="56"/>
        <v/>
      </c>
      <c r="T864" s="187" t="str">
        <f>IF(R864="","",IF(O864=0,Famille!$D$5,IF(R864&lt;O864,Famille!$D$2,IF(R864&lt;=P864,Famille!$D$3,Famille!$D$4))))</f>
        <v/>
      </c>
    </row>
    <row r="865" spans="1:20" ht="12" customHeight="1" x14ac:dyDescent="0.2">
      <c r="A865" s="4" t="str">
        <f>IF(Produits!A746="","",Produits!A746)</f>
        <v/>
      </c>
      <c r="B865" s="4" t="str">
        <f>IF(Produits!B746="","",Produits!B746)</f>
        <v/>
      </c>
      <c r="C865" s="4" t="str">
        <f>IF(Produits!C746="","",Produits!C746)</f>
        <v/>
      </c>
      <c r="D865" s="4" t="str">
        <f>IF(Produits!D746="","",Produits!D746)</f>
        <v/>
      </c>
      <c r="E865" s="49" t="str">
        <f>IF(Produits!F746="","",Produits!F746)</f>
        <v/>
      </c>
      <c r="F865" s="50" t="str">
        <f>IF(Produits!H746="","",Produits!H746)</f>
        <v/>
      </c>
      <c r="H865" s="37"/>
      <c r="I865" s="2"/>
      <c r="J865" s="69">
        <f>SUM('Archives Entrées'!$N865:$AAV865)</f>
        <v>0</v>
      </c>
      <c r="K865" s="51" t="str">
        <f t="shared" si="53"/>
        <v>0,00€</v>
      </c>
      <c r="L865" s="69">
        <f>SUM('Archives Sorties'!$M865:$AAY865)</f>
        <v>0</v>
      </c>
      <c r="M865" s="51" t="str">
        <f t="shared" si="54"/>
        <v>0,00€</v>
      </c>
      <c r="P865" s="72"/>
      <c r="R865" s="185" t="str">
        <f t="shared" si="55"/>
        <v/>
      </c>
      <c r="S865" s="186" t="str">
        <f t="shared" si="56"/>
        <v/>
      </c>
      <c r="T865" s="187" t="str">
        <f>IF(R865="","",IF(O865=0,Famille!$D$5,IF(R865&lt;O865,Famille!$D$2,IF(R865&lt;=P865,Famille!$D$3,Famille!$D$4))))</f>
        <v/>
      </c>
    </row>
    <row r="866" spans="1:20" ht="12" customHeight="1" x14ac:dyDescent="0.2">
      <c r="A866" s="4" t="str">
        <f>IF(Produits!A747="","",Produits!A747)</f>
        <v/>
      </c>
      <c r="B866" s="4" t="str">
        <f>IF(Produits!B747="","",Produits!B747)</f>
        <v/>
      </c>
      <c r="C866" s="4" t="str">
        <f>IF(Produits!C747="","",Produits!C747)</f>
        <v/>
      </c>
      <c r="D866" s="4" t="str">
        <f>IF(Produits!D747="","",Produits!D747)</f>
        <v/>
      </c>
      <c r="E866" s="49" t="str">
        <f>IF(Produits!F747="","",Produits!F747)</f>
        <v/>
      </c>
      <c r="F866" s="50" t="str">
        <f>IF(Produits!H747="","",Produits!H747)</f>
        <v/>
      </c>
      <c r="H866" s="37"/>
      <c r="I866" s="2"/>
      <c r="J866" s="69">
        <f>SUM('Archives Entrées'!$N866:$AAV866)</f>
        <v>0</v>
      </c>
      <c r="K866" s="51" t="str">
        <f t="shared" si="53"/>
        <v>0,00€</v>
      </c>
      <c r="L866" s="69">
        <f>SUM('Archives Sorties'!$M866:$AAY866)</f>
        <v>0</v>
      </c>
      <c r="M866" s="51" t="str">
        <f t="shared" si="54"/>
        <v>0,00€</v>
      </c>
      <c r="P866" s="72"/>
      <c r="R866" s="185" t="str">
        <f t="shared" si="55"/>
        <v/>
      </c>
      <c r="S866" s="186" t="str">
        <f t="shared" si="56"/>
        <v/>
      </c>
      <c r="T866" s="187" t="str">
        <f>IF(R866="","",IF(O866=0,Famille!$D$5,IF(R866&lt;O866,Famille!$D$2,IF(R866&lt;=P866,Famille!$D$3,Famille!$D$4))))</f>
        <v/>
      </c>
    </row>
    <row r="867" spans="1:20" ht="12" customHeight="1" x14ac:dyDescent="0.2">
      <c r="A867" s="4" t="str">
        <f>IF(Produits!A748="","",Produits!A748)</f>
        <v/>
      </c>
      <c r="B867" s="4" t="str">
        <f>IF(Produits!B748="","",Produits!B748)</f>
        <v/>
      </c>
      <c r="C867" s="4" t="str">
        <f>IF(Produits!C748="","",Produits!C748)</f>
        <v/>
      </c>
      <c r="D867" s="4" t="str">
        <f>IF(Produits!D748="","",Produits!D748)</f>
        <v/>
      </c>
      <c r="E867" s="49" t="str">
        <f>IF(Produits!F748="","",Produits!F748)</f>
        <v/>
      </c>
      <c r="F867" s="50" t="str">
        <f>IF(Produits!H748="","",Produits!H748)</f>
        <v/>
      </c>
      <c r="H867" s="37"/>
      <c r="I867" s="2"/>
      <c r="J867" s="69">
        <f>SUM('Archives Entrées'!$N867:$AAV867)</f>
        <v>0</v>
      </c>
      <c r="K867" s="51" t="str">
        <f t="shared" si="53"/>
        <v>0,00€</v>
      </c>
      <c r="L867" s="69">
        <f>SUM('Archives Sorties'!$M867:$AAY867)</f>
        <v>0</v>
      </c>
      <c r="M867" s="51" t="str">
        <f t="shared" si="54"/>
        <v>0,00€</v>
      </c>
      <c r="P867" s="72"/>
      <c r="R867" s="185" t="str">
        <f t="shared" si="55"/>
        <v/>
      </c>
      <c r="S867" s="186" t="str">
        <f t="shared" si="56"/>
        <v/>
      </c>
      <c r="T867" s="187" t="str">
        <f>IF(R867="","",IF(O867=0,Famille!$D$5,IF(R867&lt;O867,Famille!$D$2,IF(R867&lt;=P867,Famille!$D$3,Famille!$D$4))))</f>
        <v/>
      </c>
    </row>
    <row r="868" spans="1:20" ht="12" customHeight="1" x14ac:dyDescent="0.2">
      <c r="A868" s="4" t="str">
        <f>IF(Produits!A749="","",Produits!A749)</f>
        <v/>
      </c>
      <c r="B868" s="4" t="str">
        <f>IF(Produits!B749="","",Produits!B749)</f>
        <v/>
      </c>
      <c r="C868" s="4" t="str">
        <f>IF(Produits!C749="","",Produits!C749)</f>
        <v/>
      </c>
      <c r="D868" s="4" t="str">
        <f>IF(Produits!D749="","",Produits!D749)</f>
        <v/>
      </c>
      <c r="E868" s="49" t="str">
        <f>IF(Produits!F749="","",Produits!F749)</f>
        <v/>
      </c>
      <c r="F868" s="50" t="str">
        <f>IF(Produits!H749="","",Produits!H749)</f>
        <v/>
      </c>
      <c r="H868" s="37"/>
      <c r="I868" s="2"/>
      <c r="J868" s="69">
        <f>SUM('Archives Entrées'!$N868:$AAV868)</f>
        <v>0</v>
      </c>
      <c r="K868" s="51" t="str">
        <f t="shared" si="53"/>
        <v>0,00€</v>
      </c>
      <c r="L868" s="69">
        <f>SUM('Archives Sorties'!$M868:$AAY868)</f>
        <v>0</v>
      </c>
      <c r="M868" s="51" t="str">
        <f t="shared" si="54"/>
        <v>0,00€</v>
      </c>
      <c r="P868" s="72"/>
      <c r="R868" s="185" t="str">
        <f t="shared" si="55"/>
        <v/>
      </c>
      <c r="S868" s="186" t="str">
        <f t="shared" si="56"/>
        <v/>
      </c>
      <c r="T868" s="187" t="str">
        <f>IF(R868="","",IF(O868=0,Famille!$D$5,IF(R868&lt;O868,Famille!$D$2,IF(R868&lt;=P868,Famille!$D$3,Famille!$D$4))))</f>
        <v/>
      </c>
    </row>
    <row r="869" spans="1:20" ht="12" customHeight="1" x14ac:dyDescent="0.2">
      <c r="A869" s="4" t="str">
        <f>IF(Produits!A750="","",Produits!A750)</f>
        <v/>
      </c>
      <c r="B869" s="4" t="str">
        <f>IF(Produits!B750="","",Produits!B750)</f>
        <v/>
      </c>
      <c r="C869" s="4" t="str">
        <f>IF(Produits!C750="","",Produits!C750)</f>
        <v/>
      </c>
      <c r="D869" s="4" t="str">
        <f>IF(Produits!D750="","",Produits!D750)</f>
        <v/>
      </c>
      <c r="E869" s="49" t="str">
        <f>IF(Produits!F750="","",Produits!F750)</f>
        <v/>
      </c>
      <c r="F869" s="50" t="str">
        <f>IF(Produits!H750="","",Produits!H750)</f>
        <v/>
      </c>
      <c r="H869" s="37"/>
      <c r="I869" s="2"/>
      <c r="J869" s="69">
        <f>SUM('Archives Entrées'!$N869:$AAV869)</f>
        <v>0</v>
      </c>
      <c r="K869" s="51" t="str">
        <f t="shared" si="53"/>
        <v>0,00€</v>
      </c>
      <c r="L869" s="69">
        <f>SUM('Archives Sorties'!$M869:$AAY869)</f>
        <v>0</v>
      </c>
      <c r="M869" s="51" t="str">
        <f t="shared" si="54"/>
        <v>0,00€</v>
      </c>
      <c r="P869" s="72"/>
      <c r="R869" s="185" t="str">
        <f t="shared" si="55"/>
        <v/>
      </c>
      <c r="S869" s="186" t="str">
        <f t="shared" si="56"/>
        <v/>
      </c>
      <c r="T869" s="187" t="str">
        <f>IF(R869="","",IF(O869=0,Famille!$D$5,IF(R869&lt;O869,Famille!$D$2,IF(R869&lt;=P869,Famille!$D$3,Famille!$D$4))))</f>
        <v/>
      </c>
    </row>
    <row r="870" spans="1:20" ht="12" customHeight="1" x14ac:dyDescent="0.2">
      <c r="A870" s="4" t="str">
        <f>IF(Produits!A751="","",Produits!A751)</f>
        <v/>
      </c>
      <c r="B870" s="4" t="str">
        <f>IF(Produits!B751="","",Produits!B751)</f>
        <v/>
      </c>
      <c r="C870" s="4" t="str">
        <f>IF(Produits!C751="","",Produits!C751)</f>
        <v/>
      </c>
      <c r="D870" s="4" t="str">
        <f>IF(Produits!D751="","",Produits!D751)</f>
        <v/>
      </c>
      <c r="E870" s="49" t="str">
        <f>IF(Produits!F751="","",Produits!F751)</f>
        <v/>
      </c>
      <c r="F870" s="50" t="str">
        <f>IF(Produits!H751="","",Produits!H751)</f>
        <v/>
      </c>
      <c r="H870" s="37"/>
      <c r="I870" s="2"/>
      <c r="J870" s="69">
        <f>SUM('Archives Entrées'!$N870:$AAV870)</f>
        <v>0</v>
      </c>
      <c r="K870" s="51" t="str">
        <f t="shared" si="53"/>
        <v>0,00€</v>
      </c>
      <c r="L870" s="69">
        <f>SUM('Archives Sorties'!$M870:$AAY870)</f>
        <v>0</v>
      </c>
      <c r="M870" s="51" t="str">
        <f t="shared" si="54"/>
        <v>0,00€</v>
      </c>
      <c r="P870" s="72"/>
      <c r="R870" s="185" t="str">
        <f t="shared" si="55"/>
        <v/>
      </c>
      <c r="S870" s="186" t="str">
        <f t="shared" si="56"/>
        <v/>
      </c>
      <c r="T870" s="187" t="str">
        <f>IF(R870="","",IF(O870=0,Famille!$D$5,IF(R870&lt;O870,Famille!$D$2,IF(R870&lt;=P870,Famille!$D$3,Famille!$D$4))))</f>
        <v/>
      </c>
    </row>
    <row r="871" spans="1:20" ht="12" customHeight="1" x14ac:dyDescent="0.2">
      <c r="A871" s="4" t="str">
        <f>IF(Produits!A752="","",Produits!A752)</f>
        <v/>
      </c>
      <c r="B871" s="4" t="str">
        <f>IF(Produits!B752="","",Produits!B752)</f>
        <v/>
      </c>
      <c r="C871" s="4" t="str">
        <f>IF(Produits!C752="","",Produits!C752)</f>
        <v/>
      </c>
      <c r="D871" s="4" t="str">
        <f>IF(Produits!D752="","",Produits!D752)</f>
        <v/>
      </c>
      <c r="E871" s="49" t="str">
        <f>IF(Produits!F752="","",Produits!F752)</f>
        <v/>
      </c>
      <c r="F871" s="50" t="str">
        <f>IF(Produits!H752="","",Produits!H752)</f>
        <v/>
      </c>
      <c r="H871" s="37"/>
      <c r="I871" s="2"/>
      <c r="J871" s="69">
        <f>SUM('Archives Entrées'!$N871:$AAV871)</f>
        <v>0</v>
      </c>
      <c r="K871" s="51" t="str">
        <f t="shared" si="53"/>
        <v>0,00€</v>
      </c>
      <c r="L871" s="69">
        <f>SUM('Archives Sorties'!$M871:$AAY871)</f>
        <v>0</v>
      </c>
      <c r="M871" s="51" t="str">
        <f t="shared" si="54"/>
        <v>0,00€</v>
      </c>
      <c r="P871" s="72"/>
      <c r="R871" s="185" t="str">
        <f t="shared" si="55"/>
        <v/>
      </c>
      <c r="S871" s="186" t="str">
        <f t="shared" si="56"/>
        <v/>
      </c>
      <c r="T871" s="187" t="str">
        <f>IF(R871="","",IF(O871=0,Famille!$D$5,IF(R871&lt;O871,Famille!$D$2,IF(R871&lt;=P871,Famille!$D$3,Famille!$D$4))))</f>
        <v/>
      </c>
    </row>
    <row r="872" spans="1:20" ht="12" customHeight="1" x14ac:dyDescent="0.2">
      <c r="A872" s="4" t="str">
        <f>IF(Produits!A753="","",Produits!A753)</f>
        <v/>
      </c>
      <c r="B872" s="4" t="str">
        <f>IF(Produits!B753="","",Produits!B753)</f>
        <v/>
      </c>
      <c r="C872" s="4" t="str">
        <f>IF(Produits!C753="","",Produits!C753)</f>
        <v/>
      </c>
      <c r="D872" s="4" t="str">
        <f>IF(Produits!D753="","",Produits!D753)</f>
        <v/>
      </c>
      <c r="E872" s="49" t="str">
        <f>IF(Produits!F753="","",Produits!F753)</f>
        <v/>
      </c>
      <c r="F872" s="50" t="str">
        <f>IF(Produits!H753="","",Produits!H753)</f>
        <v/>
      </c>
      <c r="H872" s="37"/>
      <c r="I872" s="2"/>
      <c r="J872" s="69">
        <f>SUM('Archives Entrées'!$N872:$AAV872)</f>
        <v>0</v>
      </c>
      <c r="K872" s="51" t="str">
        <f t="shared" si="53"/>
        <v>0,00€</v>
      </c>
      <c r="L872" s="69">
        <f>SUM('Archives Sorties'!$M872:$AAY872)</f>
        <v>0</v>
      </c>
      <c r="M872" s="51" t="str">
        <f t="shared" si="54"/>
        <v>0,00€</v>
      </c>
      <c r="P872" s="72"/>
      <c r="R872" s="185" t="str">
        <f t="shared" si="55"/>
        <v/>
      </c>
      <c r="S872" s="186" t="str">
        <f t="shared" si="56"/>
        <v/>
      </c>
      <c r="T872" s="187" t="str">
        <f>IF(R872="","",IF(O872=0,Famille!$D$5,IF(R872&lt;O872,Famille!$D$2,IF(R872&lt;=P872,Famille!$D$3,Famille!$D$4))))</f>
        <v/>
      </c>
    </row>
    <row r="873" spans="1:20" ht="12" customHeight="1" x14ac:dyDescent="0.2">
      <c r="A873" s="4" t="str">
        <f>IF(Produits!A754="","",Produits!A754)</f>
        <v/>
      </c>
      <c r="B873" s="4" t="str">
        <f>IF(Produits!B754="","",Produits!B754)</f>
        <v/>
      </c>
      <c r="C873" s="4" t="str">
        <f>IF(Produits!C754="","",Produits!C754)</f>
        <v/>
      </c>
      <c r="D873" s="4" t="str">
        <f>IF(Produits!D754="","",Produits!D754)</f>
        <v/>
      </c>
      <c r="E873" s="49" t="str">
        <f>IF(Produits!F754="","",Produits!F754)</f>
        <v/>
      </c>
      <c r="F873" s="50" t="str">
        <f>IF(Produits!H754="","",Produits!H754)</f>
        <v/>
      </c>
      <c r="H873" s="37"/>
      <c r="I873" s="2"/>
      <c r="J873" s="69">
        <f>SUM('Archives Entrées'!$N873:$AAV873)</f>
        <v>0</v>
      </c>
      <c r="K873" s="51" t="str">
        <f t="shared" si="53"/>
        <v>0,00€</v>
      </c>
      <c r="L873" s="69">
        <f>SUM('Archives Sorties'!$M873:$AAY873)</f>
        <v>0</v>
      </c>
      <c r="M873" s="51" t="str">
        <f t="shared" si="54"/>
        <v>0,00€</v>
      </c>
      <c r="P873" s="72"/>
      <c r="R873" s="185" t="str">
        <f t="shared" si="55"/>
        <v/>
      </c>
      <c r="S873" s="186" t="str">
        <f t="shared" si="56"/>
        <v/>
      </c>
      <c r="T873" s="187" t="str">
        <f>IF(R873="","",IF(O873=0,Famille!$D$5,IF(R873&lt;O873,Famille!$D$2,IF(R873&lt;=P873,Famille!$D$3,Famille!$D$4))))</f>
        <v/>
      </c>
    </row>
    <row r="874" spans="1:20" ht="12" customHeight="1" x14ac:dyDescent="0.2">
      <c r="A874" s="4" t="str">
        <f>IF(Produits!A755="","",Produits!A755)</f>
        <v/>
      </c>
      <c r="B874" s="4" t="str">
        <f>IF(Produits!B755="","",Produits!B755)</f>
        <v/>
      </c>
      <c r="C874" s="4" t="str">
        <f>IF(Produits!C755="","",Produits!C755)</f>
        <v/>
      </c>
      <c r="D874" s="4" t="str">
        <f>IF(Produits!D755="","",Produits!D755)</f>
        <v/>
      </c>
      <c r="E874" s="49" t="str">
        <f>IF(Produits!F755="","",Produits!F755)</f>
        <v/>
      </c>
      <c r="F874" s="50" t="str">
        <f>IF(Produits!H755="","",Produits!H755)</f>
        <v/>
      </c>
      <c r="H874" s="37"/>
      <c r="I874" s="2"/>
      <c r="J874" s="69">
        <f>SUM('Archives Entrées'!$N874:$AAV874)</f>
        <v>0</v>
      </c>
      <c r="K874" s="51" t="str">
        <f t="shared" si="53"/>
        <v>0,00€</v>
      </c>
      <c r="L874" s="69">
        <f>SUM('Archives Sorties'!$M874:$AAY874)</f>
        <v>0</v>
      </c>
      <c r="M874" s="51" t="str">
        <f t="shared" si="54"/>
        <v>0,00€</v>
      </c>
      <c r="P874" s="72"/>
      <c r="R874" s="185" t="str">
        <f t="shared" si="55"/>
        <v/>
      </c>
      <c r="S874" s="186" t="str">
        <f t="shared" si="56"/>
        <v/>
      </c>
      <c r="T874" s="187" t="str">
        <f>IF(R874="","",IF(O874=0,Famille!$D$5,IF(R874&lt;O874,Famille!$D$2,IF(R874&lt;=P874,Famille!$D$3,Famille!$D$4))))</f>
        <v/>
      </c>
    </row>
    <row r="875" spans="1:20" ht="12" customHeight="1" x14ac:dyDescent="0.2">
      <c r="A875" s="4" t="str">
        <f>IF(Produits!A756="","",Produits!A756)</f>
        <v/>
      </c>
      <c r="B875" s="4" t="str">
        <f>IF(Produits!B756="","",Produits!B756)</f>
        <v/>
      </c>
      <c r="C875" s="4" t="str">
        <f>IF(Produits!C756="","",Produits!C756)</f>
        <v/>
      </c>
      <c r="D875" s="4" t="str">
        <f>IF(Produits!D756="","",Produits!D756)</f>
        <v/>
      </c>
      <c r="E875" s="49" t="str">
        <f>IF(Produits!F756="","",Produits!F756)</f>
        <v/>
      </c>
      <c r="F875" s="50" t="str">
        <f>IF(Produits!H756="","",Produits!H756)</f>
        <v/>
      </c>
      <c r="H875" s="37"/>
      <c r="I875" s="2"/>
      <c r="J875" s="69">
        <f>SUM('Archives Entrées'!$N875:$AAV875)</f>
        <v>0</v>
      </c>
      <c r="K875" s="51" t="str">
        <f t="shared" si="53"/>
        <v>0,00€</v>
      </c>
      <c r="L875" s="69">
        <f>SUM('Archives Sorties'!$M875:$AAY875)</f>
        <v>0</v>
      </c>
      <c r="M875" s="51" t="str">
        <f t="shared" si="54"/>
        <v>0,00€</v>
      </c>
      <c r="P875" s="72"/>
      <c r="R875" s="185" t="str">
        <f t="shared" si="55"/>
        <v/>
      </c>
      <c r="S875" s="186" t="str">
        <f t="shared" si="56"/>
        <v/>
      </c>
      <c r="T875" s="187" t="str">
        <f>IF(R875="","",IF(O875=0,Famille!$D$5,IF(R875&lt;O875,Famille!$D$2,IF(R875&lt;=P875,Famille!$D$3,Famille!$D$4))))</f>
        <v/>
      </c>
    </row>
    <row r="876" spans="1:20" ht="12" customHeight="1" x14ac:dyDescent="0.2">
      <c r="A876" s="4" t="str">
        <f>IF(Produits!A757="","",Produits!A757)</f>
        <v/>
      </c>
      <c r="B876" s="4" t="str">
        <f>IF(Produits!B757="","",Produits!B757)</f>
        <v/>
      </c>
      <c r="C876" s="4" t="str">
        <f>IF(Produits!C757="","",Produits!C757)</f>
        <v/>
      </c>
      <c r="D876" s="4" t="str">
        <f>IF(Produits!D757="","",Produits!D757)</f>
        <v/>
      </c>
      <c r="E876" s="49" t="str">
        <f>IF(Produits!F757="","",Produits!F757)</f>
        <v/>
      </c>
      <c r="F876" s="50" t="str">
        <f>IF(Produits!H757="","",Produits!H757)</f>
        <v/>
      </c>
      <c r="H876" s="37"/>
      <c r="I876" s="2"/>
      <c r="J876" s="69">
        <f>SUM('Archives Entrées'!$N876:$AAV876)</f>
        <v>0</v>
      </c>
      <c r="K876" s="51" t="str">
        <f t="shared" si="53"/>
        <v>0,00€</v>
      </c>
      <c r="L876" s="69">
        <f>SUM('Archives Sorties'!$M876:$AAY876)</f>
        <v>0</v>
      </c>
      <c r="M876" s="51" t="str">
        <f t="shared" si="54"/>
        <v>0,00€</v>
      </c>
      <c r="P876" s="72"/>
      <c r="R876" s="185" t="str">
        <f t="shared" si="55"/>
        <v/>
      </c>
      <c r="S876" s="186" t="str">
        <f t="shared" si="56"/>
        <v/>
      </c>
      <c r="T876" s="187" t="str">
        <f>IF(R876="","",IF(O876=0,Famille!$D$5,IF(R876&lt;O876,Famille!$D$2,IF(R876&lt;=P876,Famille!$D$3,Famille!$D$4))))</f>
        <v/>
      </c>
    </row>
    <row r="877" spans="1:20" ht="12" customHeight="1" x14ac:dyDescent="0.2">
      <c r="A877" s="4" t="str">
        <f>IF(Produits!A758="","",Produits!A758)</f>
        <v/>
      </c>
      <c r="B877" s="4" t="str">
        <f>IF(Produits!B758="","",Produits!B758)</f>
        <v/>
      </c>
      <c r="C877" s="4" t="str">
        <f>IF(Produits!C758="","",Produits!C758)</f>
        <v/>
      </c>
      <c r="D877" s="4" t="str">
        <f>IF(Produits!D758="","",Produits!D758)</f>
        <v/>
      </c>
      <c r="E877" s="49" t="str">
        <f>IF(Produits!F758="","",Produits!F758)</f>
        <v/>
      </c>
      <c r="F877" s="50" t="str">
        <f>IF(Produits!H758="","",Produits!H758)</f>
        <v/>
      </c>
      <c r="H877" s="37"/>
      <c r="I877" s="2"/>
      <c r="J877" s="69">
        <f>SUM('Archives Entrées'!$N877:$AAV877)</f>
        <v>0</v>
      </c>
      <c r="K877" s="51" t="str">
        <f t="shared" si="53"/>
        <v>0,00€</v>
      </c>
      <c r="L877" s="69">
        <f>SUM('Archives Sorties'!$M877:$AAY877)</f>
        <v>0</v>
      </c>
      <c r="M877" s="51" t="str">
        <f t="shared" si="54"/>
        <v>0,00€</v>
      </c>
      <c r="P877" s="72"/>
      <c r="R877" s="185" t="str">
        <f t="shared" si="55"/>
        <v/>
      </c>
      <c r="S877" s="186" t="str">
        <f t="shared" si="56"/>
        <v/>
      </c>
      <c r="T877" s="187" t="str">
        <f>IF(R877="","",IF(O877=0,Famille!$D$5,IF(R877&lt;O877,Famille!$D$2,IF(R877&lt;=P877,Famille!$D$3,Famille!$D$4))))</f>
        <v/>
      </c>
    </row>
    <row r="878" spans="1:20" ht="12" customHeight="1" x14ac:dyDescent="0.2">
      <c r="A878" s="4" t="str">
        <f>IF(Produits!A759="","",Produits!A759)</f>
        <v/>
      </c>
      <c r="B878" s="4" t="str">
        <f>IF(Produits!B759="","",Produits!B759)</f>
        <v/>
      </c>
      <c r="C878" s="4" t="str">
        <f>IF(Produits!C759="","",Produits!C759)</f>
        <v/>
      </c>
      <c r="D878" s="4" t="str">
        <f>IF(Produits!D759="","",Produits!D759)</f>
        <v/>
      </c>
      <c r="E878" s="49" t="str">
        <f>IF(Produits!F759="","",Produits!F759)</f>
        <v/>
      </c>
      <c r="F878" s="50" t="str">
        <f>IF(Produits!H759="","",Produits!H759)</f>
        <v/>
      </c>
      <c r="H878" s="37"/>
      <c r="I878" s="2"/>
      <c r="J878" s="69">
        <f>SUM('Archives Entrées'!$N878:$AAV878)</f>
        <v>0</v>
      </c>
      <c r="K878" s="51" t="str">
        <f t="shared" si="53"/>
        <v>0,00€</v>
      </c>
      <c r="L878" s="69">
        <f>SUM('Archives Sorties'!$M878:$AAY878)</f>
        <v>0</v>
      </c>
      <c r="M878" s="51" t="str">
        <f t="shared" si="54"/>
        <v>0,00€</v>
      </c>
      <c r="P878" s="72"/>
      <c r="R878" s="185" t="str">
        <f t="shared" si="55"/>
        <v/>
      </c>
      <c r="S878" s="186" t="str">
        <f t="shared" si="56"/>
        <v/>
      </c>
      <c r="T878" s="187" t="str">
        <f>IF(R878="","",IF(O878=0,Famille!$D$5,IF(R878&lt;O878,Famille!$D$2,IF(R878&lt;=P878,Famille!$D$3,Famille!$D$4))))</f>
        <v/>
      </c>
    </row>
    <row r="879" spans="1:20" ht="12" customHeight="1" x14ac:dyDescent="0.2">
      <c r="A879" s="4" t="str">
        <f>IF(Produits!A760="","",Produits!A760)</f>
        <v/>
      </c>
      <c r="B879" s="4" t="str">
        <f>IF(Produits!B760="","",Produits!B760)</f>
        <v/>
      </c>
      <c r="C879" s="4" t="str">
        <f>IF(Produits!C760="","",Produits!C760)</f>
        <v/>
      </c>
      <c r="D879" s="4" t="str">
        <f>IF(Produits!D760="","",Produits!D760)</f>
        <v/>
      </c>
      <c r="E879" s="49" t="str">
        <f>IF(Produits!F760="","",Produits!F760)</f>
        <v/>
      </c>
      <c r="F879" s="50" t="str">
        <f>IF(Produits!H760="","",Produits!H760)</f>
        <v/>
      </c>
      <c r="H879" s="37"/>
      <c r="I879" s="2"/>
      <c r="J879" s="69">
        <f>SUM('Archives Entrées'!$N879:$AAV879)</f>
        <v>0</v>
      </c>
      <c r="K879" s="51" t="str">
        <f t="shared" si="53"/>
        <v>0,00€</v>
      </c>
      <c r="L879" s="69">
        <f>SUM('Archives Sorties'!$M879:$AAY879)</f>
        <v>0</v>
      </c>
      <c r="M879" s="51" t="str">
        <f t="shared" si="54"/>
        <v>0,00€</v>
      </c>
      <c r="P879" s="72"/>
      <c r="R879" s="185" t="str">
        <f t="shared" si="55"/>
        <v/>
      </c>
      <c r="S879" s="186" t="str">
        <f t="shared" si="56"/>
        <v/>
      </c>
      <c r="T879" s="187" t="str">
        <f>IF(R879="","",IF(O879=0,Famille!$D$5,IF(R879&lt;O879,Famille!$D$2,IF(R879&lt;=P879,Famille!$D$3,Famille!$D$4))))</f>
        <v/>
      </c>
    </row>
    <row r="880" spans="1:20" ht="12" customHeight="1" x14ac:dyDescent="0.2">
      <c r="A880" s="4" t="str">
        <f>IF(Produits!A761="","",Produits!A761)</f>
        <v/>
      </c>
      <c r="B880" s="4" t="str">
        <f>IF(Produits!B761="","",Produits!B761)</f>
        <v/>
      </c>
      <c r="C880" s="4" t="str">
        <f>IF(Produits!C761="","",Produits!C761)</f>
        <v/>
      </c>
      <c r="D880" s="4" t="str">
        <f>IF(Produits!D761="","",Produits!D761)</f>
        <v/>
      </c>
      <c r="E880" s="49" t="str">
        <f>IF(Produits!F761="","",Produits!F761)</f>
        <v/>
      </c>
      <c r="F880" s="50" t="str">
        <f>IF(Produits!H761="","",Produits!H761)</f>
        <v/>
      </c>
      <c r="H880" s="37"/>
      <c r="I880" s="2"/>
      <c r="J880" s="69">
        <f>SUM('Archives Entrées'!$N880:$AAV880)</f>
        <v>0</v>
      </c>
      <c r="K880" s="51" t="str">
        <f t="shared" si="53"/>
        <v>0,00€</v>
      </c>
      <c r="L880" s="69">
        <f>SUM('Archives Sorties'!$M880:$AAY880)</f>
        <v>0</v>
      </c>
      <c r="M880" s="51" t="str">
        <f t="shared" si="54"/>
        <v>0,00€</v>
      </c>
      <c r="P880" s="72"/>
      <c r="R880" s="185" t="str">
        <f t="shared" si="55"/>
        <v/>
      </c>
      <c r="S880" s="186" t="str">
        <f t="shared" si="56"/>
        <v/>
      </c>
      <c r="T880" s="187" t="str">
        <f>IF(R880="","",IF(O880=0,Famille!$D$5,IF(R880&lt;O880,Famille!$D$2,IF(R880&lt;=P880,Famille!$D$3,Famille!$D$4))))</f>
        <v/>
      </c>
    </row>
    <row r="881" spans="1:20" ht="12" customHeight="1" x14ac:dyDescent="0.2">
      <c r="A881" s="4" t="str">
        <f>IF(Produits!A762="","",Produits!A762)</f>
        <v/>
      </c>
      <c r="B881" s="4" t="str">
        <f>IF(Produits!B762="","",Produits!B762)</f>
        <v/>
      </c>
      <c r="C881" s="4" t="str">
        <f>IF(Produits!C762="","",Produits!C762)</f>
        <v/>
      </c>
      <c r="D881" s="4" t="str">
        <f>IF(Produits!D762="","",Produits!D762)</f>
        <v/>
      </c>
      <c r="E881" s="49" t="str">
        <f>IF(Produits!F762="","",Produits!F762)</f>
        <v/>
      </c>
      <c r="F881" s="50" t="str">
        <f>IF(Produits!H762="","",Produits!H762)</f>
        <v/>
      </c>
      <c r="H881" s="37"/>
      <c r="I881" s="2"/>
      <c r="J881" s="69">
        <f>SUM('Archives Entrées'!$N881:$AAV881)</f>
        <v>0</v>
      </c>
      <c r="K881" s="51" t="str">
        <f t="shared" si="53"/>
        <v>0,00€</v>
      </c>
      <c r="L881" s="69">
        <f>SUM('Archives Sorties'!$M881:$AAY881)</f>
        <v>0</v>
      </c>
      <c r="M881" s="51" t="str">
        <f t="shared" si="54"/>
        <v>0,00€</v>
      </c>
      <c r="P881" s="72"/>
      <c r="R881" s="185" t="str">
        <f t="shared" si="55"/>
        <v/>
      </c>
      <c r="S881" s="186" t="str">
        <f t="shared" si="56"/>
        <v/>
      </c>
      <c r="T881" s="187" t="str">
        <f>IF(R881="","",IF(O881=0,Famille!$D$5,IF(R881&lt;O881,Famille!$D$2,IF(R881&lt;=P881,Famille!$D$3,Famille!$D$4))))</f>
        <v/>
      </c>
    </row>
    <row r="882" spans="1:20" ht="12" customHeight="1" x14ac:dyDescent="0.2">
      <c r="A882" s="4" t="str">
        <f>IF(Produits!A763="","",Produits!A763)</f>
        <v/>
      </c>
      <c r="B882" s="4" t="str">
        <f>IF(Produits!B763="","",Produits!B763)</f>
        <v/>
      </c>
      <c r="C882" s="4" t="str">
        <f>IF(Produits!C763="","",Produits!C763)</f>
        <v/>
      </c>
      <c r="D882" s="4" t="str">
        <f>IF(Produits!D763="","",Produits!D763)</f>
        <v/>
      </c>
      <c r="E882" s="49" t="str">
        <f>IF(Produits!F763="","",Produits!F763)</f>
        <v/>
      </c>
      <c r="F882" s="50" t="str">
        <f>IF(Produits!H763="","",Produits!H763)</f>
        <v/>
      </c>
      <c r="H882" s="37"/>
      <c r="I882" s="2"/>
      <c r="J882" s="69">
        <f>SUM('Archives Entrées'!$N882:$AAV882)</f>
        <v>0</v>
      </c>
      <c r="K882" s="51" t="str">
        <f t="shared" si="53"/>
        <v>0,00€</v>
      </c>
      <c r="L882" s="69">
        <f>SUM('Archives Sorties'!$M882:$AAY882)</f>
        <v>0</v>
      </c>
      <c r="M882" s="51" t="str">
        <f t="shared" si="54"/>
        <v>0,00€</v>
      </c>
      <c r="P882" s="72"/>
      <c r="R882" s="185" t="str">
        <f t="shared" si="55"/>
        <v/>
      </c>
      <c r="S882" s="186" t="str">
        <f t="shared" si="56"/>
        <v/>
      </c>
      <c r="T882" s="187" t="str">
        <f>IF(R882="","",IF(O882=0,Famille!$D$5,IF(R882&lt;O882,Famille!$D$2,IF(R882&lt;=P882,Famille!$D$3,Famille!$D$4))))</f>
        <v/>
      </c>
    </row>
    <row r="883" spans="1:20" ht="12" customHeight="1" x14ac:dyDescent="0.2">
      <c r="A883" s="4" t="str">
        <f>IF(Produits!A764="","",Produits!A764)</f>
        <v/>
      </c>
      <c r="B883" s="4" t="str">
        <f>IF(Produits!B764="","",Produits!B764)</f>
        <v/>
      </c>
      <c r="C883" s="4" t="str">
        <f>IF(Produits!C764="","",Produits!C764)</f>
        <v/>
      </c>
      <c r="D883" s="4" t="str">
        <f>IF(Produits!D764="","",Produits!D764)</f>
        <v/>
      </c>
      <c r="E883" s="49" t="str">
        <f>IF(Produits!F764="","",Produits!F764)</f>
        <v/>
      </c>
      <c r="F883" s="50" t="str">
        <f>IF(Produits!H764="","",Produits!H764)</f>
        <v/>
      </c>
      <c r="H883" s="37"/>
      <c r="I883" s="2"/>
      <c r="J883" s="69">
        <f>SUM('Archives Entrées'!$N883:$AAV883)</f>
        <v>0</v>
      </c>
      <c r="K883" s="51" t="str">
        <f t="shared" si="53"/>
        <v>0,00€</v>
      </c>
      <c r="L883" s="69">
        <f>SUM('Archives Sorties'!$M883:$AAY883)</f>
        <v>0</v>
      </c>
      <c r="M883" s="51" t="str">
        <f t="shared" si="54"/>
        <v>0,00€</v>
      </c>
      <c r="P883" s="72"/>
      <c r="R883" s="185" t="str">
        <f t="shared" si="55"/>
        <v/>
      </c>
      <c r="S883" s="186" t="str">
        <f t="shared" si="56"/>
        <v/>
      </c>
      <c r="T883" s="187" t="str">
        <f>IF(R883="","",IF(O883=0,Famille!$D$5,IF(R883&lt;O883,Famille!$D$2,IF(R883&lt;=P883,Famille!$D$3,Famille!$D$4))))</f>
        <v/>
      </c>
    </row>
    <row r="884" spans="1:20" ht="12" customHeight="1" x14ac:dyDescent="0.2">
      <c r="A884" s="4" t="str">
        <f>IF(Produits!A765="","",Produits!A765)</f>
        <v/>
      </c>
      <c r="B884" s="4" t="str">
        <f>IF(Produits!B765="","",Produits!B765)</f>
        <v/>
      </c>
      <c r="C884" s="4" t="str">
        <f>IF(Produits!C765="","",Produits!C765)</f>
        <v/>
      </c>
      <c r="D884" s="4" t="str">
        <f>IF(Produits!D765="","",Produits!D765)</f>
        <v/>
      </c>
      <c r="E884" s="49" t="str">
        <f>IF(Produits!F765="","",Produits!F765)</f>
        <v/>
      </c>
      <c r="F884" s="50" t="str">
        <f>IF(Produits!H765="","",Produits!H765)</f>
        <v/>
      </c>
      <c r="H884" s="37"/>
      <c r="I884" s="2"/>
      <c r="J884" s="69">
        <f>SUM('Archives Entrées'!$N884:$AAV884)</f>
        <v>0</v>
      </c>
      <c r="K884" s="51" t="str">
        <f t="shared" si="53"/>
        <v>0,00€</v>
      </c>
      <c r="L884" s="69">
        <f>SUM('Archives Sorties'!$M884:$AAY884)</f>
        <v>0</v>
      </c>
      <c r="M884" s="51" t="str">
        <f t="shared" si="54"/>
        <v>0,00€</v>
      </c>
      <c r="P884" s="72"/>
      <c r="R884" s="185" t="str">
        <f t="shared" si="55"/>
        <v/>
      </c>
      <c r="S884" s="186" t="str">
        <f t="shared" si="56"/>
        <v/>
      </c>
      <c r="T884" s="187" t="str">
        <f>IF(R884="","",IF(O884=0,Famille!$D$5,IF(R884&lt;O884,Famille!$D$2,IF(R884&lt;=P884,Famille!$D$3,Famille!$D$4))))</f>
        <v/>
      </c>
    </row>
    <row r="885" spans="1:20" ht="12" customHeight="1" x14ac:dyDescent="0.2">
      <c r="A885" s="4" t="str">
        <f>IF(Produits!A766="","",Produits!A766)</f>
        <v/>
      </c>
      <c r="B885" s="4" t="str">
        <f>IF(Produits!B766="","",Produits!B766)</f>
        <v/>
      </c>
      <c r="C885" s="4" t="str">
        <f>IF(Produits!C766="","",Produits!C766)</f>
        <v/>
      </c>
      <c r="D885" s="4" t="str">
        <f>IF(Produits!D766="","",Produits!D766)</f>
        <v/>
      </c>
      <c r="E885" s="49" t="str">
        <f>IF(Produits!F766="","",Produits!F766)</f>
        <v/>
      </c>
      <c r="F885" s="50" t="str">
        <f>IF(Produits!H766="","",Produits!H766)</f>
        <v/>
      </c>
      <c r="H885" s="37"/>
      <c r="I885" s="2"/>
      <c r="J885" s="69">
        <f>SUM('Archives Entrées'!$N885:$AAV885)</f>
        <v>0</v>
      </c>
      <c r="K885" s="51" t="str">
        <f t="shared" si="53"/>
        <v>0,00€</v>
      </c>
      <c r="L885" s="69">
        <f>SUM('Archives Sorties'!$M885:$AAY885)</f>
        <v>0</v>
      </c>
      <c r="M885" s="51" t="str">
        <f t="shared" si="54"/>
        <v>0,00€</v>
      </c>
      <c r="P885" s="72"/>
      <c r="R885" s="185" t="str">
        <f t="shared" si="55"/>
        <v/>
      </c>
      <c r="S885" s="186" t="str">
        <f t="shared" si="56"/>
        <v/>
      </c>
      <c r="T885" s="187" t="str">
        <f>IF(R885="","",IF(O885=0,Famille!$D$5,IF(R885&lt;O885,Famille!$D$2,IF(R885&lt;=P885,Famille!$D$3,Famille!$D$4))))</f>
        <v/>
      </c>
    </row>
    <row r="886" spans="1:20" ht="12" customHeight="1" x14ac:dyDescent="0.2">
      <c r="A886" s="4" t="str">
        <f>IF(Produits!A767="","",Produits!A767)</f>
        <v/>
      </c>
      <c r="B886" s="4" t="str">
        <f>IF(Produits!B767="","",Produits!B767)</f>
        <v/>
      </c>
      <c r="C886" s="4" t="str">
        <f>IF(Produits!C767="","",Produits!C767)</f>
        <v/>
      </c>
      <c r="D886" s="4" t="str">
        <f>IF(Produits!D767="","",Produits!D767)</f>
        <v/>
      </c>
      <c r="E886" s="49" t="str">
        <f>IF(Produits!F767="","",Produits!F767)</f>
        <v/>
      </c>
      <c r="F886" s="50" t="str">
        <f>IF(Produits!H767="","",Produits!H767)</f>
        <v/>
      </c>
      <c r="H886" s="37"/>
      <c r="I886" s="2"/>
      <c r="J886" s="69">
        <f>SUM('Archives Entrées'!$N886:$AAV886)</f>
        <v>0</v>
      </c>
      <c r="K886" s="51" t="str">
        <f t="shared" si="53"/>
        <v>0,00€</v>
      </c>
      <c r="L886" s="69">
        <f>SUM('Archives Sorties'!$M886:$AAY886)</f>
        <v>0</v>
      </c>
      <c r="M886" s="51" t="str">
        <f t="shared" si="54"/>
        <v>0,00€</v>
      </c>
      <c r="P886" s="72"/>
      <c r="R886" s="185" t="str">
        <f t="shared" si="55"/>
        <v/>
      </c>
      <c r="S886" s="186" t="str">
        <f t="shared" si="56"/>
        <v/>
      </c>
      <c r="T886" s="187" t="str">
        <f>IF(R886="","",IF(O886=0,Famille!$D$5,IF(R886&lt;O886,Famille!$D$2,IF(R886&lt;=P886,Famille!$D$3,Famille!$D$4))))</f>
        <v/>
      </c>
    </row>
    <row r="887" spans="1:20" ht="12" customHeight="1" x14ac:dyDescent="0.2">
      <c r="A887" s="4" t="str">
        <f>IF(Produits!A768="","",Produits!A768)</f>
        <v/>
      </c>
      <c r="B887" s="4" t="str">
        <f>IF(Produits!B768="","",Produits!B768)</f>
        <v/>
      </c>
      <c r="C887" s="4" t="str">
        <f>IF(Produits!C768="","",Produits!C768)</f>
        <v/>
      </c>
      <c r="D887" s="4" t="str">
        <f>IF(Produits!D768="","",Produits!D768)</f>
        <v/>
      </c>
      <c r="E887" s="49" t="str">
        <f>IF(Produits!F768="","",Produits!F768)</f>
        <v/>
      </c>
      <c r="F887" s="50" t="str">
        <f>IF(Produits!H768="","",Produits!H768)</f>
        <v/>
      </c>
      <c r="H887" s="37"/>
      <c r="I887" s="2"/>
      <c r="J887" s="69">
        <f>SUM('Archives Entrées'!$N887:$AAV887)</f>
        <v>0</v>
      </c>
      <c r="K887" s="51" t="str">
        <f t="shared" si="53"/>
        <v>0,00€</v>
      </c>
      <c r="L887" s="69">
        <f>SUM('Archives Sorties'!$M887:$AAY887)</f>
        <v>0</v>
      </c>
      <c r="M887" s="51" t="str">
        <f t="shared" si="54"/>
        <v>0,00€</v>
      </c>
      <c r="P887" s="72"/>
      <c r="R887" s="185" t="str">
        <f t="shared" si="55"/>
        <v/>
      </c>
      <c r="S887" s="186" t="str">
        <f t="shared" si="56"/>
        <v/>
      </c>
      <c r="T887" s="187" t="str">
        <f>IF(R887="","",IF(O887=0,Famille!$D$5,IF(R887&lt;O887,Famille!$D$2,IF(R887&lt;=P887,Famille!$D$3,Famille!$D$4))))</f>
        <v/>
      </c>
    </row>
    <row r="888" spans="1:20" ht="12" customHeight="1" x14ac:dyDescent="0.2">
      <c r="A888" s="4" t="str">
        <f>IF(Produits!A769="","",Produits!A769)</f>
        <v/>
      </c>
      <c r="B888" s="4" t="str">
        <f>IF(Produits!B769="","",Produits!B769)</f>
        <v/>
      </c>
      <c r="C888" s="4" t="str">
        <f>IF(Produits!C769="","",Produits!C769)</f>
        <v/>
      </c>
      <c r="D888" s="4" t="str">
        <f>IF(Produits!D769="","",Produits!D769)</f>
        <v/>
      </c>
      <c r="E888" s="49" t="str">
        <f>IF(Produits!F769="","",Produits!F769)</f>
        <v/>
      </c>
      <c r="F888" s="50" t="str">
        <f>IF(Produits!H769="","",Produits!H769)</f>
        <v/>
      </c>
      <c r="H888" s="37"/>
      <c r="I888" s="2"/>
      <c r="J888" s="69">
        <f>SUM('Archives Entrées'!$N888:$AAV888)</f>
        <v>0</v>
      </c>
      <c r="K888" s="51" t="str">
        <f t="shared" si="53"/>
        <v>0,00€</v>
      </c>
      <c r="L888" s="69">
        <f>SUM('Archives Sorties'!$M888:$AAY888)</f>
        <v>0</v>
      </c>
      <c r="M888" s="51" t="str">
        <f t="shared" si="54"/>
        <v>0,00€</v>
      </c>
      <c r="P888" s="72"/>
      <c r="R888" s="185" t="str">
        <f t="shared" si="55"/>
        <v/>
      </c>
      <c r="S888" s="186" t="str">
        <f t="shared" si="56"/>
        <v/>
      </c>
      <c r="T888" s="187" t="str">
        <f>IF(R888="","",IF(O888=0,Famille!$D$5,IF(R888&lt;O888,Famille!$D$2,IF(R888&lt;=P888,Famille!$D$3,Famille!$D$4))))</f>
        <v/>
      </c>
    </row>
    <row r="889" spans="1:20" ht="12" customHeight="1" x14ac:dyDescent="0.2">
      <c r="A889" s="4" t="str">
        <f>IF(Produits!A770="","",Produits!A770)</f>
        <v/>
      </c>
      <c r="B889" s="4" t="str">
        <f>IF(Produits!B770="","",Produits!B770)</f>
        <v/>
      </c>
      <c r="C889" s="4" t="str">
        <f>IF(Produits!C770="","",Produits!C770)</f>
        <v/>
      </c>
      <c r="D889" s="4" t="str">
        <f>IF(Produits!D770="","",Produits!D770)</f>
        <v/>
      </c>
      <c r="E889" s="49" t="str">
        <f>IF(Produits!F770="","",Produits!F770)</f>
        <v/>
      </c>
      <c r="F889" s="50" t="str">
        <f>IF(Produits!H770="","",Produits!H770)</f>
        <v/>
      </c>
      <c r="H889" s="37"/>
      <c r="I889" s="2"/>
      <c r="J889" s="69">
        <f>SUM('Archives Entrées'!$N889:$AAV889)</f>
        <v>0</v>
      </c>
      <c r="K889" s="51" t="str">
        <f t="shared" si="53"/>
        <v>0,00€</v>
      </c>
      <c r="L889" s="69">
        <f>SUM('Archives Sorties'!$M889:$AAY889)</f>
        <v>0</v>
      </c>
      <c r="M889" s="51" t="str">
        <f t="shared" si="54"/>
        <v>0,00€</v>
      </c>
      <c r="P889" s="72"/>
      <c r="R889" s="185" t="str">
        <f t="shared" si="55"/>
        <v/>
      </c>
      <c r="S889" s="186" t="str">
        <f t="shared" si="56"/>
        <v/>
      </c>
      <c r="T889" s="187" t="str">
        <f>IF(R889="","",IF(O889=0,Famille!$D$5,IF(R889&lt;O889,Famille!$D$2,IF(R889&lt;=P889,Famille!$D$3,Famille!$D$4))))</f>
        <v/>
      </c>
    </row>
    <row r="890" spans="1:20" ht="12" customHeight="1" x14ac:dyDescent="0.2">
      <c r="A890" s="4" t="str">
        <f>IF(Produits!A771="","",Produits!A771)</f>
        <v/>
      </c>
      <c r="B890" s="4" t="str">
        <f>IF(Produits!B771="","",Produits!B771)</f>
        <v/>
      </c>
      <c r="C890" s="4" t="str">
        <f>IF(Produits!C771="","",Produits!C771)</f>
        <v/>
      </c>
      <c r="D890" s="4" t="str">
        <f>IF(Produits!D771="","",Produits!D771)</f>
        <v/>
      </c>
      <c r="E890" s="49" t="str">
        <f>IF(Produits!F771="","",Produits!F771)</f>
        <v/>
      </c>
      <c r="F890" s="50" t="str">
        <f>IF(Produits!H771="","",Produits!H771)</f>
        <v/>
      </c>
      <c r="H890" s="37"/>
      <c r="I890" s="2"/>
      <c r="J890" s="69">
        <f>SUM('Archives Entrées'!$N890:$AAV890)</f>
        <v>0</v>
      </c>
      <c r="K890" s="51" t="str">
        <f t="shared" si="53"/>
        <v>0,00€</v>
      </c>
      <c r="L890" s="69">
        <f>SUM('Archives Sorties'!$M890:$AAY890)</f>
        <v>0</v>
      </c>
      <c r="M890" s="51" t="str">
        <f t="shared" si="54"/>
        <v>0,00€</v>
      </c>
      <c r="P890" s="72"/>
      <c r="R890" s="185" t="str">
        <f t="shared" si="55"/>
        <v/>
      </c>
      <c r="S890" s="186" t="str">
        <f t="shared" si="56"/>
        <v/>
      </c>
      <c r="T890" s="187" t="str">
        <f>IF(R890="","",IF(O890=0,Famille!$D$5,IF(R890&lt;O890,Famille!$D$2,IF(R890&lt;=P890,Famille!$D$3,Famille!$D$4))))</f>
        <v/>
      </c>
    </row>
    <row r="891" spans="1:20" ht="12" customHeight="1" x14ac:dyDescent="0.2">
      <c r="A891" s="4" t="str">
        <f>IF(Produits!A772="","",Produits!A772)</f>
        <v/>
      </c>
      <c r="B891" s="4" t="str">
        <f>IF(Produits!B772="","",Produits!B772)</f>
        <v/>
      </c>
      <c r="C891" s="4" t="str">
        <f>IF(Produits!C772="","",Produits!C772)</f>
        <v/>
      </c>
      <c r="D891" s="4" t="str">
        <f>IF(Produits!D772="","",Produits!D772)</f>
        <v/>
      </c>
      <c r="E891" s="49" t="str">
        <f>IF(Produits!F772="","",Produits!F772)</f>
        <v/>
      </c>
      <c r="F891" s="50" t="str">
        <f>IF(Produits!H772="","",Produits!H772)</f>
        <v/>
      </c>
      <c r="H891" s="37"/>
      <c r="I891" s="2"/>
      <c r="J891" s="69">
        <f>SUM('Archives Entrées'!$N891:$AAV891)</f>
        <v>0</v>
      </c>
      <c r="K891" s="51" t="str">
        <f t="shared" si="53"/>
        <v>0,00€</v>
      </c>
      <c r="L891" s="69">
        <f>SUM('Archives Sorties'!$M891:$AAY891)</f>
        <v>0</v>
      </c>
      <c r="M891" s="51" t="str">
        <f t="shared" si="54"/>
        <v>0,00€</v>
      </c>
      <c r="P891" s="72"/>
      <c r="R891" s="185" t="str">
        <f t="shared" si="55"/>
        <v/>
      </c>
      <c r="S891" s="186" t="str">
        <f t="shared" si="56"/>
        <v/>
      </c>
      <c r="T891" s="187" t="str">
        <f>IF(R891="","",IF(O891=0,Famille!$D$5,IF(R891&lt;O891,Famille!$D$2,IF(R891&lt;=P891,Famille!$D$3,Famille!$D$4))))</f>
        <v/>
      </c>
    </row>
    <row r="892" spans="1:20" ht="12" customHeight="1" x14ac:dyDescent="0.2">
      <c r="A892" s="4" t="str">
        <f>IF(Produits!A773="","",Produits!A773)</f>
        <v/>
      </c>
      <c r="B892" s="4" t="str">
        <f>IF(Produits!B773="","",Produits!B773)</f>
        <v/>
      </c>
      <c r="C892" s="4" t="str">
        <f>IF(Produits!C773="","",Produits!C773)</f>
        <v/>
      </c>
      <c r="D892" s="4" t="str">
        <f>IF(Produits!D773="","",Produits!D773)</f>
        <v/>
      </c>
      <c r="E892" s="49" t="str">
        <f>IF(Produits!F773="","",Produits!F773)</f>
        <v/>
      </c>
      <c r="F892" s="50" t="str">
        <f>IF(Produits!H773="","",Produits!H773)</f>
        <v/>
      </c>
      <c r="H892" s="37"/>
      <c r="I892" s="2"/>
      <c r="J892" s="69">
        <f>SUM('Archives Entrées'!$N892:$AAV892)</f>
        <v>0</v>
      </c>
      <c r="K892" s="51" t="str">
        <f t="shared" si="53"/>
        <v>0,00€</v>
      </c>
      <c r="L892" s="69">
        <f>SUM('Archives Sorties'!$M892:$AAY892)</f>
        <v>0</v>
      </c>
      <c r="M892" s="51" t="str">
        <f t="shared" si="54"/>
        <v>0,00€</v>
      </c>
      <c r="P892" s="72"/>
      <c r="R892" s="185" t="str">
        <f t="shared" si="55"/>
        <v/>
      </c>
      <c r="S892" s="186" t="str">
        <f t="shared" si="56"/>
        <v/>
      </c>
      <c r="T892" s="187" t="str">
        <f>IF(R892="","",IF(O892=0,Famille!$D$5,IF(R892&lt;O892,Famille!$D$2,IF(R892&lt;=P892,Famille!$D$3,Famille!$D$4))))</f>
        <v/>
      </c>
    </row>
    <row r="893" spans="1:20" ht="12" customHeight="1" x14ac:dyDescent="0.2">
      <c r="A893" s="4" t="str">
        <f>IF(Produits!A774="","",Produits!A774)</f>
        <v/>
      </c>
      <c r="B893" s="4" t="str">
        <f>IF(Produits!B774="","",Produits!B774)</f>
        <v/>
      </c>
      <c r="C893" s="4" t="str">
        <f>IF(Produits!C774="","",Produits!C774)</f>
        <v/>
      </c>
      <c r="D893" s="4" t="str">
        <f>IF(Produits!D774="","",Produits!D774)</f>
        <v/>
      </c>
      <c r="E893" s="49" t="str">
        <f>IF(Produits!F774="","",Produits!F774)</f>
        <v/>
      </c>
      <c r="F893" s="50" t="str">
        <f>IF(Produits!H774="","",Produits!H774)</f>
        <v/>
      </c>
      <c r="H893" s="37"/>
      <c r="I893" s="2"/>
      <c r="J893" s="69">
        <f>SUM('Archives Entrées'!$N893:$AAV893)</f>
        <v>0</v>
      </c>
      <c r="K893" s="51" t="str">
        <f t="shared" si="53"/>
        <v>0,00€</v>
      </c>
      <c r="L893" s="69">
        <f>SUM('Archives Sorties'!$M893:$AAY893)</f>
        <v>0</v>
      </c>
      <c r="M893" s="51" t="str">
        <f t="shared" si="54"/>
        <v>0,00€</v>
      </c>
      <c r="P893" s="72"/>
      <c r="R893" s="185" t="str">
        <f t="shared" si="55"/>
        <v/>
      </c>
      <c r="S893" s="186" t="str">
        <f t="shared" si="56"/>
        <v/>
      </c>
      <c r="T893" s="187" t="str">
        <f>IF(R893="","",IF(O893=0,Famille!$D$5,IF(R893&lt;O893,Famille!$D$2,IF(R893&lt;=P893,Famille!$D$3,Famille!$D$4))))</f>
        <v/>
      </c>
    </row>
    <row r="894" spans="1:20" ht="12" customHeight="1" x14ac:dyDescent="0.2">
      <c r="A894" s="4" t="str">
        <f>IF(Produits!A775="","",Produits!A775)</f>
        <v/>
      </c>
      <c r="B894" s="4" t="str">
        <f>IF(Produits!B775="","",Produits!B775)</f>
        <v/>
      </c>
      <c r="C894" s="4" t="str">
        <f>IF(Produits!C775="","",Produits!C775)</f>
        <v/>
      </c>
      <c r="D894" s="4" t="str">
        <f>IF(Produits!D775="","",Produits!D775)</f>
        <v/>
      </c>
      <c r="E894" s="49" t="str">
        <f>IF(Produits!F775="","",Produits!F775)</f>
        <v/>
      </c>
      <c r="F894" s="50" t="str">
        <f>IF(Produits!H775="","",Produits!H775)</f>
        <v/>
      </c>
      <c r="H894" s="37"/>
      <c r="I894" s="2"/>
      <c r="J894" s="69">
        <f>SUM('Archives Entrées'!$N894:$AAV894)</f>
        <v>0</v>
      </c>
      <c r="K894" s="51" t="str">
        <f t="shared" si="53"/>
        <v>0,00€</v>
      </c>
      <c r="L894" s="69">
        <f>SUM('Archives Sorties'!$M894:$AAY894)</f>
        <v>0</v>
      </c>
      <c r="M894" s="51" t="str">
        <f t="shared" si="54"/>
        <v>0,00€</v>
      </c>
      <c r="P894" s="72"/>
      <c r="R894" s="185" t="str">
        <f t="shared" si="55"/>
        <v/>
      </c>
      <c r="S894" s="186" t="str">
        <f t="shared" si="56"/>
        <v/>
      </c>
      <c r="T894" s="187" t="str">
        <f>IF(R894="","",IF(O894=0,Famille!$D$5,IF(R894&lt;O894,Famille!$D$2,IF(R894&lt;=P894,Famille!$D$3,Famille!$D$4))))</f>
        <v/>
      </c>
    </row>
    <row r="895" spans="1:20" ht="12" customHeight="1" x14ac:dyDescent="0.2">
      <c r="A895" s="4" t="str">
        <f>IF(Produits!A776="","",Produits!A776)</f>
        <v/>
      </c>
      <c r="B895" s="4" t="str">
        <f>IF(Produits!B776="","",Produits!B776)</f>
        <v/>
      </c>
      <c r="C895" s="4" t="str">
        <f>IF(Produits!C776="","",Produits!C776)</f>
        <v/>
      </c>
      <c r="D895" s="4" t="str">
        <f>IF(Produits!D776="","",Produits!D776)</f>
        <v/>
      </c>
      <c r="E895" s="49" t="str">
        <f>IF(Produits!F776="","",Produits!F776)</f>
        <v/>
      </c>
      <c r="F895" s="50" t="str">
        <f>IF(Produits!H776="","",Produits!H776)</f>
        <v/>
      </c>
      <c r="H895" s="37"/>
      <c r="I895" s="2"/>
      <c r="J895" s="69">
        <f>SUM('Archives Entrées'!$N895:$AAV895)</f>
        <v>0</v>
      </c>
      <c r="K895" s="51" t="str">
        <f t="shared" si="53"/>
        <v>0,00€</v>
      </c>
      <c r="L895" s="69">
        <f>SUM('Archives Sorties'!$M895:$AAY895)</f>
        <v>0</v>
      </c>
      <c r="M895" s="51" t="str">
        <f t="shared" si="54"/>
        <v>0,00€</v>
      </c>
      <c r="P895" s="72"/>
      <c r="R895" s="185" t="str">
        <f t="shared" si="55"/>
        <v/>
      </c>
      <c r="S895" s="186" t="str">
        <f t="shared" si="56"/>
        <v/>
      </c>
      <c r="T895" s="187" t="str">
        <f>IF(R895="","",IF(O895=0,Famille!$D$5,IF(R895&lt;O895,Famille!$D$2,IF(R895&lt;=P895,Famille!$D$3,Famille!$D$4))))</f>
        <v/>
      </c>
    </row>
    <row r="896" spans="1:20" ht="12" customHeight="1" x14ac:dyDescent="0.2">
      <c r="A896" s="4" t="str">
        <f>IF(Produits!A777="","",Produits!A777)</f>
        <v/>
      </c>
      <c r="B896" s="4" t="str">
        <f>IF(Produits!B777="","",Produits!B777)</f>
        <v/>
      </c>
      <c r="C896" s="4" t="str">
        <f>IF(Produits!C777="","",Produits!C777)</f>
        <v/>
      </c>
      <c r="D896" s="4" t="str">
        <f>IF(Produits!D777="","",Produits!D777)</f>
        <v/>
      </c>
      <c r="E896" s="49" t="str">
        <f>IF(Produits!F777="","",Produits!F777)</f>
        <v/>
      </c>
      <c r="F896" s="50" t="str">
        <f>IF(Produits!H777="","",Produits!H777)</f>
        <v/>
      </c>
      <c r="H896" s="37"/>
      <c r="I896" s="2"/>
      <c r="J896" s="69">
        <f>SUM('Archives Entrées'!$N896:$AAV896)</f>
        <v>0</v>
      </c>
      <c r="K896" s="51" t="str">
        <f t="shared" si="53"/>
        <v>0,00€</v>
      </c>
      <c r="L896" s="69">
        <f>SUM('Archives Sorties'!$M896:$AAY896)</f>
        <v>0</v>
      </c>
      <c r="M896" s="51" t="str">
        <f t="shared" si="54"/>
        <v>0,00€</v>
      </c>
      <c r="P896" s="72"/>
      <c r="R896" s="185" t="str">
        <f t="shared" si="55"/>
        <v/>
      </c>
      <c r="S896" s="186" t="str">
        <f t="shared" si="56"/>
        <v/>
      </c>
      <c r="T896" s="187" t="str">
        <f>IF(R896="","",IF(O896=0,Famille!$D$5,IF(R896&lt;O896,Famille!$D$2,IF(R896&lt;=P896,Famille!$D$3,Famille!$D$4))))</f>
        <v/>
      </c>
    </row>
    <row r="897" spans="1:20" ht="12" customHeight="1" x14ac:dyDescent="0.2">
      <c r="A897" s="4" t="str">
        <f>IF(Produits!A778="","",Produits!A778)</f>
        <v/>
      </c>
      <c r="B897" s="4" t="str">
        <f>IF(Produits!B778="","",Produits!B778)</f>
        <v/>
      </c>
      <c r="C897" s="4" t="str">
        <f>IF(Produits!C778="","",Produits!C778)</f>
        <v/>
      </c>
      <c r="D897" s="4" t="str">
        <f>IF(Produits!D778="","",Produits!D778)</f>
        <v/>
      </c>
      <c r="E897" s="49" t="str">
        <f>IF(Produits!F778="","",Produits!F778)</f>
        <v/>
      </c>
      <c r="F897" s="50" t="str">
        <f>IF(Produits!H778="","",Produits!H778)</f>
        <v/>
      </c>
      <c r="H897" s="37"/>
      <c r="I897" s="2"/>
      <c r="J897" s="69">
        <f>SUM('Archives Entrées'!$N897:$AAV897)</f>
        <v>0</v>
      </c>
      <c r="K897" s="51" t="str">
        <f t="shared" si="53"/>
        <v>0,00€</v>
      </c>
      <c r="L897" s="69">
        <f>SUM('Archives Sorties'!$M897:$AAY897)</f>
        <v>0</v>
      </c>
      <c r="M897" s="51" t="str">
        <f t="shared" si="54"/>
        <v>0,00€</v>
      </c>
      <c r="P897" s="72"/>
      <c r="R897" s="185" t="str">
        <f t="shared" si="55"/>
        <v/>
      </c>
      <c r="S897" s="186" t="str">
        <f t="shared" si="56"/>
        <v/>
      </c>
      <c r="T897" s="187" t="str">
        <f>IF(R897="","",IF(O897=0,Famille!$D$5,IF(R897&lt;O897,Famille!$D$2,IF(R897&lt;=P897,Famille!$D$3,Famille!$D$4))))</f>
        <v/>
      </c>
    </row>
    <row r="898" spans="1:20" ht="12" customHeight="1" x14ac:dyDescent="0.2">
      <c r="A898" s="4" t="str">
        <f>IF(Produits!A779="","",Produits!A779)</f>
        <v/>
      </c>
      <c r="B898" s="4" t="str">
        <f>IF(Produits!B779="","",Produits!B779)</f>
        <v/>
      </c>
      <c r="C898" s="4" t="str">
        <f>IF(Produits!C779="","",Produits!C779)</f>
        <v/>
      </c>
      <c r="D898" s="4" t="str">
        <f>IF(Produits!D779="","",Produits!D779)</f>
        <v/>
      </c>
      <c r="E898" s="49" t="str">
        <f>IF(Produits!F779="","",Produits!F779)</f>
        <v/>
      </c>
      <c r="F898" s="50" t="str">
        <f>IF(Produits!H779="","",Produits!H779)</f>
        <v/>
      </c>
      <c r="H898" s="37"/>
      <c r="I898" s="2"/>
      <c r="J898" s="69">
        <f>SUM('Archives Entrées'!$N898:$AAV898)</f>
        <v>0</v>
      </c>
      <c r="K898" s="51" t="str">
        <f t="shared" si="53"/>
        <v>0,00€</v>
      </c>
      <c r="L898" s="69">
        <f>SUM('Archives Sorties'!$M898:$AAY898)</f>
        <v>0</v>
      </c>
      <c r="M898" s="51" t="str">
        <f t="shared" si="54"/>
        <v>0,00€</v>
      </c>
      <c r="P898" s="72"/>
      <c r="R898" s="185" t="str">
        <f t="shared" si="55"/>
        <v/>
      </c>
      <c r="S898" s="186" t="str">
        <f t="shared" si="56"/>
        <v/>
      </c>
      <c r="T898" s="187" t="str">
        <f>IF(R898="","",IF(O898=0,Famille!$D$5,IF(R898&lt;O898,Famille!$D$2,IF(R898&lt;=P898,Famille!$D$3,Famille!$D$4))))</f>
        <v/>
      </c>
    </row>
    <row r="899" spans="1:20" ht="12" customHeight="1" x14ac:dyDescent="0.2">
      <c r="A899" s="4" t="str">
        <f>IF(Produits!A780="","",Produits!A780)</f>
        <v/>
      </c>
      <c r="B899" s="4" t="str">
        <f>IF(Produits!B780="","",Produits!B780)</f>
        <v/>
      </c>
      <c r="C899" s="4" t="str">
        <f>IF(Produits!C780="","",Produits!C780)</f>
        <v/>
      </c>
      <c r="D899" s="4" t="str">
        <f>IF(Produits!D780="","",Produits!D780)</f>
        <v/>
      </c>
      <c r="E899" s="49" t="str">
        <f>IF(Produits!F780="","",Produits!F780)</f>
        <v/>
      </c>
      <c r="F899" s="50" t="str">
        <f>IF(Produits!H780="","",Produits!H780)</f>
        <v/>
      </c>
      <c r="H899" s="37"/>
      <c r="I899" s="2"/>
      <c r="J899" s="69">
        <f>SUM('Archives Entrées'!$N899:$AAV899)</f>
        <v>0</v>
      </c>
      <c r="K899" s="51" t="str">
        <f t="shared" si="53"/>
        <v>0,00€</v>
      </c>
      <c r="L899" s="69">
        <f>SUM('Archives Sorties'!$M899:$AAY899)</f>
        <v>0</v>
      </c>
      <c r="M899" s="51" t="str">
        <f t="shared" si="54"/>
        <v>0,00€</v>
      </c>
      <c r="P899" s="72"/>
      <c r="R899" s="185" t="str">
        <f t="shared" si="55"/>
        <v/>
      </c>
      <c r="S899" s="186" t="str">
        <f t="shared" si="56"/>
        <v/>
      </c>
      <c r="T899" s="187" t="str">
        <f>IF(R899="","",IF(O899=0,Famille!$D$5,IF(R899&lt;O899,Famille!$D$2,IF(R899&lt;=P899,Famille!$D$3,Famille!$D$4))))</f>
        <v/>
      </c>
    </row>
    <row r="900" spans="1:20" ht="12" customHeight="1" x14ac:dyDescent="0.2">
      <c r="A900" s="4" t="str">
        <f>IF(Produits!A781="","",Produits!A781)</f>
        <v/>
      </c>
      <c r="B900" s="4" t="str">
        <f>IF(Produits!B781="","",Produits!B781)</f>
        <v/>
      </c>
      <c r="C900" s="4" t="str">
        <f>IF(Produits!C781="","",Produits!C781)</f>
        <v/>
      </c>
      <c r="D900" s="4" t="str">
        <f>IF(Produits!D781="","",Produits!D781)</f>
        <v/>
      </c>
      <c r="E900" s="49" t="str">
        <f>IF(Produits!F781="","",Produits!F781)</f>
        <v/>
      </c>
      <c r="F900" s="50" t="str">
        <f>IF(Produits!H781="","",Produits!H781)</f>
        <v/>
      </c>
      <c r="H900" s="37"/>
      <c r="I900" s="2"/>
      <c r="J900" s="69">
        <f>SUM('Archives Entrées'!$N900:$AAV900)</f>
        <v>0</v>
      </c>
      <c r="K900" s="51" t="str">
        <f t="shared" si="53"/>
        <v>0,00€</v>
      </c>
      <c r="L900" s="69">
        <f>SUM('Archives Sorties'!$M900:$AAY900)</f>
        <v>0</v>
      </c>
      <c r="M900" s="51" t="str">
        <f t="shared" si="54"/>
        <v>0,00€</v>
      </c>
      <c r="P900" s="72"/>
      <c r="R900" s="185" t="str">
        <f t="shared" si="55"/>
        <v/>
      </c>
      <c r="S900" s="186" t="str">
        <f t="shared" si="56"/>
        <v/>
      </c>
      <c r="T900" s="187" t="str">
        <f>IF(R900="","",IF(O900=0,Famille!$D$5,IF(R900&lt;O900,Famille!$D$2,IF(R900&lt;=P900,Famille!$D$3,Famille!$D$4))))</f>
        <v/>
      </c>
    </row>
    <row r="901" spans="1:20" ht="12" customHeight="1" x14ac:dyDescent="0.2">
      <c r="A901" s="4" t="str">
        <f>IF(Produits!A782="","",Produits!A782)</f>
        <v/>
      </c>
      <c r="B901" s="4" t="str">
        <f>IF(Produits!B782="","",Produits!B782)</f>
        <v/>
      </c>
      <c r="C901" s="4" t="str">
        <f>IF(Produits!C782="","",Produits!C782)</f>
        <v/>
      </c>
      <c r="D901" s="4" t="str">
        <f>IF(Produits!D782="","",Produits!D782)</f>
        <v/>
      </c>
      <c r="E901" s="49" t="str">
        <f>IF(Produits!F782="","",Produits!F782)</f>
        <v/>
      </c>
      <c r="F901" s="50" t="str">
        <f>IF(Produits!H782="","",Produits!H782)</f>
        <v/>
      </c>
      <c r="H901" s="37"/>
      <c r="I901" s="2"/>
      <c r="J901" s="69">
        <f>SUM('Archives Entrées'!$N901:$AAV901)</f>
        <v>0</v>
      </c>
      <c r="K901" s="51" t="str">
        <f t="shared" ref="K901:K964" si="57">IF(J901=0,"0,00€",J901*F901)</f>
        <v>0,00€</v>
      </c>
      <c r="L901" s="69">
        <f>SUM('Archives Sorties'!$M901:$AAY901)</f>
        <v>0</v>
      </c>
      <c r="M901" s="51" t="str">
        <f t="shared" ref="M901:M964" si="58">IF(L901=0,"0,00€",L901*F901)</f>
        <v>0,00€</v>
      </c>
      <c r="P901" s="72"/>
      <c r="R901" s="185" t="str">
        <f t="shared" ref="R901:R964" si="59">IF(A901="","",((J901+H901)-L901))</f>
        <v/>
      </c>
      <c r="S901" s="186" t="str">
        <f t="shared" ref="S901:S964" si="60">IF(R901="","",IF(R901=0,0,IF(R901&lt;O901,0,IF(R901&lt;=P901,1,2))))</f>
        <v/>
      </c>
      <c r="T901" s="187" t="str">
        <f>IF(R901="","",IF(O901=0,Famille!$D$5,IF(R901&lt;O901,Famille!$D$2,IF(R901&lt;=P901,Famille!$D$3,Famille!$D$4))))</f>
        <v/>
      </c>
    </row>
    <row r="902" spans="1:20" ht="12" customHeight="1" x14ac:dyDescent="0.2">
      <c r="A902" s="4" t="str">
        <f>IF(Produits!A783="","",Produits!A783)</f>
        <v/>
      </c>
      <c r="B902" s="4" t="str">
        <f>IF(Produits!B783="","",Produits!B783)</f>
        <v/>
      </c>
      <c r="C902" s="4" t="str">
        <f>IF(Produits!C783="","",Produits!C783)</f>
        <v/>
      </c>
      <c r="D902" s="4" t="str">
        <f>IF(Produits!D783="","",Produits!D783)</f>
        <v/>
      </c>
      <c r="E902" s="49" t="str">
        <f>IF(Produits!F783="","",Produits!F783)</f>
        <v/>
      </c>
      <c r="F902" s="50" t="str">
        <f>IF(Produits!H783="","",Produits!H783)</f>
        <v/>
      </c>
      <c r="H902" s="37"/>
      <c r="I902" s="2"/>
      <c r="J902" s="69">
        <f>SUM('Archives Entrées'!$N902:$AAV902)</f>
        <v>0</v>
      </c>
      <c r="K902" s="51" t="str">
        <f t="shared" si="57"/>
        <v>0,00€</v>
      </c>
      <c r="L902" s="69">
        <f>SUM('Archives Sorties'!$M902:$AAY902)</f>
        <v>0</v>
      </c>
      <c r="M902" s="51" t="str">
        <f t="shared" si="58"/>
        <v>0,00€</v>
      </c>
      <c r="P902" s="72"/>
      <c r="R902" s="185" t="str">
        <f t="shared" si="59"/>
        <v/>
      </c>
      <c r="S902" s="186" t="str">
        <f t="shared" si="60"/>
        <v/>
      </c>
      <c r="T902" s="187" t="str">
        <f>IF(R902="","",IF(O902=0,Famille!$D$5,IF(R902&lt;O902,Famille!$D$2,IF(R902&lt;=P902,Famille!$D$3,Famille!$D$4))))</f>
        <v/>
      </c>
    </row>
    <row r="903" spans="1:20" ht="12" customHeight="1" x14ac:dyDescent="0.2">
      <c r="A903" s="4" t="str">
        <f>IF(Produits!A784="","",Produits!A784)</f>
        <v/>
      </c>
      <c r="B903" s="4" t="str">
        <f>IF(Produits!B784="","",Produits!B784)</f>
        <v/>
      </c>
      <c r="C903" s="4" t="str">
        <f>IF(Produits!C784="","",Produits!C784)</f>
        <v/>
      </c>
      <c r="D903" s="4" t="str">
        <f>IF(Produits!D784="","",Produits!D784)</f>
        <v/>
      </c>
      <c r="E903" s="49" t="str">
        <f>IF(Produits!F784="","",Produits!F784)</f>
        <v/>
      </c>
      <c r="F903" s="50" t="str">
        <f>IF(Produits!H784="","",Produits!H784)</f>
        <v/>
      </c>
      <c r="H903" s="37"/>
      <c r="I903" s="2"/>
      <c r="J903" s="69">
        <f>SUM('Archives Entrées'!$N903:$AAV903)</f>
        <v>0</v>
      </c>
      <c r="K903" s="51" t="str">
        <f t="shared" si="57"/>
        <v>0,00€</v>
      </c>
      <c r="L903" s="69">
        <f>SUM('Archives Sorties'!$M903:$AAY903)</f>
        <v>0</v>
      </c>
      <c r="M903" s="51" t="str">
        <f t="shared" si="58"/>
        <v>0,00€</v>
      </c>
      <c r="P903" s="72"/>
      <c r="R903" s="185" t="str">
        <f t="shared" si="59"/>
        <v/>
      </c>
      <c r="S903" s="186" t="str">
        <f t="shared" si="60"/>
        <v/>
      </c>
      <c r="T903" s="187" t="str">
        <f>IF(R903="","",IF(O903=0,Famille!$D$5,IF(R903&lt;O903,Famille!$D$2,IF(R903&lt;=P903,Famille!$D$3,Famille!$D$4))))</f>
        <v/>
      </c>
    </row>
    <row r="904" spans="1:20" ht="12" customHeight="1" x14ac:dyDescent="0.2">
      <c r="A904" s="4" t="str">
        <f>IF(Produits!A785="","",Produits!A785)</f>
        <v/>
      </c>
      <c r="B904" s="4" t="str">
        <f>IF(Produits!B785="","",Produits!B785)</f>
        <v/>
      </c>
      <c r="C904" s="4" t="str">
        <f>IF(Produits!C785="","",Produits!C785)</f>
        <v/>
      </c>
      <c r="D904" s="4" t="str">
        <f>IF(Produits!D785="","",Produits!D785)</f>
        <v/>
      </c>
      <c r="E904" s="49" t="str">
        <f>IF(Produits!F785="","",Produits!F785)</f>
        <v/>
      </c>
      <c r="F904" s="50" t="str">
        <f>IF(Produits!H785="","",Produits!H785)</f>
        <v/>
      </c>
      <c r="H904" s="37"/>
      <c r="I904" s="2"/>
      <c r="J904" s="69">
        <f>SUM('Archives Entrées'!$N904:$AAV904)</f>
        <v>0</v>
      </c>
      <c r="K904" s="51" t="str">
        <f t="shared" si="57"/>
        <v>0,00€</v>
      </c>
      <c r="L904" s="69">
        <f>SUM('Archives Sorties'!$M904:$AAY904)</f>
        <v>0</v>
      </c>
      <c r="M904" s="51" t="str">
        <f t="shared" si="58"/>
        <v>0,00€</v>
      </c>
      <c r="P904" s="72"/>
      <c r="R904" s="185" t="str">
        <f t="shared" si="59"/>
        <v/>
      </c>
      <c r="S904" s="186" t="str">
        <f t="shared" si="60"/>
        <v/>
      </c>
      <c r="T904" s="187" t="str">
        <f>IF(R904="","",IF(O904=0,Famille!$D$5,IF(R904&lt;O904,Famille!$D$2,IF(R904&lt;=P904,Famille!$D$3,Famille!$D$4))))</f>
        <v/>
      </c>
    </row>
    <row r="905" spans="1:20" ht="12" customHeight="1" x14ac:dyDescent="0.2">
      <c r="A905" s="4" t="str">
        <f>IF(Produits!A786="","",Produits!A786)</f>
        <v/>
      </c>
      <c r="B905" s="4" t="str">
        <f>IF(Produits!B786="","",Produits!B786)</f>
        <v/>
      </c>
      <c r="C905" s="4" t="str">
        <f>IF(Produits!C786="","",Produits!C786)</f>
        <v/>
      </c>
      <c r="D905" s="4" t="str">
        <f>IF(Produits!D786="","",Produits!D786)</f>
        <v/>
      </c>
      <c r="E905" s="49" t="str">
        <f>IF(Produits!F786="","",Produits!F786)</f>
        <v/>
      </c>
      <c r="F905" s="50" t="str">
        <f>IF(Produits!H786="","",Produits!H786)</f>
        <v/>
      </c>
      <c r="H905" s="37"/>
      <c r="I905" s="2"/>
      <c r="J905" s="69">
        <f>SUM('Archives Entrées'!$N905:$AAV905)</f>
        <v>0</v>
      </c>
      <c r="K905" s="51" t="str">
        <f t="shared" si="57"/>
        <v>0,00€</v>
      </c>
      <c r="L905" s="69">
        <f>SUM('Archives Sorties'!$M905:$AAY905)</f>
        <v>0</v>
      </c>
      <c r="M905" s="51" t="str">
        <f t="shared" si="58"/>
        <v>0,00€</v>
      </c>
      <c r="P905" s="72"/>
      <c r="R905" s="185" t="str">
        <f t="shared" si="59"/>
        <v/>
      </c>
      <c r="S905" s="186" t="str">
        <f t="shared" si="60"/>
        <v/>
      </c>
      <c r="T905" s="187" t="str">
        <f>IF(R905="","",IF(O905=0,Famille!$D$5,IF(R905&lt;O905,Famille!$D$2,IF(R905&lt;=P905,Famille!$D$3,Famille!$D$4))))</f>
        <v/>
      </c>
    </row>
    <row r="906" spans="1:20" ht="12" customHeight="1" x14ac:dyDescent="0.2">
      <c r="A906" s="4" t="str">
        <f>IF(Produits!A787="","",Produits!A787)</f>
        <v/>
      </c>
      <c r="B906" s="4" t="str">
        <f>IF(Produits!B787="","",Produits!B787)</f>
        <v/>
      </c>
      <c r="C906" s="4" t="str">
        <f>IF(Produits!C787="","",Produits!C787)</f>
        <v/>
      </c>
      <c r="D906" s="4" t="str">
        <f>IF(Produits!D787="","",Produits!D787)</f>
        <v/>
      </c>
      <c r="E906" s="49" t="str">
        <f>IF(Produits!F787="","",Produits!F787)</f>
        <v/>
      </c>
      <c r="F906" s="50" t="str">
        <f>IF(Produits!H787="","",Produits!H787)</f>
        <v/>
      </c>
      <c r="H906" s="37"/>
      <c r="I906" s="2"/>
      <c r="J906" s="69">
        <f>SUM('Archives Entrées'!$N906:$AAV906)</f>
        <v>0</v>
      </c>
      <c r="K906" s="51" t="str">
        <f t="shared" si="57"/>
        <v>0,00€</v>
      </c>
      <c r="L906" s="69">
        <f>SUM('Archives Sorties'!$M906:$AAY906)</f>
        <v>0</v>
      </c>
      <c r="M906" s="51" t="str">
        <f t="shared" si="58"/>
        <v>0,00€</v>
      </c>
      <c r="P906" s="72"/>
      <c r="R906" s="185" t="str">
        <f t="shared" si="59"/>
        <v/>
      </c>
      <c r="S906" s="186" t="str">
        <f t="shared" si="60"/>
        <v/>
      </c>
      <c r="T906" s="187" t="str">
        <f>IF(R906="","",IF(O906=0,Famille!$D$5,IF(R906&lt;O906,Famille!$D$2,IF(R906&lt;=P906,Famille!$D$3,Famille!$D$4))))</f>
        <v/>
      </c>
    </row>
    <row r="907" spans="1:20" ht="12" customHeight="1" x14ac:dyDescent="0.2">
      <c r="A907" s="4" t="str">
        <f>IF(Produits!A788="","",Produits!A788)</f>
        <v/>
      </c>
      <c r="B907" s="4" t="str">
        <f>IF(Produits!B788="","",Produits!B788)</f>
        <v/>
      </c>
      <c r="C907" s="4" t="str">
        <f>IF(Produits!C788="","",Produits!C788)</f>
        <v/>
      </c>
      <c r="D907" s="4" t="str">
        <f>IF(Produits!D788="","",Produits!D788)</f>
        <v/>
      </c>
      <c r="E907" s="49" t="str">
        <f>IF(Produits!F788="","",Produits!F788)</f>
        <v/>
      </c>
      <c r="F907" s="50" t="str">
        <f>IF(Produits!H788="","",Produits!H788)</f>
        <v/>
      </c>
      <c r="H907" s="37"/>
      <c r="I907" s="2"/>
      <c r="J907" s="69">
        <f>SUM('Archives Entrées'!$N907:$AAV907)</f>
        <v>0</v>
      </c>
      <c r="K907" s="51" t="str">
        <f t="shared" si="57"/>
        <v>0,00€</v>
      </c>
      <c r="L907" s="69">
        <f>SUM('Archives Sorties'!$M907:$AAY907)</f>
        <v>0</v>
      </c>
      <c r="M907" s="51" t="str">
        <f t="shared" si="58"/>
        <v>0,00€</v>
      </c>
      <c r="P907" s="72"/>
      <c r="R907" s="185" t="str">
        <f t="shared" si="59"/>
        <v/>
      </c>
      <c r="S907" s="186" t="str">
        <f t="shared" si="60"/>
        <v/>
      </c>
      <c r="T907" s="187" t="str">
        <f>IF(R907="","",IF(O907=0,Famille!$D$5,IF(R907&lt;O907,Famille!$D$2,IF(R907&lt;=P907,Famille!$D$3,Famille!$D$4))))</f>
        <v/>
      </c>
    </row>
    <row r="908" spans="1:20" ht="12" customHeight="1" x14ac:dyDescent="0.2">
      <c r="A908" s="4" t="str">
        <f>IF(Produits!A789="","",Produits!A789)</f>
        <v/>
      </c>
      <c r="B908" s="4" t="str">
        <f>IF(Produits!B789="","",Produits!B789)</f>
        <v/>
      </c>
      <c r="C908" s="4" t="str">
        <f>IF(Produits!C789="","",Produits!C789)</f>
        <v/>
      </c>
      <c r="D908" s="4" t="str">
        <f>IF(Produits!D789="","",Produits!D789)</f>
        <v/>
      </c>
      <c r="E908" s="49" t="str">
        <f>IF(Produits!F789="","",Produits!F789)</f>
        <v/>
      </c>
      <c r="F908" s="50" t="str">
        <f>IF(Produits!H789="","",Produits!H789)</f>
        <v/>
      </c>
      <c r="H908" s="37"/>
      <c r="I908" s="2"/>
      <c r="J908" s="69">
        <f>SUM('Archives Entrées'!$N908:$AAV908)</f>
        <v>0</v>
      </c>
      <c r="K908" s="51" t="str">
        <f t="shared" si="57"/>
        <v>0,00€</v>
      </c>
      <c r="L908" s="69">
        <f>SUM('Archives Sorties'!$M908:$AAY908)</f>
        <v>0</v>
      </c>
      <c r="M908" s="51" t="str">
        <f t="shared" si="58"/>
        <v>0,00€</v>
      </c>
      <c r="P908" s="72"/>
      <c r="R908" s="185" t="str">
        <f t="shared" si="59"/>
        <v/>
      </c>
      <c r="S908" s="186" t="str">
        <f t="shared" si="60"/>
        <v/>
      </c>
      <c r="T908" s="187" t="str">
        <f>IF(R908="","",IF(O908=0,Famille!$D$5,IF(R908&lt;O908,Famille!$D$2,IF(R908&lt;=P908,Famille!$D$3,Famille!$D$4))))</f>
        <v/>
      </c>
    </row>
    <row r="909" spans="1:20" ht="12" customHeight="1" x14ac:dyDescent="0.2">
      <c r="A909" s="4" t="str">
        <f>IF(Produits!A790="","",Produits!A790)</f>
        <v/>
      </c>
      <c r="B909" s="4" t="str">
        <f>IF(Produits!B790="","",Produits!B790)</f>
        <v/>
      </c>
      <c r="C909" s="4" t="str">
        <f>IF(Produits!C790="","",Produits!C790)</f>
        <v/>
      </c>
      <c r="D909" s="4" t="str">
        <f>IF(Produits!D790="","",Produits!D790)</f>
        <v/>
      </c>
      <c r="E909" s="49" t="str">
        <f>IF(Produits!F790="","",Produits!F790)</f>
        <v/>
      </c>
      <c r="F909" s="50" t="str">
        <f>IF(Produits!H790="","",Produits!H790)</f>
        <v/>
      </c>
      <c r="H909" s="37"/>
      <c r="I909" s="2"/>
      <c r="J909" s="69">
        <f>SUM('Archives Entrées'!$N909:$AAV909)</f>
        <v>0</v>
      </c>
      <c r="K909" s="51" t="str">
        <f t="shared" si="57"/>
        <v>0,00€</v>
      </c>
      <c r="L909" s="69">
        <f>SUM('Archives Sorties'!$M909:$AAY909)</f>
        <v>0</v>
      </c>
      <c r="M909" s="51" t="str">
        <f t="shared" si="58"/>
        <v>0,00€</v>
      </c>
      <c r="P909" s="72"/>
      <c r="R909" s="185" t="str">
        <f t="shared" si="59"/>
        <v/>
      </c>
      <c r="S909" s="186" t="str">
        <f t="shared" si="60"/>
        <v/>
      </c>
      <c r="T909" s="187" t="str">
        <f>IF(R909="","",IF(O909=0,Famille!$D$5,IF(R909&lt;O909,Famille!$D$2,IF(R909&lt;=P909,Famille!$D$3,Famille!$D$4))))</f>
        <v/>
      </c>
    </row>
    <row r="910" spans="1:20" ht="12" customHeight="1" x14ac:dyDescent="0.2">
      <c r="A910" s="4" t="str">
        <f>IF(Produits!A791="","",Produits!A791)</f>
        <v/>
      </c>
      <c r="B910" s="4" t="str">
        <f>IF(Produits!B791="","",Produits!B791)</f>
        <v/>
      </c>
      <c r="C910" s="4" t="str">
        <f>IF(Produits!C791="","",Produits!C791)</f>
        <v/>
      </c>
      <c r="D910" s="4" t="str">
        <f>IF(Produits!D791="","",Produits!D791)</f>
        <v/>
      </c>
      <c r="E910" s="49" t="str">
        <f>IF(Produits!F791="","",Produits!F791)</f>
        <v/>
      </c>
      <c r="F910" s="50" t="str">
        <f>IF(Produits!H791="","",Produits!H791)</f>
        <v/>
      </c>
      <c r="H910" s="37"/>
      <c r="I910" s="2"/>
      <c r="J910" s="69">
        <f>SUM('Archives Entrées'!$N910:$AAV910)</f>
        <v>0</v>
      </c>
      <c r="K910" s="51" t="str">
        <f t="shared" si="57"/>
        <v>0,00€</v>
      </c>
      <c r="L910" s="69">
        <f>SUM('Archives Sorties'!$M910:$AAY910)</f>
        <v>0</v>
      </c>
      <c r="M910" s="51" t="str">
        <f t="shared" si="58"/>
        <v>0,00€</v>
      </c>
      <c r="P910" s="72"/>
      <c r="R910" s="185" t="str">
        <f t="shared" si="59"/>
        <v/>
      </c>
      <c r="S910" s="186" t="str">
        <f t="shared" si="60"/>
        <v/>
      </c>
      <c r="T910" s="187" t="str">
        <f>IF(R910="","",IF(O910=0,Famille!$D$5,IF(R910&lt;O910,Famille!$D$2,IF(R910&lt;=P910,Famille!$D$3,Famille!$D$4))))</f>
        <v/>
      </c>
    </row>
    <row r="911" spans="1:20" ht="12" customHeight="1" x14ac:dyDescent="0.2">
      <c r="A911" s="4" t="str">
        <f>IF(Produits!A792="","",Produits!A792)</f>
        <v/>
      </c>
      <c r="B911" s="4" t="str">
        <f>IF(Produits!B792="","",Produits!B792)</f>
        <v/>
      </c>
      <c r="C911" s="4" t="str">
        <f>IF(Produits!C792="","",Produits!C792)</f>
        <v/>
      </c>
      <c r="D911" s="4" t="str">
        <f>IF(Produits!D792="","",Produits!D792)</f>
        <v/>
      </c>
      <c r="E911" s="49" t="str">
        <f>IF(Produits!F792="","",Produits!F792)</f>
        <v/>
      </c>
      <c r="F911" s="50" t="str">
        <f>IF(Produits!H792="","",Produits!H792)</f>
        <v/>
      </c>
      <c r="H911" s="37"/>
      <c r="I911" s="2"/>
      <c r="J911" s="69">
        <f>SUM('Archives Entrées'!$N911:$AAV911)</f>
        <v>0</v>
      </c>
      <c r="K911" s="51" t="str">
        <f t="shared" si="57"/>
        <v>0,00€</v>
      </c>
      <c r="L911" s="69">
        <f>SUM('Archives Sorties'!$M911:$AAY911)</f>
        <v>0</v>
      </c>
      <c r="M911" s="51" t="str">
        <f t="shared" si="58"/>
        <v>0,00€</v>
      </c>
      <c r="P911" s="72"/>
      <c r="R911" s="185" t="str">
        <f t="shared" si="59"/>
        <v/>
      </c>
      <c r="S911" s="186" t="str">
        <f t="shared" si="60"/>
        <v/>
      </c>
      <c r="T911" s="187" t="str">
        <f>IF(R911="","",IF(O911=0,Famille!$D$5,IF(R911&lt;O911,Famille!$D$2,IF(R911&lt;=P911,Famille!$D$3,Famille!$D$4))))</f>
        <v/>
      </c>
    </row>
    <row r="912" spans="1:20" ht="12" customHeight="1" x14ac:dyDescent="0.2">
      <c r="A912" s="4" t="str">
        <f>IF(Produits!A793="","",Produits!A793)</f>
        <v/>
      </c>
      <c r="B912" s="4" t="str">
        <f>IF(Produits!B793="","",Produits!B793)</f>
        <v/>
      </c>
      <c r="C912" s="4" t="str">
        <f>IF(Produits!C793="","",Produits!C793)</f>
        <v/>
      </c>
      <c r="D912" s="4" t="str">
        <f>IF(Produits!D793="","",Produits!D793)</f>
        <v/>
      </c>
      <c r="E912" s="49" t="str">
        <f>IF(Produits!F793="","",Produits!F793)</f>
        <v/>
      </c>
      <c r="F912" s="50" t="str">
        <f>IF(Produits!H793="","",Produits!H793)</f>
        <v/>
      </c>
      <c r="H912" s="37"/>
      <c r="I912" s="2"/>
      <c r="J912" s="69">
        <f>SUM('Archives Entrées'!$N912:$AAV912)</f>
        <v>0</v>
      </c>
      <c r="K912" s="51" t="str">
        <f t="shared" si="57"/>
        <v>0,00€</v>
      </c>
      <c r="L912" s="69">
        <f>SUM('Archives Sorties'!$M912:$AAY912)</f>
        <v>0</v>
      </c>
      <c r="M912" s="51" t="str">
        <f t="shared" si="58"/>
        <v>0,00€</v>
      </c>
      <c r="P912" s="72"/>
      <c r="R912" s="185" t="str">
        <f t="shared" si="59"/>
        <v/>
      </c>
      <c r="S912" s="186" t="str">
        <f t="shared" si="60"/>
        <v/>
      </c>
      <c r="T912" s="187" t="str">
        <f>IF(R912="","",IF(O912=0,Famille!$D$5,IF(R912&lt;O912,Famille!$D$2,IF(R912&lt;=P912,Famille!$D$3,Famille!$D$4))))</f>
        <v/>
      </c>
    </row>
    <row r="913" spans="1:20" ht="12" customHeight="1" x14ac:dyDescent="0.2">
      <c r="A913" s="4" t="str">
        <f>IF(Produits!A794="","",Produits!A794)</f>
        <v/>
      </c>
      <c r="B913" s="4" t="str">
        <f>IF(Produits!B794="","",Produits!B794)</f>
        <v/>
      </c>
      <c r="C913" s="4" t="str">
        <f>IF(Produits!C794="","",Produits!C794)</f>
        <v/>
      </c>
      <c r="D913" s="4" t="str">
        <f>IF(Produits!D794="","",Produits!D794)</f>
        <v/>
      </c>
      <c r="E913" s="49" t="str">
        <f>IF(Produits!F794="","",Produits!F794)</f>
        <v/>
      </c>
      <c r="F913" s="50" t="str">
        <f>IF(Produits!H794="","",Produits!H794)</f>
        <v/>
      </c>
      <c r="H913" s="37"/>
      <c r="I913" s="2"/>
      <c r="J913" s="69">
        <f>SUM('Archives Entrées'!$N913:$AAV913)</f>
        <v>0</v>
      </c>
      <c r="K913" s="51" t="str">
        <f t="shared" si="57"/>
        <v>0,00€</v>
      </c>
      <c r="L913" s="69">
        <f>SUM('Archives Sorties'!$M913:$AAY913)</f>
        <v>0</v>
      </c>
      <c r="M913" s="51" t="str">
        <f t="shared" si="58"/>
        <v>0,00€</v>
      </c>
      <c r="P913" s="72"/>
      <c r="R913" s="185" t="str">
        <f t="shared" si="59"/>
        <v/>
      </c>
      <c r="S913" s="186" t="str">
        <f t="shared" si="60"/>
        <v/>
      </c>
      <c r="T913" s="187" t="str">
        <f>IF(R913="","",IF(O913=0,Famille!$D$5,IF(R913&lt;O913,Famille!$D$2,IF(R913&lt;=P913,Famille!$D$3,Famille!$D$4))))</f>
        <v/>
      </c>
    </row>
    <row r="914" spans="1:20" ht="12" customHeight="1" x14ac:dyDescent="0.2">
      <c r="A914" s="4" t="str">
        <f>IF(Produits!A795="","",Produits!A795)</f>
        <v/>
      </c>
      <c r="B914" s="4" t="str">
        <f>IF(Produits!B795="","",Produits!B795)</f>
        <v/>
      </c>
      <c r="C914" s="4" t="str">
        <f>IF(Produits!C795="","",Produits!C795)</f>
        <v/>
      </c>
      <c r="D914" s="4" t="str">
        <f>IF(Produits!D795="","",Produits!D795)</f>
        <v/>
      </c>
      <c r="E914" s="49" t="str">
        <f>IF(Produits!F795="","",Produits!F795)</f>
        <v/>
      </c>
      <c r="F914" s="50" t="str">
        <f>IF(Produits!H795="","",Produits!H795)</f>
        <v/>
      </c>
      <c r="H914" s="37"/>
      <c r="I914" s="2"/>
      <c r="J914" s="69">
        <f>SUM('Archives Entrées'!$N914:$AAV914)</f>
        <v>0</v>
      </c>
      <c r="K914" s="51" t="str">
        <f t="shared" si="57"/>
        <v>0,00€</v>
      </c>
      <c r="L914" s="69">
        <f>SUM('Archives Sorties'!$M914:$AAY914)</f>
        <v>0</v>
      </c>
      <c r="M914" s="51" t="str">
        <f t="shared" si="58"/>
        <v>0,00€</v>
      </c>
      <c r="P914" s="72"/>
      <c r="R914" s="185" t="str">
        <f t="shared" si="59"/>
        <v/>
      </c>
      <c r="S914" s="186" t="str">
        <f t="shared" si="60"/>
        <v/>
      </c>
      <c r="T914" s="187" t="str">
        <f>IF(R914="","",IF(O914=0,Famille!$D$5,IF(R914&lt;O914,Famille!$D$2,IF(R914&lt;=P914,Famille!$D$3,Famille!$D$4))))</f>
        <v/>
      </c>
    </row>
    <row r="915" spans="1:20" ht="12" customHeight="1" x14ac:dyDescent="0.2">
      <c r="A915" s="4" t="str">
        <f>IF(Produits!A796="","",Produits!A796)</f>
        <v/>
      </c>
      <c r="B915" s="4" t="str">
        <f>IF(Produits!B796="","",Produits!B796)</f>
        <v/>
      </c>
      <c r="C915" s="4" t="str">
        <f>IF(Produits!C796="","",Produits!C796)</f>
        <v/>
      </c>
      <c r="D915" s="4" t="str">
        <f>IF(Produits!D796="","",Produits!D796)</f>
        <v/>
      </c>
      <c r="E915" s="49" t="str">
        <f>IF(Produits!F796="","",Produits!F796)</f>
        <v/>
      </c>
      <c r="F915" s="50" t="str">
        <f>IF(Produits!H796="","",Produits!H796)</f>
        <v/>
      </c>
      <c r="H915" s="37"/>
      <c r="I915" s="2"/>
      <c r="J915" s="69">
        <f>SUM('Archives Entrées'!$N915:$AAV915)</f>
        <v>0</v>
      </c>
      <c r="K915" s="51" t="str">
        <f t="shared" si="57"/>
        <v>0,00€</v>
      </c>
      <c r="L915" s="69">
        <f>SUM('Archives Sorties'!$M915:$AAY915)</f>
        <v>0</v>
      </c>
      <c r="M915" s="51" t="str">
        <f t="shared" si="58"/>
        <v>0,00€</v>
      </c>
      <c r="P915" s="72"/>
      <c r="R915" s="185" t="str">
        <f t="shared" si="59"/>
        <v/>
      </c>
      <c r="S915" s="186" t="str">
        <f t="shared" si="60"/>
        <v/>
      </c>
      <c r="T915" s="187" t="str">
        <f>IF(R915="","",IF(O915=0,Famille!$D$5,IF(R915&lt;O915,Famille!$D$2,IF(R915&lt;=P915,Famille!$D$3,Famille!$D$4))))</f>
        <v/>
      </c>
    </row>
    <row r="916" spans="1:20" ht="12" customHeight="1" x14ac:dyDescent="0.2">
      <c r="A916" s="4" t="str">
        <f>IF(Produits!A797="","",Produits!A797)</f>
        <v/>
      </c>
      <c r="B916" s="4" t="str">
        <f>IF(Produits!B797="","",Produits!B797)</f>
        <v/>
      </c>
      <c r="C916" s="4" t="str">
        <f>IF(Produits!C797="","",Produits!C797)</f>
        <v/>
      </c>
      <c r="D916" s="4" t="str">
        <f>IF(Produits!D797="","",Produits!D797)</f>
        <v/>
      </c>
      <c r="E916" s="49" t="str">
        <f>IF(Produits!F797="","",Produits!F797)</f>
        <v/>
      </c>
      <c r="F916" s="50" t="str">
        <f>IF(Produits!H797="","",Produits!H797)</f>
        <v/>
      </c>
      <c r="H916" s="37"/>
      <c r="I916" s="2"/>
      <c r="J916" s="69">
        <f>SUM('Archives Entrées'!$N916:$AAV916)</f>
        <v>0</v>
      </c>
      <c r="K916" s="51" t="str">
        <f t="shared" si="57"/>
        <v>0,00€</v>
      </c>
      <c r="L916" s="69">
        <f>SUM('Archives Sorties'!$M916:$AAY916)</f>
        <v>0</v>
      </c>
      <c r="M916" s="51" t="str">
        <f t="shared" si="58"/>
        <v>0,00€</v>
      </c>
      <c r="P916" s="72"/>
      <c r="R916" s="185" t="str">
        <f t="shared" si="59"/>
        <v/>
      </c>
      <c r="S916" s="186" t="str">
        <f t="shared" si="60"/>
        <v/>
      </c>
      <c r="T916" s="187" t="str">
        <f>IF(R916="","",IF(O916=0,Famille!$D$5,IF(R916&lt;O916,Famille!$D$2,IF(R916&lt;=P916,Famille!$D$3,Famille!$D$4))))</f>
        <v/>
      </c>
    </row>
    <row r="917" spans="1:20" ht="12" customHeight="1" x14ac:dyDescent="0.2">
      <c r="A917" s="4" t="str">
        <f>IF(Produits!A798="","",Produits!A798)</f>
        <v/>
      </c>
      <c r="B917" s="4" t="str">
        <f>IF(Produits!B798="","",Produits!B798)</f>
        <v/>
      </c>
      <c r="C917" s="4" t="str">
        <f>IF(Produits!C798="","",Produits!C798)</f>
        <v/>
      </c>
      <c r="D917" s="4" t="str">
        <f>IF(Produits!D798="","",Produits!D798)</f>
        <v/>
      </c>
      <c r="E917" s="49" t="str">
        <f>IF(Produits!F798="","",Produits!F798)</f>
        <v/>
      </c>
      <c r="F917" s="50" t="str">
        <f>IF(Produits!H798="","",Produits!H798)</f>
        <v/>
      </c>
      <c r="H917" s="37"/>
      <c r="I917" s="2"/>
      <c r="J917" s="69">
        <f>SUM('Archives Entrées'!$N917:$AAV917)</f>
        <v>0</v>
      </c>
      <c r="K917" s="51" t="str">
        <f t="shared" si="57"/>
        <v>0,00€</v>
      </c>
      <c r="L917" s="69">
        <f>SUM('Archives Sorties'!$M917:$AAY917)</f>
        <v>0</v>
      </c>
      <c r="M917" s="51" t="str">
        <f t="shared" si="58"/>
        <v>0,00€</v>
      </c>
      <c r="P917" s="72"/>
      <c r="R917" s="185" t="str">
        <f t="shared" si="59"/>
        <v/>
      </c>
      <c r="S917" s="186" t="str">
        <f t="shared" si="60"/>
        <v/>
      </c>
      <c r="T917" s="187" t="str">
        <f>IF(R917="","",IF(O917=0,Famille!$D$5,IF(R917&lt;O917,Famille!$D$2,IF(R917&lt;=P917,Famille!$D$3,Famille!$D$4))))</f>
        <v/>
      </c>
    </row>
    <row r="918" spans="1:20" ht="12" customHeight="1" x14ac:dyDescent="0.2">
      <c r="A918" s="4" t="str">
        <f>IF(Produits!A799="","",Produits!A799)</f>
        <v/>
      </c>
      <c r="B918" s="4" t="str">
        <f>IF(Produits!B799="","",Produits!B799)</f>
        <v/>
      </c>
      <c r="C918" s="4" t="str">
        <f>IF(Produits!C799="","",Produits!C799)</f>
        <v/>
      </c>
      <c r="D918" s="4" t="str">
        <f>IF(Produits!D799="","",Produits!D799)</f>
        <v/>
      </c>
      <c r="E918" s="49" t="str">
        <f>IF(Produits!F799="","",Produits!F799)</f>
        <v/>
      </c>
      <c r="F918" s="50" t="str">
        <f>IF(Produits!H799="","",Produits!H799)</f>
        <v/>
      </c>
      <c r="H918" s="37"/>
      <c r="I918" s="2"/>
      <c r="J918" s="69">
        <f>SUM('Archives Entrées'!$N918:$AAV918)</f>
        <v>0</v>
      </c>
      <c r="K918" s="51" t="str">
        <f t="shared" si="57"/>
        <v>0,00€</v>
      </c>
      <c r="L918" s="69">
        <f>SUM('Archives Sorties'!$M918:$AAY918)</f>
        <v>0</v>
      </c>
      <c r="M918" s="51" t="str">
        <f t="shared" si="58"/>
        <v>0,00€</v>
      </c>
      <c r="P918" s="72"/>
      <c r="R918" s="185" t="str">
        <f t="shared" si="59"/>
        <v/>
      </c>
      <c r="S918" s="186" t="str">
        <f t="shared" si="60"/>
        <v/>
      </c>
      <c r="T918" s="187" t="str">
        <f>IF(R918="","",IF(O918=0,Famille!$D$5,IF(R918&lt;O918,Famille!$D$2,IF(R918&lt;=P918,Famille!$D$3,Famille!$D$4))))</f>
        <v/>
      </c>
    </row>
    <row r="919" spans="1:20" ht="12" customHeight="1" x14ac:dyDescent="0.2">
      <c r="A919" s="4" t="str">
        <f>IF(Produits!A800="","",Produits!A800)</f>
        <v/>
      </c>
      <c r="B919" s="4" t="str">
        <f>IF(Produits!B800="","",Produits!B800)</f>
        <v/>
      </c>
      <c r="C919" s="4" t="str">
        <f>IF(Produits!C800="","",Produits!C800)</f>
        <v/>
      </c>
      <c r="D919" s="4" t="str">
        <f>IF(Produits!D800="","",Produits!D800)</f>
        <v/>
      </c>
      <c r="E919" s="49" t="str">
        <f>IF(Produits!F800="","",Produits!F800)</f>
        <v/>
      </c>
      <c r="F919" s="50" t="str">
        <f>IF(Produits!H800="","",Produits!H800)</f>
        <v/>
      </c>
      <c r="H919" s="37"/>
      <c r="I919" s="2"/>
      <c r="J919" s="69">
        <f>SUM('Archives Entrées'!$N919:$AAV919)</f>
        <v>0</v>
      </c>
      <c r="K919" s="51" t="str">
        <f t="shared" si="57"/>
        <v>0,00€</v>
      </c>
      <c r="L919" s="69">
        <f>SUM('Archives Sorties'!$M919:$AAY919)</f>
        <v>0</v>
      </c>
      <c r="M919" s="51" t="str">
        <f t="shared" si="58"/>
        <v>0,00€</v>
      </c>
      <c r="P919" s="72"/>
      <c r="R919" s="185" t="str">
        <f t="shared" si="59"/>
        <v/>
      </c>
      <c r="S919" s="186" t="str">
        <f t="shared" si="60"/>
        <v/>
      </c>
      <c r="T919" s="187" t="str">
        <f>IF(R919="","",IF(O919=0,Famille!$D$5,IF(R919&lt;O919,Famille!$D$2,IF(R919&lt;=P919,Famille!$D$3,Famille!$D$4))))</f>
        <v/>
      </c>
    </row>
    <row r="920" spans="1:20" ht="12" customHeight="1" x14ac:dyDescent="0.2">
      <c r="A920" s="4" t="str">
        <f>IF(Produits!A801="","",Produits!A801)</f>
        <v/>
      </c>
      <c r="B920" s="4" t="str">
        <f>IF(Produits!B801="","",Produits!B801)</f>
        <v/>
      </c>
      <c r="C920" s="4" t="str">
        <f>IF(Produits!C801="","",Produits!C801)</f>
        <v/>
      </c>
      <c r="D920" s="4" t="str">
        <f>IF(Produits!D801="","",Produits!D801)</f>
        <v/>
      </c>
      <c r="E920" s="49" t="str">
        <f>IF(Produits!F801="","",Produits!F801)</f>
        <v/>
      </c>
      <c r="F920" s="50" t="str">
        <f>IF(Produits!H801="","",Produits!H801)</f>
        <v/>
      </c>
      <c r="H920" s="37"/>
      <c r="I920" s="2"/>
      <c r="J920" s="69">
        <f>SUM('Archives Entrées'!$N920:$AAV920)</f>
        <v>0</v>
      </c>
      <c r="K920" s="51" t="str">
        <f t="shared" si="57"/>
        <v>0,00€</v>
      </c>
      <c r="L920" s="69">
        <f>SUM('Archives Sorties'!$M920:$AAY920)</f>
        <v>0</v>
      </c>
      <c r="M920" s="51" t="str">
        <f t="shared" si="58"/>
        <v>0,00€</v>
      </c>
      <c r="P920" s="72"/>
      <c r="R920" s="185" t="str">
        <f t="shared" si="59"/>
        <v/>
      </c>
      <c r="S920" s="186" t="str">
        <f t="shared" si="60"/>
        <v/>
      </c>
      <c r="T920" s="187" t="str">
        <f>IF(R920="","",IF(O920=0,Famille!$D$5,IF(R920&lt;O920,Famille!$D$2,IF(R920&lt;=P920,Famille!$D$3,Famille!$D$4))))</f>
        <v/>
      </c>
    </row>
    <row r="921" spans="1:20" ht="12" customHeight="1" x14ac:dyDescent="0.2">
      <c r="A921" s="4" t="str">
        <f>IF(Produits!A802="","",Produits!A802)</f>
        <v/>
      </c>
      <c r="B921" s="4" t="str">
        <f>IF(Produits!B802="","",Produits!B802)</f>
        <v/>
      </c>
      <c r="C921" s="4" t="str">
        <f>IF(Produits!C802="","",Produits!C802)</f>
        <v/>
      </c>
      <c r="D921" s="4" t="str">
        <f>IF(Produits!D802="","",Produits!D802)</f>
        <v/>
      </c>
      <c r="E921" s="49" t="str">
        <f>IF(Produits!F802="","",Produits!F802)</f>
        <v/>
      </c>
      <c r="F921" s="50" t="str">
        <f>IF(Produits!H802="","",Produits!H802)</f>
        <v/>
      </c>
      <c r="H921" s="37"/>
      <c r="I921" s="2"/>
      <c r="J921" s="69">
        <f>SUM('Archives Entrées'!$N921:$AAV921)</f>
        <v>0</v>
      </c>
      <c r="K921" s="51" t="str">
        <f t="shared" si="57"/>
        <v>0,00€</v>
      </c>
      <c r="L921" s="69">
        <f>SUM('Archives Sorties'!$M921:$AAY921)</f>
        <v>0</v>
      </c>
      <c r="M921" s="51" t="str">
        <f t="shared" si="58"/>
        <v>0,00€</v>
      </c>
      <c r="P921" s="72"/>
      <c r="R921" s="185" t="str">
        <f t="shared" si="59"/>
        <v/>
      </c>
      <c r="S921" s="186" t="str">
        <f t="shared" si="60"/>
        <v/>
      </c>
      <c r="T921" s="187" t="str">
        <f>IF(R921="","",IF(O921=0,Famille!$D$5,IF(R921&lt;O921,Famille!$D$2,IF(R921&lt;=P921,Famille!$D$3,Famille!$D$4))))</f>
        <v/>
      </c>
    </row>
    <row r="922" spans="1:20" ht="12" customHeight="1" x14ac:dyDescent="0.2">
      <c r="A922" s="4" t="str">
        <f>IF(Produits!A803="","",Produits!A803)</f>
        <v/>
      </c>
      <c r="B922" s="4" t="str">
        <f>IF(Produits!B803="","",Produits!B803)</f>
        <v/>
      </c>
      <c r="C922" s="4" t="str">
        <f>IF(Produits!C803="","",Produits!C803)</f>
        <v/>
      </c>
      <c r="D922" s="4" t="str">
        <f>IF(Produits!D803="","",Produits!D803)</f>
        <v/>
      </c>
      <c r="E922" s="49" t="str">
        <f>IF(Produits!F803="","",Produits!F803)</f>
        <v/>
      </c>
      <c r="F922" s="50" t="str">
        <f>IF(Produits!H803="","",Produits!H803)</f>
        <v/>
      </c>
      <c r="H922" s="37"/>
      <c r="I922" s="2"/>
      <c r="J922" s="69">
        <f>SUM('Archives Entrées'!$N922:$AAV922)</f>
        <v>0</v>
      </c>
      <c r="K922" s="51" t="str">
        <f t="shared" si="57"/>
        <v>0,00€</v>
      </c>
      <c r="L922" s="69">
        <f>SUM('Archives Sorties'!$M922:$AAY922)</f>
        <v>0</v>
      </c>
      <c r="M922" s="51" t="str">
        <f t="shared" si="58"/>
        <v>0,00€</v>
      </c>
      <c r="P922" s="72"/>
      <c r="R922" s="185" t="str">
        <f t="shared" si="59"/>
        <v/>
      </c>
      <c r="S922" s="186" t="str">
        <f t="shared" si="60"/>
        <v/>
      </c>
      <c r="T922" s="187" t="str">
        <f>IF(R922="","",IF(O922=0,Famille!$D$5,IF(R922&lt;O922,Famille!$D$2,IF(R922&lt;=P922,Famille!$D$3,Famille!$D$4))))</f>
        <v/>
      </c>
    </row>
    <row r="923" spans="1:20" ht="12" customHeight="1" x14ac:dyDescent="0.2">
      <c r="A923" s="4" t="str">
        <f>IF(Produits!A804="","",Produits!A804)</f>
        <v/>
      </c>
      <c r="B923" s="4" t="str">
        <f>IF(Produits!B804="","",Produits!B804)</f>
        <v/>
      </c>
      <c r="C923" s="4" t="str">
        <f>IF(Produits!C804="","",Produits!C804)</f>
        <v/>
      </c>
      <c r="D923" s="4" t="str">
        <f>IF(Produits!D804="","",Produits!D804)</f>
        <v/>
      </c>
      <c r="E923" s="49" t="str">
        <f>IF(Produits!F804="","",Produits!F804)</f>
        <v/>
      </c>
      <c r="F923" s="50" t="str">
        <f>IF(Produits!H804="","",Produits!H804)</f>
        <v/>
      </c>
      <c r="H923" s="37"/>
      <c r="I923" s="2"/>
      <c r="J923" s="69">
        <f>SUM('Archives Entrées'!$N923:$AAV923)</f>
        <v>0</v>
      </c>
      <c r="K923" s="51" t="str">
        <f t="shared" si="57"/>
        <v>0,00€</v>
      </c>
      <c r="L923" s="69">
        <f>SUM('Archives Sorties'!$M923:$AAY923)</f>
        <v>0</v>
      </c>
      <c r="M923" s="51" t="str">
        <f t="shared" si="58"/>
        <v>0,00€</v>
      </c>
      <c r="P923" s="72"/>
      <c r="R923" s="185" t="str">
        <f t="shared" si="59"/>
        <v/>
      </c>
      <c r="S923" s="186" t="str">
        <f t="shared" si="60"/>
        <v/>
      </c>
      <c r="T923" s="187" t="str">
        <f>IF(R923="","",IF(O923=0,Famille!$D$5,IF(R923&lt;O923,Famille!$D$2,IF(R923&lt;=P923,Famille!$D$3,Famille!$D$4))))</f>
        <v/>
      </c>
    </row>
    <row r="924" spans="1:20" ht="12" customHeight="1" x14ac:dyDescent="0.2">
      <c r="A924" s="4" t="str">
        <f>IF(Produits!A805="","",Produits!A805)</f>
        <v/>
      </c>
      <c r="B924" s="4" t="str">
        <f>IF(Produits!B805="","",Produits!B805)</f>
        <v/>
      </c>
      <c r="C924" s="4" t="str">
        <f>IF(Produits!C805="","",Produits!C805)</f>
        <v/>
      </c>
      <c r="D924" s="4" t="str">
        <f>IF(Produits!D805="","",Produits!D805)</f>
        <v/>
      </c>
      <c r="E924" s="49" t="str">
        <f>IF(Produits!F805="","",Produits!F805)</f>
        <v/>
      </c>
      <c r="F924" s="50" t="str">
        <f>IF(Produits!H805="","",Produits!H805)</f>
        <v/>
      </c>
      <c r="H924" s="37"/>
      <c r="I924" s="2"/>
      <c r="J924" s="69">
        <f>SUM('Archives Entrées'!$N924:$AAV924)</f>
        <v>0</v>
      </c>
      <c r="K924" s="51" t="str">
        <f t="shared" si="57"/>
        <v>0,00€</v>
      </c>
      <c r="L924" s="69">
        <f>SUM('Archives Sorties'!$M924:$AAY924)</f>
        <v>0</v>
      </c>
      <c r="M924" s="51" t="str">
        <f t="shared" si="58"/>
        <v>0,00€</v>
      </c>
      <c r="P924" s="72"/>
      <c r="R924" s="185" t="str">
        <f t="shared" si="59"/>
        <v/>
      </c>
      <c r="S924" s="186" t="str">
        <f t="shared" si="60"/>
        <v/>
      </c>
      <c r="T924" s="187" t="str">
        <f>IF(R924="","",IF(O924=0,Famille!$D$5,IF(R924&lt;O924,Famille!$D$2,IF(R924&lt;=P924,Famille!$D$3,Famille!$D$4))))</f>
        <v/>
      </c>
    </row>
    <row r="925" spans="1:20" ht="12" customHeight="1" x14ac:dyDescent="0.2">
      <c r="A925" s="4" t="str">
        <f>IF(Produits!A806="","",Produits!A806)</f>
        <v/>
      </c>
      <c r="B925" s="4" t="str">
        <f>IF(Produits!B806="","",Produits!B806)</f>
        <v/>
      </c>
      <c r="C925" s="4" t="str">
        <f>IF(Produits!C806="","",Produits!C806)</f>
        <v/>
      </c>
      <c r="D925" s="4" t="str">
        <f>IF(Produits!D806="","",Produits!D806)</f>
        <v/>
      </c>
      <c r="E925" s="49" t="str">
        <f>IF(Produits!F806="","",Produits!F806)</f>
        <v/>
      </c>
      <c r="F925" s="50" t="str">
        <f>IF(Produits!H806="","",Produits!H806)</f>
        <v/>
      </c>
      <c r="H925" s="37"/>
      <c r="I925" s="2"/>
      <c r="J925" s="69">
        <f>SUM('Archives Entrées'!$N925:$AAV925)</f>
        <v>0</v>
      </c>
      <c r="K925" s="51" t="str">
        <f t="shared" si="57"/>
        <v>0,00€</v>
      </c>
      <c r="L925" s="69">
        <f>SUM('Archives Sorties'!$M925:$AAY925)</f>
        <v>0</v>
      </c>
      <c r="M925" s="51" t="str">
        <f t="shared" si="58"/>
        <v>0,00€</v>
      </c>
      <c r="P925" s="72"/>
      <c r="R925" s="185" t="str">
        <f t="shared" si="59"/>
        <v/>
      </c>
      <c r="S925" s="186" t="str">
        <f t="shared" si="60"/>
        <v/>
      </c>
      <c r="T925" s="187" t="str">
        <f>IF(R925="","",IF(O925=0,Famille!$D$5,IF(R925&lt;O925,Famille!$D$2,IF(R925&lt;=P925,Famille!$D$3,Famille!$D$4))))</f>
        <v/>
      </c>
    </row>
    <row r="926" spans="1:20" ht="12" customHeight="1" x14ac:dyDescent="0.2">
      <c r="A926" s="4" t="str">
        <f>IF(Produits!A807="","",Produits!A807)</f>
        <v/>
      </c>
      <c r="B926" s="4" t="str">
        <f>IF(Produits!B807="","",Produits!B807)</f>
        <v/>
      </c>
      <c r="C926" s="4" t="str">
        <f>IF(Produits!C807="","",Produits!C807)</f>
        <v/>
      </c>
      <c r="D926" s="4" t="str">
        <f>IF(Produits!D807="","",Produits!D807)</f>
        <v/>
      </c>
      <c r="E926" s="49" t="str">
        <f>IF(Produits!F807="","",Produits!F807)</f>
        <v/>
      </c>
      <c r="F926" s="50" t="str">
        <f>IF(Produits!H807="","",Produits!H807)</f>
        <v/>
      </c>
      <c r="H926" s="37"/>
      <c r="I926" s="2"/>
      <c r="J926" s="69">
        <f>SUM('Archives Entrées'!$N926:$AAV926)</f>
        <v>0</v>
      </c>
      <c r="K926" s="51" t="str">
        <f t="shared" si="57"/>
        <v>0,00€</v>
      </c>
      <c r="L926" s="69">
        <f>SUM('Archives Sorties'!$M926:$AAY926)</f>
        <v>0</v>
      </c>
      <c r="M926" s="51" t="str">
        <f t="shared" si="58"/>
        <v>0,00€</v>
      </c>
      <c r="P926" s="72"/>
      <c r="R926" s="185" t="str">
        <f t="shared" si="59"/>
        <v/>
      </c>
      <c r="S926" s="186" t="str">
        <f t="shared" si="60"/>
        <v/>
      </c>
      <c r="T926" s="187" t="str">
        <f>IF(R926="","",IF(O926=0,Famille!$D$5,IF(R926&lt;O926,Famille!$D$2,IF(R926&lt;=P926,Famille!$D$3,Famille!$D$4))))</f>
        <v/>
      </c>
    </row>
    <row r="927" spans="1:20" ht="12" customHeight="1" x14ac:dyDescent="0.2">
      <c r="A927" s="4" t="str">
        <f>IF(Produits!A808="","",Produits!A808)</f>
        <v/>
      </c>
      <c r="B927" s="4" t="str">
        <f>IF(Produits!B808="","",Produits!B808)</f>
        <v/>
      </c>
      <c r="C927" s="4" t="str">
        <f>IF(Produits!C808="","",Produits!C808)</f>
        <v/>
      </c>
      <c r="D927" s="4" t="str">
        <f>IF(Produits!D808="","",Produits!D808)</f>
        <v/>
      </c>
      <c r="E927" s="49" t="str">
        <f>IF(Produits!F808="","",Produits!F808)</f>
        <v/>
      </c>
      <c r="F927" s="50" t="str">
        <f>IF(Produits!H808="","",Produits!H808)</f>
        <v/>
      </c>
      <c r="H927" s="37"/>
      <c r="I927" s="2"/>
      <c r="J927" s="69">
        <f>SUM('Archives Entrées'!$N927:$AAV927)</f>
        <v>0</v>
      </c>
      <c r="K927" s="51" t="str">
        <f t="shared" si="57"/>
        <v>0,00€</v>
      </c>
      <c r="L927" s="69">
        <f>SUM('Archives Sorties'!$M927:$AAY927)</f>
        <v>0</v>
      </c>
      <c r="M927" s="51" t="str">
        <f t="shared" si="58"/>
        <v>0,00€</v>
      </c>
      <c r="P927" s="72"/>
      <c r="R927" s="185" t="str">
        <f t="shared" si="59"/>
        <v/>
      </c>
      <c r="S927" s="186" t="str">
        <f t="shared" si="60"/>
        <v/>
      </c>
      <c r="T927" s="187" t="str">
        <f>IF(R927="","",IF(O927=0,Famille!$D$5,IF(R927&lt;O927,Famille!$D$2,IF(R927&lt;=P927,Famille!$D$3,Famille!$D$4))))</f>
        <v/>
      </c>
    </row>
    <row r="928" spans="1:20" ht="12" customHeight="1" x14ac:dyDescent="0.2">
      <c r="A928" s="4" t="str">
        <f>IF(Produits!A809="","",Produits!A809)</f>
        <v/>
      </c>
      <c r="B928" s="4" t="str">
        <f>IF(Produits!B809="","",Produits!B809)</f>
        <v/>
      </c>
      <c r="C928" s="4" t="str">
        <f>IF(Produits!C809="","",Produits!C809)</f>
        <v/>
      </c>
      <c r="D928" s="4" t="str">
        <f>IF(Produits!D809="","",Produits!D809)</f>
        <v/>
      </c>
      <c r="E928" s="49" t="str">
        <f>IF(Produits!F809="","",Produits!F809)</f>
        <v/>
      </c>
      <c r="F928" s="50" t="str">
        <f>IF(Produits!H809="","",Produits!H809)</f>
        <v/>
      </c>
      <c r="H928" s="37"/>
      <c r="I928" s="2"/>
      <c r="J928" s="69">
        <f>SUM('Archives Entrées'!$N928:$AAV928)</f>
        <v>0</v>
      </c>
      <c r="K928" s="51" t="str">
        <f t="shared" si="57"/>
        <v>0,00€</v>
      </c>
      <c r="L928" s="69">
        <f>SUM('Archives Sorties'!$M928:$AAY928)</f>
        <v>0</v>
      </c>
      <c r="M928" s="51" t="str">
        <f t="shared" si="58"/>
        <v>0,00€</v>
      </c>
      <c r="P928" s="72"/>
      <c r="R928" s="185" t="str">
        <f t="shared" si="59"/>
        <v/>
      </c>
      <c r="S928" s="186" t="str">
        <f t="shared" si="60"/>
        <v/>
      </c>
      <c r="T928" s="187" t="str">
        <f>IF(R928="","",IF(O928=0,Famille!$D$5,IF(R928&lt;O928,Famille!$D$2,IF(R928&lt;=P928,Famille!$D$3,Famille!$D$4))))</f>
        <v/>
      </c>
    </row>
    <row r="929" spans="1:20" ht="12" customHeight="1" x14ac:dyDescent="0.2">
      <c r="A929" s="4" t="str">
        <f>IF(Produits!A810="","",Produits!A810)</f>
        <v/>
      </c>
      <c r="B929" s="4" t="str">
        <f>IF(Produits!B810="","",Produits!B810)</f>
        <v/>
      </c>
      <c r="C929" s="4" t="str">
        <f>IF(Produits!C810="","",Produits!C810)</f>
        <v/>
      </c>
      <c r="D929" s="4" t="str">
        <f>IF(Produits!D810="","",Produits!D810)</f>
        <v/>
      </c>
      <c r="E929" s="49" t="str">
        <f>IF(Produits!F810="","",Produits!F810)</f>
        <v/>
      </c>
      <c r="F929" s="50" t="str">
        <f>IF(Produits!H810="","",Produits!H810)</f>
        <v/>
      </c>
      <c r="H929" s="37"/>
      <c r="I929" s="2"/>
      <c r="J929" s="69">
        <f>SUM('Archives Entrées'!$N929:$AAV929)</f>
        <v>0</v>
      </c>
      <c r="K929" s="51" t="str">
        <f t="shared" si="57"/>
        <v>0,00€</v>
      </c>
      <c r="L929" s="69">
        <f>SUM('Archives Sorties'!$M929:$AAY929)</f>
        <v>0</v>
      </c>
      <c r="M929" s="51" t="str">
        <f t="shared" si="58"/>
        <v>0,00€</v>
      </c>
      <c r="P929" s="72"/>
      <c r="R929" s="185" t="str">
        <f t="shared" si="59"/>
        <v/>
      </c>
      <c r="S929" s="186" t="str">
        <f t="shared" si="60"/>
        <v/>
      </c>
      <c r="T929" s="187" t="str">
        <f>IF(R929="","",IF(O929=0,Famille!$D$5,IF(R929&lt;O929,Famille!$D$2,IF(R929&lt;=P929,Famille!$D$3,Famille!$D$4))))</f>
        <v/>
      </c>
    </row>
    <row r="930" spans="1:20" ht="12" customHeight="1" x14ac:dyDescent="0.2">
      <c r="A930" s="4" t="str">
        <f>IF(Produits!A811="","",Produits!A811)</f>
        <v/>
      </c>
      <c r="B930" s="4" t="str">
        <f>IF(Produits!B811="","",Produits!B811)</f>
        <v/>
      </c>
      <c r="C930" s="4" t="str">
        <f>IF(Produits!C811="","",Produits!C811)</f>
        <v/>
      </c>
      <c r="D930" s="4" t="str">
        <f>IF(Produits!D811="","",Produits!D811)</f>
        <v/>
      </c>
      <c r="E930" s="49" t="str">
        <f>IF(Produits!F811="","",Produits!F811)</f>
        <v/>
      </c>
      <c r="F930" s="50" t="str">
        <f>IF(Produits!H811="","",Produits!H811)</f>
        <v/>
      </c>
      <c r="H930" s="37"/>
      <c r="I930" s="2"/>
      <c r="J930" s="69">
        <f>SUM('Archives Entrées'!$N930:$AAV930)</f>
        <v>0</v>
      </c>
      <c r="K930" s="51" t="str">
        <f t="shared" si="57"/>
        <v>0,00€</v>
      </c>
      <c r="L930" s="69">
        <f>SUM('Archives Sorties'!$M930:$AAY930)</f>
        <v>0</v>
      </c>
      <c r="M930" s="51" t="str">
        <f t="shared" si="58"/>
        <v>0,00€</v>
      </c>
      <c r="P930" s="72"/>
      <c r="R930" s="185" t="str">
        <f t="shared" si="59"/>
        <v/>
      </c>
      <c r="S930" s="186" t="str">
        <f t="shared" si="60"/>
        <v/>
      </c>
      <c r="T930" s="187" t="str">
        <f>IF(R930="","",IF(O930=0,Famille!$D$5,IF(R930&lt;O930,Famille!$D$2,IF(R930&lt;=P930,Famille!$D$3,Famille!$D$4))))</f>
        <v/>
      </c>
    </row>
    <row r="931" spans="1:20" ht="12" customHeight="1" x14ac:dyDescent="0.2">
      <c r="A931" s="4" t="str">
        <f>IF(Produits!A812="","",Produits!A812)</f>
        <v/>
      </c>
      <c r="B931" s="4" t="str">
        <f>IF(Produits!B812="","",Produits!B812)</f>
        <v/>
      </c>
      <c r="C931" s="4" t="str">
        <f>IF(Produits!C812="","",Produits!C812)</f>
        <v/>
      </c>
      <c r="D931" s="4" t="str">
        <f>IF(Produits!D812="","",Produits!D812)</f>
        <v/>
      </c>
      <c r="E931" s="49" t="str">
        <f>IF(Produits!F812="","",Produits!F812)</f>
        <v/>
      </c>
      <c r="F931" s="50" t="str">
        <f>IF(Produits!H812="","",Produits!H812)</f>
        <v/>
      </c>
      <c r="H931" s="37"/>
      <c r="I931" s="2"/>
      <c r="J931" s="69">
        <f>SUM('Archives Entrées'!$N931:$AAV931)</f>
        <v>0</v>
      </c>
      <c r="K931" s="51" t="str">
        <f t="shared" si="57"/>
        <v>0,00€</v>
      </c>
      <c r="L931" s="69">
        <f>SUM('Archives Sorties'!$M931:$AAY931)</f>
        <v>0</v>
      </c>
      <c r="M931" s="51" t="str">
        <f t="shared" si="58"/>
        <v>0,00€</v>
      </c>
      <c r="P931" s="72"/>
      <c r="R931" s="185" t="str">
        <f t="shared" si="59"/>
        <v/>
      </c>
      <c r="S931" s="186" t="str">
        <f t="shared" si="60"/>
        <v/>
      </c>
      <c r="T931" s="187" t="str">
        <f>IF(R931="","",IF(O931=0,Famille!$D$5,IF(R931&lt;O931,Famille!$D$2,IF(R931&lt;=P931,Famille!$D$3,Famille!$D$4))))</f>
        <v/>
      </c>
    </row>
    <row r="932" spans="1:20" ht="12" customHeight="1" x14ac:dyDescent="0.2">
      <c r="A932" s="4" t="str">
        <f>IF(Produits!A813="","",Produits!A813)</f>
        <v/>
      </c>
      <c r="B932" s="4" t="str">
        <f>IF(Produits!B813="","",Produits!B813)</f>
        <v/>
      </c>
      <c r="C932" s="4" t="str">
        <f>IF(Produits!C813="","",Produits!C813)</f>
        <v/>
      </c>
      <c r="D932" s="4" t="str">
        <f>IF(Produits!D813="","",Produits!D813)</f>
        <v/>
      </c>
      <c r="E932" s="49" t="str">
        <f>IF(Produits!F813="","",Produits!F813)</f>
        <v/>
      </c>
      <c r="F932" s="50" t="str">
        <f>IF(Produits!H813="","",Produits!H813)</f>
        <v/>
      </c>
      <c r="H932" s="37"/>
      <c r="I932" s="2"/>
      <c r="J932" s="69">
        <f>SUM('Archives Entrées'!$N932:$AAV932)</f>
        <v>0</v>
      </c>
      <c r="K932" s="51" t="str">
        <f t="shared" si="57"/>
        <v>0,00€</v>
      </c>
      <c r="L932" s="69">
        <f>SUM('Archives Sorties'!$M932:$AAY932)</f>
        <v>0</v>
      </c>
      <c r="M932" s="51" t="str">
        <f t="shared" si="58"/>
        <v>0,00€</v>
      </c>
      <c r="P932" s="72"/>
      <c r="R932" s="185" t="str">
        <f t="shared" si="59"/>
        <v/>
      </c>
      <c r="S932" s="186" t="str">
        <f t="shared" si="60"/>
        <v/>
      </c>
      <c r="T932" s="187" t="str">
        <f>IF(R932="","",IF(O932=0,Famille!$D$5,IF(R932&lt;O932,Famille!$D$2,IF(R932&lt;=P932,Famille!$D$3,Famille!$D$4))))</f>
        <v/>
      </c>
    </row>
    <row r="933" spans="1:20" ht="12" customHeight="1" x14ac:dyDescent="0.2">
      <c r="A933" s="4" t="str">
        <f>IF(Produits!A814="","",Produits!A814)</f>
        <v/>
      </c>
      <c r="B933" s="4" t="str">
        <f>IF(Produits!B814="","",Produits!B814)</f>
        <v/>
      </c>
      <c r="C933" s="4" t="str">
        <f>IF(Produits!C814="","",Produits!C814)</f>
        <v/>
      </c>
      <c r="D933" s="4" t="str">
        <f>IF(Produits!D814="","",Produits!D814)</f>
        <v/>
      </c>
      <c r="E933" s="49" t="str">
        <f>IF(Produits!F814="","",Produits!F814)</f>
        <v/>
      </c>
      <c r="F933" s="50" t="str">
        <f>IF(Produits!H814="","",Produits!H814)</f>
        <v/>
      </c>
      <c r="H933" s="37"/>
      <c r="I933" s="2"/>
      <c r="J933" s="69">
        <f>SUM('Archives Entrées'!$N933:$AAV933)</f>
        <v>0</v>
      </c>
      <c r="K933" s="51" t="str">
        <f t="shared" si="57"/>
        <v>0,00€</v>
      </c>
      <c r="L933" s="69">
        <f>SUM('Archives Sorties'!$M933:$AAY933)</f>
        <v>0</v>
      </c>
      <c r="M933" s="51" t="str">
        <f t="shared" si="58"/>
        <v>0,00€</v>
      </c>
      <c r="P933" s="72"/>
      <c r="R933" s="185" t="str">
        <f t="shared" si="59"/>
        <v/>
      </c>
      <c r="S933" s="186" t="str">
        <f t="shared" si="60"/>
        <v/>
      </c>
      <c r="T933" s="187" t="str">
        <f>IF(R933="","",IF(O933=0,Famille!$D$5,IF(R933&lt;O933,Famille!$D$2,IF(R933&lt;=P933,Famille!$D$3,Famille!$D$4))))</f>
        <v/>
      </c>
    </row>
    <row r="934" spans="1:20" ht="12" customHeight="1" x14ac:dyDescent="0.2">
      <c r="A934" s="4" t="str">
        <f>IF(Produits!A815="","",Produits!A815)</f>
        <v/>
      </c>
      <c r="B934" s="4" t="str">
        <f>IF(Produits!B815="","",Produits!B815)</f>
        <v/>
      </c>
      <c r="C934" s="4" t="str">
        <f>IF(Produits!C815="","",Produits!C815)</f>
        <v/>
      </c>
      <c r="D934" s="4" t="str">
        <f>IF(Produits!D815="","",Produits!D815)</f>
        <v/>
      </c>
      <c r="E934" s="49" t="str">
        <f>IF(Produits!F815="","",Produits!F815)</f>
        <v/>
      </c>
      <c r="F934" s="50" t="str">
        <f>IF(Produits!H815="","",Produits!H815)</f>
        <v/>
      </c>
      <c r="H934" s="37"/>
      <c r="I934" s="2"/>
      <c r="J934" s="69">
        <f>SUM('Archives Entrées'!$N934:$AAV934)</f>
        <v>0</v>
      </c>
      <c r="K934" s="51" t="str">
        <f t="shared" si="57"/>
        <v>0,00€</v>
      </c>
      <c r="L934" s="69">
        <f>SUM('Archives Sorties'!$M934:$AAY934)</f>
        <v>0</v>
      </c>
      <c r="M934" s="51" t="str">
        <f t="shared" si="58"/>
        <v>0,00€</v>
      </c>
      <c r="P934" s="72"/>
      <c r="R934" s="185" t="str">
        <f t="shared" si="59"/>
        <v/>
      </c>
      <c r="S934" s="186" t="str">
        <f t="shared" si="60"/>
        <v/>
      </c>
      <c r="T934" s="187" t="str">
        <f>IF(R934="","",IF(O934=0,Famille!$D$5,IF(R934&lt;O934,Famille!$D$2,IF(R934&lt;=P934,Famille!$D$3,Famille!$D$4))))</f>
        <v/>
      </c>
    </row>
    <row r="935" spans="1:20" ht="12" customHeight="1" x14ac:dyDescent="0.2">
      <c r="A935" s="4" t="str">
        <f>IF(Produits!A816="","",Produits!A816)</f>
        <v/>
      </c>
      <c r="B935" s="4" t="str">
        <f>IF(Produits!B816="","",Produits!B816)</f>
        <v/>
      </c>
      <c r="C935" s="4" t="str">
        <f>IF(Produits!C816="","",Produits!C816)</f>
        <v/>
      </c>
      <c r="D935" s="4" t="str">
        <f>IF(Produits!D816="","",Produits!D816)</f>
        <v/>
      </c>
      <c r="E935" s="49" t="str">
        <f>IF(Produits!F816="","",Produits!F816)</f>
        <v/>
      </c>
      <c r="F935" s="50" t="str">
        <f>IF(Produits!H816="","",Produits!H816)</f>
        <v/>
      </c>
      <c r="H935" s="37"/>
      <c r="I935" s="2"/>
      <c r="J935" s="69">
        <f>SUM('Archives Entrées'!$N935:$AAV935)</f>
        <v>0</v>
      </c>
      <c r="K935" s="51" t="str">
        <f t="shared" si="57"/>
        <v>0,00€</v>
      </c>
      <c r="L935" s="69">
        <f>SUM('Archives Sorties'!$M935:$AAY935)</f>
        <v>0</v>
      </c>
      <c r="M935" s="51" t="str">
        <f t="shared" si="58"/>
        <v>0,00€</v>
      </c>
      <c r="P935" s="72"/>
      <c r="R935" s="185" t="str">
        <f t="shared" si="59"/>
        <v/>
      </c>
      <c r="S935" s="186" t="str">
        <f t="shared" si="60"/>
        <v/>
      </c>
      <c r="T935" s="187" t="str">
        <f>IF(R935="","",IF(O935=0,Famille!$D$5,IF(R935&lt;O935,Famille!$D$2,IF(R935&lt;=P935,Famille!$D$3,Famille!$D$4))))</f>
        <v/>
      </c>
    </row>
    <row r="936" spans="1:20" ht="12" customHeight="1" x14ac:dyDescent="0.2">
      <c r="A936" s="4" t="str">
        <f>IF(Produits!A817="","",Produits!A817)</f>
        <v/>
      </c>
      <c r="B936" s="4" t="str">
        <f>IF(Produits!B817="","",Produits!B817)</f>
        <v/>
      </c>
      <c r="C936" s="4" t="str">
        <f>IF(Produits!C817="","",Produits!C817)</f>
        <v/>
      </c>
      <c r="D936" s="4" t="str">
        <f>IF(Produits!D817="","",Produits!D817)</f>
        <v/>
      </c>
      <c r="E936" s="49" t="str">
        <f>IF(Produits!F817="","",Produits!F817)</f>
        <v/>
      </c>
      <c r="F936" s="50" t="str">
        <f>IF(Produits!H817="","",Produits!H817)</f>
        <v/>
      </c>
      <c r="H936" s="37"/>
      <c r="I936" s="2"/>
      <c r="J936" s="69">
        <f>SUM('Archives Entrées'!$N936:$AAV936)</f>
        <v>0</v>
      </c>
      <c r="K936" s="51" t="str">
        <f t="shared" si="57"/>
        <v>0,00€</v>
      </c>
      <c r="L936" s="69">
        <f>SUM('Archives Sorties'!$M936:$AAY936)</f>
        <v>0</v>
      </c>
      <c r="M936" s="51" t="str">
        <f t="shared" si="58"/>
        <v>0,00€</v>
      </c>
      <c r="P936" s="72"/>
      <c r="R936" s="185" t="str">
        <f t="shared" si="59"/>
        <v/>
      </c>
      <c r="S936" s="186" t="str">
        <f t="shared" si="60"/>
        <v/>
      </c>
      <c r="T936" s="187" t="str">
        <f>IF(R936="","",IF(O936=0,Famille!$D$5,IF(R936&lt;O936,Famille!$D$2,IF(R936&lt;=P936,Famille!$D$3,Famille!$D$4))))</f>
        <v/>
      </c>
    </row>
    <row r="937" spans="1:20" ht="12" customHeight="1" x14ac:dyDescent="0.2">
      <c r="A937" s="4" t="str">
        <f>IF(Produits!A818="","",Produits!A818)</f>
        <v/>
      </c>
      <c r="B937" s="4" t="str">
        <f>IF(Produits!B818="","",Produits!B818)</f>
        <v/>
      </c>
      <c r="C937" s="4" t="str">
        <f>IF(Produits!C818="","",Produits!C818)</f>
        <v/>
      </c>
      <c r="D937" s="4" t="str">
        <f>IF(Produits!D818="","",Produits!D818)</f>
        <v/>
      </c>
      <c r="E937" s="49" t="str">
        <f>IF(Produits!F818="","",Produits!F818)</f>
        <v/>
      </c>
      <c r="F937" s="50" t="str">
        <f>IF(Produits!H818="","",Produits!H818)</f>
        <v/>
      </c>
      <c r="H937" s="37"/>
      <c r="I937" s="2"/>
      <c r="J937" s="69">
        <f>SUM('Archives Entrées'!$N937:$AAV937)</f>
        <v>0</v>
      </c>
      <c r="K937" s="51" t="str">
        <f t="shared" si="57"/>
        <v>0,00€</v>
      </c>
      <c r="L937" s="69">
        <f>SUM('Archives Sorties'!$M937:$AAY937)</f>
        <v>0</v>
      </c>
      <c r="M937" s="51" t="str">
        <f t="shared" si="58"/>
        <v>0,00€</v>
      </c>
      <c r="P937" s="72"/>
      <c r="R937" s="185" t="str">
        <f t="shared" si="59"/>
        <v/>
      </c>
      <c r="S937" s="186" t="str">
        <f t="shared" si="60"/>
        <v/>
      </c>
      <c r="T937" s="187" t="str">
        <f>IF(R937="","",IF(O937=0,Famille!$D$5,IF(R937&lt;O937,Famille!$D$2,IF(R937&lt;=P937,Famille!$D$3,Famille!$D$4))))</f>
        <v/>
      </c>
    </row>
    <row r="938" spans="1:20" ht="12" customHeight="1" x14ac:dyDescent="0.2">
      <c r="A938" s="4" t="str">
        <f>IF(Produits!A819="","",Produits!A819)</f>
        <v/>
      </c>
      <c r="B938" s="4" t="str">
        <f>IF(Produits!B819="","",Produits!B819)</f>
        <v/>
      </c>
      <c r="C938" s="4" t="str">
        <f>IF(Produits!C819="","",Produits!C819)</f>
        <v/>
      </c>
      <c r="D938" s="4" t="str">
        <f>IF(Produits!D819="","",Produits!D819)</f>
        <v/>
      </c>
      <c r="E938" s="49" t="str">
        <f>IF(Produits!F819="","",Produits!F819)</f>
        <v/>
      </c>
      <c r="F938" s="50" t="str">
        <f>IF(Produits!H819="","",Produits!H819)</f>
        <v/>
      </c>
      <c r="H938" s="37"/>
      <c r="I938" s="2"/>
      <c r="J938" s="69">
        <f>SUM('Archives Entrées'!$N938:$AAV938)</f>
        <v>0</v>
      </c>
      <c r="K938" s="51" t="str">
        <f t="shared" si="57"/>
        <v>0,00€</v>
      </c>
      <c r="L938" s="69">
        <f>SUM('Archives Sorties'!$M938:$AAY938)</f>
        <v>0</v>
      </c>
      <c r="M938" s="51" t="str">
        <f t="shared" si="58"/>
        <v>0,00€</v>
      </c>
      <c r="P938" s="72"/>
      <c r="R938" s="185" t="str">
        <f t="shared" si="59"/>
        <v/>
      </c>
      <c r="S938" s="186" t="str">
        <f t="shared" si="60"/>
        <v/>
      </c>
      <c r="T938" s="187" t="str">
        <f>IF(R938="","",IF(O938=0,Famille!$D$5,IF(R938&lt;O938,Famille!$D$2,IF(R938&lt;=P938,Famille!$D$3,Famille!$D$4))))</f>
        <v/>
      </c>
    </row>
    <row r="939" spans="1:20" ht="12" customHeight="1" x14ac:dyDescent="0.2">
      <c r="A939" s="4" t="str">
        <f>IF(Produits!A820="","",Produits!A820)</f>
        <v/>
      </c>
      <c r="B939" s="4" t="str">
        <f>IF(Produits!B820="","",Produits!B820)</f>
        <v/>
      </c>
      <c r="C939" s="4" t="str">
        <f>IF(Produits!C820="","",Produits!C820)</f>
        <v/>
      </c>
      <c r="D939" s="4" t="str">
        <f>IF(Produits!D820="","",Produits!D820)</f>
        <v/>
      </c>
      <c r="E939" s="49" t="str">
        <f>IF(Produits!F820="","",Produits!F820)</f>
        <v/>
      </c>
      <c r="F939" s="50" t="str">
        <f>IF(Produits!H820="","",Produits!H820)</f>
        <v/>
      </c>
      <c r="H939" s="37"/>
      <c r="I939" s="2"/>
      <c r="J939" s="69">
        <f>SUM('Archives Entrées'!$N939:$AAV939)</f>
        <v>0</v>
      </c>
      <c r="K939" s="51" t="str">
        <f t="shared" si="57"/>
        <v>0,00€</v>
      </c>
      <c r="L939" s="69">
        <f>SUM('Archives Sorties'!$M939:$AAY939)</f>
        <v>0</v>
      </c>
      <c r="M939" s="51" t="str">
        <f t="shared" si="58"/>
        <v>0,00€</v>
      </c>
      <c r="P939" s="72"/>
      <c r="R939" s="185" t="str">
        <f t="shared" si="59"/>
        <v/>
      </c>
      <c r="S939" s="186" t="str">
        <f t="shared" si="60"/>
        <v/>
      </c>
      <c r="T939" s="187" t="str">
        <f>IF(R939="","",IF(O939=0,Famille!$D$5,IF(R939&lt;O939,Famille!$D$2,IF(R939&lt;=P939,Famille!$D$3,Famille!$D$4))))</f>
        <v/>
      </c>
    </row>
    <row r="940" spans="1:20" ht="12" customHeight="1" x14ac:dyDescent="0.2">
      <c r="A940" s="4" t="str">
        <f>IF(Produits!A821="","",Produits!A821)</f>
        <v/>
      </c>
      <c r="B940" s="4" t="str">
        <f>IF(Produits!B821="","",Produits!B821)</f>
        <v/>
      </c>
      <c r="C940" s="4" t="str">
        <f>IF(Produits!C821="","",Produits!C821)</f>
        <v/>
      </c>
      <c r="D940" s="4" t="str">
        <f>IF(Produits!D821="","",Produits!D821)</f>
        <v/>
      </c>
      <c r="E940" s="49" t="str">
        <f>IF(Produits!F821="","",Produits!F821)</f>
        <v/>
      </c>
      <c r="F940" s="50" t="str">
        <f>IF(Produits!H821="","",Produits!H821)</f>
        <v/>
      </c>
      <c r="H940" s="37"/>
      <c r="I940" s="2"/>
      <c r="J940" s="69">
        <f>SUM('Archives Entrées'!$N940:$AAV940)</f>
        <v>0</v>
      </c>
      <c r="K940" s="51" t="str">
        <f t="shared" si="57"/>
        <v>0,00€</v>
      </c>
      <c r="L940" s="69">
        <f>SUM('Archives Sorties'!$M940:$AAY940)</f>
        <v>0</v>
      </c>
      <c r="M940" s="51" t="str">
        <f t="shared" si="58"/>
        <v>0,00€</v>
      </c>
      <c r="P940" s="72"/>
      <c r="R940" s="185" t="str">
        <f t="shared" si="59"/>
        <v/>
      </c>
      <c r="S940" s="186" t="str">
        <f t="shared" si="60"/>
        <v/>
      </c>
      <c r="T940" s="187" t="str">
        <f>IF(R940="","",IF(O940=0,Famille!$D$5,IF(R940&lt;O940,Famille!$D$2,IF(R940&lt;=P940,Famille!$D$3,Famille!$D$4))))</f>
        <v/>
      </c>
    </row>
    <row r="941" spans="1:20" ht="12" customHeight="1" x14ac:dyDescent="0.2">
      <c r="A941" s="4" t="str">
        <f>IF(Produits!A822="","",Produits!A822)</f>
        <v/>
      </c>
      <c r="B941" s="4" t="str">
        <f>IF(Produits!B822="","",Produits!B822)</f>
        <v/>
      </c>
      <c r="C941" s="4" t="str">
        <f>IF(Produits!C822="","",Produits!C822)</f>
        <v/>
      </c>
      <c r="D941" s="4" t="str">
        <f>IF(Produits!D822="","",Produits!D822)</f>
        <v/>
      </c>
      <c r="E941" s="49" t="str">
        <f>IF(Produits!F822="","",Produits!F822)</f>
        <v/>
      </c>
      <c r="F941" s="50" t="str">
        <f>IF(Produits!H822="","",Produits!H822)</f>
        <v/>
      </c>
      <c r="H941" s="37"/>
      <c r="I941" s="2"/>
      <c r="J941" s="69">
        <f>SUM('Archives Entrées'!$N941:$AAV941)</f>
        <v>0</v>
      </c>
      <c r="K941" s="51" t="str">
        <f t="shared" si="57"/>
        <v>0,00€</v>
      </c>
      <c r="L941" s="69">
        <f>SUM('Archives Sorties'!$M941:$AAY941)</f>
        <v>0</v>
      </c>
      <c r="M941" s="51" t="str">
        <f t="shared" si="58"/>
        <v>0,00€</v>
      </c>
      <c r="P941" s="72"/>
      <c r="R941" s="185" t="str">
        <f t="shared" si="59"/>
        <v/>
      </c>
      <c r="S941" s="186" t="str">
        <f t="shared" si="60"/>
        <v/>
      </c>
      <c r="T941" s="187" t="str">
        <f>IF(R941="","",IF(O941=0,Famille!$D$5,IF(R941&lt;O941,Famille!$D$2,IF(R941&lt;=P941,Famille!$D$3,Famille!$D$4))))</f>
        <v/>
      </c>
    </row>
    <row r="942" spans="1:20" ht="12" customHeight="1" x14ac:dyDescent="0.2">
      <c r="A942" s="4" t="str">
        <f>IF(Produits!A823="","",Produits!A823)</f>
        <v/>
      </c>
      <c r="B942" s="4" t="str">
        <f>IF(Produits!B823="","",Produits!B823)</f>
        <v/>
      </c>
      <c r="C942" s="4" t="str">
        <f>IF(Produits!C823="","",Produits!C823)</f>
        <v/>
      </c>
      <c r="D942" s="4" t="str">
        <f>IF(Produits!D823="","",Produits!D823)</f>
        <v/>
      </c>
      <c r="E942" s="49" t="str">
        <f>IF(Produits!F823="","",Produits!F823)</f>
        <v/>
      </c>
      <c r="F942" s="50" t="str">
        <f>IF(Produits!H823="","",Produits!H823)</f>
        <v/>
      </c>
      <c r="H942" s="37"/>
      <c r="I942" s="2"/>
      <c r="J942" s="69">
        <f>SUM('Archives Entrées'!$N942:$AAV942)</f>
        <v>0</v>
      </c>
      <c r="K942" s="51" t="str">
        <f t="shared" si="57"/>
        <v>0,00€</v>
      </c>
      <c r="L942" s="69">
        <f>SUM('Archives Sorties'!$M942:$AAY942)</f>
        <v>0</v>
      </c>
      <c r="M942" s="51" t="str">
        <f t="shared" si="58"/>
        <v>0,00€</v>
      </c>
      <c r="P942" s="72"/>
      <c r="R942" s="185" t="str">
        <f t="shared" si="59"/>
        <v/>
      </c>
      <c r="S942" s="186" t="str">
        <f t="shared" si="60"/>
        <v/>
      </c>
      <c r="T942" s="187" t="str">
        <f>IF(R942="","",IF(O942=0,Famille!$D$5,IF(R942&lt;O942,Famille!$D$2,IF(R942&lt;=P942,Famille!$D$3,Famille!$D$4))))</f>
        <v/>
      </c>
    </row>
    <row r="943" spans="1:20" ht="12" customHeight="1" x14ac:dyDescent="0.2">
      <c r="A943" s="4" t="str">
        <f>IF(Produits!A824="","",Produits!A824)</f>
        <v/>
      </c>
      <c r="B943" s="4" t="str">
        <f>IF(Produits!B824="","",Produits!B824)</f>
        <v/>
      </c>
      <c r="C943" s="4" t="str">
        <f>IF(Produits!C824="","",Produits!C824)</f>
        <v/>
      </c>
      <c r="D943" s="4" t="str">
        <f>IF(Produits!D824="","",Produits!D824)</f>
        <v/>
      </c>
      <c r="E943" s="49" t="str">
        <f>IF(Produits!F824="","",Produits!F824)</f>
        <v/>
      </c>
      <c r="F943" s="50" t="str">
        <f>IF(Produits!H824="","",Produits!H824)</f>
        <v/>
      </c>
      <c r="H943" s="37"/>
      <c r="I943" s="2"/>
      <c r="J943" s="69">
        <f>SUM('Archives Entrées'!$N943:$AAV943)</f>
        <v>0</v>
      </c>
      <c r="K943" s="51" t="str">
        <f t="shared" si="57"/>
        <v>0,00€</v>
      </c>
      <c r="L943" s="69">
        <f>SUM('Archives Sorties'!$M943:$AAY943)</f>
        <v>0</v>
      </c>
      <c r="M943" s="51" t="str">
        <f t="shared" si="58"/>
        <v>0,00€</v>
      </c>
      <c r="P943" s="72"/>
      <c r="R943" s="185" t="str">
        <f t="shared" si="59"/>
        <v/>
      </c>
      <c r="S943" s="186" t="str">
        <f t="shared" si="60"/>
        <v/>
      </c>
      <c r="T943" s="187" t="str">
        <f>IF(R943="","",IF(O943=0,Famille!$D$5,IF(R943&lt;O943,Famille!$D$2,IF(R943&lt;=P943,Famille!$D$3,Famille!$D$4))))</f>
        <v/>
      </c>
    </row>
    <row r="944" spans="1:20" ht="12" customHeight="1" x14ac:dyDescent="0.2">
      <c r="A944" s="4" t="str">
        <f>IF(Produits!A825="","",Produits!A825)</f>
        <v/>
      </c>
      <c r="B944" s="4" t="str">
        <f>IF(Produits!B825="","",Produits!B825)</f>
        <v/>
      </c>
      <c r="C944" s="4" t="str">
        <f>IF(Produits!C825="","",Produits!C825)</f>
        <v/>
      </c>
      <c r="D944" s="4" t="str">
        <f>IF(Produits!D825="","",Produits!D825)</f>
        <v/>
      </c>
      <c r="E944" s="49" t="str">
        <f>IF(Produits!F825="","",Produits!F825)</f>
        <v/>
      </c>
      <c r="F944" s="50" t="str">
        <f>IF(Produits!H825="","",Produits!H825)</f>
        <v/>
      </c>
      <c r="H944" s="37"/>
      <c r="I944" s="2"/>
      <c r="J944" s="69">
        <f>SUM('Archives Entrées'!$N944:$AAV944)</f>
        <v>0</v>
      </c>
      <c r="K944" s="51" t="str">
        <f t="shared" si="57"/>
        <v>0,00€</v>
      </c>
      <c r="L944" s="69">
        <f>SUM('Archives Sorties'!$M944:$AAY944)</f>
        <v>0</v>
      </c>
      <c r="M944" s="51" t="str">
        <f t="shared" si="58"/>
        <v>0,00€</v>
      </c>
      <c r="P944" s="72"/>
      <c r="R944" s="185" t="str">
        <f t="shared" si="59"/>
        <v/>
      </c>
      <c r="S944" s="186" t="str">
        <f t="shared" si="60"/>
        <v/>
      </c>
      <c r="T944" s="187" t="str">
        <f>IF(R944="","",IF(O944=0,Famille!$D$5,IF(R944&lt;O944,Famille!$D$2,IF(R944&lt;=P944,Famille!$D$3,Famille!$D$4))))</f>
        <v/>
      </c>
    </row>
    <row r="945" spans="1:20" ht="12" customHeight="1" x14ac:dyDescent="0.2">
      <c r="A945" s="4" t="str">
        <f>IF(Produits!A826="","",Produits!A826)</f>
        <v/>
      </c>
      <c r="B945" s="4" t="str">
        <f>IF(Produits!B826="","",Produits!B826)</f>
        <v/>
      </c>
      <c r="C945" s="4" t="str">
        <f>IF(Produits!C826="","",Produits!C826)</f>
        <v/>
      </c>
      <c r="D945" s="4" t="str">
        <f>IF(Produits!D826="","",Produits!D826)</f>
        <v/>
      </c>
      <c r="E945" s="49" t="str">
        <f>IF(Produits!F826="","",Produits!F826)</f>
        <v/>
      </c>
      <c r="F945" s="50" t="str">
        <f>IF(Produits!H826="","",Produits!H826)</f>
        <v/>
      </c>
      <c r="H945" s="37"/>
      <c r="I945" s="2"/>
      <c r="J945" s="69">
        <f>SUM('Archives Entrées'!$N945:$AAV945)</f>
        <v>0</v>
      </c>
      <c r="K945" s="51" t="str">
        <f t="shared" si="57"/>
        <v>0,00€</v>
      </c>
      <c r="L945" s="69">
        <f>SUM('Archives Sorties'!$M945:$AAY945)</f>
        <v>0</v>
      </c>
      <c r="M945" s="51" t="str">
        <f t="shared" si="58"/>
        <v>0,00€</v>
      </c>
      <c r="P945" s="72"/>
      <c r="R945" s="185" t="str">
        <f t="shared" si="59"/>
        <v/>
      </c>
      <c r="S945" s="186" t="str">
        <f t="shared" si="60"/>
        <v/>
      </c>
      <c r="T945" s="187" t="str">
        <f>IF(R945="","",IF(O945=0,Famille!$D$5,IF(R945&lt;O945,Famille!$D$2,IF(R945&lt;=P945,Famille!$D$3,Famille!$D$4))))</f>
        <v/>
      </c>
    </row>
    <row r="946" spans="1:20" ht="12" customHeight="1" x14ac:dyDescent="0.2">
      <c r="A946" s="4" t="str">
        <f>IF(Produits!A827="","",Produits!A827)</f>
        <v/>
      </c>
      <c r="B946" s="4" t="str">
        <f>IF(Produits!B827="","",Produits!B827)</f>
        <v/>
      </c>
      <c r="C946" s="4" t="str">
        <f>IF(Produits!C827="","",Produits!C827)</f>
        <v/>
      </c>
      <c r="D946" s="4" t="str">
        <f>IF(Produits!D827="","",Produits!D827)</f>
        <v/>
      </c>
      <c r="E946" s="49" t="str">
        <f>IF(Produits!F827="","",Produits!F827)</f>
        <v/>
      </c>
      <c r="F946" s="50" t="str">
        <f>IF(Produits!H827="","",Produits!H827)</f>
        <v/>
      </c>
      <c r="H946" s="37"/>
      <c r="I946" s="2"/>
      <c r="J946" s="69">
        <f>SUM('Archives Entrées'!$N946:$AAV946)</f>
        <v>0</v>
      </c>
      <c r="K946" s="51" t="str">
        <f t="shared" si="57"/>
        <v>0,00€</v>
      </c>
      <c r="L946" s="69">
        <f>SUM('Archives Sorties'!$M946:$AAY946)</f>
        <v>0</v>
      </c>
      <c r="M946" s="51" t="str">
        <f t="shared" si="58"/>
        <v>0,00€</v>
      </c>
      <c r="P946" s="72"/>
      <c r="R946" s="185" t="str">
        <f t="shared" si="59"/>
        <v/>
      </c>
      <c r="S946" s="186" t="str">
        <f t="shared" si="60"/>
        <v/>
      </c>
      <c r="T946" s="187" t="str">
        <f>IF(R946="","",IF(O946=0,Famille!$D$5,IF(R946&lt;O946,Famille!$D$2,IF(R946&lt;=P946,Famille!$D$3,Famille!$D$4))))</f>
        <v/>
      </c>
    </row>
    <row r="947" spans="1:20" ht="12" customHeight="1" x14ac:dyDescent="0.2">
      <c r="A947" s="4" t="str">
        <f>IF(Produits!A828="","",Produits!A828)</f>
        <v/>
      </c>
      <c r="B947" s="4" t="str">
        <f>IF(Produits!B828="","",Produits!B828)</f>
        <v/>
      </c>
      <c r="C947" s="4" t="str">
        <f>IF(Produits!C828="","",Produits!C828)</f>
        <v/>
      </c>
      <c r="D947" s="4" t="str">
        <f>IF(Produits!D828="","",Produits!D828)</f>
        <v/>
      </c>
      <c r="E947" s="49" t="str">
        <f>IF(Produits!F828="","",Produits!F828)</f>
        <v/>
      </c>
      <c r="F947" s="50" t="str">
        <f>IF(Produits!H828="","",Produits!H828)</f>
        <v/>
      </c>
      <c r="H947" s="37"/>
      <c r="I947" s="2"/>
      <c r="J947" s="69">
        <f>SUM('Archives Entrées'!$N947:$AAV947)</f>
        <v>0</v>
      </c>
      <c r="K947" s="51" t="str">
        <f t="shared" si="57"/>
        <v>0,00€</v>
      </c>
      <c r="L947" s="69">
        <f>SUM('Archives Sorties'!$M947:$AAY947)</f>
        <v>0</v>
      </c>
      <c r="M947" s="51" t="str">
        <f t="shared" si="58"/>
        <v>0,00€</v>
      </c>
      <c r="P947" s="72"/>
      <c r="R947" s="185" t="str">
        <f t="shared" si="59"/>
        <v/>
      </c>
      <c r="S947" s="186" t="str">
        <f t="shared" si="60"/>
        <v/>
      </c>
      <c r="T947" s="187" t="str">
        <f>IF(R947="","",IF(O947=0,Famille!$D$5,IF(R947&lt;O947,Famille!$D$2,IF(R947&lt;=P947,Famille!$D$3,Famille!$D$4))))</f>
        <v/>
      </c>
    </row>
    <row r="948" spans="1:20" ht="12" customHeight="1" x14ac:dyDescent="0.2">
      <c r="A948" s="4" t="str">
        <f>IF(Produits!A829="","",Produits!A829)</f>
        <v/>
      </c>
      <c r="B948" s="4" t="str">
        <f>IF(Produits!B829="","",Produits!B829)</f>
        <v/>
      </c>
      <c r="C948" s="4" t="str">
        <f>IF(Produits!C829="","",Produits!C829)</f>
        <v/>
      </c>
      <c r="D948" s="4" t="str">
        <f>IF(Produits!D829="","",Produits!D829)</f>
        <v/>
      </c>
      <c r="E948" s="49" t="str">
        <f>IF(Produits!F829="","",Produits!F829)</f>
        <v/>
      </c>
      <c r="F948" s="50" t="str">
        <f>IF(Produits!H829="","",Produits!H829)</f>
        <v/>
      </c>
      <c r="H948" s="37"/>
      <c r="I948" s="2"/>
      <c r="J948" s="69">
        <f>SUM('Archives Entrées'!$N948:$AAV948)</f>
        <v>0</v>
      </c>
      <c r="K948" s="51" t="str">
        <f t="shared" si="57"/>
        <v>0,00€</v>
      </c>
      <c r="L948" s="69">
        <f>SUM('Archives Sorties'!$M948:$AAY948)</f>
        <v>0</v>
      </c>
      <c r="M948" s="51" t="str">
        <f t="shared" si="58"/>
        <v>0,00€</v>
      </c>
      <c r="P948" s="72"/>
      <c r="R948" s="185" t="str">
        <f t="shared" si="59"/>
        <v/>
      </c>
      <c r="S948" s="186" t="str">
        <f t="shared" si="60"/>
        <v/>
      </c>
      <c r="T948" s="187" t="str">
        <f>IF(R948="","",IF(O948=0,Famille!$D$5,IF(R948&lt;O948,Famille!$D$2,IF(R948&lt;=P948,Famille!$D$3,Famille!$D$4))))</f>
        <v/>
      </c>
    </row>
    <row r="949" spans="1:20" ht="12" customHeight="1" x14ac:dyDescent="0.2">
      <c r="A949" s="4" t="str">
        <f>IF(Produits!A830="","",Produits!A830)</f>
        <v/>
      </c>
      <c r="B949" s="4" t="str">
        <f>IF(Produits!B830="","",Produits!B830)</f>
        <v/>
      </c>
      <c r="C949" s="4" t="str">
        <f>IF(Produits!C830="","",Produits!C830)</f>
        <v/>
      </c>
      <c r="D949" s="4" t="str">
        <f>IF(Produits!D830="","",Produits!D830)</f>
        <v/>
      </c>
      <c r="E949" s="49" t="str">
        <f>IF(Produits!F830="","",Produits!F830)</f>
        <v/>
      </c>
      <c r="F949" s="50" t="str">
        <f>IF(Produits!H830="","",Produits!H830)</f>
        <v/>
      </c>
      <c r="H949" s="37"/>
      <c r="I949" s="2"/>
      <c r="J949" s="69">
        <f>SUM('Archives Entrées'!$N949:$AAV949)</f>
        <v>0</v>
      </c>
      <c r="K949" s="51" t="str">
        <f t="shared" si="57"/>
        <v>0,00€</v>
      </c>
      <c r="L949" s="69">
        <f>SUM('Archives Sorties'!$M949:$AAY949)</f>
        <v>0</v>
      </c>
      <c r="M949" s="51" t="str">
        <f t="shared" si="58"/>
        <v>0,00€</v>
      </c>
      <c r="P949" s="72"/>
      <c r="R949" s="185" t="str">
        <f t="shared" si="59"/>
        <v/>
      </c>
      <c r="S949" s="186" t="str">
        <f t="shared" si="60"/>
        <v/>
      </c>
      <c r="T949" s="187" t="str">
        <f>IF(R949="","",IF(O949=0,Famille!$D$5,IF(R949&lt;O949,Famille!$D$2,IF(R949&lt;=P949,Famille!$D$3,Famille!$D$4))))</f>
        <v/>
      </c>
    </row>
    <row r="950" spans="1:20" ht="12" customHeight="1" x14ac:dyDescent="0.2">
      <c r="A950" s="4" t="str">
        <f>IF(Produits!A831="","",Produits!A831)</f>
        <v/>
      </c>
      <c r="B950" s="4" t="str">
        <f>IF(Produits!B831="","",Produits!B831)</f>
        <v/>
      </c>
      <c r="C950" s="4" t="str">
        <f>IF(Produits!C831="","",Produits!C831)</f>
        <v/>
      </c>
      <c r="D950" s="4" t="str">
        <f>IF(Produits!D831="","",Produits!D831)</f>
        <v/>
      </c>
      <c r="E950" s="49" t="str">
        <f>IF(Produits!F831="","",Produits!F831)</f>
        <v/>
      </c>
      <c r="F950" s="50" t="str">
        <f>IF(Produits!H831="","",Produits!H831)</f>
        <v/>
      </c>
      <c r="H950" s="37"/>
      <c r="I950" s="2"/>
      <c r="J950" s="69">
        <f>SUM('Archives Entrées'!$N950:$AAV950)</f>
        <v>0</v>
      </c>
      <c r="K950" s="51" t="str">
        <f t="shared" si="57"/>
        <v>0,00€</v>
      </c>
      <c r="L950" s="69">
        <f>SUM('Archives Sorties'!$M950:$AAY950)</f>
        <v>0</v>
      </c>
      <c r="M950" s="51" t="str">
        <f t="shared" si="58"/>
        <v>0,00€</v>
      </c>
      <c r="P950" s="72"/>
      <c r="R950" s="185" t="str">
        <f t="shared" si="59"/>
        <v/>
      </c>
      <c r="S950" s="186" t="str">
        <f t="shared" si="60"/>
        <v/>
      </c>
      <c r="T950" s="187" t="str">
        <f>IF(R950="","",IF(O950=0,Famille!$D$5,IF(R950&lt;O950,Famille!$D$2,IF(R950&lt;=P950,Famille!$D$3,Famille!$D$4))))</f>
        <v/>
      </c>
    </row>
    <row r="951" spans="1:20" ht="12" customHeight="1" x14ac:dyDescent="0.2">
      <c r="A951" s="4" t="str">
        <f>IF(Produits!A832="","",Produits!A832)</f>
        <v/>
      </c>
      <c r="B951" s="4" t="str">
        <f>IF(Produits!B832="","",Produits!B832)</f>
        <v/>
      </c>
      <c r="C951" s="4" t="str">
        <f>IF(Produits!C832="","",Produits!C832)</f>
        <v/>
      </c>
      <c r="D951" s="4" t="str">
        <f>IF(Produits!D832="","",Produits!D832)</f>
        <v/>
      </c>
      <c r="E951" s="49" t="str">
        <f>IF(Produits!F832="","",Produits!F832)</f>
        <v/>
      </c>
      <c r="F951" s="50" t="str">
        <f>IF(Produits!H832="","",Produits!H832)</f>
        <v/>
      </c>
      <c r="H951" s="37"/>
      <c r="I951" s="2"/>
      <c r="J951" s="69">
        <f>SUM('Archives Entrées'!$N951:$AAV951)</f>
        <v>0</v>
      </c>
      <c r="K951" s="51" t="str">
        <f t="shared" si="57"/>
        <v>0,00€</v>
      </c>
      <c r="L951" s="69">
        <f>SUM('Archives Sorties'!$M951:$AAY951)</f>
        <v>0</v>
      </c>
      <c r="M951" s="51" t="str">
        <f t="shared" si="58"/>
        <v>0,00€</v>
      </c>
      <c r="P951" s="72"/>
      <c r="R951" s="185" t="str">
        <f t="shared" si="59"/>
        <v/>
      </c>
      <c r="S951" s="186" t="str">
        <f t="shared" si="60"/>
        <v/>
      </c>
      <c r="T951" s="187" t="str">
        <f>IF(R951="","",IF(O951=0,Famille!$D$5,IF(R951&lt;O951,Famille!$D$2,IF(R951&lt;=P951,Famille!$D$3,Famille!$D$4))))</f>
        <v/>
      </c>
    </row>
    <row r="952" spans="1:20" ht="12" customHeight="1" x14ac:dyDescent="0.2">
      <c r="A952" s="4" t="str">
        <f>IF(Produits!A833="","",Produits!A833)</f>
        <v/>
      </c>
      <c r="B952" s="4" t="str">
        <f>IF(Produits!B833="","",Produits!B833)</f>
        <v/>
      </c>
      <c r="C952" s="4" t="str">
        <f>IF(Produits!C833="","",Produits!C833)</f>
        <v/>
      </c>
      <c r="D952" s="4" t="str">
        <f>IF(Produits!D833="","",Produits!D833)</f>
        <v/>
      </c>
      <c r="E952" s="49" t="str">
        <f>IF(Produits!F833="","",Produits!F833)</f>
        <v/>
      </c>
      <c r="F952" s="50" t="str">
        <f>IF(Produits!H833="","",Produits!H833)</f>
        <v/>
      </c>
      <c r="H952" s="37"/>
      <c r="I952" s="2"/>
      <c r="J952" s="69">
        <f>SUM('Archives Entrées'!$N952:$AAV952)</f>
        <v>0</v>
      </c>
      <c r="K952" s="51" t="str">
        <f t="shared" si="57"/>
        <v>0,00€</v>
      </c>
      <c r="L952" s="69">
        <f>SUM('Archives Sorties'!$M952:$AAY952)</f>
        <v>0</v>
      </c>
      <c r="M952" s="51" t="str">
        <f t="shared" si="58"/>
        <v>0,00€</v>
      </c>
      <c r="P952" s="72"/>
      <c r="R952" s="185" t="str">
        <f t="shared" si="59"/>
        <v/>
      </c>
      <c r="S952" s="186" t="str">
        <f t="shared" si="60"/>
        <v/>
      </c>
      <c r="T952" s="187" t="str">
        <f>IF(R952="","",IF(O952=0,Famille!$D$5,IF(R952&lt;O952,Famille!$D$2,IF(R952&lt;=P952,Famille!$D$3,Famille!$D$4))))</f>
        <v/>
      </c>
    </row>
    <row r="953" spans="1:20" ht="12" customHeight="1" x14ac:dyDescent="0.2">
      <c r="A953" s="4" t="str">
        <f>IF(Produits!A834="","",Produits!A834)</f>
        <v/>
      </c>
      <c r="B953" s="4" t="str">
        <f>IF(Produits!B834="","",Produits!B834)</f>
        <v/>
      </c>
      <c r="C953" s="4" t="str">
        <f>IF(Produits!C834="","",Produits!C834)</f>
        <v/>
      </c>
      <c r="D953" s="4" t="str">
        <f>IF(Produits!D834="","",Produits!D834)</f>
        <v/>
      </c>
      <c r="E953" s="49" t="str">
        <f>IF(Produits!F834="","",Produits!F834)</f>
        <v/>
      </c>
      <c r="F953" s="50" t="str">
        <f>IF(Produits!H834="","",Produits!H834)</f>
        <v/>
      </c>
      <c r="H953" s="37"/>
      <c r="I953" s="2"/>
      <c r="J953" s="69">
        <f>SUM('Archives Entrées'!$N953:$AAV953)</f>
        <v>0</v>
      </c>
      <c r="K953" s="51" t="str">
        <f t="shared" si="57"/>
        <v>0,00€</v>
      </c>
      <c r="L953" s="69">
        <f>SUM('Archives Sorties'!$M953:$AAY953)</f>
        <v>0</v>
      </c>
      <c r="M953" s="51" t="str">
        <f t="shared" si="58"/>
        <v>0,00€</v>
      </c>
      <c r="P953" s="72"/>
      <c r="R953" s="185" t="str">
        <f t="shared" si="59"/>
        <v/>
      </c>
      <c r="S953" s="186" t="str">
        <f t="shared" si="60"/>
        <v/>
      </c>
      <c r="T953" s="187" t="str">
        <f>IF(R953="","",IF(O953=0,Famille!$D$5,IF(R953&lt;O953,Famille!$D$2,IF(R953&lt;=P953,Famille!$D$3,Famille!$D$4))))</f>
        <v/>
      </c>
    </row>
    <row r="954" spans="1:20" ht="12" customHeight="1" x14ac:dyDescent="0.2">
      <c r="A954" s="4" t="str">
        <f>IF(Produits!A835="","",Produits!A835)</f>
        <v/>
      </c>
      <c r="B954" s="4" t="str">
        <f>IF(Produits!B835="","",Produits!B835)</f>
        <v/>
      </c>
      <c r="C954" s="4" t="str">
        <f>IF(Produits!C835="","",Produits!C835)</f>
        <v/>
      </c>
      <c r="D954" s="4" t="str">
        <f>IF(Produits!D835="","",Produits!D835)</f>
        <v/>
      </c>
      <c r="E954" s="49" t="str">
        <f>IF(Produits!F835="","",Produits!F835)</f>
        <v/>
      </c>
      <c r="F954" s="50" t="str">
        <f>IF(Produits!H835="","",Produits!H835)</f>
        <v/>
      </c>
      <c r="H954" s="37"/>
      <c r="I954" s="2"/>
      <c r="J954" s="69">
        <f>SUM('Archives Entrées'!$N954:$AAV954)</f>
        <v>0</v>
      </c>
      <c r="K954" s="51" t="str">
        <f t="shared" si="57"/>
        <v>0,00€</v>
      </c>
      <c r="L954" s="69">
        <f>SUM('Archives Sorties'!$M954:$AAY954)</f>
        <v>0</v>
      </c>
      <c r="M954" s="51" t="str">
        <f t="shared" si="58"/>
        <v>0,00€</v>
      </c>
      <c r="P954" s="72"/>
      <c r="R954" s="185" t="str">
        <f t="shared" si="59"/>
        <v/>
      </c>
      <c r="S954" s="186" t="str">
        <f t="shared" si="60"/>
        <v/>
      </c>
      <c r="T954" s="187" t="str">
        <f>IF(R954="","",IF(O954=0,Famille!$D$5,IF(R954&lt;O954,Famille!$D$2,IF(R954&lt;=P954,Famille!$D$3,Famille!$D$4))))</f>
        <v/>
      </c>
    </row>
    <row r="955" spans="1:20" ht="12" customHeight="1" x14ac:dyDescent="0.2">
      <c r="A955" s="4" t="str">
        <f>IF(Produits!A836="","",Produits!A836)</f>
        <v/>
      </c>
      <c r="B955" s="4" t="str">
        <f>IF(Produits!B836="","",Produits!B836)</f>
        <v/>
      </c>
      <c r="C955" s="4" t="str">
        <f>IF(Produits!C836="","",Produits!C836)</f>
        <v/>
      </c>
      <c r="D955" s="4" t="str">
        <f>IF(Produits!D836="","",Produits!D836)</f>
        <v/>
      </c>
      <c r="E955" s="49" t="str">
        <f>IF(Produits!F836="","",Produits!F836)</f>
        <v/>
      </c>
      <c r="F955" s="50" t="str">
        <f>IF(Produits!H836="","",Produits!H836)</f>
        <v/>
      </c>
      <c r="H955" s="37"/>
      <c r="I955" s="2"/>
      <c r="J955" s="69">
        <f>SUM('Archives Entrées'!$N955:$AAV955)</f>
        <v>0</v>
      </c>
      <c r="K955" s="51" t="str">
        <f t="shared" si="57"/>
        <v>0,00€</v>
      </c>
      <c r="L955" s="69">
        <f>SUM('Archives Sorties'!$M955:$AAY955)</f>
        <v>0</v>
      </c>
      <c r="M955" s="51" t="str">
        <f t="shared" si="58"/>
        <v>0,00€</v>
      </c>
      <c r="P955" s="72"/>
      <c r="R955" s="185" t="str">
        <f t="shared" si="59"/>
        <v/>
      </c>
      <c r="S955" s="186" t="str">
        <f t="shared" si="60"/>
        <v/>
      </c>
      <c r="T955" s="187" t="str">
        <f>IF(R955="","",IF(O955=0,Famille!$D$5,IF(R955&lt;O955,Famille!$D$2,IF(R955&lt;=P955,Famille!$D$3,Famille!$D$4))))</f>
        <v/>
      </c>
    </row>
    <row r="956" spans="1:20" ht="12" customHeight="1" x14ac:dyDescent="0.2">
      <c r="A956" s="4" t="str">
        <f>IF(Produits!A837="","",Produits!A837)</f>
        <v/>
      </c>
      <c r="B956" s="4" t="str">
        <f>IF(Produits!B837="","",Produits!B837)</f>
        <v/>
      </c>
      <c r="C956" s="4" t="str">
        <f>IF(Produits!C837="","",Produits!C837)</f>
        <v/>
      </c>
      <c r="D956" s="4" t="str">
        <f>IF(Produits!D837="","",Produits!D837)</f>
        <v/>
      </c>
      <c r="E956" s="49" t="str">
        <f>IF(Produits!F837="","",Produits!F837)</f>
        <v/>
      </c>
      <c r="F956" s="50" t="str">
        <f>IF(Produits!H837="","",Produits!H837)</f>
        <v/>
      </c>
      <c r="H956" s="37"/>
      <c r="I956" s="2"/>
      <c r="J956" s="69">
        <f>SUM('Archives Entrées'!$N956:$AAV956)</f>
        <v>0</v>
      </c>
      <c r="K956" s="51" t="str">
        <f t="shared" si="57"/>
        <v>0,00€</v>
      </c>
      <c r="L956" s="69">
        <f>SUM('Archives Sorties'!$M956:$AAY956)</f>
        <v>0</v>
      </c>
      <c r="M956" s="51" t="str">
        <f t="shared" si="58"/>
        <v>0,00€</v>
      </c>
      <c r="P956" s="72"/>
      <c r="R956" s="185" t="str">
        <f t="shared" si="59"/>
        <v/>
      </c>
      <c r="S956" s="186" t="str">
        <f t="shared" si="60"/>
        <v/>
      </c>
      <c r="T956" s="187" t="str">
        <f>IF(R956="","",IF(O956=0,Famille!$D$5,IF(R956&lt;O956,Famille!$D$2,IF(R956&lt;=P956,Famille!$D$3,Famille!$D$4))))</f>
        <v/>
      </c>
    </row>
    <row r="957" spans="1:20" ht="12" customHeight="1" x14ac:dyDescent="0.2">
      <c r="A957" s="4" t="str">
        <f>IF(Produits!A838="","",Produits!A838)</f>
        <v/>
      </c>
      <c r="B957" s="4" t="str">
        <f>IF(Produits!B838="","",Produits!B838)</f>
        <v/>
      </c>
      <c r="C957" s="4" t="str">
        <f>IF(Produits!C838="","",Produits!C838)</f>
        <v/>
      </c>
      <c r="D957" s="4" t="str">
        <f>IF(Produits!D838="","",Produits!D838)</f>
        <v/>
      </c>
      <c r="E957" s="49" t="str">
        <f>IF(Produits!F838="","",Produits!F838)</f>
        <v/>
      </c>
      <c r="F957" s="50" t="str">
        <f>IF(Produits!H838="","",Produits!H838)</f>
        <v/>
      </c>
      <c r="H957" s="37"/>
      <c r="I957" s="2"/>
      <c r="J957" s="69">
        <f>SUM('Archives Entrées'!$N957:$AAV957)</f>
        <v>0</v>
      </c>
      <c r="K957" s="51" t="str">
        <f t="shared" si="57"/>
        <v>0,00€</v>
      </c>
      <c r="L957" s="69">
        <f>SUM('Archives Sorties'!$M957:$AAY957)</f>
        <v>0</v>
      </c>
      <c r="M957" s="51" t="str">
        <f t="shared" si="58"/>
        <v>0,00€</v>
      </c>
      <c r="P957" s="72"/>
      <c r="R957" s="185" t="str">
        <f t="shared" si="59"/>
        <v/>
      </c>
      <c r="S957" s="186" t="str">
        <f t="shared" si="60"/>
        <v/>
      </c>
      <c r="T957" s="187" t="str">
        <f>IF(R957="","",IF(O957=0,Famille!$D$5,IF(R957&lt;O957,Famille!$D$2,IF(R957&lt;=P957,Famille!$D$3,Famille!$D$4))))</f>
        <v/>
      </c>
    </row>
    <row r="958" spans="1:20" ht="12" customHeight="1" x14ac:dyDescent="0.2">
      <c r="A958" s="4" t="str">
        <f>IF(Produits!A839="","",Produits!A839)</f>
        <v/>
      </c>
      <c r="B958" s="4" t="str">
        <f>IF(Produits!B839="","",Produits!B839)</f>
        <v/>
      </c>
      <c r="C958" s="4" t="str">
        <f>IF(Produits!C839="","",Produits!C839)</f>
        <v/>
      </c>
      <c r="D958" s="4" t="str">
        <f>IF(Produits!D839="","",Produits!D839)</f>
        <v/>
      </c>
      <c r="E958" s="49" t="str">
        <f>IF(Produits!F839="","",Produits!F839)</f>
        <v/>
      </c>
      <c r="F958" s="50" t="str">
        <f>IF(Produits!H839="","",Produits!H839)</f>
        <v/>
      </c>
      <c r="H958" s="37"/>
      <c r="I958" s="2"/>
      <c r="J958" s="69">
        <f>SUM('Archives Entrées'!$N958:$AAV958)</f>
        <v>0</v>
      </c>
      <c r="K958" s="51" t="str">
        <f t="shared" si="57"/>
        <v>0,00€</v>
      </c>
      <c r="L958" s="69">
        <f>SUM('Archives Sorties'!$M958:$AAY958)</f>
        <v>0</v>
      </c>
      <c r="M958" s="51" t="str">
        <f t="shared" si="58"/>
        <v>0,00€</v>
      </c>
      <c r="P958" s="72"/>
      <c r="R958" s="185" t="str">
        <f t="shared" si="59"/>
        <v/>
      </c>
      <c r="S958" s="186" t="str">
        <f t="shared" si="60"/>
        <v/>
      </c>
      <c r="T958" s="187" t="str">
        <f>IF(R958="","",IF(O958=0,Famille!$D$5,IF(R958&lt;O958,Famille!$D$2,IF(R958&lt;=P958,Famille!$D$3,Famille!$D$4))))</f>
        <v/>
      </c>
    </row>
    <row r="959" spans="1:20" ht="12" customHeight="1" x14ac:dyDescent="0.2">
      <c r="A959" s="4" t="str">
        <f>IF(Produits!A840="","",Produits!A840)</f>
        <v/>
      </c>
      <c r="B959" s="4" t="str">
        <f>IF(Produits!B840="","",Produits!B840)</f>
        <v/>
      </c>
      <c r="C959" s="4" t="str">
        <f>IF(Produits!C840="","",Produits!C840)</f>
        <v/>
      </c>
      <c r="D959" s="4" t="str">
        <f>IF(Produits!D840="","",Produits!D840)</f>
        <v/>
      </c>
      <c r="E959" s="49" t="str">
        <f>IF(Produits!F840="","",Produits!F840)</f>
        <v/>
      </c>
      <c r="F959" s="50" t="str">
        <f>IF(Produits!H840="","",Produits!H840)</f>
        <v/>
      </c>
      <c r="H959" s="37"/>
      <c r="I959" s="2"/>
      <c r="J959" s="69">
        <f>SUM('Archives Entrées'!$N959:$AAV959)</f>
        <v>0</v>
      </c>
      <c r="K959" s="51" t="str">
        <f t="shared" si="57"/>
        <v>0,00€</v>
      </c>
      <c r="L959" s="69">
        <f>SUM('Archives Sorties'!$M959:$AAY959)</f>
        <v>0</v>
      </c>
      <c r="M959" s="51" t="str">
        <f t="shared" si="58"/>
        <v>0,00€</v>
      </c>
      <c r="P959" s="72"/>
      <c r="R959" s="185" t="str">
        <f t="shared" si="59"/>
        <v/>
      </c>
      <c r="S959" s="186" t="str">
        <f t="shared" si="60"/>
        <v/>
      </c>
      <c r="T959" s="187" t="str">
        <f>IF(R959="","",IF(O959=0,Famille!$D$5,IF(R959&lt;O959,Famille!$D$2,IF(R959&lt;=P959,Famille!$D$3,Famille!$D$4))))</f>
        <v/>
      </c>
    </row>
    <row r="960" spans="1:20" ht="12" customHeight="1" x14ac:dyDescent="0.2">
      <c r="A960" s="4" t="str">
        <f>IF(Produits!A841="","",Produits!A841)</f>
        <v/>
      </c>
      <c r="B960" s="4" t="str">
        <f>IF(Produits!B841="","",Produits!B841)</f>
        <v/>
      </c>
      <c r="C960" s="4" t="str">
        <f>IF(Produits!C841="","",Produits!C841)</f>
        <v/>
      </c>
      <c r="D960" s="4" t="str">
        <f>IF(Produits!D841="","",Produits!D841)</f>
        <v/>
      </c>
      <c r="E960" s="49" t="str">
        <f>IF(Produits!F841="","",Produits!F841)</f>
        <v/>
      </c>
      <c r="F960" s="50" t="str">
        <f>IF(Produits!H841="","",Produits!H841)</f>
        <v/>
      </c>
      <c r="H960" s="37"/>
      <c r="I960" s="2"/>
      <c r="J960" s="69">
        <f>SUM('Archives Entrées'!$N960:$AAV960)</f>
        <v>0</v>
      </c>
      <c r="K960" s="51" t="str">
        <f t="shared" si="57"/>
        <v>0,00€</v>
      </c>
      <c r="L960" s="69">
        <f>SUM('Archives Sorties'!$M960:$AAY960)</f>
        <v>0</v>
      </c>
      <c r="M960" s="51" t="str">
        <f t="shared" si="58"/>
        <v>0,00€</v>
      </c>
      <c r="P960" s="72"/>
      <c r="R960" s="185" t="str">
        <f t="shared" si="59"/>
        <v/>
      </c>
      <c r="S960" s="186" t="str">
        <f t="shared" si="60"/>
        <v/>
      </c>
      <c r="T960" s="187" t="str">
        <f>IF(R960="","",IF(O960=0,Famille!$D$5,IF(R960&lt;O960,Famille!$D$2,IF(R960&lt;=P960,Famille!$D$3,Famille!$D$4))))</f>
        <v/>
      </c>
    </row>
    <row r="961" spans="1:20" ht="12" customHeight="1" x14ac:dyDescent="0.2">
      <c r="A961" s="4" t="str">
        <f>IF(Produits!A842="","",Produits!A842)</f>
        <v/>
      </c>
      <c r="B961" s="4" t="str">
        <f>IF(Produits!B842="","",Produits!B842)</f>
        <v/>
      </c>
      <c r="C961" s="4" t="str">
        <f>IF(Produits!C842="","",Produits!C842)</f>
        <v/>
      </c>
      <c r="D961" s="4" t="str">
        <f>IF(Produits!D842="","",Produits!D842)</f>
        <v/>
      </c>
      <c r="E961" s="49" t="str">
        <f>IF(Produits!F842="","",Produits!F842)</f>
        <v/>
      </c>
      <c r="F961" s="50" t="str">
        <f>IF(Produits!H842="","",Produits!H842)</f>
        <v/>
      </c>
      <c r="H961" s="37"/>
      <c r="I961" s="2"/>
      <c r="J961" s="69">
        <f>SUM('Archives Entrées'!$N961:$AAV961)</f>
        <v>0</v>
      </c>
      <c r="K961" s="51" t="str">
        <f t="shared" si="57"/>
        <v>0,00€</v>
      </c>
      <c r="L961" s="69">
        <f>SUM('Archives Sorties'!$M961:$AAY961)</f>
        <v>0</v>
      </c>
      <c r="M961" s="51" t="str">
        <f t="shared" si="58"/>
        <v>0,00€</v>
      </c>
      <c r="P961" s="72"/>
      <c r="R961" s="185" t="str">
        <f t="shared" si="59"/>
        <v/>
      </c>
      <c r="S961" s="186" t="str">
        <f t="shared" si="60"/>
        <v/>
      </c>
      <c r="T961" s="187" t="str">
        <f>IF(R961="","",IF(O961=0,Famille!$D$5,IF(R961&lt;O961,Famille!$D$2,IF(R961&lt;=P961,Famille!$D$3,Famille!$D$4))))</f>
        <v/>
      </c>
    </row>
    <row r="962" spans="1:20" ht="12" customHeight="1" x14ac:dyDescent="0.2">
      <c r="A962" s="4" t="str">
        <f>IF(Produits!A843="","",Produits!A843)</f>
        <v/>
      </c>
      <c r="B962" s="4" t="str">
        <f>IF(Produits!B843="","",Produits!B843)</f>
        <v/>
      </c>
      <c r="C962" s="4" t="str">
        <f>IF(Produits!C843="","",Produits!C843)</f>
        <v/>
      </c>
      <c r="D962" s="4" t="str">
        <f>IF(Produits!D843="","",Produits!D843)</f>
        <v/>
      </c>
      <c r="E962" s="49" t="str">
        <f>IF(Produits!F843="","",Produits!F843)</f>
        <v/>
      </c>
      <c r="F962" s="50" t="str">
        <f>IF(Produits!H843="","",Produits!H843)</f>
        <v/>
      </c>
      <c r="H962" s="37"/>
      <c r="I962" s="2"/>
      <c r="J962" s="69">
        <f>SUM('Archives Entrées'!$N962:$AAV962)</f>
        <v>0</v>
      </c>
      <c r="K962" s="51" t="str">
        <f t="shared" si="57"/>
        <v>0,00€</v>
      </c>
      <c r="L962" s="69">
        <f>SUM('Archives Sorties'!$M962:$AAY962)</f>
        <v>0</v>
      </c>
      <c r="M962" s="51" t="str">
        <f t="shared" si="58"/>
        <v>0,00€</v>
      </c>
      <c r="P962" s="72"/>
      <c r="R962" s="185" t="str">
        <f t="shared" si="59"/>
        <v/>
      </c>
      <c r="S962" s="186" t="str">
        <f t="shared" si="60"/>
        <v/>
      </c>
      <c r="T962" s="187" t="str">
        <f>IF(R962="","",IF(O962=0,Famille!$D$5,IF(R962&lt;O962,Famille!$D$2,IF(R962&lt;=P962,Famille!$D$3,Famille!$D$4))))</f>
        <v/>
      </c>
    </row>
    <row r="963" spans="1:20" ht="12" customHeight="1" x14ac:dyDescent="0.2">
      <c r="A963" s="4" t="str">
        <f>IF(Produits!A844="","",Produits!A844)</f>
        <v/>
      </c>
      <c r="B963" s="4" t="str">
        <f>IF(Produits!B844="","",Produits!B844)</f>
        <v/>
      </c>
      <c r="C963" s="4" t="str">
        <f>IF(Produits!C844="","",Produits!C844)</f>
        <v/>
      </c>
      <c r="D963" s="4" t="str">
        <f>IF(Produits!D844="","",Produits!D844)</f>
        <v/>
      </c>
      <c r="E963" s="49" t="str">
        <f>IF(Produits!F844="","",Produits!F844)</f>
        <v/>
      </c>
      <c r="F963" s="50" t="str">
        <f>IF(Produits!H844="","",Produits!H844)</f>
        <v/>
      </c>
      <c r="H963" s="37"/>
      <c r="I963" s="2"/>
      <c r="J963" s="69">
        <f>SUM('Archives Entrées'!$N963:$AAV963)</f>
        <v>0</v>
      </c>
      <c r="K963" s="51" t="str">
        <f t="shared" si="57"/>
        <v>0,00€</v>
      </c>
      <c r="L963" s="69">
        <f>SUM('Archives Sorties'!$M963:$AAY963)</f>
        <v>0</v>
      </c>
      <c r="M963" s="51" t="str">
        <f t="shared" si="58"/>
        <v>0,00€</v>
      </c>
      <c r="P963" s="72"/>
      <c r="R963" s="185" t="str">
        <f t="shared" si="59"/>
        <v/>
      </c>
      <c r="S963" s="186" t="str">
        <f t="shared" si="60"/>
        <v/>
      </c>
      <c r="T963" s="187" t="str">
        <f>IF(R963="","",IF(O963=0,Famille!$D$5,IF(R963&lt;O963,Famille!$D$2,IF(R963&lt;=P963,Famille!$D$3,Famille!$D$4))))</f>
        <v/>
      </c>
    </row>
    <row r="964" spans="1:20" ht="12" customHeight="1" x14ac:dyDescent="0.2">
      <c r="A964" s="4" t="str">
        <f>IF(Produits!A845="","",Produits!A845)</f>
        <v/>
      </c>
      <c r="B964" s="4" t="str">
        <f>IF(Produits!B845="","",Produits!B845)</f>
        <v/>
      </c>
      <c r="C964" s="4" t="str">
        <f>IF(Produits!C845="","",Produits!C845)</f>
        <v/>
      </c>
      <c r="D964" s="4" t="str">
        <f>IF(Produits!D845="","",Produits!D845)</f>
        <v/>
      </c>
      <c r="E964" s="49" t="str">
        <f>IF(Produits!F845="","",Produits!F845)</f>
        <v/>
      </c>
      <c r="F964" s="50" t="str">
        <f>IF(Produits!H845="","",Produits!H845)</f>
        <v/>
      </c>
      <c r="H964" s="37"/>
      <c r="I964" s="2"/>
      <c r="J964" s="69">
        <f>SUM('Archives Entrées'!$N964:$AAV964)</f>
        <v>0</v>
      </c>
      <c r="K964" s="51" t="str">
        <f t="shared" si="57"/>
        <v>0,00€</v>
      </c>
      <c r="L964" s="69">
        <f>SUM('Archives Sorties'!$M964:$AAY964)</f>
        <v>0</v>
      </c>
      <c r="M964" s="51" t="str">
        <f t="shared" si="58"/>
        <v>0,00€</v>
      </c>
      <c r="P964" s="72"/>
      <c r="R964" s="185" t="str">
        <f t="shared" si="59"/>
        <v/>
      </c>
      <c r="S964" s="186" t="str">
        <f t="shared" si="60"/>
        <v/>
      </c>
      <c r="T964" s="187" t="str">
        <f>IF(R964="","",IF(O964=0,Famille!$D$5,IF(R964&lt;O964,Famille!$D$2,IF(R964&lt;=P964,Famille!$D$3,Famille!$D$4))))</f>
        <v/>
      </c>
    </row>
    <row r="965" spans="1:20" ht="12" customHeight="1" x14ac:dyDescent="0.2">
      <c r="A965" s="4" t="str">
        <f>IF(Produits!A846="","",Produits!A846)</f>
        <v/>
      </c>
      <c r="B965" s="4" t="str">
        <f>IF(Produits!B846="","",Produits!B846)</f>
        <v/>
      </c>
      <c r="C965" s="4" t="str">
        <f>IF(Produits!C846="","",Produits!C846)</f>
        <v/>
      </c>
      <c r="D965" s="4" t="str">
        <f>IF(Produits!D846="","",Produits!D846)</f>
        <v/>
      </c>
      <c r="E965" s="49" t="str">
        <f>IF(Produits!F846="","",Produits!F846)</f>
        <v/>
      </c>
      <c r="F965" s="50" t="str">
        <f>IF(Produits!H846="","",Produits!H846)</f>
        <v/>
      </c>
      <c r="H965" s="37"/>
      <c r="I965" s="2"/>
      <c r="J965" s="69">
        <f>SUM('Archives Entrées'!$N965:$AAV965)</f>
        <v>0</v>
      </c>
      <c r="K965" s="51" t="str">
        <f t="shared" ref="K965:K1000" si="61">IF(J965=0,"0,00€",J965*F965)</f>
        <v>0,00€</v>
      </c>
      <c r="L965" s="69">
        <f>SUM('Archives Sorties'!$M965:$AAY965)</f>
        <v>0</v>
      </c>
      <c r="M965" s="51" t="str">
        <f t="shared" ref="M965:M1000" si="62">IF(L965=0,"0,00€",L965*F965)</f>
        <v>0,00€</v>
      </c>
      <c r="P965" s="72"/>
      <c r="R965" s="185" t="str">
        <f t="shared" ref="R965:R1000" si="63">IF(A965="","",((J965+H965)-L965))</f>
        <v/>
      </c>
      <c r="S965" s="186" t="str">
        <f t="shared" ref="S965:S1000" si="64">IF(R965="","",IF(R965=0,0,IF(R965&lt;O965,0,IF(R965&lt;=P965,1,2))))</f>
        <v/>
      </c>
      <c r="T965" s="187" t="str">
        <f>IF(R965="","",IF(O965=0,Famille!$D$5,IF(R965&lt;O965,Famille!$D$2,IF(R965&lt;=P965,Famille!$D$3,Famille!$D$4))))</f>
        <v/>
      </c>
    </row>
    <row r="966" spans="1:20" ht="12" customHeight="1" x14ac:dyDescent="0.2">
      <c r="A966" s="4" t="str">
        <f>IF(Produits!A847="","",Produits!A847)</f>
        <v/>
      </c>
      <c r="B966" s="4" t="str">
        <f>IF(Produits!B847="","",Produits!B847)</f>
        <v/>
      </c>
      <c r="C966" s="4" t="str">
        <f>IF(Produits!C847="","",Produits!C847)</f>
        <v/>
      </c>
      <c r="D966" s="4" t="str">
        <f>IF(Produits!D847="","",Produits!D847)</f>
        <v/>
      </c>
      <c r="E966" s="49" t="str">
        <f>IF(Produits!F847="","",Produits!F847)</f>
        <v/>
      </c>
      <c r="F966" s="50" t="str">
        <f>IF(Produits!H847="","",Produits!H847)</f>
        <v/>
      </c>
      <c r="H966" s="37"/>
      <c r="I966" s="2"/>
      <c r="J966" s="69">
        <f>SUM('Archives Entrées'!$N966:$AAV966)</f>
        <v>0</v>
      </c>
      <c r="K966" s="51" t="str">
        <f t="shared" si="61"/>
        <v>0,00€</v>
      </c>
      <c r="L966" s="69">
        <f>SUM('Archives Sorties'!$M966:$AAY966)</f>
        <v>0</v>
      </c>
      <c r="M966" s="51" t="str">
        <f t="shared" si="62"/>
        <v>0,00€</v>
      </c>
      <c r="P966" s="72"/>
      <c r="R966" s="185" t="str">
        <f t="shared" si="63"/>
        <v/>
      </c>
      <c r="S966" s="186" t="str">
        <f t="shared" si="64"/>
        <v/>
      </c>
      <c r="T966" s="187" t="str">
        <f>IF(R966="","",IF(O966=0,Famille!$D$5,IF(R966&lt;O966,Famille!$D$2,IF(R966&lt;=P966,Famille!$D$3,Famille!$D$4))))</f>
        <v/>
      </c>
    </row>
    <row r="967" spans="1:20" ht="12" customHeight="1" x14ac:dyDescent="0.2">
      <c r="A967" s="4" t="str">
        <f>IF(Produits!A848="","",Produits!A848)</f>
        <v/>
      </c>
      <c r="B967" s="4" t="str">
        <f>IF(Produits!B848="","",Produits!B848)</f>
        <v/>
      </c>
      <c r="C967" s="4" t="str">
        <f>IF(Produits!C848="","",Produits!C848)</f>
        <v/>
      </c>
      <c r="D967" s="4" t="str">
        <f>IF(Produits!D848="","",Produits!D848)</f>
        <v/>
      </c>
      <c r="E967" s="49" t="str">
        <f>IF(Produits!F848="","",Produits!F848)</f>
        <v/>
      </c>
      <c r="F967" s="50" t="str">
        <f>IF(Produits!H848="","",Produits!H848)</f>
        <v/>
      </c>
      <c r="H967" s="37"/>
      <c r="I967" s="2"/>
      <c r="J967" s="69">
        <f>SUM('Archives Entrées'!$N967:$AAV967)</f>
        <v>0</v>
      </c>
      <c r="K967" s="51" t="str">
        <f t="shared" si="61"/>
        <v>0,00€</v>
      </c>
      <c r="L967" s="69">
        <f>SUM('Archives Sorties'!$M967:$AAY967)</f>
        <v>0</v>
      </c>
      <c r="M967" s="51" t="str">
        <f t="shared" si="62"/>
        <v>0,00€</v>
      </c>
      <c r="P967" s="72"/>
      <c r="R967" s="185" t="str">
        <f t="shared" si="63"/>
        <v/>
      </c>
      <c r="S967" s="186" t="str">
        <f t="shared" si="64"/>
        <v/>
      </c>
      <c r="T967" s="187" t="str">
        <f>IF(R967="","",IF(O967=0,Famille!$D$5,IF(R967&lt;O967,Famille!$D$2,IF(R967&lt;=P967,Famille!$D$3,Famille!$D$4))))</f>
        <v/>
      </c>
    </row>
    <row r="968" spans="1:20" ht="12" customHeight="1" x14ac:dyDescent="0.2">
      <c r="A968" s="4" t="str">
        <f>IF(Produits!A849="","",Produits!A849)</f>
        <v/>
      </c>
      <c r="B968" s="4" t="str">
        <f>IF(Produits!B849="","",Produits!B849)</f>
        <v/>
      </c>
      <c r="C968" s="4" t="str">
        <f>IF(Produits!C849="","",Produits!C849)</f>
        <v/>
      </c>
      <c r="D968" s="4" t="str">
        <f>IF(Produits!D849="","",Produits!D849)</f>
        <v/>
      </c>
      <c r="E968" s="49" t="str">
        <f>IF(Produits!F849="","",Produits!F849)</f>
        <v/>
      </c>
      <c r="F968" s="50" t="str">
        <f>IF(Produits!H849="","",Produits!H849)</f>
        <v/>
      </c>
      <c r="H968" s="37"/>
      <c r="I968" s="2"/>
      <c r="J968" s="69">
        <f>SUM('Archives Entrées'!$N968:$AAV968)</f>
        <v>0</v>
      </c>
      <c r="K968" s="51" t="str">
        <f t="shared" si="61"/>
        <v>0,00€</v>
      </c>
      <c r="L968" s="69">
        <f>SUM('Archives Sorties'!$M968:$AAY968)</f>
        <v>0</v>
      </c>
      <c r="M968" s="51" t="str">
        <f t="shared" si="62"/>
        <v>0,00€</v>
      </c>
      <c r="P968" s="72"/>
      <c r="R968" s="185" t="str">
        <f t="shared" si="63"/>
        <v/>
      </c>
      <c r="S968" s="186" t="str">
        <f t="shared" si="64"/>
        <v/>
      </c>
      <c r="T968" s="187" t="str">
        <f>IF(R968="","",IF(O968=0,Famille!$D$5,IF(R968&lt;O968,Famille!$D$2,IF(R968&lt;=P968,Famille!$D$3,Famille!$D$4))))</f>
        <v/>
      </c>
    </row>
    <row r="969" spans="1:20" ht="12" customHeight="1" x14ac:dyDescent="0.2">
      <c r="A969" s="4" t="str">
        <f>IF(Produits!A850="","",Produits!A850)</f>
        <v/>
      </c>
      <c r="B969" s="4" t="str">
        <f>IF(Produits!B850="","",Produits!B850)</f>
        <v/>
      </c>
      <c r="C969" s="4" t="str">
        <f>IF(Produits!C850="","",Produits!C850)</f>
        <v/>
      </c>
      <c r="D969" s="4" t="str">
        <f>IF(Produits!D850="","",Produits!D850)</f>
        <v/>
      </c>
      <c r="E969" s="49" t="str">
        <f>IF(Produits!F850="","",Produits!F850)</f>
        <v/>
      </c>
      <c r="F969" s="50" t="str">
        <f>IF(Produits!H850="","",Produits!H850)</f>
        <v/>
      </c>
      <c r="H969" s="37"/>
      <c r="I969" s="2"/>
      <c r="J969" s="69">
        <f>SUM('Archives Entrées'!$N969:$AAV969)</f>
        <v>0</v>
      </c>
      <c r="K969" s="51" t="str">
        <f t="shared" si="61"/>
        <v>0,00€</v>
      </c>
      <c r="L969" s="69">
        <f>SUM('Archives Sorties'!$M969:$AAY969)</f>
        <v>0</v>
      </c>
      <c r="M969" s="51" t="str">
        <f t="shared" si="62"/>
        <v>0,00€</v>
      </c>
      <c r="P969" s="72"/>
      <c r="R969" s="185" t="str">
        <f t="shared" si="63"/>
        <v/>
      </c>
      <c r="S969" s="186" t="str">
        <f t="shared" si="64"/>
        <v/>
      </c>
      <c r="T969" s="187" t="str">
        <f>IF(R969="","",IF(O969=0,Famille!$D$5,IF(R969&lt;O969,Famille!$D$2,IF(R969&lt;=P969,Famille!$D$3,Famille!$D$4))))</f>
        <v/>
      </c>
    </row>
    <row r="970" spans="1:20" ht="12" customHeight="1" x14ac:dyDescent="0.2">
      <c r="A970" s="4" t="str">
        <f>IF(Produits!A851="","",Produits!A851)</f>
        <v/>
      </c>
      <c r="B970" s="4" t="str">
        <f>IF(Produits!B851="","",Produits!B851)</f>
        <v/>
      </c>
      <c r="C970" s="4" t="str">
        <f>IF(Produits!C851="","",Produits!C851)</f>
        <v/>
      </c>
      <c r="D970" s="4" t="str">
        <f>IF(Produits!D851="","",Produits!D851)</f>
        <v/>
      </c>
      <c r="E970" s="49" t="str">
        <f>IF(Produits!F851="","",Produits!F851)</f>
        <v/>
      </c>
      <c r="F970" s="50" t="str">
        <f>IF(Produits!H851="","",Produits!H851)</f>
        <v/>
      </c>
      <c r="H970" s="37"/>
      <c r="I970" s="2"/>
      <c r="J970" s="69">
        <f>SUM('Archives Entrées'!$N970:$AAV970)</f>
        <v>0</v>
      </c>
      <c r="K970" s="51" t="str">
        <f t="shared" si="61"/>
        <v>0,00€</v>
      </c>
      <c r="L970" s="69">
        <f>SUM('Archives Sorties'!$M970:$AAY970)</f>
        <v>0</v>
      </c>
      <c r="M970" s="51" t="str">
        <f t="shared" si="62"/>
        <v>0,00€</v>
      </c>
      <c r="P970" s="72"/>
      <c r="R970" s="185" t="str">
        <f t="shared" si="63"/>
        <v/>
      </c>
      <c r="S970" s="186" t="str">
        <f t="shared" si="64"/>
        <v/>
      </c>
      <c r="T970" s="187" t="str">
        <f>IF(R970="","",IF(O970=0,Famille!$D$5,IF(R970&lt;O970,Famille!$D$2,IF(R970&lt;=P970,Famille!$D$3,Famille!$D$4))))</f>
        <v/>
      </c>
    </row>
    <row r="971" spans="1:20" ht="12" customHeight="1" x14ac:dyDescent="0.2">
      <c r="A971" s="4" t="str">
        <f>IF(Produits!A852="","",Produits!A852)</f>
        <v/>
      </c>
      <c r="B971" s="4" t="str">
        <f>IF(Produits!B852="","",Produits!B852)</f>
        <v/>
      </c>
      <c r="C971" s="4" t="str">
        <f>IF(Produits!C852="","",Produits!C852)</f>
        <v/>
      </c>
      <c r="D971" s="4" t="str">
        <f>IF(Produits!D852="","",Produits!D852)</f>
        <v/>
      </c>
      <c r="E971" s="49" t="str">
        <f>IF(Produits!F852="","",Produits!F852)</f>
        <v/>
      </c>
      <c r="F971" s="50" t="str">
        <f>IF(Produits!H852="","",Produits!H852)</f>
        <v/>
      </c>
      <c r="H971" s="37"/>
      <c r="I971" s="2"/>
      <c r="J971" s="69">
        <f>SUM('Archives Entrées'!$N971:$AAV971)</f>
        <v>0</v>
      </c>
      <c r="K971" s="51" t="str">
        <f t="shared" si="61"/>
        <v>0,00€</v>
      </c>
      <c r="L971" s="69">
        <f>SUM('Archives Sorties'!$M971:$AAY971)</f>
        <v>0</v>
      </c>
      <c r="M971" s="51" t="str">
        <f t="shared" si="62"/>
        <v>0,00€</v>
      </c>
      <c r="P971" s="72"/>
      <c r="R971" s="185" t="str">
        <f t="shared" si="63"/>
        <v/>
      </c>
      <c r="S971" s="186" t="str">
        <f t="shared" si="64"/>
        <v/>
      </c>
      <c r="T971" s="187" t="str">
        <f>IF(R971="","",IF(O971=0,Famille!$D$5,IF(R971&lt;O971,Famille!$D$2,IF(R971&lt;=P971,Famille!$D$3,Famille!$D$4))))</f>
        <v/>
      </c>
    </row>
    <row r="972" spans="1:20" ht="12" customHeight="1" x14ac:dyDescent="0.2">
      <c r="A972" s="4" t="str">
        <f>IF(Produits!A853="","",Produits!A853)</f>
        <v/>
      </c>
      <c r="B972" s="4" t="str">
        <f>IF(Produits!B853="","",Produits!B853)</f>
        <v/>
      </c>
      <c r="C972" s="4" t="str">
        <f>IF(Produits!C853="","",Produits!C853)</f>
        <v/>
      </c>
      <c r="D972" s="4" t="str">
        <f>IF(Produits!D853="","",Produits!D853)</f>
        <v/>
      </c>
      <c r="E972" s="49" t="str">
        <f>IF(Produits!F853="","",Produits!F853)</f>
        <v/>
      </c>
      <c r="F972" s="50" t="str">
        <f>IF(Produits!H853="","",Produits!H853)</f>
        <v/>
      </c>
      <c r="H972" s="37"/>
      <c r="I972" s="2"/>
      <c r="J972" s="69">
        <f>SUM('Archives Entrées'!$N972:$AAV972)</f>
        <v>0</v>
      </c>
      <c r="K972" s="51" t="str">
        <f t="shared" si="61"/>
        <v>0,00€</v>
      </c>
      <c r="L972" s="69">
        <f>SUM('Archives Sorties'!$M972:$AAY972)</f>
        <v>0</v>
      </c>
      <c r="M972" s="51" t="str">
        <f t="shared" si="62"/>
        <v>0,00€</v>
      </c>
      <c r="P972" s="72"/>
      <c r="R972" s="185" t="str">
        <f t="shared" si="63"/>
        <v/>
      </c>
      <c r="S972" s="186" t="str">
        <f t="shared" si="64"/>
        <v/>
      </c>
      <c r="T972" s="187" t="str">
        <f>IF(R972="","",IF(O972=0,Famille!$D$5,IF(R972&lt;O972,Famille!$D$2,IF(R972&lt;=P972,Famille!$D$3,Famille!$D$4))))</f>
        <v/>
      </c>
    </row>
    <row r="973" spans="1:20" ht="12" customHeight="1" x14ac:dyDescent="0.2">
      <c r="A973" s="4" t="str">
        <f>IF(Produits!A854="","",Produits!A854)</f>
        <v/>
      </c>
      <c r="B973" s="4" t="str">
        <f>IF(Produits!B854="","",Produits!B854)</f>
        <v/>
      </c>
      <c r="C973" s="4" t="str">
        <f>IF(Produits!C854="","",Produits!C854)</f>
        <v/>
      </c>
      <c r="D973" s="4" t="str">
        <f>IF(Produits!D854="","",Produits!D854)</f>
        <v/>
      </c>
      <c r="E973" s="49" t="str">
        <f>IF(Produits!F854="","",Produits!F854)</f>
        <v/>
      </c>
      <c r="F973" s="50" t="str">
        <f>IF(Produits!H854="","",Produits!H854)</f>
        <v/>
      </c>
      <c r="H973" s="37"/>
      <c r="I973" s="2"/>
      <c r="J973" s="69">
        <f>SUM('Archives Entrées'!$N973:$AAV973)</f>
        <v>0</v>
      </c>
      <c r="K973" s="51" t="str">
        <f t="shared" si="61"/>
        <v>0,00€</v>
      </c>
      <c r="L973" s="69">
        <f>SUM('Archives Sorties'!$M973:$AAY973)</f>
        <v>0</v>
      </c>
      <c r="M973" s="51" t="str">
        <f t="shared" si="62"/>
        <v>0,00€</v>
      </c>
      <c r="P973" s="72"/>
      <c r="R973" s="185" t="str">
        <f t="shared" si="63"/>
        <v/>
      </c>
      <c r="S973" s="186" t="str">
        <f t="shared" si="64"/>
        <v/>
      </c>
      <c r="T973" s="187" t="str">
        <f>IF(R973="","",IF(O973=0,Famille!$D$5,IF(R973&lt;O973,Famille!$D$2,IF(R973&lt;=P973,Famille!$D$3,Famille!$D$4))))</f>
        <v/>
      </c>
    </row>
    <row r="974" spans="1:20" ht="12" customHeight="1" x14ac:dyDescent="0.2">
      <c r="A974" s="4" t="str">
        <f>IF(Produits!A855="","",Produits!A855)</f>
        <v/>
      </c>
      <c r="B974" s="4" t="str">
        <f>IF(Produits!B855="","",Produits!B855)</f>
        <v/>
      </c>
      <c r="C974" s="4" t="str">
        <f>IF(Produits!C855="","",Produits!C855)</f>
        <v/>
      </c>
      <c r="D974" s="4" t="str">
        <f>IF(Produits!D855="","",Produits!D855)</f>
        <v/>
      </c>
      <c r="E974" s="49" t="str">
        <f>IF(Produits!F855="","",Produits!F855)</f>
        <v/>
      </c>
      <c r="F974" s="50" t="str">
        <f>IF(Produits!H855="","",Produits!H855)</f>
        <v/>
      </c>
      <c r="H974" s="37"/>
      <c r="I974" s="2"/>
      <c r="J974" s="69">
        <f>SUM('Archives Entrées'!$N974:$AAV974)</f>
        <v>0</v>
      </c>
      <c r="K974" s="51" t="str">
        <f t="shared" si="61"/>
        <v>0,00€</v>
      </c>
      <c r="L974" s="69">
        <f>SUM('Archives Sorties'!$M974:$AAY974)</f>
        <v>0</v>
      </c>
      <c r="M974" s="51" t="str">
        <f t="shared" si="62"/>
        <v>0,00€</v>
      </c>
      <c r="P974" s="72"/>
      <c r="R974" s="185" t="str">
        <f t="shared" si="63"/>
        <v/>
      </c>
      <c r="S974" s="186" t="str">
        <f t="shared" si="64"/>
        <v/>
      </c>
      <c r="T974" s="187" t="str">
        <f>IF(R974="","",IF(O974=0,Famille!$D$5,IF(R974&lt;O974,Famille!$D$2,IF(R974&lt;=P974,Famille!$D$3,Famille!$D$4))))</f>
        <v/>
      </c>
    </row>
    <row r="975" spans="1:20" ht="12" customHeight="1" x14ac:dyDescent="0.2">
      <c r="A975" s="4" t="str">
        <f>IF(Produits!A856="","",Produits!A856)</f>
        <v/>
      </c>
      <c r="B975" s="4" t="str">
        <f>IF(Produits!B856="","",Produits!B856)</f>
        <v/>
      </c>
      <c r="C975" s="4" t="str">
        <f>IF(Produits!C856="","",Produits!C856)</f>
        <v/>
      </c>
      <c r="D975" s="4" t="str">
        <f>IF(Produits!D856="","",Produits!D856)</f>
        <v/>
      </c>
      <c r="E975" s="49" t="str">
        <f>IF(Produits!F856="","",Produits!F856)</f>
        <v/>
      </c>
      <c r="F975" s="50" t="str">
        <f>IF(Produits!H856="","",Produits!H856)</f>
        <v/>
      </c>
      <c r="H975" s="37"/>
      <c r="I975" s="2"/>
      <c r="J975" s="69">
        <f>SUM('Archives Entrées'!$N975:$AAV975)</f>
        <v>0</v>
      </c>
      <c r="K975" s="51" t="str">
        <f t="shared" si="61"/>
        <v>0,00€</v>
      </c>
      <c r="L975" s="69">
        <f>SUM('Archives Sorties'!$M975:$AAY975)</f>
        <v>0</v>
      </c>
      <c r="M975" s="51" t="str">
        <f t="shared" si="62"/>
        <v>0,00€</v>
      </c>
      <c r="P975" s="72"/>
      <c r="R975" s="185" t="str">
        <f t="shared" si="63"/>
        <v/>
      </c>
      <c r="S975" s="186" t="str">
        <f t="shared" si="64"/>
        <v/>
      </c>
      <c r="T975" s="187" t="str">
        <f>IF(R975="","",IF(O975=0,Famille!$D$5,IF(R975&lt;O975,Famille!$D$2,IF(R975&lt;=P975,Famille!$D$3,Famille!$D$4))))</f>
        <v/>
      </c>
    </row>
    <row r="976" spans="1:20" ht="12" customHeight="1" x14ac:dyDescent="0.2">
      <c r="A976" s="4" t="str">
        <f>IF(Produits!A857="","",Produits!A857)</f>
        <v/>
      </c>
      <c r="B976" s="4" t="str">
        <f>IF(Produits!B857="","",Produits!B857)</f>
        <v/>
      </c>
      <c r="C976" s="4" t="str">
        <f>IF(Produits!C857="","",Produits!C857)</f>
        <v/>
      </c>
      <c r="D976" s="4" t="str">
        <f>IF(Produits!D857="","",Produits!D857)</f>
        <v/>
      </c>
      <c r="E976" s="49" t="str">
        <f>IF(Produits!F857="","",Produits!F857)</f>
        <v/>
      </c>
      <c r="F976" s="50" t="str">
        <f>IF(Produits!H857="","",Produits!H857)</f>
        <v/>
      </c>
      <c r="H976" s="37"/>
      <c r="I976" s="2"/>
      <c r="J976" s="69">
        <f>SUM('Archives Entrées'!$N976:$AAV976)</f>
        <v>0</v>
      </c>
      <c r="K976" s="51" t="str">
        <f t="shared" si="61"/>
        <v>0,00€</v>
      </c>
      <c r="L976" s="69">
        <f>SUM('Archives Sorties'!$M976:$AAY976)</f>
        <v>0</v>
      </c>
      <c r="M976" s="51" t="str">
        <f t="shared" si="62"/>
        <v>0,00€</v>
      </c>
      <c r="P976" s="72"/>
      <c r="R976" s="185" t="str">
        <f t="shared" si="63"/>
        <v/>
      </c>
      <c r="S976" s="186" t="str">
        <f t="shared" si="64"/>
        <v/>
      </c>
      <c r="T976" s="187" t="str">
        <f>IF(R976="","",IF(O976=0,Famille!$D$5,IF(R976&lt;O976,Famille!$D$2,IF(R976&lt;=P976,Famille!$D$3,Famille!$D$4))))</f>
        <v/>
      </c>
    </row>
    <row r="977" spans="1:20" ht="12" customHeight="1" x14ac:dyDescent="0.2">
      <c r="A977" s="4" t="str">
        <f>IF(Produits!A858="","",Produits!A858)</f>
        <v/>
      </c>
      <c r="B977" s="4" t="str">
        <f>IF(Produits!B858="","",Produits!B858)</f>
        <v/>
      </c>
      <c r="C977" s="4" t="str">
        <f>IF(Produits!C858="","",Produits!C858)</f>
        <v/>
      </c>
      <c r="D977" s="4" t="str">
        <f>IF(Produits!D858="","",Produits!D858)</f>
        <v/>
      </c>
      <c r="E977" s="49" t="str">
        <f>IF(Produits!F858="","",Produits!F858)</f>
        <v/>
      </c>
      <c r="F977" s="50" t="str">
        <f>IF(Produits!H858="","",Produits!H858)</f>
        <v/>
      </c>
      <c r="H977" s="37"/>
      <c r="I977" s="2"/>
      <c r="J977" s="69">
        <f>SUM('Archives Entrées'!$N977:$AAV977)</f>
        <v>0</v>
      </c>
      <c r="K977" s="51" t="str">
        <f t="shared" si="61"/>
        <v>0,00€</v>
      </c>
      <c r="L977" s="69">
        <f>SUM('Archives Sorties'!$M977:$AAY977)</f>
        <v>0</v>
      </c>
      <c r="M977" s="51" t="str">
        <f t="shared" si="62"/>
        <v>0,00€</v>
      </c>
      <c r="P977" s="72"/>
      <c r="R977" s="185" t="str">
        <f t="shared" si="63"/>
        <v/>
      </c>
      <c r="S977" s="186" t="str">
        <f t="shared" si="64"/>
        <v/>
      </c>
      <c r="T977" s="187" t="str">
        <f>IF(R977="","",IF(O977=0,Famille!$D$5,IF(R977&lt;O977,Famille!$D$2,IF(R977&lt;=P977,Famille!$D$3,Famille!$D$4))))</f>
        <v/>
      </c>
    </row>
    <row r="978" spans="1:20" ht="12" customHeight="1" x14ac:dyDescent="0.2">
      <c r="A978" s="4" t="str">
        <f>IF(Produits!A859="","",Produits!A859)</f>
        <v/>
      </c>
      <c r="B978" s="4" t="str">
        <f>IF(Produits!B859="","",Produits!B859)</f>
        <v/>
      </c>
      <c r="C978" s="4" t="str">
        <f>IF(Produits!C859="","",Produits!C859)</f>
        <v/>
      </c>
      <c r="D978" s="4" t="str">
        <f>IF(Produits!D859="","",Produits!D859)</f>
        <v/>
      </c>
      <c r="E978" s="49" t="str">
        <f>IF(Produits!F859="","",Produits!F859)</f>
        <v/>
      </c>
      <c r="F978" s="50" t="str">
        <f>IF(Produits!H859="","",Produits!H859)</f>
        <v/>
      </c>
      <c r="H978" s="37"/>
      <c r="I978" s="2"/>
      <c r="J978" s="69">
        <f>SUM('Archives Entrées'!$N978:$AAV978)</f>
        <v>0</v>
      </c>
      <c r="K978" s="51" t="str">
        <f t="shared" si="61"/>
        <v>0,00€</v>
      </c>
      <c r="L978" s="69">
        <f>SUM('Archives Sorties'!$M978:$AAY978)</f>
        <v>0</v>
      </c>
      <c r="M978" s="51" t="str">
        <f t="shared" si="62"/>
        <v>0,00€</v>
      </c>
      <c r="P978" s="72"/>
      <c r="R978" s="185" t="str">
        <f t="shared" si="63"/>
        <v/>
      </c>
      <c r="S978" s="186" t="str">
        <f t="shared" si="64"/>
        <v/>
      </c>
      <c r="T978" s="187" t="str">
        <f>IF(R978="","",IF(O978=0,Famille!$D$5,IF(R978&lt;O978,Famille!$D$2,IF(R978&lt;=P978,Famille!$D$3,Famille!$D$4))))</f>
        <v/>
      </c>
    </row>
    <row r="979" spans="1:20" ht="12" customHeight="1" x14ac:dyDescent="0.2">
      <c r="A979" s="4" t="str">
        <f>IF(Produits!A860="","",Produits!A860)</f>
        <v/>
      </c>
      <c r="B979" s="4" t="str">
        <f>IF(Produits!B860="","",Produits!B860)</f>
        <v/>
      </c>
      <c r="C979" s="4" t="str">
        <f>IF(Produits!C860="","",Produits!C860)</f>
        <v/>
      </c>
      <c r="D979" s="4" t="str">
        <f>IF(Produits!D860="","",Produits!D860)</f>
        <v/>
      </c>
      <c r="E979" s="49" t="str">
        <f>IF(Produits!F860="","",Produits!F860)</f>
        <v/>
      </c>
      <c r="F979" s="50" t="str">
        <f>IF(Produits!H860="","",Produits!H860)</f>
        <v/>
      </c>
      <c r="H979" s="37"/>
      <c r="I979" s="2"/>
      <c r="J979" s="69">
        <f>SUM('Archives Entrées'!$N979:$AAV979)</f>
        <v>0</v>
      </c>
      <c r="K979" s="51" t="str">
        <f t="shared" si="61"/>
        <v>0,00€</v>
      </c>
      <c r="L979" s="69">
        <f>SUM('Archives Sorties'!$M979:$AAY979)</f>
        <v>0</v>
      </c>
      <c r="M979" s="51" t="str">
        <f t="shared" si="62"/>
        <v>0,00€</v>
      </c>
      <c r="P979" s="72"/>
      <c r="R979" s="185" t="str">
        <f t="shared" si="63"/>
        <v/>
      </c>
      <c r="S979" s="186" t="str">
        <f t="shared" si="64"/>
        <v/>
      </c>
      <c r="T979" s="187" t="str">
        <f>IF(R979="","",IF(O979=0,Famille!$D$5,IF(R979&lt;O979,Famille!$D$2,IF(R979&lt;=P979,Famille!$D$3,Famille!$D$4))))</f>
        <v/>
      </c>
    </row>
    <row r="980" spans="1:20" ht="12" customHeight="1" x14ac:dyDescent="0.2">
      <c r="A980" s="4" t="str">
        <f>IF(Produits!A861="","",Produits!A861)</f>
        <v/>
      </c>
      <c r="B980" s="4" t="str">
        <f>IF(Produits!B861="","",Produits!B861)</f>
        <v/>
      </c>
      <c r="C980" s="4" t="str">
        <f>IF(Produits!C861="","",Produits!C861)</f>
        <v/>
      </c>
      <c r="D980" s="4" t="str">
        <f>IF(Produits!D861="","",Produits!D861)</f>
        <v/>
      </c>
      <c r="E980" s="49" t="str">
        <f>IF(Produits!F861="","",Produits!F861)</f>
        <v/>
      </c>
      <c r="F980" s="50" t="str">
        <f>IF(Produits!H861="","",Produits!H861)</f>
        <v/>
      </c>
      <c r="H980" s="37"/>
      <c r="I980" s="2"/>
      <c r="J980" s="69">
        <f>SUM('Archives Entrées'!$N980:$AAV980)</f>
        <v>0</v>
      </c>
      <c r="K980" s="51" t="str">
        <f t="shared" si="61"/>
        <v>0,00€</v>
      </c>
      <c r="L980" s="69">
        <f>SUM('Archives Sorties'!$M980:$AAY980)</f>
        <v>0</v>
      </c>
      <c r="M980" s="51" t="str">
        <f t="shared" si="62"/>
        <v>0,00€</v>
      </c>
      <c r="P980" s="72"/>
      <c r="R980" s="185" t="str">
        <f t="shared" si="63"/>
        <v/>
      </c>
      <c r="S980" s="186" t="str">
        <f t="shared" si="64"/>
        <v/>
      </c>
      <c r="T980" s="187" t="str">
        <f>IF(R980="","",IF(O980=0,Famille!$D$5,IF(R980&lt;O980,Famille!$D$2,IF(R980&lt;=P980,Famille!$D$3,Famille!$D$4))))</f>
        <v/>
      </c>
    </row>
    <row r="981" spans="1:20" ht="12" customHeight="1" x14ac:dyDescent="0.2">
      <c r="A981" s="4" t="str">
        <f>IF(Produits!A862="","",Produits!A862)</f>
        <v/>
      </c>
      <c r="B981" s="4" t="str">
        <f>IF(Produits!B862="","",Produits!B862)</f>
        <v/>
      </c>
      <c r="C981" s="4" t="str">
        <f>IF(Produits!C862="","",Produits!C862)</f>
        <v/>
      </c>
      <c r="D981" s="4" t="str">
        <f>IF(Produits!D862="","",Produits!D862)</f>
        <v/>
      </c>
      <c r="E981" s="49" t="str">
        <f>IF(Produits!F862="","",Produits!F862)</f>
        <v/>
      </c>
      <c r="F981" s="50" t="str">
        <f>IF(Produits!H862="","",Produits!H862)</f>
        <v/>
      </c>
      <c r="H981" s="37"/>
      <c r="I981" s="2"/>
      <c r="J981" s="69">
        <f>SUM('Archives Entrées'!$N981:$AAV981)</f>
        <v>0</v>
      </c>
      <c r="K981" s="51" t="str">
        <f t="shared" si="61"/>
        <v>0,00€</v>
      </c>
      <c r="L981" s="69">
        <f>SUM('Archives Sorties'!$M981:$AAY981)</f>
        <v>0</v>
      </c>
      <c r="M981" s="51" t="str">
        <f t="shared" si="62"/>
        <v>0,00€</v>
      </c>
      <c r="P981" s="72"/>
      <c r="R981" s="185" t="str">
        <f t="shared" si="63"/>
        <v/>
      </c>
      <c r="S981" s="186" t="str">
        <f t="shared" si="64"/>
        <v/>
      </c>
      <c r="T981" s="187" t="str">
        <f>IF(R981="","",IF(O981=0,Famille!$D$5,IF(R981&lt;O981,Famille!$D$2,IF(R981&lt;=P981,Famille!$D$3,Famille!$D$4))))</f>
        <v/>
      </c>
    </row>
    <row r="982" spans="1:20" ht="12" customHeight="1" x14ac:dyDescent="0.2">
      <c r="A982" s="4" t="str">
        <f>IF(Produits!A863="","",Produits!A863)</f>
        <v/>
      </c>
      <c r="B982" s="4" t="str">
        <f>IF(Produits!B863="","",Produits!B863)</f>
        <v/>
      </c>
      <c r="C982" s="4" t="str">
        <f>IF(Produits!C863="","",Produits!C863)</f>
        <v/>
      </c>
      <c r="D982" s="4" t="str">
        <f>IF(Produits!D863="","",Produits!D863)</f>
        <v/>
      </c>
      <c r="E982" s="49" t="str">
        <f>IF(Produits!F863="","",Produits!F863)</f>
        <v/>
      </c>
      <c r="F982" s="50" t="str">
        <f>IF(Produits!H863="","",Produits!H863)</f>
        <v/>
      </c>
      <c r="H982" s="37"/>
      <c r="I982" s="2"/>
      <c r="J982" s="69">
        <f>SUM('Archives Entrées'!$N982:$AAV982)</f>
        <v>0</v>
      </c>
      <c r="K982" s="51" t="str">
        <f t="shared" si="61"/>
        <v>0,00€</v>
      </c>
      <c r="L982" s="69">
        <f>SUM('Archives Sorties'!$M982:$AAY982)</f>
        <v>0</v>
      </c>
      <c r="M982" s="51" t="str">
        <f t="shared" si="62"/>
        <v>0,00€</v>
      </c>
      <c r="P982" s="72"/>
      <c r="R982" s="185" t="str">
        <f t="shared" si="63"/>
        <v/>
      </c>
      <c r="S982" s="186" t="str">
        <f t="shared" si="64"/>
        <v/>
      </c>
      <c r="T982" s="187" t="str">
        <f>IF(R982="","",IF(O982=0,Famille!$D$5,IF(R982&lt;O982,Famille!$D$2,IF(R982&lt;=P982,Famille!$D$3,Famille!$D$4))))</f>
        <v/>
      </c>
    </row>
    <row r="983" spans="1:20" ht="12" customHeight="1" x14ac:dyDescent="0.2">
      <c r="A983" s="4" t="str">
        <f>IF(Produits!A864="","",Produits!A864)</f>
        <v/>
      </c>
      <c r="B983" s="4" t="str">
        <f>IF(Produits!B864="","",Produits!B864)</f>
        <v/>
      </c>
      <c r="C983" s="4" t="str">
        <f>IF(Produits!C864="","",Produits!C864)</f>
        <v/>
      </c>
      <c r="D983" s="4" t="str">
        <f>IF(Produits!D864="","",Produits!D864)</f>
        <v/>
      </c>
      <c r="E983" s="49" t="str">
        <f>IF(Produits!F864="","",Produits!F864)</f>
        <v/>
      </c>
      <c r="F983" s="50" t="str">
        <f>IF(Produits!H864="","",Produits!H864)</f>
        <v/>
      </c>
      <c r="H983" s="37"/>
      <c r="I983" s="2"/>
      <c r="J983" s="69">
        <f>SUM('Archives Entrées'!$N983:$AAV983)</f>
        <v>0</v>
      </c>
      <c r="K983" s="51" t="str">
        <f t="shared" si="61"/>
        <v>0,00€</v>
      </c>
      <c r="L983" s="69">
        <f>SUM('Archives Sorties'!$M983:$AAY983)</f>
        <v>0</v>
      </c>
      <c r="M983" s="51" t="str">
        <f t="shared" si="62"/>
        <v>0,00€</v>
      </c>
      <c r="P983" s="72"/>
      <c r="R983" s="185" t="str">
        <f t="shared" si="63"/>
        <v/>
      </c>
      <c r="S983" s="186" t="str">
        <f t="shared" si="64"/>
        <v/>
      </c>
      <c r="T983" s="187" t="str">
        <f>IF(R983="","",IF(O983=0,Famille!$D$5,IF(R983&lt;O983,Famille!$D$2,IF(R983&lt;=P983,Famille!$D$3,Famille!$D$4))))</f>
        <v/>
      </c>
    </row>
    <row r="984" spans="1:20" ht="12" customHeight="1" x14ac:dyDescent="0.2">
      <c r="A984" s="4" t="str">
        <f>IF(Produits!A865="","",Produits!A865)</f>
        <v/>
      </c>
      <c r="B984" s="4" t="str">
        <f>IF(Produits!B865="","",Produits!B865)</f>
        <v/>
      </c>
      <c r="C984" s="4" t="str">
        <f>IF(Produits!C865="","",Produits!C865)</f>
        <v/>
      </c>
      <c r="D984" s="4" t="str">
        <f>IF(Produits!D865="","",Produits!D865)</f>
        <v/>
      </c>
      <c r="E984" s="49" t="str">
        <f>IF(Produits!F865="","",Produits!F865)</f>
        <v/>
      </c>
      <c r="F984" s="50" t="str">
        <f>IF(Produits!H865="","",Produits!H865)</f>
        <v/>
      </c>
      <c r="H984" s="37"/>
      <c r="I984" s="2"/>
      <c r="J984" s="69">
        <f>SUM('Archives Entrées'!$N984:$AAV984)</f>
        <v>0</v>
      </c>
      <c r="K984" s="51" t="str">
        <f t="shared" si="61"/>
        <v>0,00€</v>
      </c>
      <c r="L984" s="69">
        <f>SUM('Archives Sorties'!$M984:$AAY984)</f>
        <v>0</v>
      </c>
      <c r="M984" s="51" t="str">
        <f t="shared" si="62"/>
        <v>0,00€</v>
      </c>
      <c r="P984" s="72"/>
      <c r="R984" s="185" t="str">
        <f t="shared" si="63"/>
        <v/>
      </c>
      <c r="S984" s="186" t="str">
        <f t="shared" si="64"/>
        <v/>
      </c>
      <c r="T984" s="187" t="str">
        <f>IF(R984="","",IF(O984=0,Famille!$D$5,IF(R984&lt;O984,Famille!$D$2,IF(R984&lt;=P984,Famille!$D$3,Famille!$D$4))))</f>
        <v/>
      </c>
    </row>
    <row r="985" spans="1:20" ht="12" customHeight="1" x14ac:dyDescent="0.2">
      <c r="A985" s="4" t="str">
        <f>IF(Produits!A866="","",Produits!A866)</f>
        <v/>
      </c>
      <c r="B985" s="4" t="str">
        <f>IF(Produits!B866="","",Produits!B866)</f>
        <v/>
      </c>
      <c r="C985" s="4" t="str">
        <f>IF(Produits!C866="","",Produits!C866)</f>
        <v/>
      </c>
      <c r="D985" s="4" t="str">
        <f>IF(Produits!D866="","",Produits!D866)</f>
        <v/>
      </c>
      <c r="E985" s="49" t="str">
        <f>IF(Produits!F866="","",Produits!F866)</f>
        <v/>
      </c>
      <c r="F985" s="50" t="str">
        <f>IF(Produits!H866="","",Produits!H866)</f>
        <v/>
      </c>
      <c r="H985" s="37"/>
      <c r="I985" s="2"/>
      <c r="J985" s="69">
        <f>SUM('Archives Entrées'!$N985:$AAV985)</f>
        <v>0</v>
      </c>
      <c r="K985" s="51" t="str">
        <f t="shared" si="61"/>
        <v>0,00€</v>
      </c>
      <c r="L985" s="69">
        <f>SUM('Archives Sorties'!$M985:$AAY985)</f>
        <v>0</v>
      </c>
      <c r="M985" s="51" t="str">
        <f t="shared" si="62"/>
        <v>0,00€</v>
      </c>
      <c r="P985" s="72"/>
      <c r="R985" s="185" t="str">
        <f t="shared" si="63"/>
        <v/>
      </c>
      <c r="S985" s="186" t="str">
        <f t="shared" si="64"/>
        <v/>
      </c>
      <c r="T985" s="187" t="str">
        <f>IF(R985="","",IF(O985=0,Famille!$D$5,IF(R985&lt;O985,Famille!$D$2,IF(R985&lt;=P985,Famille!$D$3,Famille!$D$4))))</f>
        <v/>
      </c>
    </row>
    <row r="986" spans="1:20" ht="12" customHeight="1" x14ac:dyDescent="0.2">
      <c r="A986" s="4" t="str">
        <f>IF(Produits!A867="","",Produits!A867)</f>
        <v/>
      </c>
      <c r="B986" s="4" t="str">
        <f>IF(Produits!B867="","",Produits!B867)</f>
        <v/>
      </c>
      <c r="C986" s="4" t="str">
        <f>IF(Produits!C867="","",Produits!C867)</f>
        <v/>
      </c>
      <c r="D986" s="4" t="str">
        <f>IF(Produits!D867="","",Produits!D867)</f>
        <v/>
      </c>
      <c r="E986" s="49" t="str">
        <f>IF(Produits!F867="","",Produits!F867)</f>
        <v/>
      </c>
      <c r="F986" s="50" t="str">
        <f>IF(Produits!H867="","",Produits!H867)</f>
        <v/>
      </c>
      <c r="H986" s="37"/>
      <c r="I986" s="2"/>
      <c r="J986" s="69">
        <f>SUM('Archives Entrées'!$N986:$AAV986)</f>
        <v>0</v>
      </c>
      <c r="K986" s="51" t="str">
        <f t="shared" si="61"/>
        <v>0,00€</v>
      </c>
      <c r="L986" s="69">
        <f>SUM('Archives Sorties'!$M986:$AAY986)</f>
        <v>0</v>
      </c>
      <c r="M986" s="51" t="str">
        <f t="shared" si="62"/>
        <v>0,00€</v>
      </c>
      <c r="P986" s="72"/>
      <c r="R986" s="185" t="str">
        <f t="shared" si="63"/>
        <v/>
      </c>
      <c r="S986" s="186" t="str">
        <f t="shared" si="64"/>
        <v/>
      </c>
      <c r="T986" s="187" t="str">
        <f>IF(R986="","",IF(O986=0,Famille!$D$5,IF(R986&lt;O986,Famille!$D$2,IF(R986&lt;=P986,Famille!$D$3,Famille!$D$4))))</f>
        <v/>
      </c>
    </row>
    <row r="987" spans="1:20" ht="12" customHeight="1" x14ac:dyDescent="0.2">
      <c r="A987" s="4" t="str">
        <f>IF(Produits!A868="","",Produits!A868)</f>
        <v/>
      </c>
      <c r="B987" s="4" t="str">
        <f>IF(Produits!B868="","",Produits!B868)</f>
        <v/>
      </c>
      <c r="C987" s="4" t="str">
        <f>IF(Produits!C868="","",Produits!C868)</f>
        <v/>
      </c>
      <c r="D987" s="4" t="str">
        <f>IF(Produits!D868="","",Produits!D868)</f>
        <v/>
      </c>
      <c r="E987" s="49" t="str">
        <f>IF(Produits!F868="","",Produits!F868)</f>
        <v/>
      </c>
      <c r="F987" s="50" t="str">
        <f>IF(Produits!H868="","",Produits!H868)</f>
        <v/>
      </c>
      <c r="H987" s="37"/>
      <c r="I987" s="2"/>
      <c r="J987" s="69">
        <f>SUM('Archives Entrées'!$N987:$AAV987)</f>
        <v>0</v>
      </c>
      <c r="K987" s="51" t="str">
        <f t="shared" si="61"/>
        <v>0,00€</v>
      </c>
      <c r="L987" s="69">
        <f>SUM('Archives Sorties'!$M987:$AAY987)</f>
        <v>0</v>
      </c>
      <c r="M987" s="51" t="str">
        <f t="shared" si="62"/>
        <v>0,00€</v>
      </c>
      <c r="P987" s="72"/>
      <c r="R987" s="185" t="str">
        <f t="shared" si="63"/>
        <v/>
      </c>
      <c r="S987" s="186" t="str">
        <f t="shared" si="64"/>
        <v/>
      </c>
      <c r="T987" s="187" t="str">
        <f>IF(R987="","",IF(O987=0,Famille!$D$5,IF(R987&lt;O987,Famille!$D$2,IF(R987&lt;=P987,Famille!$D$3,Famille!$D$4))))</f>
        <v/>
      </c>
    </row>
    <row r="988" spans="1:20" ht="12" customHeight="1" x14ac:dyDescent="0.2">
      <c r="A988" s="4" t="str">
        <f>IF(Produits!A869="","",Produits!A869)</f>
        <v/>
      </c>
      <c r="B988" s="4" t="str">
        <f>IF(Produits!B869="","",Produits!B869)</f>
        <v/>
      </c>
      <c r="C988" s="4" t="str">
        <f>IF(Produits!C869="","",Produits!C869)</f>
        <v/>
      </c>
      <c r="D988" s="4" t="str">
        <f>IF(Produits!D869="","",Produits!D869)</f>
        <v/>
      </c>
      <c r="E988" s="49" t="str">
        <f>IF(Produits!F869="","",Produits!F869)</f>
        <v/>
      </c>
      <c r="F988" s="50" t="str">
        <f>IF(Produits!H869="","",Produits!H869)</f>
        <v/>
      </c>
      <c r="H988" s="37"/>
      <c r="I988" s="2"/>
      <c r="J988" s="69">
        <f>SUM('Archives Entrées'!$N988:$AAV988)</f>
        <v>0</v>
      </c>
      <c r="K988" s="51" t="str">
        <f t="shared" si="61"/>
        <v>0,00€</v>
      </c>
      <c r="L988" s="69">
        <f>SUM('Archives Sorties'!$M988:$AAY988)</f>
        <v>0</v>
      </c>
      <c r="M988" s="51" t="str">
        <f t="shared" si="62"/>
        <v>0,00€</v>
      </c>
      <c r="P988" s="72"/>
      <c r="R988" s="185" t="str">
        <f t="shared" si="63"/>
        <v/>
      </c>
      <c r="S988" s="186" t="str">
        <f t="shared" si="64"/>
        <v/>
      </c>
      <c r="T988" s="187" t="str">
        <f>IF(R988="","",IF(O988=0,Famille!$D$5,IF(R988&lt;O988,Famille!$D$2,IF(R988&lt;=P988,Famille!$D$3,Famille!$D$4))))</f>
        <v/>
      </c>
    </row>
    <row r="989" spans="1:20" ht="12" customHeight="1" x14ac:dyDescent="0.2">
      <c r="A989" s="4" t="str">
        <f>IF(Produits!A870="","",Produits!A870)</f>
        <v/>
      </c>
      <c r="B989" s="4" t="str">
        <f>IF(Produits!B870="","",Produits!B870)</f>
        <v/>
      </c>
      <c r="C989" s="4" t="str">
        <f>IF(Produits!C870="","",Produits!C870)</f>
        <v/>
      </c>
      <c r="D989" s="4" t="str">
        <f>IF(Produits!D870="","",Produits!D870)</f>
        <v/>
      </c>
      <c r="E989" s="49" t="str">
        <f>IF(Produits!F870="","",Produits!F870)</f>
        <v/>
      </c>
      <c r="F989" s="50" t="str">
        <f>IF(Produits!H870="","",Produits!H870)</f>
        <v/>
      </c>
      <c r="H989" s="37"/>
      <c r="I989" s="2"/>
      <c r="J989" s="69">
        <f>SUM('Archives Entrées'!$N989:$AAV989)</f>
        <v>0</v>
      </c>
      <c r="K989" s="51" t="str">
        <f t="shared" si="61"/>
        <v>0,00€</v>
      </c>
      <c r="L989" s="69">
        <f>SUM('Archives Sorties'!$M989:$AAY989)</f>
        <v>0</v>
      </c>
      <c r="M989" s="51" t="str">
        <f t="shared" si="62"/>
        <v>0,00€</v>
      </c>
      <c r="P989" s="72"/>
      <c r="R989" s="185" t="str">
        <f t="shared" si="63"/>
        <v/>
      </c>
      <c r="S989" s="186" t="str">
        <f t="shared" si="64"/>
        <v/>
      </c>
      <c r="T989" s="187" t="str">
        <f>IF(R989="","",IF(O989=0,Famille!$D$5,IF(R989&lt;O989,Famille!$D$2,IF(R989&lt;=P989,Famille!$D$3,Famille!$D$4))))</f>
        <v/>
      </c>
    </row>
    <row r="990" spans="1:20" ht="12" customHeight="1" x14ac:dyDescent="0.2">
      <c r="A990" s="4" t="str">
        <f>IF(Produits!A871="","",Produits!A871)</f>
        <v/>
      </c>
      <c r="B990" s="4" t="str">
        <f>IF(Produits!B871="","",Produits!B871)</f>
        <v/>
      </c>
      <c r="C990" s="4" t="str">
        <f>IF(Produits!C871="","",Produits!C871)</f>
        <v/>
      </c>
      <c r="D990" s="4" t="str">
        <f>IF(Produits!D871="","",Produits!D871)</f>
        <v/>
      </c>
      <c r="E990" s="49" t="str">
        <f>IF(Produits!F871="","",Produits!F871)</f>
        <v/>
      </c>
      <c r="F990" s="50" t="str">
        <f>IF(Produits!H871="","",Produits!H871)</f>
        <v/>
      </c>
      <c r="H990" s="37"/>
      <c r="I990" s="2"/>
      <c r="J990" s="69">
        <f>SUM('Archives Entrées'!$N990:$AAV990)</f>
        <v>0</v>
      </c>
      <c r="K990" s="51" t="str">
        <f t="shared" si="61"/>
        <v>0,00€</v>
      </c>
      <c r="L990" s="69">
        <f>SUM('Archives Sorties'!$M990:$AAY990)</f>
        <v>0</v>
      </c>
      <c r="M990" s="51" t="str">
        <f t="shared" si="62"/>
        <v>0,00€</v>
      </c>
      <c r="P990" s="72"/>
      <c r="R990" s="185" t="str">
        <f t="shared" si="63"/>
        <v/>
      </c>
      <c r="S990" s="186" t="str">
        <f t="shared" si="64"/>
        <v/>
      </c>
      <c r="T990" s="187" t="str">
        <f>IF(R990="","",IF(O990=0,Famille!$D$5,IF(R990&lt;O990,Famille!$D$2,IF(R990&lt;=P990,Famille!$D$3,Famille!$D$4))))</f>
        <v/>
      </c>
    </row>
    <row r="991" spans="1:20" ht="12" customHeight="1" x14ac:dyDescent="0.2">
      <c r="A991" s="4" t="str">
        <f>IF(Produits!A872="","",Produits!A872)</f>
        <v/>
      </c>
      <c r="B991" s="4" t="str">
        <f>IF(Produits!B872="","",Produits!B872)</f>
        <v/>
      </c>
      <c r="C991" s="4" t="str">
        <f>IF(Produits!C872="","",Produits!C872)</f>
        <v/>
      </c>
      <c r="D991" s="4" t="str">
        <f>IF(Produits!D872="","",Produits!D872)</f>
        <v/>
      </c>
      <c r="E991" s="49" t="str">
        <f>IF(Produits!F872="","",Produits!F872)</f>
        <v/>
      </c>
      <c r="F991" s="50" t="str">
        <f>IF(Produits!H872="","",Produits!H872)</f>
        <v/>
      </c>
      <c r="H991" s="37"/>
      <c r="I991" s="2"/>
      <c r="J991" s="69">
        <f>SUM('Archives Entrées'!$N991:$AAV991)</f>
        <v>0</v>
      </c>
      <c r="K991" s="51" t="str">
        <f t="shared" si="61"/>
        <v>0,00€</v>
      </c>
      <c r="L991" s="69">
        <f>SUM('Archives Sorties'!$M991:$AAY991)</f>
        <v>0</v>
      </c>
      <c r="M991" s="51" t="str">
        <f t="shared" si="62"/>
        <v>0,00€</v>
      </c>
      <c r="P991" s="72"/>
      <c r="R991" s="185" t="str">
        <f t="shared" si="63"/>
        <v/>
      </c>
      <c r="S991" s="186" t="str">
        <f t="shared" si="64"/>
        <v/>
      </c>
      <c r="T991" s="187" t="str">
        <f>IF(R991="","",IF(O991=0,Famille!$D$5,IF(R991&lt;O991,Famille!$D$2,IF(R991&lt;=P991,Famille!$D$3,Famille!$D$4))))</f>
        <v/>
      </c>
    </row>
    <row r="992" spans="1:20" ht="12" customHeight="1" x14ac:dyDescent="0.2">
      <c r="A992" s="4" t="str">
        <f>IF(Produits!A873="","",Produits!A873)</f>
        <v/>
      </c>
      <c r="B992" s="4" t="str">
        <f>IF(Produits!B873="","",Produits!B873)</f>
        <v/>
      </c>
      <c r="C992" s="4" t="str">
        <f>IF(Produits!C873="","",Produits!C873)</f>
        <v/>
      </c>
      <c r="D992" s="4" t="str">
        <f>IF(Produits!D873="","",Produits!D873)</f>
        <v/>
      </c>
      <c r="E992" s="49" t="str">
        <f>IF(Produits!F873="","",Produits!F873)</f>
        <v/>
      </c>
      <c r="F992" s="50" t="str">
        <f>IF(Produits!H873="","",Produits!H873)</f>
        <v/>
      </c>
      <c r="H992" s="37"/>
      <c r="I992" s="2"/>
      <c r="J992" s="69">
        <f>SUM('Archives Entrées'!$N992:$AAV992)</f>
        <v>0</v>
      </c>
      <c r="K992" s="51" t="str">
        <f t="shared" si="61"/>
        <v>0,00€</v>
      </c>
      <c r="L992" s="69">
        <f>SUM('Archives Sorties'!$M992:$AAY992)</f>
        <v>0</v>
      </c>
      <c r="M992" s="51" t="str">
        <f t="shared" si="62"/>
        <v>0,00€</v>
      </c>
      <c r="P992" s="72"/>
      <c r="R992" s="185" t="str">
        <f t="shared" si="63"/>
        <v/>
      </c>
      <c r="S992" s="186" t="str">
        <f t="shared" si="64"/>
        <v/>
      </c>
      <c r="T992" s="187" t="str">
        <f>IF(R992="","",IF(O992=0,Famille!$D$5,IF(R992&lt;O992,Famille!$D$2,IF(R992&lt;=P992,Famille!$D$3,Famille!$D$4))))</f>
        <v/>
      </c>
    </row>
    <row r="993" spans="1:20" ht="12" customHeight="1" x14ac:dyDescent="0.2">
      <c r="A993" s="4" t="str">
        <f>IF(Produits!A874="","",Produits!A874)</f>
        <v/>
      </c>
      <c r="B993" s="4" t="str">
        <f>IF(Produits!B874="","",Produits!B874)</f>
        <v/>
      </c>
      <c r="C993" s="4" t="str">
        <f>IF(Produits!C874="","",Produits!C874)</f>
        <v/>
      </c>
      <c r="D993" s="4" t="str">
        <f>IF(Produits!D874="","",Produits!D874)</f>
        <v/>
      </c>
      <c r="E993" s="49" t="str">
        <f>IF(Produits!F874="","",Produits!F874)</f>
        <v/>
      </c>
      <c r="F993" s="50" t="str">
        <f>IF(Produits!H874="","",Produits!H874)</f>
        <v/>
      </c>
      <c r="H993" s="37"/>
      <c r="I993" s="2"/>
      <c r="J993" s="69">
        <f>SUM('Archives Entrées'!$N993:$AAV993)</f>
        <v>0</v>
      </c>
      <c r="K993" s="51" t="str">
        <f t="shared" si="61"/>
        <v>0,00€</v>
      </c>
      <c r="L993" s="69">
        <f>SUM('Archives Sorties'!$M993:$AAY993)</f>
        <v>0</v>
      </c>
      <c r="M993" s="51" t="str">
        <f t="shared" si="62"/>
        <v>0,00€</v>
      </c>
      <c r="P993" s="72"/>
      <c r="R993" s="185" t="str">
        <f t="shared" si="63"/>
        <v/>
      </c>
      <c r="S993" s="186" t="str">
        <f t="shared" si="64"/>
        <v/>
      </c>
      <c r="T993" s="187" t="str">
        <f>IF(R993="","",IF(O993=0,Famille!$D$5,IF(R993&lt;O993,Famille!$D$2,IF(R993&lt;=P993,Famille!$D$3,Famille!$D$4))))</f>
        <v/>
      </c>
    </row>
    <row r="994" spans="1:20" ht="12" customHeight="1" x14ac:dyDescent="0.2">
      <c r="A994" s="4" t="str">
        <f>IF(Produits!A875="","",Produits!A875)</f>
        <v/>
      </c>
      <c r="B994" s="4" t="str">
        <f>IF(Produits!B875="","",Produits!B875)</f>
        <v/>
      </c>
      <c r="C994" s="4" t="str">
        <f>IF(Produits!C875="","",Produits!C875)</f>
        <v/>
      </c>
      <c r="D994" s="4" t="str">
        <f>IF(Produits!D875="","",Produits!D875)</f>
        <v/>
      </c>
      <c r="E994" s="49" t="str">
        <f>IF(Produits!F875="","",Produits!F875)</f>
        <v/>
      </c>
      <c r="F994" s="50" t="str">
        <f>IF(Produits!H875="","",Produits!H875)</f>
        <v/>
      </c>
      <c r="H994" s="37"/>
      <c r="I994" s="2"/>
      <c r="J994" s="69">
        <f>SUM('Archives Entrées'!$N994:$AAV994)</f>
        <v>0</v>
      </c>
      <c r="K994" s="51" t="str">
        <f t="shared" si="61"/>
        <v>0,00€</v>
      </c>
      <c r="L994" s="69">
        <f>SUM('Archives Sorties'!$M994:$AAY994)</f>
        <v>0</v>
      </c>
      <c r="M994" s="51" t="str">
        <f t="shared" si="62"/>
        <v>0,00€</v>
      </c>
      <c r="P994" s="72"/>
      <c r="R994" s="185" t="str">
        <f t="shared" si="63"/>
        <v/>
      </c>
      <c r="S994" s="186" t="str">
        <f t="shared" si="64"/>
        <v/>
      </c>
      <c r="T994" s="187" t="str">
        <f>IF(R994="","",IF(O994=0,Famille!$D$5,IF(R994&lt;O994,Famille!$D$2,IF(R994&lt;=P994,Famille!$D$3,Famille!$D$4))))</f>
        <v/>
      </c>
    </row>
    <row r="995" spans="1:20" ht="12" customHeight="1" x14ac:dyDescent="0.2">
      <c r="A995" s="4" t="str">
        <f>IF(Produits!A876="","",Produits!A876)</f>
        <v/>
      </c>
      <c r="B995" s="4" t="str">
        <f>IF(Produits!B876="","",Produits!B876)</f>
        <v/>
      </c>
      <c r="C995" s="4" t="str">
        <f>IF(Produits!C876="","",Produits!C876)</f>
        <v/>
      </c>
      <c r="D995" s="4" t="str">
        <f>IF(Produits!D876="","",Produits!D876)</f>
        <v/>
      </c>
      <c r="E995" s="49" t="str">
        <f>IF(Produits!F876="","",Produits!F876)</f>
        <v/>
      </c>
      <c r="F995" s="50" t="str">
        <f>IF(Produits!H876="","",Produits!H876)</f>
        <v/>
      </c>
      <c r="H995" s="37"/>
      <c r="I995" s="2"/>
      <c r="J995" s="69">
        <f>SUM('Archives Entrées'!$N995:$AAV995)</f>
        <v>0</v>
      </c>
      <c r="K995" s="51" t="str">
        <f t="shared" si="61"/>
        <v>0,00€</v>
      </c>
      <c r="L995" s="69">
        <f>SUM('Archives Sorties'!$M995:$AAY995)</f>
        <v>0</v>
      </c>
      <c r="M995" s="51" t="str">
        <f t="shared" si="62"/>
        <v>0,00€</v>
      </c>
      <c r="P995" s="72"/>
      <c r="R995" s="185" t="str">
        <f t="shared" si="63"/>
        <v/>
      </c>
      <c r="S995" s="186" t="str">
        <f t="shared" si="64"/>
        <v/>
      </c>
      <c r="T995" s="187" t="str">
        <f>IF(R995="","",IF(O995=0,Famille!$D$5,IF(R995&lt;O995,Famille!$D$2,IF(R995&lt;=P995,Famille!$D$3,Famille!$D$4))))</f>
        <v/>
      </c>
    </row>
    <row r="996" spans="1:20" ht="12" customHeight="1" x14ac:dyDescent="0.2">
      <c r="A996" s="4" t="str">
        <f>IF(Produits!A877="","",Produits!A877)</f>
        <v/>
      </c>
      <c r="B996" s="4" t="str">
        <f>IF(Produits!B877="","",Produits!B877)</f>
        <v/>
      </c>
      <c r="C996" s="4" t="str">
        <f>IF(Produits!C877="","",Produits!C877)</f>
        <v/>
      </c>
      <c r="D996" s="4" t="str">
        <f>IF(Produits!D877="","",Produits!D877)</f>
        <v/>
      </c>
      <c r="E996" s="49" t="str">
        <f>IF(Produits!F877="","",Produits!F877)</f>
        <v/>
      </c>
      <c r="F996" s="50" t="str">
        <f>IF(Produits!H877="","",Produits!H877)</f>
        <v/>
      </c>
      <c r="H996" s="37"/>
      <c r="I996" s="2"/>
      <c r="J996" s="69">
        <f>SUM('Archives Entrées'!$N996:$AAV996)</f>
        <v>0</v>
      </c>
      <c r="K996" s="51" t="str">
        <f t="shared" si="61"/>
        <v>0,00€</v>
      </c>
      <c r="L996" s="69">
        <f>SUM('Archives Sorties'!$M996:$AAY996)</f>
        <v>0</v>
      </c>
      <c r="M996" s="51" t="str">
        <f t="shared" si="62"/>
        <v>0,00€</v>
      </c>
      <c r="P996" s="72"/>
      <c r="R996" s="185" t="str">
        <f t="shared" si="63"/>
        <v/>
      </c>
      <c r="S996" s="186" t="str">
        <f t="shared" si="64"/>
        <v/>
      </c>
      <c r="T996" s="187" t="str">
        <f>IF(R996="","",IF(O996=0,Famille!$D$5,IF(R996&lt;O996,Famille!$D$2,IF(R996&lt;=P996,Famille!$D$3,Famille!$D$4))))</f>
        <v/>
      </c>
    </row>
    <row r="997" spans="1:20" ht="12" customHeight="1" x14ac:dyDescent="0.2">
      <c r="A997" s="4" t="str">
        <f>IF(Produits!A878="","",Produits!A878)</f>
        <v/>
      </c>
      <c r="B997" s="4" t="str">
        <f>IF(Produits!B878="","",Produits!B878)</f>
        <v/>
      </c>
      <c r="C997" s="4" t="str">
        <f>IF(Produits!C878="","",Produits!C878)</f>
        <v/>
      </c>
      <c r="D997" s="4" t="str">
        <f>IF(Produits!D878="","",Produits!D878)</f>
        <v/>
      </c>
      <c r="E997" s="49" t="str">
        <f>IF(Produits!F878="","",Produits!F878)</f>
        <v/>
      </c>
      <c r="F997" s="50" t="str">
        <f>IF(Produits!H878="","",Produits!H878)</f>
        <v/>
      </c>
      <c r="H997" s="37"/>
      <c r="I997" s="2"/>
      <c r="J997" s="69">
        <f>SUM('Archives Entrées'!$N997:$AAV997)</f>
        <v>0</v>
      </c>
      <c r="K997" s="51" t="str">
        <f t="shared" si="61"/>
        <v>0,00€</v>
      </c>
      <c r="L997" s="69">
        <f>SUM('Archives Sorties'!$M997:$AAY997)</f>
        <v>0</v>
      </c>
      <c r="M997" s="51" t="str">
        <f t="shared" si="62"/>
        <v>0,00€</v>
      </c>
      <c r="P997" s="72"/>
      <c r="R997" s="185" t="str">
        <f t="shared" si="63"/>
        <v/>
      </c>
      <c r="S997" s="186" t="str">
        <f t="shared" si="64"/>
        <v/>
      </c>
      <c r="T997" s="187" t="str">
        <f>IF(R997="","",IF(O997=0,Famille!$D$5,IF(R997&lt;O997,Famille!$D$2,IF(R997&lt;=P997,Famille!$D$3,Famille!$D$4))))</f>
        <v/>
      </c>
    </row>
    <row r="998" spans="1:20" ht="12" customHeight="1" x14ac:dyDescent="0.2">
      <c r="A998" s="4" t="str">
        <f>IF(Produits!A879="","",Produits!A879)</f>
        <v/>
      </c>
      <c r="B998" s="4" t="str">
        <f>IF(Produits!B879="","",Produits!B879)</f>
        <v/>
      </c>
      <c r="C998" s="4" t="str">
        <f>IF(Produits!C879="","",Produits!C879)</f>
        <v/>
      </c>
      <c r="D998" s="4" t="str">
        <f>IF(Produits!D879="","",Produits!D879)</f>
        <v/>
      </c>
      <c r="E998" s="49" t="str">
        <f>IF(Produits!F879="","",Produits!F879)</f>
        <v/>
      </c>
      <c r="F998" s="50" t="str">
        <f>IF(Produits!H879="","",Produits!H879)</f>
        <v/>
      </c>
      <c r="H998" s="37"/>
      <c r="I998" s="2"/>
      <c r="J998" s="69">
        <f>SUM('Archives Entrées'!$N998:$AAV998)</f>
        <v>0</v>
      </c>
      <c r="K998" s="51" t="str">
        <f t="shared" si="61"/>
        <v>0,00€</v>
      </c>
      <c r="L998" s="69">
        <f>SUM('Archives Sorties'!$M998:$AAY998)</f>
        <v>0</v>
      </c>
      <c r="M998" s="51" t="str">
        <f t="shared" si="62"/>
        <v>0,00€</v>
      </c>
      <c r="P998" s="72"/>
      <c r="R998" s="185" t="str">
        <f t="shared" si="63"/>
        <v/>
      </c>
      <c r="S998" s="186" t="str">
        <f t="shared" si="64"/>
        <v/>
      </c>
      <c r="T998" s="187" t="str">
        <f>IF(R998="","",IF(O998=0,Famille!$D$5,IF(R998&lt;O998,Famille!$D$2,IF(R998&lt;=P998,Famille!$D$3,Famille!$D$4))))</f>
        <v/>
      </c>
    </row>
    <row r="999" spans="1:20" ht="12" customHeight="1" x14ac:dyDescent="0.2">
      <c r="A999" s="4" t="str">
        <f>IF(Produits!A880="","",Produits!A880)</f>
        <v/>
      </c>
      <c r="B999" s="4" t="str">
        <f>IF(Produits!B880="","",Produits!B880)</f>
        <v/>
      </c>
      <c r="C999" s="4" t="str">
        <f>IF(Produits!C880="","",Produits!C880)</f>
        <v/>
      </c>
      <c r="D999" s="4" t="str">
        <f>IF(Produits!D880="","",Produits!D880)</f>
        <v/>
      </c>
      <c r="E999" s="49" t="str">
        <f>IF(Produits!F880="","",Produits!F880)</f>
        <v/>
      </c>
      <c r="F999" s="50" t="str">
        <f>IF(Produits!H880="","",Produits!H880)</f>
        <v/>
      </c>
      <c r="H999" s="37"/>
      <c r="I999" s="2"/>
      <c r="J999" s="69">
        <f>SUM('Archives Entrées'!$N999:$AAV999)</f>
        <v>0</v>
      </c>
      <c r="K999" s="51" t="str">
        <f t="shared" si="61"/>
        <v>0,00€</v>
      </c>
      <c r="L999" s="69">
        <f>SUM('Archives Sorties'!$M999:$AAY999)</f>
        <v>0</v>
      </c>
      <c r="M999" s="51" t="str">
        <f t="shared" si="62"/>
        <v>0,00€</v>
      </c>
      <c r="P999" s="72"/>
      <c r="R999" s="185" t="str">
        <f t="shared" si="63"/>
        <v/>
      </c>
      <c r="S999" s="186" t="str">
        <f t="shared" si="64"/>
        <v/>
      </c>
      <c r="T999" s="187" t="str">
        <f>IF(R999="","",IF(O999=0,Famille!$D$5,IF(R999&lt;O999,Famille!$D$2,IF(R999&lt;=P999,Famille!$D$3,Famille!$D$4))))</f>
        <v/>
      </c>
    </row>
    <row r="1000" spans="1:20" ht="12" customHeight="1" x14ac:dyDescent="0.2">
      <c r="A1000" s="4" t="str">
        <f>IF(Produits!A881="","",Produits!A881)</f>
        <v/>
      </c>
      <c r="B1000" s="4" t="str">
        <f>IF(Produits!B881="","",Produits!B881)</f>
        <v/>
      </c>
      <c r="C1000" s="4" t="str">
        <f>IF(Produits!C881="","",Produits!C881)</f>
        <v/>
      </c>
      <c r="D1000" s="4" t="str">
        <f>IF(Produits!D881="","",Produits!D881)</f>
        <v/>
      </c>
      <c r="E1000" s="49" t="str">
        <f>IF(Produits!F881="","",Produits!F881)</f>
        <v/>
      </c>
      <c r="F1000" s="50" t="str">
        <f>IF(Produits!H881="","",Produits!H881)</f>
        <v/>
      </c>
      <c r="H1000" s="37"/>
      <c r="I1000" s="2"/>
      <c r="J1000" s="69">
        <f>SUM('Archives Entrées'!$N1000:$AAV1000)</f>
        <v>0</v>
      </c>
      <c r="K1000" s="51" t="str">
        <f t="shared" si="61"/>
        <v>0,00€</v>
      </c>
      <c r="L1000" s="69">
        <f>SUM('Archives Sorties'!$M1000:$AAY1000)</f>
        <v>0</v>
      </c>
      <c r="M1000" s="51" t="str">
        <f t="shared" si="62"/>
        <v>0,00€</v>
      </c>
      <c r="P1000" s="72"/>
      <c r="R1000" s="185" t="str">
        <f t="shared" si="63"/>
        <v/>
      </c>
      <c r="S1000" s="186" t="str">
        <f t="shared" si="64"/>
        <v/>
      </c>
      <c r="T1000" s="187" t="str">
        <f>IF(R1000="","",IF(O1000=0,Famille!$D$5,IF(R1000&lt;O1000,Famille!$D$2,IF(R1000&lt;=P1000,Famille!$D$3,Famille!$D$4))))</f>
        <v/>
      </c>
    </row>
  </sheetData>
  <mergeCells count="10">
    <mergeCell ref="L2:M2"/>
    <mergeCell ref="J2:K2"/>
    <mergeCell ref="S3:T3"/>
    <mergeCell ref="R2:T2"/>
    <mergeCell ref="F2:F3"/>
    <mergeCell ref="E2:E3"/>
    <mergeCell ref="A2:A3"/>
    <mergeCell ref="B2:B3"/>
    <mergeCell ref="C2:C3"/>
    <mergeCell ref="D2:D3"/>
  </mergeCells>
  <conditionalFormatting sqref="A1:XFD1048576">
    <cfRule type="expression" dxfId="8" priority="2">
      <formula>ROW(A1)=ActiveRow</formula>
    </cfRule>
  </conditionalFormatting>
  <printOptions horizontalCentered="1"/>
  <pageMargins left="0" right="0.23622047244094491" top="0" bottom="0" header="0.31496062992125984" footer="0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ListBox1">
          <controlPr defaultSize="0" autoLine="0" r:id="rId5">
            <anchor moveWithCells="1">
              <from>
                <xdr:col>20</xdr:col>
                <xdr:colOff>304800</xdr:colOff>
                <xdr:row>571</xdr:row>
                <xdr:rowOff>0</xdr:rowOff>
              </from>
              <to>
                <xdr:col>28</xdr:col>
                <xdr:colOff>142875</xdr:colOff>
                <xdr:row>593</xdr:row>
                <xdr:rowOff>114300</xdr:rowOff>
              </to>
            </anchor>
          </controlPr>
        </control>
      </mc:Choice>
      <mc:Fallback>
        <control shapeId="1025" r:id="rId4" name="ListBox1"/>
      </mc:Fallback>
    </mc:AlternateContent>
    <mc:AlternateContent xmlns:mc="http://schemas.openxmlformats.org/markup-compatibility/2006">
      <mc:Choice Requires="x14">
        <control shapeId="1026" r:id="rId6" name="Image3">
          <controlPr defaultSize="0" autoLine="0" r:id="rId7">
            <anchor moveWithCells="1">
              <from>
                <xdr:col>20</xdr:col>
                <xdr:colOff>123825</xdr:colOff>
                <xdr:row>459</xdr:row>
                <xdr:rowOff>0</xdr:rowOff>
              </from>
              <to>
                <xdr:col>22</xdr:col>
                <xdr:colOff>504825</xdr:colOff>
                <xdr:row>471</xdr:row>
                <xdr:rowOff>76200</xdr:rowOff>
              </to>
            </anchor>
          </controlPr>
        </control>
      </mc:Choice>
      <mc:Fallback>
        <control shapeId="1026" r:id="rId6" name="Image3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86A6A996-5711-44FE-95E0-60977D673DD8}">
            <x14:iconSet iconSet="3Symbols2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3Symbols" iconId="0"/>
              <x14:cfIcon iconSet="3Symbols" iconId="2"/>
              <x14:cfIcon iconSet="3Symbols" iconId="1"/>
            </x14:iconSet>
          </x14:cfRule>
          <xm:sqref>S4:S1000</xm:sqref>
        </x14:conditionalFormatting>
        <x14:conditionalFormatting xmlns:xm="http://schemas.microsoft.com/office/excel/2006/main">
          <x14:cfRule type="cellIs" priority="1" stopIfTrue="1" operator="equal" id="{17A16C5B-6568-47AD-A219-D96ED93FDE39}">
            <xm:f>Famille!$D$2</xm:f>
            <x14:dxf>
              <font>
                <color rgb="FFC00000"/>
              </font>
              <fill>
                <patternFill patternType="none">
                  <bgColor auto="1"/>
                </patternFill>
              </fill>
            </x14:dxf>
          </x14:cfRule>
          <xm:sqref>T4:T1000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9" tint="0.59999389629810485"/>
  </sheetPr>
  <dimension ref="A1:I36"/>
  <sheetViews>
    <sheetView workbookViewId="0">
      <selection sqref="A1:G36"/>
    </sheetView>
  </sheetViews>
  <sheetFormatPr baseColWidth="10" defaultRowHeight="15" x14ac:dyDescent="0.25"/>
  <sheetData>
    <row r="1" spans="1:9" x14ac:dyDescent="0.25">
      <c r="A1" s="4" t="s">
        <v>59</v>
      </c>
      <c r="B1" s="4" t="s">
        <v>65</v>
      </c>
      <c r="C1" s="5" t="s">
        <v>112</v>
      </c>
      <c r="D1" s="4" t="s">
        <v>170</v>
      </c>
      <c r="E1" s="4" t="s">
        <v>159</v>
      </c>
      <c r="F1" s="6" t="s">
        <v>6</v>
      </c>
      <c r="G1" s="115">
        <v>9</v>
      </c>
      <c r="H1" s="2">
        <v>95.62</v>
      </c>
      <c r="I1" s="1"/>
    </row>
    <row r="2" spans="1:9" x14ac:dyDescent="0.25">
      <c r="A2" s="4" t="s">
        <v>59</v>
      </c>
      <c r="B2" s="4" t="s">
        <v>192</v>
      </c>
      <c r="C2" s="5" t="s">
        <v>112</v>
      </c>
      <c r="D2" s="5" t="s">
        <v>194</v>
      </c>
      <c r="E2" s="4" t="s">
        <v>195</v>
      </c>
      <c r="F2" s="6" t="s">
        <v>6</v>
      </c>
      <c r="G2" s="115">
        <v>9</v>
      </c>
      <c r="H2" s="2">
        <v>125.24</v>
      </c>
      <c r="I2" s="8"/>
    </row>
    <row r="3" spans="1:9" x14ac:dyDescent="0.25">
      <c r="A3" s="4" t="s">
        <v>59</v>
      </c>
      <c r="B3" s="4" t="s">
        <v>66</v>
      </c>
      <c r="C3" s="5" t="s">
        <v>112</v>
      </c>
      <c r="D3" s="5" t="s">
        <v>179</v>
      </c>
      <c r="E3" s="4" t="s">
        <v>168</v>
      </c>
      <c r="F3" s="6" t="s">
        <v>6</v>
      </c>
      <c r="G3" s="115">
        <v>9</v>
      </c>
      <c r="H3" s="2">
        <v>95.33</v>
      </c>
      <c r="I3" s="8"/>
    </row>
    <row r="4" spans="1:9" x14ac:dyDescent="0.25">
      <c r="A4" s="4" t="s">
        <v>59</v>
      </c>
      <c r="B4" s="4" t="s">
        <v>67</v>
      </c>
      <c r="C4" s="5" t="s">
        <v>121</v>
      </c>
      <c r="D4" s="5" t="s">
        <v>180</v>
      </c>
      <c r="E4" s="4" t="s">
        <v>169</v>
      </c>
      <c r="F4" s="6" t="s">
        <v>6</v>
      </c>
      <c r="G4" s="115">
        <v>9</v>
      </c>
      <c r="H4" s="2">
        <v>147.83000000000001</v>
      </c>
      <c r="I4" s="8"/>
    </row>
    <row r="5" spans="1:9" x14ac:dyDescent="0.25">
      <c r="H5" s="2">
        <v>147.83000000000001</v>
      </c>
      <c r="I5" s="8"/>
    </row>
    <row r="6" spans="1:9" x14ac:dyDescent="0.25">
      <c r="H6" s="2">
        <v>220.85</v>
      </c>
      <c r="I6" s="8"/>
    </row>
    <row r="7" spans="1:9" x14ac:dyDescent="0.25">
      <c r="H7" s="2">
        <v>142.56</v>
      </c>
      <c r="I7" s="8"/>
    </row>
    <row r="8" spans="1:9" x14ac:dyDescent="0.25">
      <c r="H8" s="97">
        <v>0</v>
      </c>
      <c r="I8" s="8"/>
    </row>
    <row r="9" spans="1:9" x14ac:dyDescent="0.25">
      <c r="H9" s="97">
        <v>0</v>
      </c>
      <c r="I9" s="8"/>
    </row>
    <row r="10" spans="1:9" x14ac:dyDescent="0.25">
      <c r="H10" s="2">
        <v>114.75</v>
      </c>
      <c r="I10" s="8"/>
    </row>
    <row r="11" spans="1:9" x14ac:dyDescent="0.25">
      <c r="H11" s="2">
        <v>150.28</v>
      </c>
      <c r="I11" s="8"/>
    </row>
    <row r="12" spans="1:9" x14ac:dyDescent="0.25">
      <c r="H12" s="2">
        <v>114.4</v>
      </c>
      <c r="I12" s="8"/>
    </row>
    <row r="13" spans="1:9" x14ac:dyDescent="0.25">
      <c r="H13" s="2">
        <v>177.4</v>
      </c>
      <c r="I13" s="8"/>
    </row>
    <row r="14" spans="1:9" x14ac:dyDescent="0.25">
      <c r="H14" s="2">
        <v>177.4</v>
      </c>
      <c r="I14" s="2"/>
    </row>
    <row r="15" spans="1:9" x14ac:dyDescent="0.25">
      <c r="H15" s="2">
        <v>265.02</v>
      </c>
      <c r="I15" s="8"/>
    </row>
    <row r="16" spans="1:9" x14ac:dyDescent="0.25">
      <c r="H16" s="2">
        <v>171</v>
      </c>
      <c r="I16" s="8"/>
    </row>
    <row r="17" spans="8:9" x14ac:dyDescent="0.25">
      <c r="H17" s="97">
        <v>0</v>
      </c>
      <c r="I17" s="8"/>
    </row>
    <row r="18" spans="8:9" x14ac:dyDescent="0.25">
      <c r="H18" s="97">
        <v>0</v>
      </c>
      <c r="I18" s="8"/>
    </row>
    <row r="19" spans="8:9" x14ac:dyDescent="0.25">
      <c r="H19" s="2">
        <v>114.75</v>
      </c>
      <c r="I19" s="8"/>
    </row>
    <row r="20" spans="8:9" x14ac:dyDescent="0.25">
      <c r="H20" s="2">
        <v>150.28</v>
      </c>
      <c r="I20" s="8"/>
    </row>
    <row r="21" spans="8:9" x14ac:dyDescent="0.25">
      <c r="H21" s="2">
        <v>114.4</v>
      </c>
      <c r="I21" s="8"/>
    </row>
    <row r="22" spans="8:9" x14ac:dyDescent="0.25">
      <c r="H22" s="2">
        <v>177.4</v>
      </c>
      <c r="I22" s="8"/>
    </row>
    <row r="23" spans="8:9" x14ac:dyDescent="0.25">
      <c r="H23" s="2">
        <v>177.4</v>
      </c>
      <c r="I23" s="8"/>
    </row>
    <row r="24" spans="8:9" x14ac:dyDescent="0.25">
      <c r="H24" s="2">
        <v>265.02</v>
      </c>
      <c r="I24" s="8"/>
    </row>
    <row r="25" spans="8:9" x14ac:dyDescent="0.25">
      <c r="H25" s="2">
        <v>171</v>
      </c>
      <c r="I25" s="8"/>
    </row>
    <row r="26" spans="8:9" x14ac:dyDescent="0.25">
      <c r="H26" s="97">
        <v>0</v>
      </c>
      <c r="I26" s="8"/>
    </row>
    <row r="27" spans="8:9" x14ac:dyDescent="0.25">
      <c r="H27" s="97">
        <v>0</v>
      </c>
      <c r="I27" s="8"/>
    </row>
    <row r="28" spans="8:9" x14ac:dyDescent="0.25">
      <c r="H28" s="2">
        <v>83</v>
      </c>
      <c r="I28" s="8"/>
    </row>
    <row r="29" spans="8:9" x14ac:dyDescent="0.25">
      <c r="H29" s="2">
        <v>118.94</v>
      </c>
      <c r="I29" s="3"/>
    </row>
    <row r="30" spans="8:9" x14ac:dyDescent="0.25">
      <c r="H30" s="2">
        <v>89.03</v>
      </c>
      <c r="I30" s="3"/>
    </row>
    <row r="31" spans="8:9" x14ac:dyDescent="0.25">
      <c r="H31" s="2">
        <v>140.62</v>
      </c>
      <c r="I31" s="3"/>
    </row>
    <row r="32" spans="8:9" x14ac:dyDescent="0.25">
      <c r="H32" s="2">
        <v>140.63</v>
      </c>
      <c r="I32" s="3"/>
    </row>
    <row r="33" spans="8:9" x14ac:dyDescent="0.25">
      <c r="H33" s="2">
        <v>214.7</v>
      </c>
      <c r="I33" s="3"/>
    </row>
    <row r="34" spans="8:9" x14ac:dyDescent="0.25">
      <c r="H34" s="2">
        <v>141.34</v>
      </c>
      <c r="I34" s="3"/>
    </row>
    <row r="35" spans="8:9" x14ac:dyDescent="0.25">
      <c r="H35" s="97">
        <v>0</v>
      </c>
      <c r="I35" s="3"/>
    </row>
    <row r="36" spans="8:9" x14ac:dyDescent="0.25">
      <c r="H36" s="97">
        <v>0</v>
      </c>
      <c r="I36" s="3"/>
    </row>
  </sheetData>
  <conditionalFormatting sqref="A1:I4 H5:I36">
    <cfRule type="expression" dxfId="6" priority="1">
      <formula>ROW(A1)=ActiveRow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theme="9" tint="0.59999389629810485"/>
  </sheetPr>
  <dimension ref="A1:I24"/>
  <sheetViews>
    <sheetView tabSelected="1" workbookViewId="0">
      <selection activeCell="G19" sqref="G19"/>
    </sheetView>
  </sheetViews>
  <sheetFormatPr baseColWidth="10" defaultRowHeight="12.75" x14ac:dyDescent="0.2"/>
  <cols>
    <col min="1" max="2" width="12.7109375" style="35" customWidth="1"/>
    <col min="3" max="3" width="25.7109375" style="35" customWidth="1"/>
    <col min="4" max="4" width="8.7109375" style="35" customWidth="1"/>
    <col min="5" max="5" width="12.7109375" style="35" customWidth="1"/>
    <col min="6" max="6" width="10.7109375" style="35" customWidth="1"/>
    <col min="7" max="7" width="14.7109375" style="51" customWidth="1"/>
    <col min="8" max="8" width="11.42578125" style="35"/>
    <col min="9" max="9" width="16.7109375" style="181" customWidth="1"/>
    <col min="10" max="16384" width="11.42578125" style="35"/>
  </cols>
  <sheetData>
    <row r="1" spans="1:9" ht="30" customHeight="1" x14ac:dyDescent="0.2">
      <c r="A1" s="177"/>
      <c r="B1" s="178" t="s">
        <v>102</v>
      </c>
      <c r="C1" s="178"/>
      <c r="D1" s="178"/>
      <c r="E1" s="173" t="s">
        <v>0</v>
      </c>
      <c r="F1" s="174">
        <f ca="1">TODAY()</f>
        <v>42978</v>
      </c>
      <c r="G1" s="175">
        <f ca="1">WEEKNUM(F1)</f>
        <v>35</v>
      </c>
    </row>
    <row r="2" spans="1:9" ht="30" customHeight="1" x14ac:dyDescent="0.2">
      <c r="A2" s="179" t="s">
        <v>106</v>
      </c>
      <c r="B2" s="176" t="s">
        <v>101</v>
      </c>
      <c r="C2" s="176" t="s">
        <v>79</v>
      </c>
      <c r="D2" s="176" t="s">
        <v>105</v>
      </c>
      <c r="E2" s="176" t="s">
        <v>104</v>
      </c>
      <c r="F2" s="176" t="s">
        <v>103</v>
      </c>
      <c r="G2" s="180" t="s">
        <v>107</v>
      </c>
      <c r="I2" s="182" t="s">
        <v>189</v>
      </c>
    </row>
    <row r="3" spans="1:9" ht="30" customHeight="1" x14ac:dyDescent="0.2">
      <c r="A3" s="92"/>
      <c r="B3" s="89"/>
      <c r="C3" s="89"/>
      <c r="D3" s="89"/>
      <c r="E3" s="92"/>
      <c r="F3" s="89"/>
      <c r="G3" s="94"/>
      <c r="I3" s="183">
        <f>SUM(G4:G5)</f>
        <v>30000</v>
      </c>
    </row>
    <row r="4" spans="1:9" ht="20.100000000000001" customHeight="1" x14ac:dyDescent="0.2">
      <c r="A4" s="93" t="s">
        <v>198</v>
      </c>
      <c r="B4" s="91">
        <v>20000000</v>
      </c>
      <c r="C4" s="91" t="s">
        <v>199</v>
      </c>
      <c r="D4" s="91" t="s">
        <v>108</v>
      </c>
      <c r="E4" s="90">
        <v>42983</v>
      </c>
      <c r="F4" s="205" t="s">
        <v>110</v>
      </c>
      <c r="G4" s="95">
        <v>10000</v>
      </c>
    </row>
    <row r="5" spans="1:9" ht="20.100000000000001" customHeight="1" x14ac:dyDescent="0.2">
      <c r="A5" s="93">
        <v>42957</v>
      </c>
      <c r="B5" s="91">
        <v>10000000</v>
      </c>
      <c r="C5" s="91" t="s">
        <v>199</v>
      </c>
      <c r="D5" s="91" t="s">
        <v>108</v>
      </c>
      <c r="E5" s="90">
        <v>42977</v>
      </c>
      <c r="F5" s="205" t="s">
        <v>110</v>
      </c>
      <c r="G5" s="95">
        <v>20000</v>
      </c>
    </row>
    <row r="6" spans="1:9" ht="20.100000000000001" customHeight="1" x14ac:dyDescent="0.2">
      <c r="A6" s="86"/>
      <c r="B6" s="86"/>
      <c r="C6" s="86"/>
      <c r="D6" s="86"/>
      <c r="E6" s="86"/>
      <c r="F6" s="86"/>
      <c r="G6" s="96"/>
    </row>
    <row r="7" spans="1:9" x14ac:dyDescent="0.2">
      <c r="A7" s="86"/>
      <c r="B7" s="86"/>
      <c r="C7" s="86"/>
      <c r="D7" s="86"/>
      <c r="E7" s="86"/>
      <c r="F7" s="86"/>
      <c r="G7" s="96"/>
    </row>
    <row r="8" spans="1:9" x14ac:dyDescent="0.2">
      <c r="A8" s="86"/>
      <c r="B8" s="86"/>
      <c r="C8" s="86"/>
      <c r="D8" s="86"/>
      <c r="E8" s="86"/>
      <c r="F8" s="86"/>
      <c r="G8" s="96"/>
    </row>
    <row r="9" spans="1:9" x14ac:dyDescent="0.2">
      <c r="A9" s="86"/>
      <c r="B9" s="86"/>
      <c r="C9" s="86"/>
      <c r="D9" s="86"/>
      <c r="E9" s="86"/>
      <c r="F9" s="86"/>
      <c r="G9" s="96"/>
    </row>
    <row r="10" spans="1:9" x14ac:dyDescent="0.2">
      <c r="A10" s="86"/>
      <c r="B10" s="86"/>
      <c r="C10" s="86"/>
      <c r="D10" s="86"/>
      <c r="E10" s="86"/>
      <c r="F10" s="86"/>
      <c r="G10" s="96"/>
    </row>
    <row r="11" spans="1:9" x14ac:dyDescent="0.2">
      <c r="A11" s="86"/>
      <c r="B11" s="86"/>
      <c r="C11" s="86"/>
      <c r="D11" s="86"/>
      <c r="E11" s="86"/>
      <c r="F11" s="86"/>
      <c r="G11" s="96"/>
    </row>
    <row r="12" spans="1:9" x14ac:dyDescent="0.2">
      <c r="A12" s="86"/>
      <c r="B12" s="86"/>
      <c r="C12" s="86"/>
      <c r="D12" s="86"/>
      <c r="E12" s="86"/>
      <c r="F12" s="86"/>
      <c r="G12" s="96"/>
    </row>
    <row r="13" spans="1:9" x14ac:dyDescent="0.2">
      <c r="A13" s="86"/>
      <c r="B13" s="86"/>
      <c r="C13" s="86"/>
      <c r="D13" s="86"/>
      <c r="E13" s="86"/>
      <c r="F13" s="86"/>
      <c r="G13" s="96"/>
    </row>
    <row r="14" spans="1:9" x14ac:dyDescent="0.2">
      <c r="A14" s="86"/>
      <c r="B14" s="86"/>
      <c r="C14" s="86"/>
      <c r="D14" s="86"/>
      <c r="E14" s="86"/>
      <c r="F14" s="86"/>
      <c r="G14" s="96"/>
    </row>
    <row r="15" spans="1:9" x14ac:dyDescent="0.2">
      <c r="A15" s="86"/>
      <c r="B15" s="86"/>
      <c r="C15" s="86"/>
      <c r="D15" s="86"/>
      <c r="E15" s="86"/>
      <c r="F15" s="86"/>
      <c r="G15" s="96"/>
    </row>
    <row r="16" spans="1:9" x14ac:dyDescent="0.2">
      <c r="A16" s="86"/>
      <c r="B16" s="86"/>
      <c r="C16" s="86"/>
      <c r="D16" s="86"/>
      <c r="E16" s="86"/>
      <c r="F16" s="86"/>
      <c r="G16" s="96"/>
    </row>
    <row r="17" spans="1:7" x14ac:dyDescent="0.2">
      <c r="A17" s="86"/>
      <c r="B17" s="86"/>
      <c r="C17" s="86"/>
      <c r="D17" s="86"/>
      <c r="E17" s="86"/>
      <c r="F17" s="86"/>
      <c r="G17" s="96"/>
    </row>
    <row r="18" spans="1:7" x14ac:dyDescent="0.2">
      <c r="A18" s="86"/>
      <c r="B18" s="86"/>
      <c r="C18" s="86"/>
      <c r="D18" s="86"/>
      <c r="E18" s="86"/>
      <c r="F18" s="86"/>
      <c r="G18" s="96"/>
    </row>
    <row r="19" spans="1:7" x14ac:dyDescent="0.2">
      <c r="A19" s="86"/>
      <c r="B19" s="86"/>
      <c r="C19" s="86"/>
      <c r="D19" s="86"/>
      <c r="E19" s="86"/>
      <c r="F19" s="86"/>
      <c r="G19" s="96"/>
    </row>
    <row r="20" spans="1:7" x14ac:dyDescent="0.2">
      <c r="A20" s="86"/>
      <c r="B20" s="86"/>
      <c r="C20" s="86"/>
      <c r="D20" s="86"/>
      <c r="E20" s="86"/>
      <c r="F20" s="86"/>
      <c r="G20" s="96"/>
    </row>
    <row r="21" spans="1:7" x14ac:dyDescent="0.2">
      <c r="A21" s="86"/>
      <c r="B21" s="86"/>
      <c r="C21" s="86"/>
      <c r="D21" s="86"/>
      <c r="E21" s="86"/>
      <c r="F21" s="86"/>
      <c r="G21" s="96"/>
    </row>
    <row r="22" spans="1:7" x14ac:dyDescent="0.2">
      <c r="A22" s="86"/>
      <c r="B22" s="86"/>
      <c r="C22" s="86"/>
      <c r="D22" s="86"/>
      <c r="E22" s="86"/>
      <c r="F22" s="86"/>
      <c r="G22" s="96"/>
    </row>
    <row r="23" spans="1:7" x14ac:dyDescent="0.2">
      <c r="A23" s="86"/>
      <c r="B23" s="86"/>
      <c r="C23" s="86"/>
      <c r="D23" s="86"/>
      <c r="E23" s="86"/>
      <c r="F23" s="86"/>
      <c r="G23" s="96"/>
    </row>
    <row r="24" spans="1:7" x14ac:dyDescent="0.2">
      <c r="A24" s="86"/>
      <c r="B24" s="86"/>
      <c r="C24" s="86"/>
      <c r="D24" s="86"/>
      <c r="E24" s="86"/>
      <c r="F24" s="86"/>
      <c r="G24" s="96"/>
    </row>
  </sheetData>
  <sortState ref="A4:G5">
    <sortCondition descending="1" ref="A4"/>
  </sortState>
  <pageMargins left="0.7" right="0.7" top="0.75" bottom="0.75" header="0.3" footer="0.3"/>
  <pageSetup paperSize="9" orientation="portrait" horizontalDpi="1200" verticalDpi="1200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0000000}">
          <x14:formula1>
            <xm:f>Famille!$D$10:$D$11</xm:f>
          </x14:formula1>
          <xm:sqref>F3:F5</xm:sqref>
        </x14:dataValidation>
        <x14:dataValidation type="list" allowBlank="1" showInputMessage="1" showErrorMessage="1" xr:uid="{00000000-0002-0000-0200-000001000000}">
          <x14:formula1>
            <xm:f>Famille!$D$6:$D$9</xm:f>
          </x14:formula1>
          <xm:sqref>D4:D5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I901"/>
  <sheetViews>
    <sheetView workbookViewId="0">
      <pane xSplit="9" ySplit="3" topLeftCell="J4" activePane="bottomRight" state="frozen"/>
      <selection pane="topRight" activeCell="J1" sqref="J1"/>
      <selection pane="bottomLeft" activeCell="A4" sqref="A4"/>
      <selection pane="bottomRight"/>
    </sheetView>
  </sheetViews>
  <sheetFormatPr baseColWidth="10" defaultRowHeight="12.75" x14ac:dyDescent="0.25"/>
  <cols>
    <col min="1" max="1" width="12.7109375" style="9" customWidth="1"/>
    <col min="2" max="2" width="12.7109375" style="4" customWidth="1"/>
    <col min="3" max="3" width="12.7109375" style="11" customWidth="1"/>
    <col min="4" max="5" width="41.7109375" style="11" customWidth="1"/>
    <col min="6" max="6" width="8.7109375" style="12" customWidth="1"/>
    <col min="7" max="7" width="8.7109375" style="117" customWidth="1"/>
    <col min="8" max="8" width="10.7109375" style="13" customWidth="1"/>
    <col min="9" max="9" width="10.7109375" style="3" customWidth="1"/>
    <col min="10" max="16384" width="11.42578125" style="3"/>
  </cols>
  <sheetData>
    <row r="1" spans="1:9" ht="30" customHeight="1" x14ac:dyDescent="0.25">
      <c r="A1" s="78"/>
      <c r="B1" s="65" t="s">
        <v>69</v>
      </c>
      <c r="C1" s="65"/>
      <c r="D1" s="65"/>
      <c r="E1" s="65"/>
      <c r="F1" s="65"/>
      <c r="G1" s="112"/>
      <c r="H1" s="98"/>
    </row>
    <row r="2" spans="1:9" s="1" customFormat="1" ht="30" customHeight="1" x14ac:dyDescent="0.25">
      <c r="A2" s="82" t="s">
        <v>2</v>
      </c>
      <c r="B2" s="82" t="s">
        <v>3</v>
      </c>
      <c r="C2" s="82" t="s">
        <v>90</v>
      </c>
      <c r="D2" s="82" t="s">
        <v>4</v>
      </c>
      <c r="E2" s="82" t="s">
        <v>5</v>
      </c>
      <c r="F2" s="82" t="s">
        <v>1</v>
      </c>
      <c r="G2" s="113" t="s">
        <v>158</v>
      </c>
      <c r="H2" s="99" t="s">
        <v>78</v>
      </c>
      <c r="I2" s="84"/>
    </row>
    <row r="3" spans="1:9" s="1" customFormat="1" ht="5.0999999999999996" customHeight="1" x14ac:dyDescent="0.25">
      <c r="A3" s="83"/>
      <c r="B3" s="83"/>
      <c r="C3" s="83"/>
      <c r="D3" s="83"/>
      <c r="E3" s="83"/>
      <c r="F3" s="83"/>
      <c r="G3" s="114"/>
      <c r="H3" s="100"/>
      <c r="I3" s="84"/>
    </row>
    <row r="4" spans="1:9" s="1" customFormat="1" ht="12.95" customHeight="1" x14ac:dyDescent="0.2">
      <c r="A4" s="4" t="str">
        <f>Famille!$A$2</f>
        <v>Rail R à ailettes</v>
      </c>
      <c r="B4" s="4" t="str">
        <f>Famille!$A$15</f>
        <v>RAL 9010</v>
      </c>
      <c r="C4" s="5" t="s">
        <v>201</v>
      </c>
      <c r="D4" s="4" t="s">
        <v>650</v>
      </c>
      <c r="E4" s="4"/>
      <c r="F4" s="6" t="s">
        <v>6</v>
      </c>
      <c r="G4" s="115">
        <v>9</v>
      </c>
      <c r="H4" s="2">
        <v>10</v>
      </c>
    </row>
    <row r="5" spans="1:9" s="8" customFormat="1" ht="12.95" customHeight="1" x14ac:dyDescent="0.2">
      <c r="A5" s="4" t="str">
        <f>Famille!$A$2</f>
        <v>Rail R à ailettes</v>
      </c>
      <c r="B5" s="4" t="str">
        <f>Famille!$A$15</f>
        <v>RAL 9010</v>
      </c>
      <c r="C5" s="5" t="s">
        <v>202</v>
      </c>
      <c r="D5" s="4" t="s">
        <v>651</v>
      </c>
      <c r="E5" s="4"/>
      <c r="F5" s="7" t="s">
        <v>7</v>
      </c>
      <c r="G5" s="116">
        <v>3</v>
      </c>
      <c r="H5" s="2">
        <v>11</v>
      </c>
    </row>
    <row r="6" spans="1:9" s="8" customFormat="1" ht="12.95" customHeight="1" x14ac:dyDescent="0.2">
      <c r="A6" s="4" t="str">
        <f>Famille!$A$2</f>
        <v>Rail R à ailettes</v>
      </c>
      <c r="B6" s="4" t="str">
        <f>Famille!$A$15</f>
        <v>RAL 9010</v>
      </c>
      <c r="C6" s="5" t="s">
        <v>203</v>
      </c>
      <c r="D6" s="4" t="s">
        <v>652</v>
      </c>
      <c r="E6" s="4"/>
      <c r="F6" s="7" t="s">
        <v>7</v>
      </c>
      <c r="G6" s="116">
        <v>5</v>
      </c>
      <c r="H6" s="2">
        <v>12</v>
      </c>
    </row>
    <row r="7" spans="1:9" s="8" customFormat="1" ht="12.95" customHeight="1" x14ac:dyDescent="0.2">
      <c r="A7" s="4" t="str">
        <f>Famille!$A$2</f>
        <v>Rail R à ailettes</v>
      </c>
      <c r="B7" s="4" t="str">
        <f>Famille!$A$15</f>
        <v>RAL 9010</v>
      </c>
      <c r="C7" s="5" t="s">
        <v>204</v>
      </c>
      <c r="D7" s="4" t="s">
        <v>653</v>
      </c>
      <c r="E7" s="4"/>
      <c r="F7" s="7" t="s">
        <v>7</v>
      </c>
      <c r="G7" s="116">
        <v>3</v>
      </c>
      <c r="H7" s="2">
        <v>13</v>
      </c>
    </row>
    <row r="8" spans="1:9" s="8" customFormat="1" ht="12.95" customHeight="1" x14ac:dyDescent="0.2">
      <c r="A8" s="4" t="str">
        <f>Famille!$A$2</f>
        <v>Rail R à ailettes</v>
      </c>
      <c r="B8" s="4" t="str">
        <f>Famille!$A$15</f>
        <v>RAL 9010</v>
      </c>
      <c r="C8" s="5" t="s">
        <v>205</v>
      </c>
      <c r="D8" s="4" t="s">
        <v>654</v>
      </c>
      <c r="E8" s="4"/>
      <c r="F8" s="7" t="s">
        <v>7</v>
      </c>
      <c r="G8" s="116">
        <v>3</v>
      </c>
      <c r="H8" s="2">
        <v>14</v>
      </c>
    </row>
    <row r="9" spans="1:9" s="8" customFormat="1" ht="12.95" customHeight="1" x14ac:dyDescent="0.2">
      <c r="A9" s="4" t="str">
        <f>Famille!$A$2</f>
        <v>Rail R à ailettes</v>
      </c>
      <c r="B9" s="4" t="str">
        <f>Famille!$A$15</f>
        <v>RAL 9010</v>
      </c>
      <c r="C9" s="5" t="s">
        <v>206</v>
      </c>
      <c r="D9" s="4" t="s">
        <v>655</v>
      </c>
      <c r="E9" s="4"/>
      <c r="F9" s="7" t="s">
        <v>7</v>
      </c>
      <c r="G9" s="116">
        <v>1</v>
      </c>
      <c r="H9" s="2">
        <v>15</v>
      </c>
    </row>
    <row r="10" spans="1:9" s="8" customFormat="1" ht="12.95" customHeight="1" x14ac:dyDescent="0.2">
      <c r="A10" s="4" t="str">
        <f>Famille!$A$2</f>
        <v>Rail R à ailettes</v>
      </c>
      <c r="B10" s="4" t="str">
        <f>Famille!$A$15</f>
        <v>RAL 9010</v>
      </c>
      <c r="C10" s="5" t="s">
        <v>207</v>
      </c>
      <c r="D10" s="4" t="s">
        <v>656</v>
      </c>
      <c r="E10" s="4"/>
      <c r="F10" s="7" t="s">
        <v>7</v>
      </c>
      <c r="G10" s="116">
        <v>2</v>
      </c>
      <c r="H10" s="2">
        <v>16</v>
      </c>
    </row>
    <row r="11" spans="1:9" s="8" customFormat="1" ht="12.95" customHeight="1" x14ac:dyDescent="0.2">
      <c r="A11" s="4" t="str">
        <f>Famille!$A$2</f>
        <v>Rail R à ailettes</v>
      </c>
      <c r="B11" s="4" t="str">
        <f>Famille!$A$15</f>
        <v>RAL 9010</v>
      </c>
      <c r="C11" s="5" t="s">
        <v>208</v>
      </c>
      <c r="D11" s="4" t="s">
        <v>657</v>
      </c>
      <c r="E11" s="5"/>
      <c r="F11" s="7" t="s">
        <v>7</v>
      </c>
      <c r="G11" s="116">
        <v>1</v>
      </c>
      <c r="H11" s="2">
        <v>17</v>
      </c>
    </row>
    <row r="12" spans="1:9" s="8" customFormat="1" ht="12.95" customHeight="1" x14ac:dyDescent="0.2">
      <c r="A12" s="4" t="str">
        <f>Famille!$A$2</f>
        <v>Rail R à ailettes</v>
      </c>
      <c r="B12" s="4" t="str">
        <f>Famille!$A$15</f>
        <v>RAL 9010</v>
      </c>
      <c r="C12" s="5" t="s">
        <v>209</v>
      </c>
      <c r="D12" s="4" t="s">
        <v>658</v>
      </c>
      <c r="E12" s="5"/>
      <c r="F12" s="7" t="s">
        <v>7</v>
      </c>
      <c r="G12" s="116">
        <v>1</v>
      </c>
      <c r="H12" s="2">
        <v>18</v>
      </c>
    </row>
    <row r="13" spans="1:9" s="8" customFormat="1" ht="12.95" customHeight="1" x14ac:dyDescent="0.2">
      <c r="A13" s="4" t="str">
        <f>Famille!$A$2</f>
        <v>Rail R à ailettes</v>
      </c>
      <c r="B13" s="4" t="str">
        <f>Famille!$A$16</f>
        <v>RAL 9003</v>
      </c>
      <c r="C13" s="5" t="s">
        <v>210</v>
      </c>
      <c r="D13" s="4" t="s">
        <v>659</v>
      </c>
      <c r="E13" s="4"/>
      <c r="F13" s="6" t="s">
        <v>6</v>
      </c>
      <c r="G13" s="115">
        <v>9</v>
      </c>
      <c r="H13" s="2">
        <v>19</v>
      </c>
    </row>
    <row r="14" spans="1:9" s="8" customFormat="1" ht="12.95" customHeight="1" x14ac:dyDescent="0.2">
      <c r="A14" s="4" t="str">
        <f>Famille!$A$2</f>
        <v>Rail R à ailettes</v>
      </c>
      <c r="B14" s="4" t="str">
        <f>Famille!$A$16</f>
        <v>RAL 9003</v>
      </c>
      <c r="C14" s="5" t="s">
        <v>211</v>
      </c>
      <c r="D14" s="4" t="s">
        <v>660</v>
      </c>
      <c r="E14" s="4"/>
      <c r="F14" s="7" t="s">
        <v>7</v>
      </c>
      <c r="G14" s="116">
        <v>3</v>
      </c>
      <c r="H14" s="2">
        <v>20</v>
      </c>
    </row>
    <row r="15" spans="1:9" s="8" customFormat="1" ht="12.95" customHeight="1" x14ac:dyDescent="0.2">
      <c r="A15" s="4" t="str">
        <f>Famille!$A$2</f>
        <v>Rail R à ailettes</v>
      </c>
      <c r="B15" s="4" t="str">
        <f>Famille!$A$16</f>
        <v>RAL 9003</v>
      </c>
      <c r="C15" s="5" t="s">
        <v>212</v>
      </c>
      <c r="D15" s="4" t="s">
        <v>661</v>
      </c>
      <c r="E15" s="4"/>
      <c r="F15" s="7" t="s">
        <v>7</v>
      </c>
      <c r="G15" s="116">
        <v>5</v>
      </c>
      <c r="H15" s="2">
        <v>21</v>
      </c>
    </row>
    <row r="16" spans="1:9" s="8" customFormat="1" ht="12.95" customHeight="1" x14ac:dyDescent="0.2">
      <c r="A16" s="4" t="str">
        <f>Famille!$A$2</f>
        <v>Rail R à ailettes</v>
      </c>
      <c r="B16" s="4" t="str">
        <f>Famille!$A$16</f>
        <v>RAL 9003</v>
      </c>
      <c r="C16" s="5" t="s">
        <v>213</v>
      </c>
      <c r="D16" s="4" t="s">
        <v>662</v>
      </c>
      <c r="E16" s="4"/>
      <c r="F16" s="7" t="s">
        <v>7</v>
      </c>
      <c r="G16" s="116">
        <v>3</v>
      </c>
      <c r="H16" s="2">
        <v>22</v>
      </c>
    </row>
    <row r="17" spans="1:9" s="8" customFormat="1" ht="12.95" customHeight="1" x14ac:dyDescent="0.2">
      <c r="A17" s="4" t="str">
        <f>Famille!$A$2</f>
        <v>Rail R à ailettes</v>
      </c>
      <c r="B17" s="4" t="str">
        <f>Famille!$A$16</f>
        <v>RAL 9003</v>
      </c>
      <c r="C17" s="5" t="s">
        <v>214</v>
      </c>
      <c r="D17" s="4" t="s">
        <v>663</v>
      </c>
      <c r="E17" s="4"/>
      <c r="F17" s="7" t="s">
        <v>7</v>
      </c>
      <c r="G17" s="116">
        <v>3</v>
      </c>
      <c r="H17" s="2">
        <v>23</v>
      </c>
      <c r="I17" s="2"/>
    </row>
    <row r="18" spans="1:9" s="8" customFormat="1" ht="12.95" customHeight="1" x14ac:dyDescent="0.2">
      <c r="A18" s="4" t="str">
        <f>Famille!$A$2</f>
        <v>Rail R à ailettes</v>
      </c>
      <c r="B18" s="4" t="str">
        <f>Famille!$A$16</f>
        <v>RAL 9003</v>
      </c>
      <c r="C18" s="5" t="s">
        <v>215</v>
      </c>
      <c r="D18" s="4" t="s">
        <v>664</v>
      </c>
      <c r="E18" s="4"/>
      <c r="F18" s="7" t="s">
        <v>7</v>
      </c>
      <c r="G18" s="116">
        <v>1</v>
      </c>
      <c r="H18" s="2">
        <v>24</v>
      </c>
    </row>
    <row r="19" spans="1:9" s="8" customFormat="1" ht="12.95" customHeight="1" x14ac:dyDescent="0.2">
      <c r="A19" s="4" t="str">
        <f>Famille!$A$2</f>
        <v>Rail R à ailettes</v>
      </c>
      <c r="B19" s="4" t="str">
        <f>Famille!$A$16</f>
        <v>RAL 9003</v>
      </c>
      <c r="C19" s="5" t="s">
        <v>216</v>
      </c>
      <c r="D19" s="4" t="s">
        <v>665</v>
      </c>
      <c r="E19" s="4"/>
      <c r="F19" s="7" t="s">
        <v>7</v>
      </c>
      <c r="G19" s="116">
        <v>2</v>
      </c>
      <c r="H19" s="2">
        <v>25</v>
      </c>
    </row>
    <row r="20" spans="1:9" s="8" customFormat="1" ht="12.95" customHeight="1" x14ac:dyDescent="0.2">
      <c r="A20" s="4" t="str">
        <f>Famille!$A$2</f>
        <v>Rail R à ailettes</v>
      </c>
      <c r="B20" s="4" t="str">
        <f>Famille!$A$16</f>
        <v>RAL 9003</v>
      </c>
      <c r="C20" s="5" t="s">
        <v>217</v>
      </c>
      <c r="D20" s="4" t="s">
        <v>666</v>
      </c>
      <c r="E20" s="5"/>
      <c r="F20" s="7" t="s">
        <v>7</v>
      </c>
      <c r="G20" s="116">
        <v>1</v>
      </c>
      <c r="H20" s="2">
        <v>26</v>
      </c>
    </row>
    <row r="21" spans="1:9" s="8" customFormat="1" ht="12.95" customHeight="1" x14ac:dyDescent="0.2">
      <c r="A21" s="4" t="str">
        <f>Famille!$A$2</f>
        <v>Rail R à ailettes</v>
      </c>
      <c r="B21" s="4" t="str">
        <f>Famille!$A$16</f>
        <v>RAL 9003</v>
      </c>
      <c r="C21" s="5" t="s">
        <v>218</v>
      </c>
      <c r="D21" s="4" t="s">
        <v>667</v>
      </c>
      <c r="E21" s="5"/>
      <c r="F21" s="7" t="s">
        <v>7</v>
      </c>
      <c r="G21" s="116">
        <v>1</v>
      </c>
      <c r="H21" s="2">
        <v>27</v>
      </c>
    </row>
    <row r="22" spans="1:9" s="8" customFormat="1" ht="12.95" customHeight="1" x14ac:dyDescent="0.2">
      <c r="A22" s="4" t="str">
        <f>Famille!$A$2</f>
        <v>Rail R à ailettes</v>
      </c>
      <c r="B22" s="4" t="str">
        <f>Famille!$A$17</f>
        <v>RAL XXXX</v>
      </c>
      <c r="C22" s="5" t="s">
        <v>219</v>
      </c>
      <c r="D22" s="4" t="s">
        <v>668</v>
      </c>
      <c r="E22" s="4"/>
      <c r="F22" s="6" t="s">
        <v>6</v>
      </c>
      <c r="G22" s="115">
        <v>9</v>
      </c>
      <c r="H22" s="2">
        <v>28</v>
      </c>
    </row>
    <row r="23" spans="1:9" s="8" customFormat="1" ht="12.95" customHeight="1" x14ac:dyDescent="0.2">
      <c r="A23" s="4" t="str">
        <f>Famille!$A$2</f>
        <v>Rail R à ailettes</v>
      </c>
      <c r="B23" s="4" t="str">
        <f>Famille!$A$17</f>
        <v>RAL XXXX</v>
      </c>
      <c r="C23" s="5" t="s">
        <v>220</v>
      </c>
      <c r="D23" s="4" t="s">
        <v>669</v>
      </c>
      <c r="E23" s="4"/>
      <c r="F23" s="7" t="s">
        <v>7</v>
      </c>
      <c r="G23" s="116">
        <v>3</v>
      </c>
      <c r="H23" s="2">
        <v>29</v>
      </c>
    </row>
    <row r="24" spans="1:9" s="8" customFormat="1" ht="12.95" customHeight="1" x14ac:dyDescent="0.2">
      <c r="A24" s="4" t="str">
        <f>Famille!$A$2</f>
        <v>Rail R à ailettes</v>
      </c>
      <c r="B24" s="4" t="str">
        <f>Famille!$A$17</f>
        <v>RAL XXXX</v>
      </c>
      <c r="C24" s="5" t="s">
        <v>221</v>
      </c>
      <c r="D24" s="4" t="s">
        <v>670</v>
      </c>
      <c r="E24" s="4"/>
      <c r="F24" s="7" t="s">
        <v>7</v>
      </c>
      <c r="G24" s="116">
        <v>5</v>
      </c>
      <c r="H24" s="2">
        <v>30</v>
      </c>
    </row>
    <row r="25" spans="1:9" s="8" customFormat="1" ht="12.95" customHeight="1" x14ac:dyDescent="0.2">
      <c r="A25" s="4" t="str">
        <f>Famille!$A$2</f>
        <v>Rail R à ailettes</v>
      </c>
      <c r="B25" s="4" t="str">
        <f>Famille!$A$17</f>
        <v>RAL XXXX</v>
      </c>
      <c r="C25" s="5" t="s">
        <v>222</v>
      </c>
      <c r="D25" s="4" t="s">
        <v>671</v>
      </c>
      <c r="E25" s="4"/>
      <c r="F25" s="7" t="s">
        <v>7</v>
      </c>
      <c r="G25" s="116">
        <v>3</v>
      </c>
      <c r="H25" s="2">
        <v>31</v>
      </c>
    </row>
    <row r="26" spans="1:9" s="8" customFormat="1" ht="12.95" customHeight="1" x14ac:dyDescent="0.2">
      <c r="A26" s="4" t="str">
        <f>Famille!$A$2</f>
        <v>Rail R à ailettes</v>
      </c>
      <c r="B26" s="4" t="str">
        <f>Famille!$A$17</f>
        <v>RAL XXXX</v>
      </c>
      <c r="C26" s="5" t="s">
        <v>223</v>
      </c>
      <c r="D26" s="4" t="s">
        <v>672</v>
      </c>
      <c r="E26" s="4"/>
      <c r="F26" s="7" t="s">
        <v>7</v>
      </c>
      <c r="G26" s="116">
        <v>3</v>
      </c>
      <c r="H26" s="2">
        <v>32</v>
      </c>
    </row>
    <row r="27" spans="1:9" s="8" customFormat="1" ht="12.95" customHeight="1" x14ac:dyDescent="0.2">
      <c r="A27" s="4" t="str">
        <f>Famille!$A$2</f>
        <v>Rail R à ailettes</v>
      </c>
      <c r="B27" s="4" t="str">
        <f>Famille!$A$17</f>
        <v>RAL XXXX</v>
      </c>
      <c r="C27" s="5" t="s">
        <v>224</v>
      </c>
      <c r="D27" s="4" t="s">
        <v>673</v>
      </c>
      <c r="E27" s="4"/>
      <c r="F27" s="7" t="s">
        <v>7</v>
      </c>
      <c r="G27" s="116">
        <v>1</v>
      </c>
      <c r="H27" s="2">
        <v>33</v>
      </c>
    </row>
    <row r="28" spans="1:9" s="8" customFormat="1" ht="12.95" customHeight="1" x14ac:dyDescent="0.2">
      <c r="A28" s="4" t="str">
        <f>Famille!$A$2</f>
        <v>Rail R à ailettes</v>
      </c>
      <c r="B28" s="4" t="str">
        <f>Famille!$A$17</f>
        <v>RAL XXXX</v>
      </c>
      <c r="C28" s="5" t="s">
        <v>225</v>
      </c>
      <c r="D28" s="4" t="s">
        <v>674</v>
      </c>
      <c r="E28" s="4"/>
      <c r="F28" s="7" t="s">
        <v>7</v>
      </c>
      <c r="G28" s="116">
        <v>2</v>
      </c>
      <c r="H28" s="2">
        <v>34</v>
      </c>
    </row>
    <row r="29" spans="1:9" s="8" customFormat="1" ht="12.95" customHeight="1" x14ac:dyDescent="0.2">
      <c r="A29" s="4" t="str">
        <f>Famille!$A$2</f>
        <v>Rail R à ailettes</v>
      </c>
      <c r="B29" s="4" t="str">
        <f>Famille!$A$17</f>
        <v>RAL XXXX</v>
      </c>
      <c r="C29" s="5" t="s">
        <v>226</v>
      </c>
      <c r="D29" s="4" t="s">
        <v>675</v>
      </c>
      <c r="E29" s="5"/>
      <c r="F29" s="7" t="s">
        <v>7</v>
      </c>
      <c r="G29" s="116">
        <v>1</v>
      </c>
      <c r="H29" s="2">
        <v>35</v>
      </c>
    </row>
    <row r="30" spans="1:9" s="8" customFormat="1" ht="12.95" customHeight="1" x14ac:dyDescent="0.2">
      <c r="A30" s="4" t="str">
        <f>Famille!$A$2</f>
        <v>Rail R à ailettes</v>
      </c>
      <c r="B30" s="4" t="str">
        <f>Famille!$A$17</f>
        <v>RAL XXXX</v>
      </c>
      <c r="C30" s="5" t="s">
        <v>227</v>
      </c>
      <c r="D30" s="4" t="s">
        <v>676</v>
      </c>
      <c r="E30" s="5"/>
      <c r="F30" s="7" t="s">
        <v>7</v>
      </c>
      <c r="G30" s="116">
        <v>1</v>
      </c>
      <c r="H30" s="2">
        <v>36</v>
      </c>
    </row>
    <row r="31" spans="1:9" s="8" customFormat="1" ht="12.95" customHeight="1" x14ac:dyDescent="0.2">
      <c r="A31" s="4" t="str">
        <f>Famille!$A$2</f>
        <v>Rail R à ailettes</v>
      </c>
      <c r="B31" s="4" t="str">
        <f>Famille!$A$19</f>
        <v>BRUT</v>
      </c>
      <c r="C31" s="5" t="s">
        <v>228</v>
      </c>
      <c r="D31" s="4" t="s">
        <v>677</v>
      </c>
      <c r="E31" s="4"/>
      <c r="F31" s="6" t="s">
        <v>6</v>
      </c>
      <c r="G31" s="115">
        <v>9</v>
      </c>
      <c r="H31" s="2">
        <v>37</v>
      </c>
    </row>
    <row r="32" spans="1:9" ht="12.95" customHeight="1" x14ac:dyDescent="0.2">
      <c r="A32" s="4" t="str">
        <f>Famille!$A$2</f>
        <v>Rail R à ailettes</v>
      </c>
      <c r="B32" s="4" t="str">
        <f>Famille!$A$19</f>
        <v>BRUT</v>
      </c>
      <c r="C32" s="5" t="s">
        <v>229</v>
      </c>
      <c r="D32" s="4" t="s">
        <v>678</v>
      </c>
      <c r="E32" s="4"/>
      <c r="F32" s="7" t="s">
        <v>7</v>
      </c>
      <c r="G32" s="116">
        <v>3</v>
      </c>
      <c r="H32" s="2">
        <v>38</v>
      </c>
    </row>
    <row r="33" spans="1:8" ht="12.95" customHeight="1" x14ac:dyDescent="0.2">
      <c r="A33" s="4" t="str">
        <f>Famille!$A$2</f>
        <v>Rail R à ailettes</v>
      </c>
      <c r="B33" s="4" t="str">
        <f>Famille!$A$19</f>
        <v>BRUT</v>
      </c>
      <c r="C33" s="5" t="s">
        <v>230</v>
      </c>
      <c r="D33" s="4" t="s">
        <v>679</v>
      </c>
      <c r="E33" s="4"/>
      <c r="F33" s="7" t="s">
        <v>7</v>
      </c>
      <c r="G33" s="116">
        <v>5</v>
      </c>
      <c r="H33" s="2">
        <v>39</v>
      </c>
    </row>
    <row r="34" spans="1:8" ht="12.95" customHeight="1" x14ac:dyDescent="0.2">
      <c r="A34" s="4" t="str">
        <f>Famille!$A$2</f>
        <v>Rail R à ailettes</v>
      </c>
      <c r="B34" s="4" t="str">
        <f>Famille!$A$19</f>
        <v>BRUT</v>
      </c>
      <c r="C34" s="5" t="s">
        <v>231</v>
      </c>
      <c r="D34" s="4" t="s">
        <v>680</v>
      </c>
      <c r="E34" s="4"/>
      <c r="F34" s="7" t="s">
        <v>7</v>
      </c>
      <c r="G34" s="116">
        <v>3</v>
      </c>
      <c r="H34" s="2">
        <v>40</v>
      </c>
    </row>
    <row r="35" spans="1:8" ht="12.95" customHeight="1" x14ac:dyDescent="0.2">
      <c r="A35" s="4" t="str">
        <f>Famille!$A$2</f>
        <v>Rail R à ailettes</v>
      </c>
      <c r="B35" s="4" t="str">
        <f>Famille!$A$19</f>
        <v>BRUT</v>
      </c>
      <c r="C35" s="5" t="s">
        <v>232</v>
      </c>
      <c r="D35" s="4" t="s">
        <v>681</v>
      </c>
      <c r="E35" s="4"/>
      <c r="F35" s="7" t="s">
        <v>7</v>
      </c>
      <c r="G35" s="116">
        <v>3</v>
      </c>
      <c r="H35" s="2">
        <v>41</v>
      </c>
    </row>
    <row r="36" spans="1:8" ht="12.95" customHeight="1" x14ac:dyDescent="0.2">
      <c r="A36" s="4" t="str">
        <f>Famille!$A$2</f>
        <v>Rail R à ailettes</v>
      </c>
      <c r="B36" s="4" t="str">
        <f>Famille!$A$19</f>
        <v>BRUT</v>
      </c>
      <c r="C36" s="5" t="s">
        <v>233</v>
      </c>
      <c r="D36" s="4" t="s">
        <v>682</v>
      </c>
      <c r="E36" s="4"/>
      <c r="F36" s="7" t="s">
        <v>7</v>
      </c>
      <c r="G36" s="116">
        <v>1</v>
      </c>
      <c r="H36" s="2">
        <v>42</v>
      </c>
    </row>
    <row r="37" spans="1:8" ht="12.95" customHeight="1" x14ac:dyDescent="0.2">
      <c r="A37" s="4" t="str">
        <f>Famille!$A$2</f>
        <v>Rail R à ailettes</v>
      </c>
      <c r="B37" s="4" t="str">
        <f>Famille!$A$19</f>
        <v>BRUT</v>
      </c>
      <c r="C37" s="5" t="s">
        <v>234</v>
      </c>
      <c r="D37" s="4" t="s">
        <v>683</v>
      </c>
      <c r="E37" s="4"/>
      <c r="F37" s="7" t="s">
        <v>7</v>
      </c>
      <c r="G37" s="116">
        <v>2</v>
      </c>
      <c r="H37" s="2">
        <v>43</v>
      </c>
    </row>
    <row r="38" spans="1:8" ht="12.95" customHeight="1" x14ac:dyDescent="0.2">
      <c r="A38" s="4" t="str">
        <f>Famille!$A$2</f>
        <v>Rail R à ailettes</v>
      </c>
      <c r="B38" s="4" t="str">
        <f>Famille!$A$19</f>
        <v>BRUT</v>
      </c>
      <c r="C38" s="5" t="s">
        <v>235</v>
      </c>
      <c r="D38" s="4" t="s">
        <v>684</v>
      </c>
      <c r="E38" s="5"/>
      <c r="F38" s="7" t="s">
        <v>7</v>
      </c>
      <c r="G38" s="116">
        <v>1</v>
      </c>
      <c r="H38" s="2">
        <v>44</v>
      </c>
    </row>
    <row r="39" spans="1:8" ht="12.95" customHeight="1" x14ac:dyDescent="0.2">
      <c r="A39" s="4" t="str">
        <f>Famille!$A$2</f>
        <v>Rail R à ailettes</v>
      </c>
      <c r="B39" s="4" t="str">
        <f>Famille!$A$19</f>
        <v>BRUT</v>
      </c>
      <c r="C39" s="5" t="s">
        <v>236</v>
      </c>
      <c r="D39" s="4" t="s">
        <v>685</v>
      </c>
      <c r="E39" s="5"/>
      <c r="F39" s="7" t="s">
        <v>7</v>
      </c>
      <c r="G39" s="116">
        <v>1</v>
      </c>
      <c r="H39" s="2">
        <v>45</v>
      </c>
    </row>
    <row r="40" spans="1:8" ht="12.95" customHeight="1" x14ac:dyDescent="0.2">
      <c r="A40" s="4" t="str">
        <f>Famille!$A$3</f>
        <v xml:space="preserve">Rail R </v>
      </c>
      <c r="B40" s="4" t="str">
        <f>Famille!$A$15</f>
        <v>RAL 9010</v>
      </c>
      <c r="C40" s="5" t="s">
        <v>237</v>
      </c>
      <c r="D40" s="4" t="s">
        <v>686</v>
      </c>
      <c r="E40" s="4"/>
      <c r="F40" s="7" t="s">
        <v>6</v>
      </c>
      <c r="G40" s="116">
        <v>12</v>
      </c>
      <c r="H40" s="2">
        <v>46</v>
      </c>
    </row>
    <row r="41" spans="1:8" ht="12.95" customHeight="1" x14ac:dyDescent="0.2">
      <c r="A41" s="4" t="str">
        <f>Famille!$A$3</f>
        <v xml:space="preserve">Rail R </v>
      </c>
      <c r="B41" s="4" t="str">
        <f>Famille!$A$15</f>
        <v>RAL 9010</v>
      </c>
      <c r="C41" s="5" t="s">
        <v>238</v>
      </c>
      <c r="D41" s="4" t="s">
        <v>687</v>
      </c>
      <c r="E41" s="4"/>
      <c r="F41" s="7" t="s">
        <v>7</v>
      </c>
      <c r="G41" s="116">
        <v>12</v>
      </c>
      <c r="H41" s="2">
        <v>47</v>
      </c>
    </row>
    <row r="42" spans="1:8" ht="12.95" customHeight="1" x14ac:dyDescent="0.2">
      <c r="A42" s="4" t="str">
        <f>Famille!$A$3</f>
        <v xml:space="preserve">Rail R </v>
      </c>
      <c r="B42" s="4" t="str">
        <f>Famille!$A$15</f>
        <v>RAL 9010</v>
      </c>
      <c r="C42" s="5" t="s">
        <v>239</v>
      </c>
      <c r="D42" s="4" t="s">
        <v>688</v>
      </c>
      <c r="E42" s="4"/>
      <c r="F42" s="7" t="s">
        <v>7</v>
      </c>
      <c r="G42" s="116">
        <v>12</v>
      </c>
      <c r="H42" s="2">
        <v>48</v>
      </c>
    </row>
    <row r="43" spans="1:8" ht="12.95" customHeight="1" x14ac:dyDescent="0.2">
      <c r="A43" s="4" t="str">
        <f>Famille!$A$3</f>
        <v xml:space="preserve">Rail R </v>
      </c>
      <c r="B43" s="4" t="str">
        <f>Famille!$A$15</f>
        <v>RAL 9010</v>
      </c>
      <c r="C43" s="5" t="s">
        <v>240</v>
      </c>
      <c r="D43" s="4" t="s">
        <v>689</v>
      </c>
      <c r="E43" s="4"/>
      <c r="F43" s="7" t="s">
        <v>7</v>
      </c>
      <c r="G43" s="116">
        <v>5</v>
      </c>
      <c r="H43" s="2">
        <v>49</v>
      </c>
    </row>
    <row r="44" spans="1:8" ht="12.95" customHeight="1" x14ac:dyDescent="0.2">
      <c r="A44" s="4" t="str">
        <f>Famille!$A$3</f>
        <v xml:space="preserve">Rail R </v>
      </c>
      <c r="B44" s="4" t="str">
        <f>Famille!$A$15</f>
        <v>RAL 9010</v>
      </c>
      <c r="C44" s="5" t="s">
        <v>241</v>
      </c>
      <c r="D44" s="4" t="s">
        <v>690</v>
      </c>
      <c r="E44" s="4"/>
      <c r="F44" s="7" t="s">
        <v>7</v>
      </c>
      <c r="G44" s="116">
        <v>5</v>
      </c>
      <c r="H44" s="2">
        <v>50</v>
      </c>
    </row>
    <row r="45" spans="1:8" ht="12.95" customHeight="1" x14ac:dyDescent="0.2">
      <c r="A45" s="4" t="str">
        <f>Famille!$A$3</f>
        <v xml:space="preserve">Rail R </v>
      </c>
      <c r="B45" s="4" t="str">
        <f>Famille!$A$15</f>
        <v>RAL 9010</v>
      </c>
      <c r="C45" s="5" t="s">
        <v>242</v>
      </c>
      <c r="D45" s="4" t="s">
        <v>691</v>
      </c>
      <c r="E45" s="4"/>
      <c r="F45" s="7" t="s">
        <v>7</v>
      </c>
      <c r="G45" s="116">
        <v>2</v>
      </c>
      <c r="H45" s="2">
        <v>51</v>
      </c>
    </row>
    <row r="46" spans="1:8" ht="12.95" customHeight="1" x14ac:dyDescent="0.2">
      <c r="A46" s="4" t="str">
        <f>Famille!$A$3</f>
        <v xml:space="preserve">Rail R </v>
      </c>
      <c r="B46" s="4" t="str">
        <f>Famille!$A$15</f>
        <v>RAL 9010</v>
      </c>
      <c r="C46" s="5" t="s">
        <v>243</v>
      </c>
      <c r="D46" s="4" t="s">
        <v>692</v>
      </c>
      <c r="E46" s="4"/>
      <c r="F46" s="7" t="s">
        <v>7</v>
      </c>
      <c r="G46" s="116">
        <v>2</v>
      </c>
      <c r="H46" s="2">
        <v>52</v>
      </c>
    </row>
    <row r="47" spans="1:8" ht="12.95" customHeight="1" x14ac:dyDescent="0.2">
      <c r="A47" s="4" t="str">
        <f>Famille!$A$3</f>
        <v xml:space="preserve">Rail R </v>
      </c>
      <c r="B47" s="4" t="str">
        <f>Famille!$A$15</f>
        <v>RAL 9010</v>
      </c>
      <c r="C47" s="5" t="s">
        <v>244</v>
      </c>
      <c r="D47" s="4" t="s">
        <v>693</v>
      </c>
      <c r="E47" s="5"/>
      <c r="F47" s="7" t="s">
        <v>7</v>
      </c>
      <c r="G47" s="116">
        <v>1</v>
      </c>
      <c r="H47" s="2">
        <v>53</v>
      </c>
    </row>
    <row r="48" spans="1:8" ht="12.95" customHeight="1" x14ac:dyDescent="0.2">
      <c r="A48" s="4" t="str">
        <f>Famille!$A$3</f>
        <v xml:space="preserve">Rail R </v>
      </c>
      <c r="B48" s="4" t="str">
        <f>Famille!$A$15</f>
        <v>RAL 9010</v>
      </c>
      <c r="C48" s="5" t="s">
        <v>245</v>
      </c>
      <c r="D48" s="4" t="s">
        <v>694</v>
      </c>
      <c r="E48" s="5"/>
      <c r="F48" s="7" t="s">
        <v>7</v>
      </c>
      <c r="G48" s="116">
        <v>1</v>
      </c>
      <c r="H48" s="2">
        <v>54</v>
      </c>
    </row>
    <row r="49" spans="1:8" ht="12.95" customHeight="1" x14ac:dyDescent="0.2">
      <c r="A49" s="4" t="str">
        <f>Famille!$A$3</f>
        <v xml:space="preserve">Rail R </v>
      </c>
      <c r="B49" s="4" t="str">
        <f>Famille!$A$16</f>
        <v>RAL 9003</v>
      </c>
      <c r="C49" s="5" t="s">
        <v>246</v>
      </c>
      <c r="D49" s="4" t="s">
        <v>695</v>
      </c>
      <c r="E49" s="4"/>
      <c r="F49" s="7" t="s">
        <v>6</v>
      </c>
      <c r="G49" s="116">
        <v>12</v>
      </c>
      <c r="H49" s="2">
        <v>55</v>
      </c>
    </row>
    <row r="50" spans="1:8" ht="12.95" customHeight="1" x14ac:dyDescent="0.2">
      <c r="A50" s="4" t="str">
        <f>Famille!$A$3</f>
        <v xml:space="preserve">Rail R </v>
      </c>
      <c r="B50" s="4" t="str">
        <f>Famille!$A$16</f>
        <v>RAL 9003</v>
      </c>
      <c r="C50" s="5" t="s">
        <v>247</v>
      </c>
      <c r="D50" s="4" t="s">
        <v>696</v>
      </c>
      <c r="E50" s="4"/>
      <c r="F50" s="7" t="s">
        <v>7</v>
      </c>
      <c r="G50" s="116">
        <v>12</v>
      </c>
      <c r="H50" s="2">
        <v>56</v>
      </c>
    </row>
    <row r="51" spans="1:8" ht="12.95" customHeight="1" x14ac:dyDescent="0.2">
      <c r="A51" s="4" t="str">
        <f>Famille!$A$3</f>
        <v xml:space="preserve">Rail R </v>
      </c>
      <c r="B51" s="4" t="str">
        <f>Famille!$A$16</f>
        <v>RAL 9003</v>
      </c>
      <c r="C51" s="5" t="s">
        <v>248</v>
      </c>
      <c r="D51" s="4" t="s">
        <v>697</v>
      </c>
      <c r="E51" s="4"/>
      <c r="F51" s="7" t="s">
        <v>7</v>
      </c>
      <c r="G51" s="116">
        <v>12</v>
      </c>
      <c r="H51" s="2">
        <v>57</v>
      </c>
    </row>
    <row r="52" spans="1:8" ht="12.95" customHeight="1" x14ac:dyDescent="0.2">
      <c r="A52" s="4" t="str">
        <f>Famille!$A$3</f>
        <v xml:space="preserve">Rail R </v>
      </c>
      <c r="B52" s="4" t="str">
        <f>Famille!$A$16</f>
        <v>RAL 9003</v>
      </c>
      <c r="C52" s="5" t="s">
        <v>249</v>
      </c>
      <c r="D52" s="4" t="s">
        <v>698</v>
      </c>
      <c r="E52" s="4"/>
      <c r="F52" s="7" t="s">
        <v>7</v>
      </c>
      <c r="G52" s="116">
        <v>5</v>
      </c>
      <c r="H52" s="2">
        <v>58</v>
      </c>
    </row>
    <row r="53" spans="1:8" ht="12.95" customHeight="1" x14ac:dyDescent="0.2">
      <c r="A53" s="4" t="str">
        <f>Famille!$A$3</f>
        <v xml:space="preserve">Rail R </v>
      </c>
      <c r="B53" s="4" t="str">
        <f>Famille!$A$16</f>
        <v>RAL 9003</v>
      </c>
      <c r="C53" s="5" t="s">
        <v>250</v>
      </c>
      <c r="D53" s="4" t="s">
        <v>699</v>
      </c>
      <c r="E53" s="4"/>
      <c r="F53" s="7" t="s">
        <v>7</v>
      </c>
      <c r="G53" s="116">
        <v>5</v>
      </c>
      <c r="H53" s="2">
        <v>59</v>
      </c>
    </row>
    <row r="54" spans="1:8" ht="12.95" customHeight="1" x14ac:dyDescent="0.2">
      <c r="A54" s="4" t="str">
        <f>Famille!$A$3</f>
        <v xml:space="preserve">Rail R </v>
      </c>
      <c r="B54" s="4" t="str">
        <f>Famille!$A$16</f>
        <v>RAL 9003</v>
      </c>
      <c r="C54" s="5" t="s">
        <v>251</v>
      </c>
      <c r="D54" s="4" t="s">
        <v>700</v>
      </c>
      <c r="E54" s="4"/>
      <c r="F54" s="7" t="s">
        <v>7</v>
      </c>
      <c r="G54" s="116">
        <v>2</v>
      </c>
      <c r="H54" s="2">
        <v>60</v>
      </c>
    </row>
    <row r="55" spans="1:8" ht="12.95" customHeight="1" x14ac:dyDescent="0.2">
      <c r="A55" s="4" t="str">
        <f>Famille!$A$3</f>
        <v xml:space="preserve">Rail R </v>
      </c>
      <c r="B55" s="4" t="str">
        <f>Famille!$A$16</f>
        <v>RAL 9003</v>
      </c>
      <c r="C55" s="5" t="s">
        <v>252</v>
      </c>
      <c r="D55" s="4" t="s">
        <v>701</v>
      </c>
      <c r="E55" s="4"/>
      <c r="F55" s="7" t="s">
        <v>7</v>
      </c>
      <c r="G55" s="116">
        <v>2</v>
      </c>
      <c r="H55" s="2">
        <v>61</v>
      </c>
    </row>
    <row r="56" spans="1:8" ht="12.95" customHeight="1" x14ac:dyDescent="0.2">
      <c r="A56" s="4" t="str">
        <f>Famille!$A$3</f>
        <v xml:space="preserve">Rail R </v>
      </c>
      <c r="B56" s="4" t="str">
        <f>Famille!$A$16</f>
        <v>RAL 9003</v>
      </c>
      <c r="C56" s="5" t="s">
        <v>253</v>
      </c>
      <c r="D56" s="4" t="s">
        <v>702</v>
      </c>
      <c r="E56" s="5"/>
      <c r="F56" s="7" t="s">
        <v>7</v>
      </c>
      <c r="G56" s="116">
        <v>1</v>
      </c>
      <c r="H56" s="2">
        <v>62</v>
      </c>
    </row>
    <row r="57" spans="1:8" ht="12.95" customHeight="1" x14ac:dyDescent="0.2">
      <c r="A57" s="4" t="str">
        <f>Famille!$A$3</f>
        <v xml:space="preserve">Rail R </v>
      </c>
      <c r="B57" s="4" t="str">
        <f>Famille!$A$16</f>
        <v>RAL 9003</v>
      </c>
      <c r="C57" s="5" t="s">
        <v>254</v>
      </c>
      <c r="D57" s="4" t="s">
        <v>703</v>
      </c>
      <c r="E57" s="5"/>
      <c r="F57" s="7" t="s">
        <v>7</v>
      </c>
      <c r="G57" s="116">
        <v>1</v>
      </c>
      <c r="H57" s="2">
        <v>63</v>
      </c>
    </row>
    <row r="58" spans="1:8" ht="12.95" customHeight="1" x14ac:dyDescent="0.2">
      <c r="A58" s="4" t="str">
        <f>Famille!$A$3</f>
        <v xml:space="preserve">Rail R </v>
      </c>
      <c r="B58" s="4" t="str">
        <f>Famille!$A$17</f>
        <v>RAL XXXX</v>
      </c>
      <c r="C58" s="5" t="s">
        <v>255</v>
      </c>
      <c r="D58" s="4" t="s">
        <v>704</v>
      </c>
      <c r="E58" s="4"/>
      <c r="F58" s="7" t="s">
        <v>6</v>
      </c>
      <c r="G58" s="116">
        <v>12</v>
      </c>
      <c r="H58" s="2">
        <v>64</v>
      </c>
    </row>
    <row r="59" spans="1:8" ht="12.95" customHeight="1" x14ac:dyDescent="0.2">
      <c r="A59" s="4" t="str">
        <f>Famille!$A$3</f>
        <v xml:space="preserve">Rail R </v>
      </c>
      <c r="B59" s="4" t="str">
        <f>Famille!$A$17</f>
        <v>RAL XXXX</v>
      </c>
      <c r="C59" s="5" t="s">
        <v>256</v>
      </c>
      <c r="D59" s="4" t="s">
        <v>705</v>
      </c>
      <c r="E59" s="4"/>
      <c r="F59" s="7" t="s">
        <v>7</v>
      </c>
      <c r="G59" s="116">
        <v>12</v>
      </c>
      <c r="H59" s="2">
        <v>65</v>
      </c>
    </row>
    <row r="60" spans="1:8" ht="12.95" customHeight="1" x14ac:dyDescent="0.2">
      <c r="A60" s="4" t="str">
        <f>Famille!$A$3</f>
        <v xml:space="preserve">Rail R </v>
      </c>
      <c r="B60" s="4" t="str">
        <f>Famille!$A$17</f>
        <v>RAL XXXX</v>
      </c>
      <c r="C60" s="5" t="s">
        <v>257</v>
      </c>
      <c r="D60" s="4" t="s">
        <v>706</v>
      </c>
      <c r="E60" s="4"/>
      <c r="F60" s="7" t="s">
        <v>7</v>
      </c>
      <c r="G60" s="116">
        <v>12</v>
      </c>
      <c r="H60" s="2">
        <v>66</v>
      </c>
    </row>
    <row r="61" spans="1:8" ht="12.95" customHeight="1" x14ac:dyDescent="0.2">
      <c r="A61" s="4" t="str">
        <f>Famille!$A$3</f>
        <v xml:space="preserve">Rail R </v>
      </c>
      <c r="B61" s="4" t="str">
        <f>Famille!$A$17</f>
        <v>RAL XXXX</v>
      </c>
      <c r="C61" s="5" t="s">
        <v>258</v>
      </c>
      <c r="D61" s="4" t="s">
        <v>707</v>
      </c>
      <c r="E61" s="4"/>
      <c r="F61" s="7" t="s">
        <v>7</v>
      </c>
      <c r="G61" s="116">
        <v>5</v>
      </c>
      <c r="H61" s="2">
        <v>67</v>
      </c>
    </row>
    <row r="62" spans="1:8" ht="12.95" customHeight="1" x14ac:dyDescent="0.2">
      <c r="A62" s="4" t="str">
        <f>Famille!$A$3</f>
        <v xml:space="preserve">Rail R </v>
      </c>
      <c r="B62" s="4" t="str">
        <f>Famille!$A$17</f>
        <v>RAL XXXX</v>
      </c>
      <c r="C62" s="5" t="s">
        <v>259</v>
      </c>
      <c r="D62" s="4" t="s">
        <v>708</v>
      </c>
      <c r="E62" s="4"/>
      <c r="F62" s="7" t="s">
        <v>7</v>
      </c>
      <c r="G62" s="116">
        <v>5</v>
      </c>
      <c r="H62" s="2">
        <v>68</v>
      </c>
    </row>
    <row r="63" spans="1:8" ht="12.95" customHeight="1" x14ac:dyDescent="0.2">
      <c r="A63" s="4" t="str">
        <f>Famille!$A$3</f>
        <v xml:space="preserve">Rail R </v>
      </c>
      <c r="B63" s="4" t="str">
        <f>Famille!$A$17</f>
        <v>RAL XXXX</v>
      </c>
      <c r="C63" s="5" t="s">
        <v>260</v>
      </c>
      <c r="D63" s="4" t="s">
        <v>709</v>
      </c>
      <c r="E63" s="4"/>
      <c r="F63" s="7" t="s">
        <v>7</v>
      </c>
      <c r="G63" s="116">
        <v>2</v>
      </c>
      <c r="H63" s="2">
        <v>69</v>
      </c>
    </row>
    <row r="64" spans="1:8" ht="12.95" customHeight="1" x14ac:dyDescent="0.2">
      <c r="A64" s="4" t="str">
        <f>Famille!$A$3</f>
        <v xml:space="preserve">Rail R </v>
      </c>
      <c r="B64" s="4" t="str">
        <f>Famille!$A$17</f>
        <v>RAL XXXX</v>
      </c>
      <c r="C64" s="5" t="s">
        <v>261</v>
      </c>
      <c r="D64" s="4" t="s">
        <v>710</v>
      </c>
      <c r="E64" s="4"/>
      <c r="F64" s="7" t="s">
        <v>7</v>
      </c>
      <c r="G64" s="116">
        <v>2</v>
      </c>
      <c r="H64" s="2">
        <v>70</v>
      </c>
    </row>
    <row r="65" spans="1:8" ht="12.95" customHeight="1" x14ac:dyDescent="0.2">
      <c r="A65" s="4" t="str">
        <f>Famille!$A$3</f>
        <v xml:space="preserve">Rail R </v>
      </c>
      <c r="B65" s="4" t="str">
        <f>Famille!$A$17</f>
        <v>RAL XXXX</v>
      </c>
      <c r="C65" s="5" t="s">
        <v>262</v>
      </c>
      <c r="D65" s="4" t="s">
        <v>711</v>
      </c>
      <c r="E65" s="5"/>
      <c r="F65" s="7" t="s">
        <v>7</v>
      </c>
      <c r="G65" s="116">
        <v>1</v>
      </c>
      <c r="H65" s="2">
        <v>71</v>
      </c>
    </row>
    <row r="66" spans="1:8" ht="12.95" customHeight="1" x14ac:dyDescent="0.2">
      <c r="A66" s="4" t="str">
        <f>Famille!$A$3</f>
        <v xml:space="preserve">Rail R </v>
      </c>
      <c r="B66" s="4" t="str">
        <f>Famille!$A$17</f>
        <v>RAL XXXX</v>
      </c>
      <c r="C66" s="5" t="s">
        <v>263</v>
      </c>
      <c r="D66" s="4" t="s">
        <v>712</v>
      </c>
      <c r="E66" s="5"/>
      <c r="F66" s="7" t="s">
        <v>7</v>
      </c>
      <c r="G66" s="116">
        <v>1</v>
      </c>
      <c r="H66" s="2">
        <v>72</v>
      </c>
    </row>
    <row r="67" spans="1:8" ht="12.95" customHeight="1" x14ac:dyDescent="0.2">
      <c r="A67" s="4" t="str">
        <f>Famille!$A$3</f>
        <v xml:space="preserve">Rail R </v>
      </c>
      <c r="B67" s="4" t="str">
        <f>Famille!$A$19</f>
        <v>BRUT</v>
      </c>
      <c r="C67" s="5" t="s">
        <v>264</v>
      </c>
      <c r="D67" s="4" t="s">
        <v>713</v>
      </c>
      <c r="E67" s="4"/>
      <c r="F67" s="7" t="s">
        <v>6</v>
      </c>
      <c r="G67" s="116">
        <v>12</v>
      </c>
      <c r="H67" s="2">
        <v>73</v>
      </c>
    </row>
    <row r="68" spans="1:8" ht="12.95" customHeight="1" x14ac:dyDescent="0.2">
      <c r="A68" s="4" t="str">
        <f>Famille!$A$3</f>
        <v xml:space="preserve">Rail R </v>
      </c>
      <c r="B68" s="4" t="str">
        <f>Famille!$A$19</f>
        <v>BRUT</v>
      </c>
      <c r="C68" s="5" t="s">
        <v>265</v>
      </c>
      <c r="D68" s="4" t="s">
        <v>714</v>
      </c>
      <c r="E68" s="4"/>
      <c r="F68" s="7" t="s">
        <v>7</v>
      </c>
      <c r="G68" s="116">
        <v>12</v>
      </c>
      <c r="H68" s="2">
        <v>74</v>
      </c>
    </row>
    <row r="69" spans="1:8" ht="12.95" customHeight="1" x14ac:dyDescent="0.2">
      <c r="A69" s="4" t="str">
        <f>Famille!$A$3</f>
        <v xml:space="preserve">Rail R </v>
      </c>
      <c r="B69" s="4" t="str">
        <f>Famille!$A$19</f>
        <v>BRUT</v>
      </c>
      <c r="C69" s="5" t="s">
        <v>266</v>
      </c>
      <c r="D69" s="4" t="s">
        <v>715</v>
      </c>
      <c r="E69" s="4"/>
      <c r="F69" s="7" t="s">
        <v>7</v>
      </c>
      <c r="G69" s="116">
        <v>12</v>
      </c>
      <c r="H69" s="2">
        <v>75</v>
      </c>
    </row>
    <row r="70" spans="1:8" ht="12.95" customHeight="1" x14ac:dyDescent="0.2">
      <c r="A70" s="4" t="str">
        <f>Famille!$A$3</f>
        <v xml:space="preserve">Rail R </v>
      </c>
      <c r="B70" s="4" t="str">
        <f>Famille!$A$19</f>
        <v>BRUT</v>
      </c>
      <c r="C70" s="5" t="s">
        <v>267</v>
      </c>
      <c r="D70" s="4" t="s">
        <v>716</v>
      </c>
      <c r="E70" s="4"/>
      <c r="F70" s="7" t="s">
        <v>7</v>
      </c>
      <c r="G70" s="116">
        <v>5</v>
      </c>
      <c r="H70" s="2">
        <v>76</v>
      </c>
    </row>
    <row r="71" spans="1:8" ht="12.95" customHeight="1" x14ac:dyDescent="0.2">
      <c r="A71" s="4" t="str">
        <f>Famille!$A$3</f>
        <v xml:space="preserve">Rail R </v>
      </c>
      <c r="B71" s="4" t="str">
        <f>Famille!$A$19</f>
        <v>BRUT</v>
      </c>
      <c r="C71" s="5" t="s">
        <v>268</v>
      </c>
      <c r="D71" s="4" t="s">
        <v>717</v>
      </c>
      <c r="E71" s="4"/>
      <c r="F71" s="7" t="s">
        <v>7</v>
      </c>
      <c r="G71" s="116">
        <v>5</v>
      </c>
      <c r="H71" s="2">
        <v>77</v>
      </c>
    </row>
    <row r="72" spans="1:8" ht="12.95" customHeight="1" x14ac:dyDescent="0.2">
      <c r="A72" s="4" t="str">
        <f>Famille!$A$3</f>
        <v xml:space="preserve">Rail R </v>
      </c>
      <c r="B72" s="4" t="str">
        <f>Famille!$A$19</f>
        <v>BRUT</v>
      </c>
      <c r="C72" s="5" t="s">
        <v>269</v>
      </c>
      <c r="D72" s="4" t="s">
        <v>718</v>
      </c>
      <c r="E72" s="4"/>
      <c r="F72" s="7" t="s">
        <v>7</v>
      </c>
      <c r="G72" s="116">
        <v>2</v>
      </c>
      <c r="H72" s="2">
        <v>78</v>
      </c>
    </row>
    <row r="73" spans="1:8" ht="12.95" customHeight="1" x14ac:dyDescent="0.2">
      <c r="A73" s="4" t="str">
        <f>Famille!$A$3</f>
        <v xml:space="preserve">Rail R </v>
      </c>
      <c r="B73" s="4" t="str">
        <f>Famille!$A$19</f>
        <v>BRUT</v>
      </c>
      <c r="C73" s="5" t="s">
        <v>270</v>
      </c>
      <c r="D73" s="4" t="s">
        <v>719</v>
      </c>
      <c r="E73" s="4"/>
      <c r="F73" s="7" t="s">
        <v>7</v>
      </c>
      <c r="G73" s="116">
        <v>2</v>
      </c>
      <c r="H73" s="2">
        <v>79</v>
      </c>
    </row>
    <row r="74" spans="1:8" ht="12.95" customHeight="1" x14ac:dyDescent="0.2">
      <c r="A74" s="4" t="str">
        <f>Famille!$A$3</f>
        <v xml:space="preserve">Rail R </v>
      </c>
      <c r="B74" s="4" t="str">
        <f>Famille!$A$19</f>
        <v>BRUT</v>
      </c>
      <c r="C74" s="5" t="s">
        <v>271</v>
      </c>
      <c r="D74" s="4" t="s">
        <v>720</v>
      </c>
      <c r="E74" s="5"/>
      <c r="F74" s="7" t="s">
        <v>7</v>
      </c>
      <c r="G74" s="116">
        <v>1</v>
      </c>
      <c r="H74" s="2">
        <v>80</v>
      </c>
    </row>
    <row r="75" spans="1:8" ht="12.95" customHeight="1" x14ac:dyDescent="0.2">
      <c r="A75" s="4" t="str">
        <f>Famille!$A$3</f>
        <v xml:space="preserve">Rail R </v>
      </c>
      <c r="B75" s="4" t="str">
        <f>Famille!$A$19</f>
        <v>BRUT</v>
      </c>
      <c r="C75" s="5" t="s">
        <v>272</v>
      </c>
      <c r="D75" s="4" t="s">
        <v>721</v>
      </c>
      <c r="E75" s="5"/>
      <c r="F75" s="7" t="s">
        <v>7</v>
      </c>
      <c r="G75" s="116">
        <v>1</v>
      </c>
      <c r="H75" s="2">
        <v>81</v>
      </c>
    </row>
    <row r="76" spans="1:8" ht="12.95" customHeight="1" x14ac:dyDescent="0.2">
      <c r="A76" s="4" t="str">
        <f>Famille!$A$4</f>
        <v>Rail K</v>
      </c>
      <c r="B76" s="4" t="str">
        <f>Famille!$A$15</f>
        <v>RAL 9010</v>
      </c>
      <c r="C76" s="5" t="s">
        <v>273</v>
      </c>
      <c r="D76" s="4" t="s">
        <v>722</v>
      </c>
      <c r="E76" s="5"/>
      <c r="F76" s="7" t="s">
        <v>6</v>
      </c>
      <c r="G76" s="116">
        <v>10</v>
      </c>
      <c r="H76" s="2">
        <v>82</v>
      </c>
    </row>
    <row r="77" spans="1:8" ht="12.95" customHeight="1" x14ac:dyDescent="0.2">
      <c r="A77" s="4" t="str">
        <f>Famille!$A$4</f>
        <v>Rail K</v>
      </c>
      <c r="B77" s="4" t="str">
        <f>Famille!$A$15</f>
        <v>RAL 9010</v>
      </c>
      <c r="C77" s="5" t="s">
        <v>274</v>
      </c>
      <c r="D77" s="4" t="s">
        <v>723</v>
      </c>
      <c r="E77" s="4"/>
      <c r="F77" s="7" t="s">
        <v>7</v>
      </c>
      <c r="G77" s="147">
        <v>0</v>
      </c>
      <c r="H77" s="2">
        <v>83</v>
      </c>
    </row>
    <row r="78" spans="1:8" ht="12.95" customHeight="1" x14ac:dyDescent="0.2">
      <c r="A78" s="4" t="str">
        <f>Famille!$A$4</f>
        <v>Rail K</v>
      </c>
      <c r="B78" s="4" t="str">
        <f>Famille!$A$15</f>
        <v>RAL 9010</v>
      </c>
      <c r="C78" s="5" t="s">
        <v>275</v>
      </c>
      <c r="D78" s="4" t="s">
        <v>724</v>
      </c>
      <c r="E78" s="4"/>
      <c r="F78" s="7" t="s">
        <v>7</v>
      </c>
      <c r="G78" s="147">
        <v>0</v>
      </c>
      <c r="H78" s="2">
        <v>84</v>
      </c>
    </row>
    <row r="79" spans="1:8" ht="12.95" customHeight="1" x14ac:dyDescent="0.2">
      <c r="A79" s="4" t="str">
        <f>Famille!$A$4</f>
        <v>Rail K</v>
      </c>
      <c r="B79" s="4" t="str">
        <f>Famille!$A$15</f>
        <v>RAL 9010</v>
      </c>
      <c r="C79" s="5" t="s">
        <v>276</v>
      </c>
      <c r="D79" s="4" t="s">
        <v>725</v>
      </c>
      <c r="E79" s="4"/>
      <c r="F79" s="7" t="s">
        <v>7</v>
      </c>
      <c r="G79" s="147">
        <v>0</v>
      </c>
      <c r="H79" s="2">
        <v>85</v>
      </c>
    </row>
    <row r="80" spans="1:8" ht="12.95" customHeight="1" x14ac:dyDescent="0.2">
      <c r="A80" s="4" t="str">
        <f>Famille!$A$4</f>
        <v>Rail K</v>
      </c>
      <c r="B80" s="4" t="str">
        <f>Famille!$A$15</f>
        <v>RAL 9010</v>
      </c>
      <c r="C80" s="5" t="s">
        <v>277</v>
      </c>
      <c r="D80" s="4" t="s">
        <v>726</v>
      </c>
      <c r="E80" s="4"/>
      <c r="F80" s="7" t="s">
        <v>7</v>
      </c>
      <c r="G80" s="147">
        <v>0</v>
      </c>
      <c r="H80" s="2">
        <v>86</v>
      </c>
    </row>
    <row r="81" spans="1:8" ht="12.95" customHeight="1" x14ac:dyDescent="0.2">
      <c r="A81" s="4" t="str">
        <f>Famille!$A$4</f>
        <v>Rail K</v>
      </c>
      <c r="B81" s="4" t="str">
        <f>Famille!$A$15</f>
        <v>RAL 9010</v>
      </c>
      <c r="C81" s="5" t="s">
        <v>278</v>
      </c>
      <c r="D81" s="4" t="s">
        <v>727</v>
      </c>
      <c r="E81" s="4"/>
      <c r="F81" s="7" t="s">
        <v>7</v>
      </c>
      <c r="G81" s="147">
        <v>0</v>
      </c>
      <c r="H81" s="2">
        <v>87</v>
      </c>
    </row>
    <row r="82" spans="1:8" ht="12.95" customHeight="1" x14ac:dyDescent="0.2">
      <c r="A82" s="4" t="str">
        <f>Famille!$A$4</f>
        <v>Rail K</v>
      </c>
      <c r="B82" s="4" t="str">
        <f>Famille!$A$15</f>
        <v>RAL 9010</v>
      </c>
      <c r="C82" s="5" t="s">
        <v>279</v>
      </c>
      <c r="D82" s="4" t="s">
        <v>728</v>
      </c>
      <c r="E82" s="5"/>
      <c r="F82" s="7" t="s">
        <v>7</v>
      </c>
      <c r="G82" s="147">
        <v>0</v>
      </c>
      <c r="H82" s="2">
        <v>88</v>
      </c>
    </row>
    <row r="83" spans="1:8" ht="12.95" customHeight="1" x14ac:dyDescent="0.2">
      <c r="A83" s="4" t="str">
        <f>Famille!$A$4</f>
        <v>Rail K</v>
      </c>
      <c r="B83" s="4" t="str">
        <f>Famille!$A$15</f>
        <v>RAL 9010</v>
      </c>
      <c r="C83" s="5" t="s">
        <v>280</v>
      </c>
      <c r="D83" s="4" t="s">
        <v>729</v>
      </c>
      <c r="E83" s="5"/>
      <c r="F83" s="7" t="s">
        <v>7</v>
      </c>
      <c r="G83" s="147">
        <v>0</v>
      </c>
      <c r="H83" s="2">
        <v>89</v>
      </c>
    </row>
    <row r="84" spans="1:8" ht="12.95" customHeight="1" x14ac:dyDescent="0.2">
      <c r="A84" s="4" t="str">
        <f>Famille!$A$4</f>
        <v>Rail K</v>
      </c>
      <c r="B84" s="4" t="str">
        <f>Famille!$A$15</f>
        <v>RAL 9010</v>
      </c>
      <c r="C84" s="5" t="s">
        <v>281</v>
      </c>
      <c r="D84" s="4" t="s">
        <v>730</v>
      </c>
      <c r="E84" s="5"/>
      <c r="F84" s="7" t="s">
        <v>7</v>
      </c>
      <c r="G84" s="147">
        <v>0</v>
      </c>
      <c r="H84" s="2">
        <v>90</v>
      </c>
    </row>
    <row r="85" spans="1:8" ht="12.95" customHeight="1" x14ac:dyDescent="0.2">
      <c r="A85" s="4" t="str">
        <f>Famille!$A$4</f>
        <v>Rail K</v>
      </c>
      <c r="B85" s="4" t="str">
        <f>Famille!$A$15</f>
        <v>RAL 9010</v>
      </c>
      <c r="C85" s="5" t="s">
        <v>282</v>
      </c>
      <c r="D85" s="4" t="s">
        <v>731</v>
      </c>
      <c r="E85" s="4"/>
      <c r="F85" s="7" t="s">
        <v>7</v>
      </c>
      <c r="G85" s="147">
        <v>0</v>
      </c>
      <c r="H85" s="2">
        <v>91</v>
      </c>
    </row>
    <row r="86" spans="1:8" ht="12.95" customHeight="1" x14ac:dyDescent="0.2">
      <c r="A86" s="4" t="str">
        <f>Famille!$A$4</f>
        <v>Rail K</v>
      </c>
      <c r="B86" s="4" t="str">
        <f>Famille!$A$15</f>
        <v>RAL 9010</v>
      </c>
      <c r="C86" s="5" t="s">
        <v>283</v>
      </c>
      <c r="D86" s="4" t="s">
        <v>732</v>
      </c>
      <c r="E86" s="4"/>
      <c r="F86" s="7" t="s">
        <v>7</v>
      </c>
      <c r="G86" s="147">
        <v>0</v>
      </c>
      <c r="H86" s="2">
        <v>92</v>
      </c>
    </row>
    <row r="87" spans="1:8" ht="12.95" customHeight="1" x14ac:dyDescent="0.2">
      <c r="A87" s="4" t="str">
        <f>Famille!$A$4</f>
        <v>Rail K</v>
      </c>
      <c r="B87" s="4" t="str">
        <f>Famille!$A$15</f>
        <v>RAL 9010</v>
      </c>
      <c r="C87" s="5" t="s">
        <v>284</v>
      </c>
      <c r="D87" s="4" t="s">
        <v>733</v>
      </c>
      <c r="E87" s="4"/>
      <c r="F87" s="7" t="s">
        <v>7</v>
      </c>
      <c r="G87" s="147">
        <v>0</v>
      </c>
      <c r="H87" s="2">
        <v>93</v>
      </c>
    </row>
    <row r="88" spans="1:8" ht="12.95" customHeight="1" x14ac:dyDescent="0.2">
      <c r="A88" s="4" t="str">
        <f>Famille!$A$4</f>
        <v>Rail K</v>
      </c>
      <c r="B88" s="4" t="str">
        <f>Famille!$A$15</f>
        <v>RAL 9010</v>
      </c>
      <c r="C88" s="5" t="s">
        <v>285</v>
      </c>
      <c r="D88" s="4" t="s">
        <v>734</v>
      </c>
      <c r="E88" s="4"/>
      <c r="F88" s="7" t="s">
        <v>7</v>
      </c>
      <c r="G88" s="147">
        <v>0</v>
      </c>
      <c r="H88" s="2">
        <v>94</v>
      </c>
    </row>
    <row r="89" spans="1:8" ht="12.95" customHeight="1" x14ac:dyDescent="0.2">
      <c r="A89" s="4" t="str">
        <f>Famille!$A$4</f>
        <v>Rail K</v>
      </c>
      <c r="B89" s="4" t="str">
        <f>Famille!$A$16</f>
        <v>RAL 9003</v>
      </c>
      <c r="C89" s="5" t="s">
        <v>286</v>
      </c>
      <c r="D89" s="4" t="s">
        <v>735</v>
      </c>
      <c r="E89" s="5"/>
      <c r="F89" s="7" t="s">
        <v>6</v>
      </c>
      <c r="G89" s="116">
        <v>10</v>
      </c>
      <c r="H89" s="2">
        <v>95</v>
      </c>
    </row>
    <row r="90" spans="1:8" ht="12.95" customHeight="1" x14ac:dyDescent="0.2">
      <c r="A90" s="4" t="str">
        <f>Famille!$A$4</f>
        <v>Rail K</v>
      </c>
      <c r="B90" s="4" t="str">
        <f>Famille!$A$16</f>
        <v>RAL 9003</v>
      </c>
      <c r="C90" s="5" t="s">
        <v>287</v>
      </c>
      <c r="D90" s="4" t="s">
        <v>736</v>
      </c>
      <c r="E90" s="4"/>
      <c r="F90" s="7" t="s">
        <v>7</v>
      </c>
      <c r="G90" s="147">
        <v>0</v>
      </c>
      <c r="H90" s="2">
        <v>96</v>
      </c>
    </row>
    <row r="91" spans="1:8" ht="12.95" customHeight="1" x14ac:dyDescent="0.2">
      <c r="A91" s="4" t="str">
        <f>Famille!$A$4</f>
        <v>Rail K</v>
      </c>
      <c r="B91" s="4" t="str">
        <f>Famille!$A$16</f>
        <v>RAL 9003</v>
      </c>
      <c r="C91" s="5" t="s">
        <v>288</v>
      </c>
      <c r="D91" s="4" t="s">
        <v>737</v>
      </c>
      <c r="E91" s="4"/>
      <c r="F91" s="7" t="s">
        <v>7</v>
      </c>
      <c r="G91" s="147">
        <v>0</v>
      </c>
      <c r="H91" s="2">
        <v>97</v>
      </c>
    </row>
    <row r="92" spans="1:8" ht="12.95" customHeight="1" x14ac:dyDescent="0.2">
      <c r="A92" s="4" t="str">
        <f>Famille!$A$4</f>
        <v>Rail K</v>
      </c>
      <c r="B92" s="4" t="str">
        <f>Famille!$A$16</f>
        <v>RAL 9003</v>
      </c>
      <c r="C92" s="5" t="s">
        <v>289</v>
      </c>
      <c r="D92" s="4" t="s">
        <v>738</v>
      </c>
      <c r="E92" s="4"/>
      <c r="F92" s="7" t="s">
        <v>7</v>
      </c>
      <c r="G92" s="147">
        <v>0</v>
      </c>
      <c r="H92" s="2">
        <v>98</v>
      </c>
    </row>
    <row r="93" spans="1:8" ht="12.95" customHeight="1" x14ac:dyDescent="0.2">
      <c r="A93" s="4" t="str">
        <f>Famille!$A$4</f>
        <v>Rail K</v>
      </c>
      <c r="B93" s="4" t="str">
        <f>Famille!$A$16</f>
        <v>RAL 9003</v>
      </c>
      <c r="C93" s="5" t="s">
        <v>290</v>
      </c>
      <c r="D93" s="4" t="s">
        <v>739</v>
      </c>
      <c r="E93" s="4"/>
      <c r="F93" s="7" t="s">
        <v>7</v>
      </c>
      <c r="G93" s="147">
        <v>0</v>
      </c>
      <c r="H93" s="2">
        <v>99</v>
      </c>
    </row>
    <row r="94" spans="1:8" ht="12.95" customHeight="1" x14ac:dyDescent="0.2">
      <c r="A94" s="4" t="str">
        <f>Famille!$A$4</f>
        <v>Rail K</v>
      </c>
      <c r="B94" s="4" t="str">
        <f>Famille!$A$16</f>
        <v>RAL 9003</v>
      </c>
      <c r="C94" s="5" t="s">
        <v>291</v>
      </c>
      <c r="D94" s="4" t="s">
        <v>740</v>
      </c>
      <c r="E94" s="4"/>
      <c r="F94" s="7" t="s">
        <v>7</v>
      </c>
      <c r="G94" s="147">
        <v>0</v>
      </c>
      <c r="H94" s="2">
        <v>100</v>
      </c>
    </row>
    <row r="95" spans="1:8" ht="12.95" customHeight="1" x14ac:dyDescent="0.2">
      <c r="A95" s="4" t="str">
        <f>Famille!$A$4</f>
        <v>Rail K</v>
      </c>
      <c r="B95" s="4" t="str">
        <f>Famille!$A$16</f>
        <v>RAL 9003</v>
      </c>
      <c r="C95" s="5" t="s">
        <v>292</v>
      </c>
      <c r="D95" s="4" t="s">
        <v>741</v>
      </c>
      <c r="E95" s="5"/>
      <c r="F95" s="7" t="s">
        <v>7</v>
      </c>
      <c r="G95" s="147">
        <v>0</v>
      </c>
      <c r="H95" s="2">
        <v>101</v>
      </c>
    </row>
    <row r="96" spans="1:8" ht="12.95" customHeight="1" x14ac:dyDescent="0.2">
      <c r="A96" s="4" t="str">
        <f>Famille!$A$4</f>
        <v>Rail K</v>
      </c>
      <c r="B96" s="4" t="str">
        <f>Famille!$A$16</f>
        <v>RAL 9003</v>
      </c>
      <c r="C96" s="5" t="s">
        <v>293</v>
      </c>
      <c r="D96" s="4" t="s">
        <v>742</v>
      </c>
      <c r="E96" s="5"/>
      <c r="F96" s="7" t="s">
        <v>7</v>
      </c>
      <c r="G96" s="147">
        <v>0</v>
      </c>
      <c r="H96" s="2">
        <v>102</v>
      </c>
    </row>
    <row r="97" spans="1:8" ht="12.95" customHeight="1" x14ac:dyDescent="0.2">
      <c r="A97" s="4" t="str">
        <f>Famille!$A$4</f>
        <v>Rail K</v>
      </c>
      <c r="B97" s="4" t="str">
        <f>Famille!$A$16</f>
        <v>RAL 9003</v>
      </c>
      <c r="C97" s="5" t="s">
        <v>294</v>
      </c>
      <c r="D97" s="4" t="s">
        <v>743</v>
      </c>
      <c r="E97" s="5"/>
      <c r="F97" s="7" t="s">
        <v>7</v>
      </c>
      <c r="G97" s="147">
        <v>0</v>
      </c>
      <c r="H97" s="2">
        <v>103</v>
      </c>
    </row>
    <row r="98" spans="1:8" ht="12.95" customHeight="1" x14ac:dyDescent="0.2">
      <c r="A98" s="4" t="str">
        <f>Famille!$A$4</f>
        <v>Rail K</v>
      </c>
      <c r="B98" s="4" t="str">
        <f>Famille!$A$16</f>
        <v>RAL 9003</v>
      </c>
      <c r="C98" s="5" t="s">
        <v>295</v>
      </c>
      <c r="D98" s="4" t="s">
        <v>744</v>
      </c>
      <c r="E98" s="4"/>
      <c r="F98" s="7" t="s">
        <v>7</v>
      </c>
      <c r="G98" s="147">
        <v>0</v>
      </c>
      <c r="H98" s="2">
        <v>104</v>
      </c>
    </row>
    <row r="99" spans="1:8" ht="12.95" customHeight="1" x14ac:dyDescent="0.2">
      <c r="A99" s="4" t="str">
        <f>Famille!$A$4</f>
        <v>Rail K</v>
      </c>
      <c r="B99" s="4" t="str">
        <f>Famille!$A$16</f>
        <v>RAL 9003</v>
      </c>
      <c r="C99" s="5" t="s">
        <v>296</v>
      </c>
      <c r="D99" s="4" t="s">
        <v>745</v>
      </c>
      <c r="E99" s="4"/>
      <c r="F99" s="7" t="s">
        <v>7</v>
      </c>
      <c r="G99" s="147">
        <v>0</v>
      </c>
      <c r="H99" s="2">
        <v>105</v>
      </c>
    </row>
    <row r="100" spans="1:8" ht="12.95" customHeight="1" x14ac:dyDescent="0.2">
      <c r="A100" s="4" t="str">
        <f>Famille!$A$4</f>
        <v>Rail K</v>
      </c>
      <c r="B100" s="4" t="str">
        <f>Famille!$A$16</f>
        <v>RAL 9003</v>
      </c>
      <c r="C100" s="5" t="s">
        <v>297</v>
      </c>
      <c r="D100" s="4" t="s">
        <v>746</v>
      </c>
      <c r="E100" s="4"/>
      <c r="F100" s="7" t="s">
        <v>7</v>
      </c>
      <c r="G100" s="147">
        <v>0</v>
      </c>
      <c r="H100" s="2">
        <v>106</v>
      </c>
    </row>
    <row r="101" spans="1:8" ht="12.95" customHeight="1" x14ac:dyDescent="0.2">
      <c r="A101" s="4" t="str">
        <f>Famille!$A$4</f>
        <v>Rail K</v>
      </c>
      <c r="B101" s="4" t="str">
        <f>Famille!$A$16</f>
        <v>RAL 9003</v>
      </c>
      <c r="C101" s="5" t="s">
        <v>298</v>
      </c>
      <c r="D101" s="4" t="s">
        <v>747</v>
      </c>
      <c r="E101" s="4"/>
      <c r="F101" s="7" t="s">
        <v>7</v>
      </c>
      <c r="G101" s="147">
        <v>0</v>
      </c>
      <c r="H101" s="2">
        <v>107</v>
      </c>
    </row>
    <row r="102" spans="1:8" ht="12.95" customHeight="1" x14ac:dyDescent="0.2">
      <c r="A102" s="4" t="str">
        <f>Famille!$A$4</f>
        <v>Rail K</v>
      </c>
      <c r="B102" s="4" t="str">
        <f>Famille!$A$19</f>
        <v>BRUT</v>
      </c>
      <c r="C102" s="5" t="s">
        <v>299</v>
      </c>
      <c r="D102" s="4" t="s">
        <v>748</v>
      </c>
      <c r="E102" s="5"/>
      <c r="F102" s="7" t="s">
        <v>6</v>
      </c>
      <c r="G102" s="116">
        <v>10</v>
      </c>
      <c r="H102" s="2">
        <v>108</v>
      </c>
    </row>
    <row r="103" spans="1:8" ht="12.95" customHeight="1" x14ac:dyDescent="0.2">
      <c r="A103" s="4" t="str">
        <f>Famille!$A$4</f>
        <v>Rail K</v>
      </c>
      <c r="B103" s="4" t="str">
        <f>Famille!$A$19</f>
        <v>BRUT</v>
      </c>
      <c r="C103" s="5" t="s">
        <v>300</v>
      </c>
      <c r="D103" s="4" t="s">
        <v>749</v>
      </c>
      <c r="E103" s="4"/>
      <c r="F103" s="7" t="s">
        <v>7</v>
      </c>
      <c r="G103" s="147">
        <v>0</v>
      </c>
      <c r="H103" s="2">
        <v>109</v>
      </c>
    </row>
    <row r="104" spans="1:8" ht="12.95" customHeight="1" x14ac:dyDescent="0.2">
      <c r="A104" s="4" t="str">
        <f>Famille!$A$4</f>
        <v>Rail K</v>
      </c>
      <c r="B104" s="4" t="str">
        <f>Famille!$A$19</f>
        <v>BRUT</v>
      </c>
      <c r="C104" s="5" t="s">
        <v>301</v>
      </c>
      <c r="D104" s="4" t="s">
        <v>750</v>
      </c>
      <c r="E104" s="4"/>
      <c r="F104" s="7" t="s">
        <v>7</v>
      </c>
      <c r="G104" s="147">
        <v>0</v>
      </c>
      <c r="H104" s="2">
        <v>110</v>
      </c>
    </row>
    <row r="105" spans="1:8" ht="12.95" customHeight="1" x14ac:dyDescent="0.2">
      <c r="A105" s="4" t="str">
        <f>Famille!$A$4</f>
        <v>Rail K</v>
      </c>
      <c r="B105" s="4" t="str">
        <f>Famille!$A$19</f>
        <v>BRUT</v>
      </c>
      <c r="C105" s="5" t="s">
        <v>302</v>
      </c>
      <c r="D105" s="4" t="s">
        <v>751</v>
      </c>
      <c r="E105" s="4"/>
      <c r="F105" s="7" t="s">
        <v>7</v>
      </c>
      <c r="G105" s="147">
        <v>0</v>
      </c>
      <c r="H105" s="2">
        <v>111</v>
      </c>
    </row>
    <row r="106" spans="1:8" ht="12.95" customHeight="1" x14ac:dyDescent="0.2">
      <c r="A106" s="4" t="str">
        <f>Famille!$A$4</f>
        <v>Rail K</v>
      </c>
      <c r="B106" s="4" t="str">
        <f>Famille!$A$19</f>
        <v>BRUT</v>
      </c>
      <c r="C106" s="5" t="s">
        <v>303</v>
      </c>
      <c r="D106" s="4" t="s">
        <v>752</v>
      </c>
      <c r="E106" s="4"/>
      <c r="F106" s="7" t="s">
        <v>7</v>
      </c>
      <c r="G106" s="147">
        <v>0</v>
      </c>
      <c r="H106" s="2">
        <v>112</v>
      </c>
    </row>
    <row r="107" spans="1:8" ht="12.95" customHeight="1" x14ac:dyDescent="0.2">
      <c r="A107" s="4" t="str">
        <f>Famille!$A$4</f>
        <v>Rail K</v>
      </c>
      <c r="B107" s="4" t="str">
        <f>Famille!$A$19</f>
        <v>BRUT</v>
      </c>
      <c r="C107" s="5" t="s">
        <v>304</v>
      </c>
      <c r="D107" s="4" t="s">
        <v>753</v>
      </c>
      <c r="E107" s="4"/>
      <c r="F107" s="7" t="s">
        <v>7</v>
      </c>
      <c r="G107" s="147">
        <v>0</v>
      </c>
      <c r="H107" s="2">
        <v>113</v>
      </c>
    </row>
    <row r="108" spans="1:8" ht="12.95" customHeight="1" x14ac:dyDescent="0.2">
      <c r="A108" s="4" t="str">
        <f>Famille!$A$4</f>
        <v>Rail K</v>
      </c>
      <c r="B108" s="4" t="str">
        <f>Famille!$A$19</f>
        <v>BRUT</v>
      </c>
      <c r="C108" s="5" t="s">
        <v>305</v>
      </c>
      <c r="D108" s="4" t="s">
        <v>754</v>
      </c>
      <c r="E108" s="5"/>
      <c r="F108" s="7" t="s">
        <v>7</v>
      </c>
      <c r="G108" s="147">
        <v>0</v>
      </c>
      <c r="H108" s="2">
        <v>114</v>
      </c>
    </row>
    <row r="109" spans="1:8" ht="12.95" customHeight="1" x14ac:dyDescent="0.2">
      <c r="A109" s="4" t="str">
        <f>Famille!$A$4</f>
        <v>Rail K</v>
      </c>
      <c r="B109" s="4" t="str">
        <f>Famille!$A$19</f>
        <v>BRUT</v>
      </c>
      <c r="C109" s="5" t="s">
        <v>306</v>
      </c>
      <c r="D109" s="4" t="s">
        <v>755</v>
      </c>
      <c r="E109" s="5"/>
      <c r="F109" s="7" t="s">
        <v>7</v>
      </c>
      <c r="G109" s="147">
        <v>0</v>
      </c>
      <c r="H109" s="2">
        <v>115</v>
      </c>
    </row>
    <row r="110" spans="1:8" ht="12.95" customHeight="1" x14ac:dyDescent="0.2">
      <c r="A110" s="4" t="str">
        <f>Famille!$A$4</f>
        <v>Rail K</v>
      </c>
      <c r="B110" s="4" t="str">
        <f>Famille!$A$19</f>
        <v>BRUT</v>
      </c>
      <c r="C110" s="5" t="s">
        <v>307</v>
      </c>
      <c r="D110" s="4" t="s">
        <v>756</v>
      </c>
      <c r="E110" s="5"/>
      <c r="F110" s="7" t="s">
        <v>7</v>
      </c>
      <c r="G110" s="147">
        <v>0</v>
      </c>
      <c r="H110" s="2">
        <v>116</v>
      </c>
    </row>
    <row r="111" spans="1:8" ht="12.95" customHeight="1" x14ac:dyDescent="0.2">
      <c r="A111" s="4" t="str">
        <f>Famille!$A$4</f>
        <v>Rail K</v>
      </c>
      <c r="B111" s="4" t="str">
        <f>Famille!$A$19</f>
        <v>BRUT</v>
      </c>
      <c r="C111" s="5" t="s">
        <v>308</v>
      </c>
      <c r="D111" s="4" t="s">
        <v>757</v>
      </c>
      <c r="E111" s="4"/>
      <c r="F111" s="7" t="s">
        <v>7</v>
      </c>
      <c r="G111" s="147">
        <v>0</v>
      </c>
      <c r="H111" s="2">
        <v>117</v>
      </c>
    </row>
    <row r="112" spans="1:8" ht="12.95" customHeight="1" x14ac:dyDescent="0.2">
      <c r="A112" s="4" t="str">
        <f>Famille!$A$4</f>
        <v>Rail K</v>
      </c>
      <c r="B112" s="4" t="str">
        <f>Famille!$A$19</f>
        <v>BRUT</v>
      </c>
      <c r="C112" s="5" t="s">
        <v>309</v>
      </c>
      <c r="D112" s="4" t="s">
        <v>758</v>
      </c>
      <c r="E112" s="4"/>
      <c r="F112" s="7" t="s">
        <v>7</v>
      </c>
      <c r="G112" s="147">
        <v>0</v>
      </c>
      <c r="H112" s="2">
        <v>118</v>
      </c>
    </row>
    <row r="113" spans="1:8" ht="12.95" customHeight="1" x14ac:dyDescent="0.2">
      <c r="A113" s="4" t="str">
        <f>Famille!$A$4</f>
        <v>Rail K</v>
      </c>
      <c r="B113" s="4" t="str">
        <f>Famille!$A$19</f>
        <v>BRUT</v>
      </c>
      <c r="C113" s="5" t="s">
        <v>310</v>
      </c>
      <c r="D113" s="4" t="s">
        <v>759</v>
      </c>
      <c r="E113" s="4"/>
      <c r="F113" s="7" t="s">
        <v>7</v>
      </c>
      <c r="G113" s="147">
        <v>0</v>
      </c>
      <c r="H113" s="2">
        <v>119</v>
      </c>
    </row>
    <row r="114" spans="1:8" ht="12.95" customHeight="1" x14ac:dyDescent="0.2">
      <c r="A114" s="4" t="str">
        <f>Famille!$A$4</f>
        <v>Rail K</v>
      </c>
      <c r="B114" s="4" t="str">
        <f>Famille!$A$19</f>
        <v>BRUT</v>
      </c>
      <c r="C114" s="5" t="s">
        <v>311</v>
      </c>
      <c r="D114" s="4" t="s">
        <v>760</v>
      </c>
      <c r="E114" s="4"/>
      <c r="F114" s="7" t="s">
        <v>7</v>
      </c>
      <c r="G114" s="147">
        <v>0</v>
      </c>
      <c r="H114" s="2">
        <v>120</v>
      </c>
    </row>
    <row r="115" spans="1:8" ht="12.95" customHeight="1" x14ac:dyDescent="0.2">
      <c r="A115" s="4" t="str">
        <f>Famille!$A$5</f>
        <v>Fixation Dorma</v>
      </c>
      <c r="C115" s="5" t="s">
        <v>312</v>
      </c>
      <c r="D115" s="4" t="s">
        <v>761</v>
      </c>
      <c r="E115" s="5"/>
      <c r="F115" s="7" t="s">
        <v>7</v>
      </c>
      <c r="G115" s="116">
        <v>1</v>
      </c>
      <c r="H115" s="2">
        <v>121</v>
      </c>
    </row>
    <row r="116" spans="1:8" ht="12.95" customHeight="1" x14ac:dyDescent="0.2">
      <c r="A116" s="4" t="str">
        <f>Famille!$A$5</f>
        <v>Fixation Dorma</v>
      </c>
      <c r="C116" s="5" t="s">
        <v>313</v>
      </c>
      <c r="D116" s="4" t="s">
        <v>762</v>
      </c>
      <c r="E116" s="5"/>
      <c r="F116" s="7" t="s">
        <v>7</v>
      </c>
      <c r="G116" s="116">
        <v>1</v>
      </c>
      <c r="H116" s="2">
        <v>122</v>
      </c>
    </row>
    <row r="117" spans="1:8" ht="12.95" customHeight="1" x14ac:dyDescent="0.2">
      <c r="A117" s="4" t="str">
        <f>Famille!$A$5</f>
        <v>Fixation Dorma</v>
      </c>
      <c r="C117" s="5" t="s">
        <v>314</v>
      </c>
      <c r="D117" s="4" t="s">
        <v>763</v>
      </c>
      <c r="E117" s="5"/>
      <c r="F117" s="7" t="s">
        <v>7</v>
      </c>
      <c r="G117" s="116">
        <v>40</v>
      </c>
      <c r="H117" s="2">
        <v>123</v>
      </c>
    </row>
    <row r="118" spans="1:8" ht="12.95" customHeight="1" x14ac:dyDescent="0.2">
      <c r="A118" s="4" t="str">
        <f>Famille!$A$5</f>
        <v>Fixation Dorma</v>
      </c>
      <c r="C118" s="5" t="s">
        <v>315</v>
      </c>
      <c r="D118" s="4" t="s">
        <v>764</v>
      </c>
      <c r="E118" s="5"/>
      <c r="F118" s="7" t="s">
        <v>7</v>
      </c>
      <c r="G118" s="116">
        <v>400</v>
      </c>
      <c r="H118" s="2">
        <v>124</v>
      </c>
    </row>
    <row r="119" spans="1:8" ht="12.95" customHeight="1" x14ac:dyDescent="0.2">
      <c r="A119" s="4" t="str">
        <f>Famille!$A$5</f>
        <v>Fixation Dorma</v>
      </c>
      <c r="C119" s="5" t="s">
        <v>316</v>
      </c>
      <c r="D119" s="4" t="s">
        <v>765</v>
      </c>
      <c r="E119" s="5"/>
      <c r="F119" s="7" t="s">
        <v>7</v>
      </c>
      <c r="G119" s="147">
        <v>0</v>
      </c>
      <c r="H119" s="2">
        <v>125</v>
      </c>
    </row>
    <row r="120" spans="1:8" ht="12.95" customHeight="1" x14ac:dyDescent="0.2">
      <c r="A120" s="4" t="str">
        <f>Famille!$A$5</f>
        <v>Fixation Dorma</v>
      </c>
      <c r="C120" s="5" t="s">
        <v>317</v>
      </c>
      <c r="D120" s="4" t="s">
        <v>766</v>
      </c>
      <c r="E120" s="5"/>
      <c r="F120" s="7" t="s">
        <v>7</v>
      </c>
      <c r="G120" s="116">
        <v>1</v>
      </c>
      <c r="H120" s="2">
        <v>126</v>
      </c>
    </row>
    <row r="121" spans="1:8" ht="12.95" customHeight="1" x14ac:dyDescent="0.2">
      <c r="A121" s="4" t="str">
        <f>Famille!$A$5</f>
        <v>Fixation Dorma</v>
      </c>
      <c r="C121" s="5" t="s">
        <v>318</v>
      </c>
      <c r="D121" s="4" t="s">
        <v>767</v>
      </c>
      <c r="E121" s="5"/>
      <c r="F121" s="7" t="s">
        <v>7</v>
      </c>
      <c r="G121" s="116">
        <v>100</v>
      </c>
      <c r="H121" s="2">
        <v>127</v>
      </c>
    </row>
    <row r="122" spans="1:8" ht="12.95" customHeight="1" x14ac:dyDescent="0.2">
      <c r="A122" s="4" t="str">
        <f>Famille!$A$5</f>
        <v>Fixation Dorma</v>
      </c>
      <c r="C122" s="5" t="s">
        <v>319</v>
      </c>
      <c r="D122" s="4" t="s">
        <v>768</v>
      </c>
      <c r="E122" s="5"/>
      <c r="F122" s="7" t="s">
        <v>6</v>
      </c>
      <c r="G122" s="116">
        <v>30</v>
      </c>
      <c r="H122" s="2">
        <v>128</v>
      </c>
    </row>
    <row r="123" spans="1:8" ht="12.95" customHeight="1" x14ac:dyDescent="0.2">
      <c r="A123" s="4" t="str">
        <f>Famille!$A$5</f>
        <v>Fixation Dorma</v>
      </c>
      <c r="C123" s="5" t="s">
        <v>320</v>
      </c>
      <c r="D123" s="4" t="s">
        <v>769</v>
      </c>
      <c r="E123" s="5"/>
      <c r="F123" s="7" t="s">
        <v>6</v>
      </c>
      <c r="G123" s="116">
        <v>30</v>
      </c>
      <c r="H123" s="2">
        <v>129</v>
      </c>
    </row>
    <row r="124" spans="1:8" ht="12.95" customHeight="1" x14ac:dyDescent="0.2">
      <c r="A124" s="4" t="str">
        <f>Famille!$A$5</f>
        <v>Fixation Dorma</v>
      </c>
      <c r="C124" s="5" t="s">
        <v>321</v>
      </c>
      <c r="D124" s="4" t="s">
        <v>770</v>
      </c>
      <c r="E124" s="5"/>
      <c r="F124" s="7" t="s">
        <v>7</v>
      </c>
      <c r="G124" s="116">
        <v>1</v>
      </c>
      <c r="H124" s="2">
        <v>130</v>
      </c>
    </row>
    <row r="125" spans="1:8" ht="12.95" customHeight="1" x14ac:dyDescent="0.2">
      <c r="A125" s="4" t="str">
        <f>Famille!$A$5</f>
        <v>Fixation Dorma</v>
      </c>
      <c r="C125" s="5" t="s">
        <v>322</v>
      </c>
      <c r="D125" s="4" t="s">
        <v>771</v>
      </c>
      <c r="E125" s="5"/>
      <c r="F125" s="7" t="s">
        <v>7</v>
      </c>
      <c r="G125" s="116">
        <v>1</v>
      </c>
      <c r="H125" s="2">
        <v>131</v>
      </c>
    </row>
    <row r="126" spans="1:8" ht="12.95" customHeight="1" x14ac:dyDescent="0.2">
      <c r="A126" s="4" t="str">
        <f>Famille!$A$5</f>
        <v>Fixation Dorma</v>
      </c>
      <c r="C126" s="5" t="s">
        <v>323</v>
      </c>
      <c r="D126" s="4" t="s">
        <v>772</v>
      </c>
      <c r="E126" s="5"/>
      <c r="F126" s="7" t="s">
        <v>7</v>
      </c>
      <c r="G126" s="116">
        <v>1</v>
      </c>
      <c r="H126" s="2">
        <v>132</v>
      </c>
    </row>
    <row r="127" spans="1:8" ht="12.95" customHeight="1" x14ac:dyDescent="0.2">
      <c r="A127" s="4" t="str">
        <f>Famille!$A$5</f>
        <v>Fixation Dorma</v>
      </c>
      <c r="C127" s="5" t="s">
        <v>324</v>
      </c>
      <c r="D127" s="4" t="s">
        <v>773</v>
      </c>
      <c r="E127" s="5"/>
      <c r="F127" s="7" t="s">
        <v>7</v>
      </c>
      <c r="G127" s="116">
        <v>1</v>
      </c>
      <c r="H127" s="2">
        <v>133</v>
      </c>
    </row>
    <row r="128" spans="1:8" ht="12.95" customHeight="1" x14ac:dyDescent="0.2">
      <c r="A128" s="4" t="str">
        <f>Famille!$A$5</f>
        <v>Fixation Dorma</v>
      </c>
      <c r="C128" s="5" t="s">
        <v>325</v>
      </c>
      <c r="D128" s="4" t="s">
        <v>774</v>
      </c>
      <c r="E128" s="5"/>
      <c r="F128" s="7" t="s">
        <v>7</v>
      </c>
      <c r="G128" s="116">
        <v>1</v>
      </c>
      <c r="H128" s="2">
        <v>134</v>
      </c>
    </row>
    <row r="129" spans="1:9" ht="12.95" customHeight="1" x14ac:dyDescent="0.2">
      <c r="A129" s="4" t="str">
        <f>Famille!$A$5</f>
        <v>Fixation Dorma</v>
      </c>
      <c r="C129" s="5" t="s">
        <v>326</v>
      </c>
      <c r="D129" s="4" t="s">
        <v>775</v>
      </c>
      <c r="E129" s="5"/>
      <c r="F129" s="7" t="s">
        <v>7</v>
      </c>
      <c r="G129" s="116">
        <v>1</v>
      </c>
      <c r="H129" s="2">
        <v>135</v>
      </c>
    </row>
    <row r="130" spans="1:9" ht="12.95" customHeight="1" x14ac:dyDescent="0.2">
      <c r="A130" s="4" t="str">
        <f>Famille!$A$5</f>
        <v>Fixation Dorma</v>
      </c>
      <c r="C130" s="5" t="s">
        <v>327</v>
      </c>
      <c r="D130" s="4" t="s">
        <v>776</v>
      </c>
      <c r="E130" s="5"/>
      <c r="F130" s="7" t="s">
        <v>7</v>
      </c>
      <c r="G130" s="116">
        <v>1</v>
      </c>
      <c r="H130" s="2">
        <v>136</v>
      </c>
    </row>
    <row r="131" spans="1:9" ht="12.95" customHeight="1" x14ac:dyDescent="0.2">
      <c r="A131" s="4" t="str">
        <f>Famille!$A$5</f>
        <v>Fixation Dorma</v>
      </c>
      <c r="C131" s="5" t="s">
        <v>328</v>
      </c>
      <c r="D131" s="4" t="s">
        <v>777</v>
      </c>
      <c r="E131" s="5"/>
      <c r="F131" s="7" t="s">
        <v>7</v>
      </c>
      <c r="G131" s="116">
        <v>1</v>
      </c>
      <c r="H131" s="2">
        <v>137</v>
      </c>
    </row>
    <row r="132" spans="1:9" ht="12.95" customHeight="1" x14ac:dyDescent="0.2">
      <c r="A132" s="4" t="str">
        <f>Famille!$A$5</f>
        <v>Fixation Dorma</v>
      </c>
      <c r="C132" s="5" t="s">
        <v>329</v>
      </c>
      <c r="D132" s="4" t="s">
        <v>778</v>
      </c>
      <c r="E132" s="5"/>
      <c r="F132" s="7" t="s">
        <v>7</v>
      </c>
      <c r="G132" s="116">
        <v>1</v>
      </c>
      <c r="H132" s="2">
        <v>138</v>
      </c>
    </row>
    <row r="133" spans="1:9" ht="12.95" customHeight="1" x14ac:dyDescent="0.2">
      <c r="A133" s="4" t="str">
        <f>Famille!$A$5</f>
        <v>Fixation Dorma</v>
      </c>
      <c r="C133" s="5" t="s">
        <v>330</v>
      </c>
      <c r="D133" s="4" t="s">
        <v>779</v>
      </c>
      <c r="E133" s="5"/>
      <c r="F133" s="7" t="s">
        <v>7</v>
      </c>
      <c r="G133" s="116">
        <v>1</v>
      </c>
      <c r="H133" s="2">
        <v>139</v>
      </c>
    </row>
    <row r="134" spans="1:9" ht="12.95" customHeight="1" x14ac:dyDescent="0.2">
      <c r="A134" s="4" t="str">
        <f>Famille!$A$5</f>
        <v>Fixation Dorma</v>
      </c>
      <c r="C134" s="5" t="s">
        <v>331</v>
      </c>
      <c r="D134" s="4" t="s">
        <v>780</v>
      </c>
      <c r="E134" s="10"/>
      <c r="F134" s="7" t="s">
        <v>7</v>
      </c>
      <c r="G134" s="147">
        <v>0</v>
      </c>
      <c r="H134" s="2">
        <v>140</v>
      </c>
    </row>
    <row r="135" spans="1:9" ht="12.95" customHeight="1" x14ac:dyDescent="0.2">
      <c r="A135" s="4" t="str">
        <f>Famille!$A$5</f>
        <v>Fixation Dorma</v>
      </c>
      <c r="C135" s="5" t="s">
        <v>332</v>
      </c>
      <c r="D135" s="4" t="s">
        <v>781</v>
      </c>
      <c r="E135" s="5"/>
      <c r="F135" s="7" t="s">
        <v>7</v>
      </c>
      <c r="G135" s="116">
        <v>75</v>
      </c>
      <c r="H135" s="2">
        <v>141</v>
      </c>
    </row>
    <row r="136" spans="1:9" ht="12.95" customHeight="1" x14ac:dyDescent="0.2">
      <c r="A136" s="4" t="str">
        <f>Famille!$A$5</f>
        <v>Fixation Dorma</v>
      </c>
      <c r="C136" s="5" t="s">
        <v>333</v>
      </c>
      <c r="D136" s="4" t="s">
        <v>782</v>
      </c>
      <c r="E136" s="5"/>
      <c r="F136" s="7" t="s">
        <v>7</v>
      </c>
      <c r="G136" s="116">
        <v>100</v>
      </c>
      <c r="H136" s="2">
        <v>142</v>
      </c>
    </row>
    <row r="137" spans="1:9" ht="12.95" customHeight="1" x14ac:dyDescent="0.2">
      <c r="A137" s="4" t="str">
        <f>Famille!$A$5</f>
        <v>Fixation Dorma</v>
      </c>
      <c r="C137" s="5" t="s">
        <v>334</v>
      </c>
      <c r="D137" s="4" t="s">
        <v>783</v>
      </c>
      <c r="E137" s="5"/>
      <c r="F137" s="7" t="s">
        <v>7</v>
      </c>
      <c r="G137" s="116">
        <v>200</v>
      </c>
      <c r="H137" s="2">
        <v>143</v>
      </c>
    </row>
    <row r="138" spans="1:9" ht="12.95" customHeight="1" x14ac:dyDescent="0.2">
      <c r="A138" s="4" t="str">
        <f>Famille!$A$5</f>
        <v>Fixation Dorma</v>
      </c>
      <c r="C138" s="5" t="s">
        <v>335</v>
      </c>
      <c r="D138" s="4" t="s">
        <v>784</v>
      </c>
      <c r="E138" s="5"/>
      <c r="F138" s="7" t="s">
        <v>7</v>
      </c>
      <c r="G138" s="116">
        <v>100</v>
      </c>
      <c r="H138" s="2">
        <v>144</v>
      </c>
    </row>
    <row r="139" spans="1:9" s="109" customFormat="1" ht="12.95" customHeight="1" x14ac:dyDescent="0.25">
      <c r="A139" s="4" t="str">
        <f>Famille!$A$5</f>
        <v>Fixation Dorma</v>
      </c>
      <c r="B139" s="4"/>
      <c r="C139" s="5" t="s">
        <v>336</v>
      </c>
      <c r="D139" s="4" t="s">
        <v>785</v>
      </c>
      <c r="E139" s="5"/>
      <c r="F139" s="7" t="s">
        <v>7</v>
      </c>
      <c r="G139" s="116">
        <v>100</v>
      </c>
      <c r="H139" s="2">
        <v>145</v>
      </c>
      <c r="I139"/>
    </row>
    <row r="140" spans="1:9" s="109" customFormat="1" ht="12.95" customHeight="1" x14ac:dyDescent="0.25">
      <c r="A140" s="4" t="str">
        <f>Famille!$A$5</f>
        <v>Fixation Dorma</v>
      </c>
      <c r="B140" s="4"/>
      <c r="C140" s="5" t="s">
        <v>337</v>
      </c>
      <c r="D140" s="4" t="s">
        <v>786</v>
      </c>
      <c r="E140" s="5"/>
      <c r="F140" s="7" t="s">
        <v>7</v>
      </c>
      <c r="G140" s="116">
        <v>100</v>
      </c>
      <c r="H140" s="2">
        <v>146</v>
      </c>
      <c r="I140"/>
    </row>
    <row r="141" spans="1:9" s="109" customFormat="1" ht="12.95" customHeight="1" x14ac:dyDescent="0.25">
      <c r="A141" s="4" t="str">
        <f>Famille!$A$5</f>
        <v>Fixation Dorma</v>
      </c>
      <c r="B141" s="4"/>
      <c r="C141" s="5" t="s">
        <v>338</v>
      </c>
      <c r="D141" s="4" t="s">
        <v>787</v>
      </c>
      <c r="E141" s="5"/>
      <c r="F141" s="7" t="s">
        <v>7</v>
      </c>
      <c r="G141" s="116">
        <v>1</v>
      </c>
      <c r="H141" s="2">
        <v>147</v>
      </c>
      <c r="I141"/>
    </row>
    <row r="142" spans="1:9" s="109" customFormat="1" ht="12.95" customHeight="1" x14ac:dyDescent="0.25">
      <c r="A142" s="4" t="str">
        <f>Famille!$A$5</f>
        <v>Fixation Dorma</v>
      </c>
      <c r="B142" s="4"/>
      <c r="C142" s="5" t="s">
        <v>339</v>
      </c>
      <c r="D142" s="4" t="s">
        <v>788</v>
      </c>
      <c r="E142" s="5"/>
      <c r="F142" s="7" t="s">
        <v>7</v>
      </c>
      <c r="G142" s="116">
        <v>1</v>
      </c>
      <c r="H142" s="2">
        <v>148</v>
      </c>
      <c r="I142"/>
    </row>
    <row r="143" spans="1:9" s="109" customFormat="1" ht="12.95" customHeight="1" x14ac:dyDescent="0.25">
      <c r="A143" s="4" t="str">
        <f>Famille!$A$5</f>
        <v>Fixation Dorma</v>
      </c>
      <c r="B143" s="4"/>
      <c r="C143" s="5" t="s">
        <v>340</v>
      </c>
      <c r="D143" s="4" t="s">
        <v>789</v>
      </c>
      <c r="E143" s="5"/>
      <c r="F143" s="7" t="s">
        <v>7</v>
      </c>
      <c r="G143" s="116">
        <v>1</v>
      </c>
      <c r="H143" s="2">
        <v>149</v>
      </c>
      <c r="I143"/>
    </row>
    <row r="144" spans="1:9" s="109" customFormat="1" ht="12.95" customHeight="1" x14ac:dyDescent="0.25">
      <c r="A144" s="4" t="str">
        <f>Famille!$A$5</f>
        <v>Fixation Dorma</v>
      </c>
      <c r="B144" s="4"/>
      <c r="C144" s="5" t="s">
        <v>341</v>
      </c>
      <c r="D144" s="4" t="s">
        <v>790</v>
      </c>
      <c r="E144" s="5"/>
      <c r="F144" s="7" t="s">
        <v>7</v>
      </c>
      <c r="G144" s="116">
        <v>75</v>
      </c>
      <c r="H144" s="2">
        <v>150</v>
      </c>
      <c r="I144"/>
    </row>
    <row r="145" spans="1:9" s="109" customFormat="1" ht="12.95" customHeight="1" x14ac:dyDescent="0.2">
      <c r="A145" s="4" t="str">
        <f>Famille!$A$5</f>
        <v>Fixation Dorma</v>
      </c>
      <c r="B145" s="4"/>
      <c r="C145" s="5" t="s">
        <v>342</v>
      </c>
      <c r="D145" s="4" t="s">
        <v>791</v>
      </c>
      <c r="E145" s="5"/>
      <c r="F145" s="7" t="s">
        <v>7</v>
      </c>
      <c r="G145" s="116">
        <v>1</v>
      </c>
      <c r="H145" s="2">
        <v>151</v>
      </c>
    </row>
    <row r="146" spans="1:9" s="109" customFormat="1" ht="12.95" customHeight="1" x14ac:dyDescent="0.25">
      <c r="A146" s="4" t="str">
        <f>Famille!$A$5</f>
        <v>Fixation Dorma</v>
      </c>
      <c r="B146" s="4"/>
      <c r="C146" s="5" t="s">
        <v>343</v>
      </c>
      <c r="D146" s="4" t="s">
        <v>792</v>
      </c>
      <c r="E146" s="5"/>
      <c r="F146" s="7" t="s">
        <v>7</v>
      </c>
      <c r="G146" s="116">
        <v>30</v>
      </c>
      <c r="H146" s="2">
        <v>152</v>
      </c>
      <c r="I146"/>
    </row>
    <row r="147" spans="1:9" s="109" customFormat="1" ht="12.95" customHeight="1" x14ac:dyDescent="0.25">
      <c r="A147" s="4" t="str">
        <f>Famille!$A$5</f>
        <v>Fixation Dorma</v>
      </c>
      <c r="B147" s="4"/>
      <c r="C147" s="5" t="s">
        <v>344</v>
      </c>
      <c r="D147" s="4" t="s">
        <v>793</v>
      </c>
      <c r="E147" s="5"/>
      <c r="F147" s="7" t="s">
        <v>7</v>
      </c>
      <c r="G147" s="116">
        <v>30</v>
      </c>
      <c r="H147" s="2">
        <v>153</v>
      </c>
      <c r="I147"/>
    </row>
    <row r="148" spans="1:9" s="109" customFormat="1" ht="12.95" customHeight="1" x14ac:dyDescent="0.25">
      <c r="A148" s="109" t="str">
        <f>Famille!$A$7</f>
        <v>Galets</v>
      </c>
      <c r="B148" s="109" t="str">
        <f>Famille!$A$25</f>
        <v>Général</v>
      </c>
      <c r="C148" s="5" t="s">
        <v>345</v>
      </c>
      <c r="D148" s="4" t="s">
        <v>794</v>
      </c>
      <c r="F148" s="7" t="s">
        <v>7</v>
      </c>
      <c r="G148" s="116">
        <v>1</v>
      </c>
      <c r="H148" s="2">
        <v>154</v>
      </c>
      <c r="I148"/>
    </row>
    <row r="149" spans="1:9" s="109" customFormat="1" ht="12.95" customHeight="1" x14ac:dyDescent="0.25">
      <c r="A149" s="109" t="str">
        <f>Famille!$A$7</f>
        <v>Galets</v>
      </c>
      <c r="B149" s="109" t="str">
        <f>Famille!$A$25</f>
        <v>Général</v>
      </c>
      <c r="C149" s="5" t="s">
        <v>346</v>
      </c>
      <c r="D149" s="4" t="s">
        <v>795</v>
      </c>
      <c r="F149" s="7" t="s">
        <v>7</v>
      </c>
      <c r="G149" s="116">
        <v>1</v>
      </c>
      <c r="H149" s="2">
        <v>155</v>
      </c>
      <c r="I149"/>
    </row>
    <row r="150" spans="1:9" s="109" customFormat="1" ht="12.95" customHeight="1" x14ac:dyDescent="0.25">
      <c r="A150" s="109" t="str">
        <f>Famille!$A$7</f>
        <v>Galets</v>
      </c>
      <c r="B150" s="109" t="str">
        <f>Famille!$A$25</f>
        <v>Général</v>
      </c>
      <c r="C150" s="5" t="s">
        <v>347</v>
      </c>
      <c r="D150" s="4" t="s">
        <v>796</v>
      </c>
      <c r="F150" s="7" t="s">
        <v>7</v>
      </c>
      <c r="G150" s="116">
        <v>1</v>
      </c>
      <c r="H150" s="2">
        <v>156</v>
      </c>
      <c r="I150"/>
    </row>
    <row r="151" spans="1:9" s="109" customFormat="1" ht="12.95" customHeight="1" x14ac:dyDescent="0.25">
      <c r="A151" s="109" t="str">
        <f>Famille!$A$7</f>
        <v>Galets</v>
      </c>
      <c r="B151" s="109" t="str">
        <f>Famille!$A$25</f>
        <v>Général</v>
      </c>
      <c r="C151" s="5" t="s">
        <v>348</v>
      </c>
      <c r="D151" s="4" t="s">
        <v>797</v>
      </c>
      <c r="E151" s="110"/>
      <c r="F151" s="7" t="s">
        <v>7</v>
      </c>
      <c r="G151" s="116">
        <v>1</v>
      </c>
      <c r="H151" s="2">
        <v>157</v>
      </c>
      <c r="I151"/>
    </row>
    <row r="152" spans="1:9" s="109" customFormat="1" ht="12.95" customHeight="1" x14ac:dyDescent="0.25">
      <c r="A152" s="109" t="str">
        <f>Famille!$A$7</f>
        <v>Galets</v>
      </c>
      <c r="B152" s="109" t="str">
        <f>Famille!$A$25</f>
        <v>Général</v>
      </c>
      <c r="C152" s="5" t="s">
        <v>349</v>
      </c>
      <c r="D152" s="4" t="s">
        <v>798</v>
      </c>
      <c r="E152" s="110"/>
      <c r="F152" s="7" t="s">
        <v>7</v>
      </c>
      <c r="G152" s="116">
        <v>1</v>
      </c>
      <c r="H152" s="2">
        <v>158</v>
      </c>
      <c r="I152"/>
    </row>
    <row r="153" spans="1:9" s="109" customFormat="1" ht="12.95" customHeight="1" x14ac:dyDescent="0.25">
      <c r="A153" s="109" t="str">
        <f>Famille!$A$7</f>
        <v>Galets</v>
      </c>
      <c r="B153" s="109" t="str">
        <f>Famille!$A$25</f>
        <v>Général</v>
      </c>
      <c r="C153" s="5" t="s">
        <v>350</v>
      </c>
      <c r="D153" s="4" t="s">
        <v>799</v>
      </c>
      <c r="F153" s="7" t="s">
        <v>7</v>
      </c>
      <c r="G153" s="116">
        <v>1</v>
      </c>
      <c r="H153" s="2">
        <v>159</v>
      </c>
      <c r="I153"/>
    </row>
    <row r="154" spans="1:9" s="109" customFormat="1" ht="12.95" customHeight="1" x14ac:dyDescent="0.25">
      <c r="A154" s="109" t="str">
        <f>Famille!$A$7</f>
        <v>Galets</v>
      </c>
      <c r="B154" s="109" t="str">
        <f>Famille!$A$25</f>
        <v>Général</v>
      </c>
      <c r="C154" s="5" t="s">
        <v>351</v>
      </c>
      <c r="D154" s="4" t="s">
        <v>800</v>
      </c>
      <c r="F154" s="7" t="s">
        <v>7</v>
      </c>
      <c r="G154" s="116">
        <v>1</v>
      </c>
      <c r="H154" s="2">
        <v>160</v>
      </c>
      <c r="I154"/>
    </row>
    <row r="155" spans="1:9" s="109" customFormat="1" ht="12.95" customHeight="1" x14ac:dyDescent="0.25">
      <c r="A155" s="109" t="str">
        <f>Famille!$A$7</f>
        <v>Galets</v>
      </c>
      <c r="B155" s="109" t="str">
        <f>Famille!$A$26</f>
        <v>Moveo</v>
      </c>
      <c r="C155" s="5" t="s">
        <v>352</v>
      </c>
      <c r="D155" s="4" t="s">
        <v>801</v>
      </c>
      <c r="F155" s="7" t="s">
        <v>7</v>
      </c>
      <c r="G155" s="116">
        <v>1</v>
      </c>
      <c r="H155" s="2">
        <v>161</v>
      </c>
      <c r="I155"/>
    </row>
    <row r="156" spans="1:9" s="109" customFormat="1" ht="12.95" customHeight="1" x14ac:dyDescent="0.25">
      <c r="A156" s="109" t="str">
        <f>Famille!$A$7</f>
        <v>Galets</v>
      </c>
      <c r="B156" s="109" t="str">
        <f>Famille!$A$26</f>
        <v>Moveo</v>
      </c>
      <c r="C156" s="5" t="s">
        <v>353</v>
      </c>
      <c r="D156" s="4" t="s">
        <v>802</v>
      </c>
      <c r="F156" s="7" t="s">
        <v>7</v>
      </c>
      <c r="G156" s="116">
        <v>1</v>
      </c>
      <c r="H156" s="2">
        <v>162</v>
      </c>
      <c r="I156"/>
    </row>
    <row r="157" spans="1:9" s="109" customFormat="1" ht="12.95" customHeight="1" x14ac:dyDescent="0.25">
      <c r="A157" s="109" t="str">
        <f>Famille!$A$7</f>
        <v>Galets</v>
      </c>
      <c r="B157" s="109" t="str">
        <f>Famille!$A$26</f>
        <v>Moveo</v>
      </c>
      <c r="C157" s="5" t="s">
        <v>354</v>
      </c>
      <c r="D157" s="4" t="s">
        <v>803</v>
      </c>
      <c r="F157" s="7" t="s">
        <v>7</v>
      </c>
      <c r="G157" s="116">
        <v>1</v>
      </c>
      <c r="H157" s="2">
        <v>163</v>
      </c>
      <c r="I157"/>
    </row>
    <row r="158" spans="1:9" s="109" customFormat="1" ht="12.95" customHeight="1" x14ac:dyDescent="0.25">
      <c r="A158" s="109" t="str">
        <f>Famille!$A$7</f>
        <v>Galets</v>
      </c>
      <c r="B158" s="109" t="str">
        <f>Famille!$A$26</f>
        <v>Moveo</v>
      </c>
      <c r="C158" s="5" t="s">
        <v>355</v>
      </c>
      <c r="D158" s="4" t="s">
        <v>804</v>
      </c>
      <c r="F158" s="7" t="s">
        <v>7</v>
      </c>
      <c r="G158" s="116">
        <v>1</v>
      </c>
      <c r="H158" s="2">
        <v>164</v>
      </c>
      <c r="I158"/>
    </row>
    <row r="159" spans="1:9" s="109" customFormat="1" ht="12.95" customHeight="1" x14ac:dyDescent="0.25">
      <c r="A159" s="109" t="str">
        <f>Famille!$A$7</f>
        <v>Galets</v>
      </c>
      <c r="B159" s="109" t="str">
        <f>Famille!$A$26</f>
        <v>Moveo</v>
      </c>
      <c r="C159" s="5" t="s">
        <v>356</v>
      </c>
      <c r="D159" s="4" t="s">
        <v>805</v>
      </c>
      <c r="F159" s="7" t="s">
        <v>7</v>
      </c>
      <c r="G159" s="116">
        <v>1</v>
      </c>
      <c r="H159" s="2">
        <v>165</v>
      </c>
      <c r="I159"/>
    </row>
    <row r="160" spans="1:9" s="109" customFormat="1" ht="12.95" customHeight="1" x14ac:dyDescent="0.25">
      <c r="A160" s="109" t="str">
        <f>Famille!$A$7</f>
        <v>Galets</v>
      </c>
      <c r="B160" s="109" t="str">
        <f>Famille!$A$27</f>
        <v>ComfortDrive</v>
      </c>
      <c r="C160" s="5" t="s">
        <v>357</v>
      </c>
      <c r="D160" s="4" t="s">
        <v>806</v>
      </c>
      <c r="F160" s="7" t="s">
        <v>7</v>
      </c>
      <c r="G160" s="116">
        <v>1</v>
      </c>
      <c r="H160" s="2">
        <v>166</v>
      </c>
      <c r="I160"/>
    </row>
    <row r="161" spans="1:9" s="109" customFormat="1" ht="12.95" customHeight="1" x14ac:dyDescent="0.25">
      <c r="A161" s="109" t="str">
        <f>Famille!$A$7</f>
        <v>Galets</v>
      </c>
      <c r="B161" s="109" t="str">
        <f>Famille!$A$27</f>
        <v>ComfortDrive</v>
      </c>
      <c r="C161" s="5" t="s">
        <v>358</v>
      </c>
      <c r="D161" s="4" t="s">
        <v>807</v>
      </c>
      <c r="F161" s="7" t="s">
        <v>7</v>
      </c>
      <c r="G161" s="116">
        <v>1</v>
      </c>
      <c r="H161" s="2">
        <v>167</v>
      </c>
      <c r="I161"/>
    </row>
    <row r="162" spans="1:9" s="109" customFormat="1" ht="12.95" customHeight="1" x14ac:dyDescent="0.25">
      <c r="A162" s="109" t="str">
        <f>Famille!$A$7</f>
        <v>Galets</v>
      </c>
      <c r="B162" s="109" t="str">
        <f>Famille!$A$27</f>
        <v>ComfortDrive</v>
      </c>
      <c r="C162" s="5" t="s">
        <v>359</v>
      </c>
      <c r="D162" s="4" t="s">
        <v>808</v>
      </c>
      <c r="F162" s="7" t="s">
        <v>7</v>
      </c>
      <c r="G162" s="116">
        <v>1</v>
      </c>
      <c r="H162" s="2">
        <v>168</v>
      </c>
      <c r="I162"/>
    </row>
    <row r="163" spans="1:9" s="109" customFormat="1" ht="12.95" customHeight="1" x14ac:dyDescent="0.25">
      <c r="A163" s="109" t="str">
        <f>Famille!$A$7</f>
        <v>Galets</v>
      </c>
      <c r="B163" s="109" t="str">
        <f>Famille!$A$27</f>
        <v>ComfortDrive</v>
      </c>
      <c r="C163" s="5" t="s">
        <v>360</v>
      </c>
      <c r="D163" s="4" t="s">
        <v>809</v>
      </c>
      <c r="F163" s="7" t="s">
        <v>7</v>
      </c>
      <c r="G163" s="116">
        <v>1</v>
      </c>
      <c r="H163" s="2">
        <v>169</v>
      </c>
      <c r="I163"/>
    </row>
    <row r="164" spans="1:9" s="109" customFormat="1" ht="12.95" customHeight="1" x14ac:dyDescent="0.25">
      <c r="A164" s="109" t="str">
        <f>Famille!$A$7</f>
        <v>Galets</v>
      </c>
      <c r="B164" s="109" t="str">
        <f>Famille!$A$27</f>
        <v>ComfortDrive</v>
      </c>
      <c r="C164" s="5" t="s">
        <v>361</v>
      </c>
      <c r="D164" s="4" t="s">
        <v>810</v>
      </c>
      <c r="F164" s="7" t="s">
        <v>7</v>
      </c>
      <c r="G164" s="116">
        <v>1</v>
      </c>
      <c r="H164" s="2">
        <v>170</v>
      </c>
      <c r="I164"/>
    </row>
    <row r="165" spans="1:9" s="109" customFormat="1" ht="12.95" customHeight="1" x14ac:dyDescent="0.25">
      <c r="A165" s="109" t="str">
        <f>Famille!$A$7</f>
        <v>Galets</v>
      </c>
      <c r="B165" s="109" t="str">
        <f>Famille!$A$27</f>
        <v>ComfortDrive</v>
      </c>
      <c r="C165" s="5" t="s">
        <v>362</v>
      </c>
      <c r="D165" s="4" t="s">
        <v>811</v>
      </c>
      <c r="F165" s="7" t="s">
        <v>7</v>
      </c>
      <c r="G165" s="116">
        <v>1</v>
      </c>
      <c r="H165" s="2">
        <v>171</v>
      </c>
      <c r="I165"/>
    </row>
    <row r="166" spans="1:9" s="109" customFormat="1" ht="12.95" customHeight="1" x14ac:dyDescent="0.25">
      <c r="A166" s="109" t="str">
        <f>Famille!$A$7</f>
        <v>Galets</v>
      </c>
      <c r="B166" s="109" t="str">
        <f>Famille!$A$27</f>
        <v>ComfortDrive</v>
      </c>
      <c r="C166" s="5" t="s">
        <v>363</v>
      </c>
      <c r="D166" s="4" t="s">
        <v>812</v>
      </c>
      <c r="F166" s="7" t="s">
        <v>7</v>
      </c>
      <c r="G166" s="116">
        <v>1</v>
      </c>
      <c r="H166" s="2">
        <v>172</v>
      </c>
      <c r="I166"/>
    </row>
    <row r="167" spans="1:9" s="109" customFormat="1" ht="12.95" customHeight="1" x14ac:dyDescent="0.25">
      <c r="A167" s="109" t="str">
        <f>Famille!$A$7</f>
        <v>Galets</v>
      </c>
      <c r="B167" s="109" t="str">
        <f>Famille!$A$27</f>
        <v>ComfortDrive</v>
      </c>
      <c r="C167" s="5" t="s">
        <v>364</v>
      </c>
      <c r="D167" s="4" t="s">
        <v>813</v>
      </c>
      <c r="F167" s="7" t="s">
        <v>7</v>
      </c>
      <c r="G167" s="116">
        <v>1</v>
      </c>
      <c r="H167" s="2">
        <v>173</v>
      </c>
      <c r="I167"/>
    </row>
    <row r="168" spans="1:9" s="109" customFormat="1" ht="12.95" customHeight="1" x14ac:dyDescent="0.25">
      <c r="A168" s="109" t="str">
        <f>Famille!$A$7</f>
        <v>Galets</v>
      </c>
      <c r="B168" s="109" t="str">
        <f>Famille!$A$27</f>
        <v>ComfortDrive</v>
      </c>
      <c r="C168" s="5" t="s">
        <v>365</v>
      </c>
      <c r="D168" s="4" t="s">
        <v>814</v>
      </c>
      <c r="F168" s="7" t="s">
        <v>7</v>
      </c>
      <c r="G168" s="116">
        <v>1</v>
      </c>
      <c r="H168" s="2">
        <v>174</v>
      </c>
      <c r="I168"/>
    </row>
    <row r="169" spans="1:9" s="109" customFormat="1" ht="12.95" customHeight="1" x14ac:dyDescent="0.25">
      <c r="A169" s="109" t="str">
        <f>Famille!$A$7</f>
        <v>Galets</v>
      </c>
      <c r="B169" s="109" t="str">
        <f>Famille!$A$27</f>
        <v>ComfortDrive</v>
      </c>
      <c r="C169" s="5" t="s">
        <v>366</v>
      </c>
      <c r="D169" s="4" t="s">
        <v>815</v>
      </c>
      <c r="F169" s="7" t="s">
        <v>7</v>
      </c>
      <c r="G169" s="116">
        <v>1</v>
      </c>
      <c r="H169" s="2">
        <v>175</v>
      </c>
      <c r="I169"/>
    </row>
    <row r="170" spans="1:9" s="109" customFormat="1" ht="12.95" customHeight="1" x14ac:dyDescent="0.25">
      <c r="A170" s="109" t="str">
        <f>Famille!$A$7</f>
        <v>Galets</v>
      </c>
      <c r="B170" s="109" t="str">
        <f>Famille!$A$27</f>
        <v>ComfortDrive</v>
      </c>
      <c r="C170" s="5" t="s">
        <v>367</v>
      </c>
      <c r="D170" s="4" t="s">
        <v>816</v>
      </c>
      <c r="F170" s="7" t="s">
        <v>7</v>
      </c>
      <c r="G170" s="116">
        <v>1</v>
      </c>
      <c r="H170" s="2">
        <v>176</v>
      </c>
      <c r="I170"/>
    </row>
    <row r="171" spans="1:9" s="109" customFormat="1" ht="12.95" customHeight="1" x14ac:dyDescent="0.25">
      <c r="A171" s="109" t="str">
        <f>Famille!$A$7</f>
        <v>Galets</v>
      </c>
      <c r="B171" s="109" t="str">
        <f>Famille!$A$27</f>
        <v>ComfortDrive</v>
      </c>
      <c r="C171" s="5" t="s">
        <v>368</v>
      </c>
      <c r="D171" s="4" t="s">
        <v>817</v>
      </c>
      <c r="F171" s="7" t="s">
        <v>7</v>
      </c>
      <c r="G171" s="116">
        <v>1</v>
      </c>
      <c r="H171" s="2">
        <v>177</v>
      </c>
      <c r="I171"/>
    </row>
    <row r="172" spans="1:9" s="109" customFormat="1" ht="12.95" customHeight="1" x14ac:dyDescent="0.25">
      <c r="A172" s="109" t="str">
        <f>Famille!$A$7</f>
        <v>Galets</v>
      </c>
      <c r="B172" s="109" t="str">
        <f>Famille!$A$27</f>
        <v>ComfortDrive</v>
      </c>
      <c r="C172" s="5" t="s">
        <v>369</v>
      </c>
      <c r="D172" s="4" t="s">
        <v>818</v>
      </c>
      <c r="F172" s="7" t="s">
        <v>7</v>
      </c>
      <c r="G172" s="116">
        <v>1</v>
      </c>
      <c r="H172" s="2">
        <v>178</v>
      </c>
      <c r="I172"/>
    </row>
    <row r="173" spans="1:9" s="109" customFormat="1" ht="12.95" customHeight="1" x14ac:dyDescent="0.25">
      <c r="A173" s="109" t="str">
        <f>Famille!$A$7</f>
        <v>Galets</v>
      </c>
      <c r="B173" s="109" t="str">
        <f>Famille!$A$27</f>
        <v>ComfortDrive</v>
      </c>
      <c r="C173" s="5" t="s">
        <v>370</v>
      </c>
      <c r="D173" s="4" t="s">
        <v>819</v>
      </c>
      <c r="F173" s="7" t="s">
        <v>7</v>
      </c>
      <c r="G173" s="116">
        <v>1</v>
      </c>
      <c r="H173" s="2">
        <v>179</v>
      </c>
      <c r="I173"/>
    </row>
    <row r="174" spans="1:9" s="109" customFormat="1" ht="12.95" customHeight="1" x14ac:dyDescent="0.25">
      <c r="A174" s="109" t="str">
        <f>Famille!$A$7</f>
        <v>Galets</v>
      </c>
      <c r="B174" s="109" t="str">
        <f>Famille!$A$27</f>
        <v>ComfortDrive</v>
      </c>
      <c r="C174" s="5" t="s">
        <v>371</v>
      </c>
      <c r="D174" s="4" t="s">
        <v>820</v>
      </c>
      <c r="F174" s="7" t="s">
        <v>7</v>
      </c>
      <c r="G174" s="116">
        <v>1</v>
      </c>
      <c r="H174" s="2">
        <v>180</v>
      </c>
      <c r="I174"/>
    </row>
    <row r="175" spans="1:9" s="109" customFormat="1" ht="12.95" customHeight="1" x14ac:dyDescent="0.25">
      <c r="A175" s="109" t="str">
        <f>Famille!$A$7</f>
        <v>Galets</v>
      </c>
      <c r="B175" s="109" t="str">
        <f>Famille!$A$27</f>
        <v>ComfortDrive</v>
      </c>
      <c r="C175" s="5" t="s">
        <v>372</v>
      </c>
      <c r="D175" s="4" t="s">
        <v>821</v>
      </c>
      <c r="F175" s="7" t="s">
        <v>7</v>
      </c>
      <c r="G175" s="116">
        <v>1</v>
      </c>
      <c r="H175" s="2">
        <v>181</v>
      </c>
      <c r="I175"/>
    </row>
    <row r="176" spans="1:9" s="109" customFormat="1" ht="12.95" customHeight="1" x14ac:dyDescent="0.25">
      <c r="A176" s="109" t="str">
        <f>Famille!$A$7</f>
        <v>Galets</v>
      </c>
      <c r="B176" s="109" t="str">
        <f>Famille!$A$27</f>
        <v>ComfortDrive</v>
      </c>
      <c r="C176" s="5" t="s">
        <v>373</v>
      </c>
      <c r="D176" s="4" t="s">
        <v>822</v>
      </c>
      <c r="F176" s="7" t="s">
        <v>7</v>
      </c>
      <c r="G176" s="116">
        <v>1</v>
      </c>
      <c r="H176" s="2">
        <v>182</v>
      </c>
      <c r="I176"/>
    </row>
    <row r="177" spans="1:8" s="109" customFormat="1" ht="12.95" customHeight="1" x14ac:dyDescent="0.2">
      <c r="A177" s="109" t="str">
        <f>Famille!$A$7</f>
        <v>Galets</v>
      </c>
      <c r="B177" s="109" t="str">
        <f>Famille!$A$28</f>
        <v>Varitrans</v>
      </c>
      <c r="C177" s="5" t="s">
        <v>374</v>
      </c>
      <c r="D177" s="4" t="s">
        <v>823</v>
      </c>
      <c r="F177" s="7" t="s">
        <v>7</v>
      </c>
      <c r="G177" s="116">
        <v>1</v>
      </c>
      <c r="H177" s="2">
        <v>183</v>
      </c>
    </row>
    <row r="178" spans="1:8" s="109" customFormat="1" ht="12.95" customHeight="1" x14ac:dyDescent="0.2">
      <c r="A178" s="109" t="str">
        <f>Famille!$A$7</f>
        <v>Galets</v>
      </c>
      <c r="B178" s="109" t="str">
        <f>Famille!$A$28</f>
        <v>Varitrans</v>
      </c>
      <c r="C178" s="5" t="s">
        <v>375</v>
      </c>
      <c r="D178" s="4" t="s">
        <v>824</v>
      </c>
      <c r="F178" s="7" t="s">
        <v>7</v>
      </c>
      <c r="G178" s="116">
        <v>1</v>
      </c>
      <c r="H178" s="2">
        <v>184</v>
      </c>
    </row>
    <row r="179" spans="1:8" s="109" customFormat="1" ht="12.95" customHeight="1" x14ac:dyDescent="0.2">
      <c r="A179" s="109" t="str">
        <f>Famille!$A$7</f>
        <v>Galets</v>
      </c>
      <c r="B179" s="109" t="str">
        <f>Famille!$A$28</f>
        <v>Varitrans</v>
      </c>
      <c r="C179" s="5" t="s">
        <v>376</v>
      </c>
      <c r="D179" s="4" t="s">
        <v>825</v>
      </c>
      <c r="F179" s="7" t="s">
        <v>7</v>
      </c>
      <c r="G179" s="116">
        <v>1</v>
      </c>
      <c r="H179" s="2">
        <v>185</v>
      </c>
    </row>
    <row r="180" spans="1:8" s="109" customFormat="1" ht="12.95" customHeight="1" x14ac:dyDescent="0.2">
      <c r="A180" s="109" t="str">
        <f>Famille!$A$7</f>
        <v>Galets</v>
      </c>
      <c r="B180" s="109" t="str">
        <f>Famille!$A$28</f>
        <v>Varitrans</v>
      </c>
      <c r="C180" s="5" t="s">
        <v>377</v>
      </c>
      <c r="D180" s="4" t="s">
        <v>826</v>
      </c>
      <c r="F180" s="7" t="s">
        <v>7</v>
      </c>
      <c r="G180" s="116">
        <v>1</v>
      </c>
      <c r="H180" s="2">
        <v>186</v>
      </c>
    </row>
    <row r="181" spans="1:8" s="109" customFormat="1" ht="12.95" customHeight="1" x14ac:dyDescent="0.2">
      <c r="A181" s="109" t="str">
        <f>Famille!$A$7</f>
        <v>Galets</v>
      </c>
      <c r="B181" s="109" t="str">
        <f>Famille!$A$28</f>
        <v>Varitrans</v>
      </c>
      <c r="C181" s="5" t="s">
        <v>378</v>
      </c>
      <c r="D181" s="4" t="s">
        <v>827</v>
      </c>
      <c r="F181" s="7" t="s">
        <v>7</v>
      </c>
      <c r="G181" s="116">
        <v>1</v>
      </c>
      <c r="H181" s="2">
        <v>187</v>
      </c>
    </row>
    <row r="182" spans="1:8" s="109" customFormat="1" ht="12.95" customHeight="1" x14ac:dyDescent="0.2">
      <c r="A182" s="109" t="str">
        <f>Famille!$A$7</f>
        <v>Galets</v>
      </c>
      <c r="B182" s="109" t="str">
        <f>Famille!$A$28</f>
        <v>Varitrans</v>
      </c>
      <c r="C182" s="5" t="s">
        <v>379</v>
      </c>
      <c r="D182" s="4" t="s">
        <v>828</v>
      </c>
      <c r="F182" s="7" t="s">
        <v>7</v>
      </c>
      <c r="G182" s="116">
        <v>1</v>
      </c>
      <c r="H182" s="2">
        <v>188</v>
      </c>
    </row>
    <row r="183" spans="1:8" s="109" customFormat="1" ht="12.95" customHeight="1" x14ac:dyDescent="0.2">
      <c r="A183" s="109" t="str">
        <f>Famille!$A$7</f>
        <v>Galets</v>
      </c>
      <c r="B183" s="109" t="str">
        <f>Famille!$A$28</f>
        <v>Varitrans</v>
      </c>
      <c r="C183" s="5" t="s">
        <v>380</v>
      </c>
      <c r="D183" s="4" t="s">
        <v>829</v>
      </c>
      <c r="F183" s="7" t="s">
        <v>7</v>
      </c>
      <c r="G183" s="116">
        <v>1</v>
      </c>
      <c r="H183" s="2">
        <v>189</v>
      </c>
    </row>
    <row r="184" spans="1:8" s="109" customFormat="1" ht="12.95" customHeight="1" x14ac:dyDescent="0.2">
      <c r="A184" s="109" t="str">
        <f>Famille!$A$7</f>
        <v>Galets</v>
      </c>
      <c r="B184" s="109" t="str">
        <f>Famille!$A$28</f>
        <v>Varitrans</v>
      </c>
      <c r="C184" s="5" t="s">
        <v>381</v>
      </c>
      <c r="D184" s="4" t="s">
        <v>830</v>
      </c>
      <c r="F184" s="7" t="s">
        <v>7</v>
      </c>
      <c r="G184" s="116">
        <v>1</v>
      </c>
      <c r="H184" s="2">
        <v>190</v>
      </c>
    </row>
    <row r="185" spans="1:8" s="109" customFormat="1" ht="12.95" customHeight="1" x14ac:dyDescent="0.2">
      <c r="A185" s="109" t="str">
        <f>Famille!$A$7</f>
        <v>Galets</v>
      </c>
      <c r="B185" s="109" t="str">
        <f>Famille!$A$28</f>
        <v>Varitrans</v>
      </c>
      <c r="C185" s="5" t="s">
        <v>382</v>
      </c>
      <c r="D185" s="4" t="s">
        <v>831</v>
      </c>
      <c r="F185" s="7" t="s">
        <v>7</v>
      </c>
      <c r="G185" s="116">
        <v>1</v>
      </c>
      <c r="H185" s="2">
        <v>191</v>
      </c>
    </row>
    <row r="186" spans="1:8" s="109" customFormat="1" ht="12.95" customHeight="1" x14ac:dyDescent="0.2">
      <c r="A186" s="109" t="str">
        <f>Famille!$A$8</f>
        <v>Moveo</v>
      </c>
      <c r="B186" s="109" t="str">
        <f>Famille!$A$29</f>
        <v>Contacts / Circuits</v>
      </c>
      <c r="C186" s="5" t="s">
        <v>383</v>
      </c>
      <c r="D186" s="4" t="s">
        <v>832</v>
      </c>
      <c r="F186" s="7" t="s">
        <v>7</v>
      </c>
      <c r="G186" s="116">
        <v>1</v>
      </c>
      <c r="H186" s="2">
        <v>192</v>
      </c>
    </row>
    <row r="187" spans="1:8" s="109" customFormat="1" ht="12.95" customHeight="1" x14ac:dyDescent="0.2">
      <c r="A187" s="109" t="str">
        <f>Famille!$A$8</f>
        <v>Moveo</v>
      </c>
      <c r="B187" s="109" t="str">
        <f>Famille!$A$29</f>
        <v>Contacts / Circuits</v>
      </c>
      <c r="C187" s="5" t="s">
        <v>384</v>
      </c>
      <c r="D187" s="4" t="s">
        <v>833</v>
      </c>
      <c r="F187" s="7" t="s">
        <v>7</v>
      </c>
      <c r="G187" s="116">
        <v>1</v>
      </c>
      <c r="H187" s="2">
        <v>193</v>
      </c>
    </row>
    <row r="188" spans="1:8" s="109" customFormat="1" ht="12.95" customHeight="1" x14ac:dyDescent="0.2">
      <c r="A188" s="109" t="str">
        <f>Famille!$A$8</f>
        <v>Moveo</v>
      </c>
      <c r="B188" s="109" t="str">
        <f>Famille!$A$29</f>
        <v>Contacts / Circuits</v>
      </c>
      <c r="C188" s="5" t="s">
        <v>385</v>
      </c>
      <c r="D188" s="4" t="s">
        <v>834</v>
      </c>
      <c r="F188" s="7" t="s">
        <v>7</v>
      </c>
      <c r="G188" s="116">
        <v>1</v>
      </c>
      <c r="H188" s="2">
        <v>194</v>
      </c>
    </row>
    <row r="189" spans="1:8" s="109" customFormat="1" ht="12.95" customHeight="1" x14ac:dyDescent="0.2">
      <c r="A189" s="109" t="str">
        <f>Famille!$A$8</f>
        <v>Moveo</v>
      </c>
      <c r="B189" s="109" t="str">
        <f>Famille!$A$29</f>
        <v>Contacts / Circuits</v>
      </c>
      <c r="C189" s="5" t="s">
        <v>386</v>
      </c>
      <c r="D189" s="4" t="s">
        <v>835</v>
      </c>
      <c r="F189" s="7" t="s">
        <v>7</v>
      </c>
      <c r="G189" s="116">
        <v>1</v>
      </c>
      <c r="H189" s="2">
        <v>195</v>
      </c>
    </row>
    <row r="190" spans="1:8" s="109" customFormat="1" ht="12.95" customHeight="1" x14ac:dyDescent="0.2">
      <c r="A190" s="109" t="str">
        <f>Famille!$A$8</f>
        <v>Moveo</v>
      </c>
      <c r="B190" s="109" t="str">
        <f>Famille!$A$29</f>
        <v>Contacts / Circuits</v>
      </c>
      <c r="C190" s="5" t="s">
        <v>387</v>
      </c>
      <c r="D190" s="4" t="s">
        <v>836</v>
      </c>
      <c r="F190" s="7" t="s">
        <v>7</v>
      </c>
      <c r="G190" s="116">
        <v>1</v>
      </c>
      <c r="H190" s="2">
        <v>196</v>
      </c>
    </row>
    <row r="191" spans="1:8" s="109" customFormat="1" ht="12.95" customHeight="1" x14ac:dyDescent="0.2">
      <c r="A191" s="109" t="str">
        <f>Famille!$A$8</f>
        <v>Moveo</v>
      </c>
      <c r="B191" s="109" t="str">
        <f>Famille!$A$29</f>
        <v>Contacts / Circuits</v>
      </c>
      <c r="C191" s="5" t="s">
        <v>388</v>
      </c>
      <c r="D191" s="4" t="s">
        <v>837</v>
      </c>
      <c r="F191" s="7" t="s">
        <v>7</v>
      </c>
      <c r="G191" s="116">
        <v>1</v>
      </c>
      <c r="H191" s="2">
        <v>197</v>
      </c>
    </row>
    <row r="192" spans="1:8" s="109" customFormat="1" ht="12.95" customHeight="1" x14ac:dyDescent="0.2">
      <c r="A192" s="109" t="str">
        <f>Famille!$A$8</f>
        <v>Moveo</v>
      </c>
      <c r="B192" s="109" t="str">
        <f>Famille!$A$29</f>
        <v>Contacts / Circuits</v>
      </c>
      <c r="C192" s="5" t="s">
        <v>389</v>
      </c>
      <c r="D192" s="4" t="s">
        <v>838</v>
      </c>
      <c r="F192" s="7" t="s">
        <v>7</v>
      </c>
      <c r="G192" s="116">
        <v>1</v>
      </c>
      <c r="H192" s="2">
        <v>198</v>
      </c>
    </row>
    <row r="193" spans="1:8" s="109" customFormat="1" ht="12.95" customHeight="1" x14ac:dyDescent="0.2">
      <c r="A193" s="109" t="str">
        <f>Famille!$A$8</f>
        <v>Moveo</v>
      </c>
      <c r="B193" s="109" t="str">
        <f>Famille!$A$29</f>
        <v>Contacts / Circuits</v>
      </c>
      <c r="C193" s="5" t="s">
        <v>390</v>
      </c>
      <c r="D193" s="4" t="s">
        <v>839</v>
      </c>
      <c r="F193" s="7" t="s">
        <v>7</v>
      </c>
      <c r="G193" s="116">
        <v>1</v>
      </c>
      <c r="H193" s="2">
        <v>199</v>
      </c>
    </row>
    <row r="194" spans="1:8" s="109" customFormat="1" ht="12.95" customHeight="1" x14ac:dyDescent="0.2">
      <c r="A194" s="109" t="str">
        <f>Famille!$A$8</f>
        <v>Moveo</v>
      </c>
      <c r="B194" s="109" t="str">
        <f>Famille!$A$29</f>
        <v>Contacts / Circuits</v>
      </c>
      <c r="C194" s="5" t="s">
        <v>391</v>
      </c>
      <c r="D194" s="4" t="s">
        <v>840</v>
      </c>
      <c r="F194" s="7" t="s">
        <v>7</v>
      </c>
      <c r="G194" s="116">
        <v>1</v>
      </c>
      <c r="H194" s="2">
        <v>200</v>
      </c>
    </row>
    <row r="195" spans="1:8" s="109" customFormat="1" ht="12.95" customHeight="1" x14ac:dyDescent="0.2">
      <c r="A195" s="109" t="str">
        <f>Famille!$A$8</f>
        <v>Moveo</v>
      </c>
      <c r="B195" s="109" t="str">
        <f>Famille!$A$29</f>
        <v>Contacts / Circuits</v>
      </c>
      <c r="C195" s="5" t="s">
        <v>392</v>
      </c>
      <c r="D195" s="4" t="s">
        <v>841</v>
      </c>
      <c r="F195" s="7" t="s">
        <v>7</v>
      </c>
      <c r="G195" s="116">
        <v>1</v>
      </c>
      <c r="H195" s="2">
        <v>201</v>
      </c>
    </row>
    <row r="196" spans="1:8" s="109" customFormat="1" ht="12.95" customHeight="1" x14ac:dyDescent="0.2">
      <c r="A196" s="109" t="str">
        <f>Famille!$A$8</f>
        <v>Moveo</v>
      </c>
      <c r="B196" s="109" t="str">
        <f>Famille!$A$29</f>
        <v>Contacts / Circuits</v>
      </c>
      <c r="C196" s="5" t="s">
        <v>393</v>
      </c>
      <c r="D196" s="4" t="s">
        <v>842</v>
      </c>
      <c r="F196" s="7" t="s">
        <v>7</v>
      </c>
      <c r="G196" s="116">
        <v>1</v>
      </c>
      <c r="H196" s="2">
        <v>202</v>
      </c>
    </row>
    <row r="197" spans="1:8" s="109" customFormat="1" ht="12.95" customHeight="1" x14ac:dyDescent="0.2">
      <c r="A197" s="109" t="str">
        <f>Famille!$A$8</f>
        <v>Moveo</v>
      </c>
      <c r="B197" s="109" t="str">
        <f>Famille!$A$29</f>
        <v>Contacts / Circuits</v>
      </c>
      <c r="C197" s="5" t="s">
        <v>394</v>
      </c>
      <c r="D197" s="4" t="s">
        <v>843</v>
      </c>
      <c r="F197" s="7" t="s">
        <v>7</v>
      </c>
      <c r="G197" s="116">
        <v>1</v>
      </c>
      <c r="H197" s="2">
        <v>203</v>
      </c>
    </row>
    <row r="198" spans="1:8" s="109" customFormat="1" ht="12.95" customHeight="1" x14ac:dyDescent="0.2">
      <c r="A198" s="109" t="str">
        <f>Famille!$A$8</f>
        <v>Moveo</v>
      </c>
      <c r="B198" s="109" t="str">
        <f>Famille!$A$29</f>
        <v>Contacts / Circuits</v>
      </c>
      <c r="C198" s="5" t="s">
        <v>395</v>
      </c>
      <c r="D198" s="4" t="s">
        <v>844</v>
      </c>
      <c r="F198" s="7" t="s">
        <v>7</v>
      </c>
      <c r="G198" s="116">
        <v>1</v>
      </c>
      <c r="H198" s="2">
        <v>204</v>
      </c>
    </row>
    <row r="199" spans="1:8" s="109" customFormat="1" ht="12.95" customHeight="1" x14ac:dyDescent="0.2">
      <c r="A199" s="109" t="str">
        <f>Famille!$A$8</f>
        <v>Moveo</v>
      </c>
      <c r="B199" s="109" t="str">
        <f>Famille!$A$30</f>
        <v>ComforTronic</v>
      </c>
      <c r="C199" s="5" t="s">
        <v>396</v>
      </c>
      <c r="D199" s="4" t="s">
        <v>845</v>
      </c>
      <c r="F199" s="7" t="s">
        <v>7</v>
      </c>
      <c r="G199" s="116">
        <v>1</v>
      </c>
      <c r="H199" s="2">
        <v>205</v>
      </c>
    </row>
    <row r="200" spans="1:8" s="109" customFormat="1" ht="12.95" customHeight="1" x14ac:dyDescent="0.2">
      <c r="A200" s="109" t="str">
        <f>Famille!$A$8</f>
        <v>Moveo</v>
      </c>
      <c r="B200" s="109" t="str">
        <f>Famille!$A$30</f>
        <v>ComforTronic</v>
      </c>
      <c r="C200" s="5" t="s">
        <v>397</v>
      </c>
      <c r="D200" s="4" t="s">
        <v>846</v>
      </c>
      <c r="F200" s="7" t="s">
        <v>7</v>
      </c>
      <c r="G200" s="116">
        <v>1</v>
      </c>
      <c r="H200" s="2">
        <v>206</v>
      </c>
    </row>
    <row r="201" spans="1:8" s="109" customFormat="1" ht="12.95" customHeight="1" x14ac:dyDescent="0.2">
      <c r="A201" s="109" t="str">
        <f>Famille!$A$8</f>
        <v>Moveo</v>
      </c>
      <c r="B201" s="109" t="str">
        <f>Famille!$A$30</f>
        <v>ComforTronic</v>
      </c>
      <c r="C201" s="5" t="s">
        <v>398</v>
      </c>
      <c r="D201" s="4" t="s">
        <v>847</v>
      </c>
      <c r="F201" s="7" t="s">
        <v>7</v>
      </c>
      <c r="G201" s="116">
        <v>1</v>
      </c>
      <c r="H201" s="2">
        <v>207</v>
      </c>
    </row>
    <row r="202" spans="1:8" s="109" customFormat="1" ht="12.95" customHeight="1" x14ac:dyDescent="0.2">
      <c r="A202" s="109" t="str">
        <f>Famille!$A$8</f>
        <v>Moveo</v>
      </c>
      <c r="B202" s="109" t="str">
        <f>Famille!$A$30</f>
        <v>ComforTronic</v>
      </c>
      <c r="C202" s="5" t="s">
        <v>399</v>
      </c>
      <c r="D202" s="4" t="s">
        <v>848</v>
      </c>
      <c r="F202" s="7" t="s">
        <v>7</v>
      </c>
      <c r="G202" s="116">
        <v>1</v>
      </c>
      <c r="H202" s="2">
        <v>208</v>
      </c>
    </row>
    <row r="203" spans="1:8" s="109" customFormat="1" ht="12.95" customHeight="1" x14ac:dyDescent="0.2">
      <c r="A203" s="109" t="str">
        <f>Famille!$A$8</f>
        <v>Moveo</v>
      </c>
      <c r="B203" s="109" t="str">
        <f>Famille!$A$30</f>
        <v>ComforTronic</v>
      </c>
      <c r="C203" s="5" t="s">
        <v>400</v>
      </c>
      <c r="D203" s="4" t="s">
        <v>849</v>
      </c>
      <c r="F203" s="7" t="s">
        <v>7</v>
      </c>
      <c r="G203" s="116">
        <v>1</v>
      </c>
      <c r="H203" s="2">
        <v>209</v>
      </c>
    </row>
    <row r="204" spans="1:8" s="109" customFormat="1" ht="12.95" customHeight="1" x14ac:dyDescent="0.2">
      <c r="A204" s="109" t="str">
        <f>Famille!$A$8</f>
        <v>Moveo</v>
      </c>
      <c r="B204" s="109" t="str">
        <f>Famille!$A$30</f>
        <v>ComforTronic</v>
      </c>
      <c r="C204" s="5" t="s">
        <v>401</v>
      </c>
      <c r="D204" s="4" t="s">
        <v>850</v>
      </c>
      <c r="F204" s="7" t="s">
        <v>7</v>
      </c>
      <c r="G204" s="116">
        <v>1</v>
      </c>
      <c r="H204" s="2">
        <v>210</v>
      </c>
    </row>
    <row r="205" spans="1:8" s="109" customFormat="1" ht="12.95" customHeight="1" x14ac:dyDescent="0.2">
      <c r="A205" s="109" t="str">
        <f>Famille!$A$8</f>
        <v>Moveo</v>
      </c>
      <c r="B205" s="109" t="str">
        <f>Famille!$A$30</f>
        <v>ComforTronic</v>
      </c>
      <c r="C205" s="5" t="s">
        <v>402</v>
      </c>
      <c r="D205" s="4" t="s">
        <v>851</v>
      </c>
      <c r="F205" s="7" t="s">
        <v>7</v>
      </c>
      <c r="G205" s="116">
        <v>1</v>
      </c>
      <c r="H205" s="2">
        <v>211</v>
      </c>
    </row>
    <row r="206" spans="1:8" s="109" customFormat="1" ht="12.95" customHeight="1" x14ac:dyDescent="0.2">
      <c r="A206" s="109" t="str">
        <f>Famille!$A$8</f>
        <v>Moveo</v>
      </c>
      <c r="B206" s="109" t="str">
        <f>Famille!$A$30</f>
        <v>ComforTronic</v>
      </c>
      <c r="C206" s="5" t="s">
        <v>403</v>
      </c>
      <c r="D206" s="4" t="s">
        <v>852</v>
      </c>
      <c r="F206" s="7" t="s">
        <v>7</v>
      </c>
      <c r="G206" s="116">
        <v>1</v>
      </c>
      <c r="H206" s="2">
        <v>212</v>
      </c>
    </row>
    <row r="207" spans="1:8" s="109" customFormat="1" ht="12.95" customHeight="1" x14ac:dyDescent="0.2">
      <c r="A207" s="109" t="str">
        <f>Famille!$A$8</f>
        <v>Moveo</v>
      </c>
      <c r="B207" s="109" t="str">
        <f>Famille!$A$30</f>
        <v>ComforTronic</v>
      </c>
      <c r="C207" s="5" t="s">
        <v>404</v>
      </c>
      <c r="D207" s="4" t="s">
        <v>853</v>
      </c>
      <c r="F207" s="7" t="s">
        <v>7</v>
      </c>
      <c r="G207" s="116">
        <v>1</v>
      </c>
      <c r="H207" s="2">
        <v>213</v>
      </c>
    </row>
    <row r="208" spans="1:8" s="109" customFormat="1" ht="12.95" customHeight="1" x14ac:dyDescent="0.2">
      <c r="A208" s="109" t="str">
        <f>Famille!$A$8</f>
        <v>Moveo</v>
      </c>
      <c r="B208" s="109" t="str">
        <f>Famille!$A$30</f>
        <v>ComforTronic</v>
      </c>
      <c r="C208" s="5" t="s">
        <v>405</v>
      </c>
      <c r="D208" s="4" t="s">
        <v>854</v>
      </c>
      <c r="F208" s="7" t="s">
        <v>7</v>
      </c>
      <c r="G208" s="116">
        <v>1</v>
      </c>
      <c r="H208" s="2">
        <v>214</v>
      </c>
    </row>
    <row r="209" spans="1:8" s="109" customFormat="1" ht="12.95" customHeight="1" x14ac:dyDescent="0.2">
      <c r="A209" s="109" t="str">
        <f>Famille!$A$8</f>
        <v>Moveo</v>
      </c>
      <c r="B209" s="109" t="str">
        <f>Famille!$A$31</f>
        <v>Contrôle</v>
      </c>
      <c r="C209" s="5" t="s">
        <v>406</v>
      </c>
      <c r="D209" s="4" t="s">
        <v>855</v>
      </c>
      <c r="F209" s="7" t="s">
        <v>7</v>
      </c>
      <c r="G209" s="116">
        <v>1</v>
      </c>
      <c r="H209" s="2">
        <v>215</v>
      </c>
    </row>
    <row r="210" spans="1:8" s="109" customFormat="1" ht="12.95" customHeight="1" x14ac:dyDescent="0.2">
      <c r="A210" s="109" t="str">
        <f>Famille!$A$8</f>
        <v>Moveo</v>
      </c>
      <c r="B210" s="109" t="str">
        <f>Famille!$A$31</f>
        <v>Contrôle</v>
      </c>
      <c r="C210" s="5" t="s">
        <v>407</v>
      </c>
      <c r="D210" s="4" t="s">
        <v>856</v>
      </c>
      <c r="F210" s="7" t="s">
        <v>7</v>
      </c>
      <c r="G210" s="116">
        <v>1</v>
      </c>
      <c r="H210" s="2">
        <v>216</v>
      </c>
    </row>
    <row r="211" spans="1:8" s="109" customFormat="1" ht="12.95" customHeight="1" x14ac:dyDescent="0.2">
      <c r="A211" s="109" t="str">
        <f>Famille!$A$8</f>
        <v>Moveo</v>
      </c>
      <c r="B211" s="109" t="str">
        <f>Famille!$A$31</f>
        <v>Contrôle</v>
      </c>
      <c r="C211" s="5" t="s">
        <v>408</v>
      </c>
      <c r="D211" s="4" t="s">
        <v>857</v>
      </c>
      <c r="F211" s="7" t="s">
        <v>7</v>
      </c>
      <c r="G211" s="116">
        <v>1</v>
      </c>
      <c r="H211" s="2">
        <v>217</v>
      </c>
    </row>
    <row r="212" spans="1:8" s="109" customFormat="1" ht="12.95" customHeight="1" x14ac:dyDescent="0.2">
      <c r="A212" s="109" t="str">
        <f>Famille!$A$8</f>
        <v>Moveo</v>
      </c>
      <c r="B212" s="109" t="str">
        <f>Famille!$A$31</f>
        <v>Contrôle</v>
      </c>
      <c r="C212" s="5" t="s">
        <v>409</v>
      </c>
      <c r="D212" s="4" t="s">
        <v>858</v>
      </c>
      <c r="F212" s="7" t="s">
        <v>7</v>
      </c>
      <c r="G212" s="116">
        <v>1</v>
      </c>
      <c r="H212" s="2">
        <v>218</v>
      </c>
    </row>
    <row r="213" spans="1:8" s="109" customFormat="1" ht="12.95" customHeight="1" x14ac:dyDescent="0.2">
      <c r="A213" s="109" t="str">
        <f>Famille!$A$8</f>
        <v>Moveo</v>
      </c>
      <c r="B213" s="109" t="str">
        <f>Famille!$A$31</f>
        <v>Contrôle</v>
      </c>
      <c r="C213" s="5" t="s">
        <v>410</v>
      </c>
      <c r="D213" s="4" t="s">
        <v>859</v>
      </c>
      <c r="F213" s="7" t="s">
        <v>7</v>
      </c>
      <c r="G213" s="116">
        <v>1</v>
      </c>
      <c r="H213" s="2">
        <v>219</v>
      </c>
    </row>
    <row r="214" spans="1:8" s="109" customFormat="1" ht="12.95" customHeight="1" x14ac:dyDescent="0.2">
      <c r="A214" s="109" t="str">
        <f>Famille!$A$8</f>
        <v>Moveo</v>
      </c>
      <c r="B214" s="109" t="str">
        <f>Famille!$A$31</f>
        <v>Contrôle</v>
      </c>
      <c r="C214" s="5" t="s">
        <v>411</v>
      </c>
      <c r="D214" s="4" t="s">
        <v>860</v>
      </c>
      <c r="F214" s="7" t="s">
        <v>7</v>
      </c>
      <c r="G214" s="116">
        <v>1</v>
      </c>
      <c r="H214" s="2">
        <v>220</v>
      </c>
    </row>
    <row r="215" spans="1:8" s="109" customFormat="1" ht="12.95" customHeight="1" x14ac:dyDescent="0.2">
      <c r="A215" s="109" t="str">
        <f>Famille!$A$8</f>
        <v>Moveo</v>
      </c>
      <c r="B215" s="109" t="str">
        <f>Famille!$A$31</f>
        <v>Contrôle</v>
      </c>
      <c r="C215" s="5" t="s">
        <v>412</v>
      </c>
      <c r="D215" s="4" t="s">
        <v>861</v>
      </c>
      <c r="F215" s="7" t="s">
        <v>7</v>
      </c>
      <c r="G215" s="116">
        <v>1</v>
      </c>
      <c r="H215" s="2">
        <v>221</v>
      </c>
    </row>
    <row r="216" spans="1:8" s="109" customFormat="1" ht="12.95" customHeight="1" x14ac:dyDescent="0.2">
      <c r="A216" s="109" t="str">
        <f>Famille!$A$8</f>
        <v>Moveo</v>
      </c>
      <c r="B216" s="109" t="str">
        <f>Famille!$A$31</f>
        <v>Contrôle</v>
      </c>
      <c r="C216" s="5" t="s">
        <v>413</v>
      </c>
      <c r="D216" s="4" t="s">
        <v>862</v>
      </c>
      <c r="F216" s="7" t="s">
        <v>7</v>
      </c>
      <c r="G216" s="116">
        <v>1</v>
      </c>
      <c r="H216" s="2">
        <v>222</v>
      </c>
    </row>
    <row r="217" spans="1:8" s="109" customFormat="1" ht="12.95" customHeight="1" x14ac:dyDescent="0.2">
      <c r="A217" s="109" t="str">
        <f>Famille!$A$8</f>
        <v>Moveo</v>
      </c>
      <c r="B217" s="109" t="str">
        <f>Famille!$A$31</f>
        <v>Contrôle</v>
      </c>
      <c r="C217" s="5" t="s">
        <v>414</v>
      </c>
      <c r="D217" s="4" t="s">
        <v>863</v>
      </c>
      <c r="F217" s="7" t="s">
        <v>7</v>
      </c>
      <c r="G217" s="116">
        <v>1</v>
      </c>
      <c r="H217" s="2">
        <v>223</v>
      </c>
    </row>
    <row r="218" spans="1:8" s="109" customFormat="1" ht="12.95" customHeight="1" x14ac:dyDescent="0.2">
      <c r="A218" s="109" t="str">
        <f>Famille!$A$8</f>
        <v>Moveo</v>
      </c>
      <c r="B218" s="109" t="str">
        <f>Famille!$A$31</f>
        <v>Contrôle</v>
      </c>
      <c r="C218" s="5" t="s">
        <v>415</v>
      </c>
      <c r="D218" s="4" t="s">
        <v>864</v>
      </c>
      <c r="F218" s="7" t="s">
        <v>7</v>
      </c>
      <c r="G218" s="116">
        <v>1</v>
      </c>
      <c r="H218" s="2">
        <v>224</v>
      </c>
    </row>
    <row r="219" spans="1:8" s="109" customFormat="1" ht="12.95" customHeight="1" x14ac:dyDescent="0.2">
      <c r="A219" s="109" t="str">
        <f>Famille!$A$8</f>
        <v>Moveo</v>
      </c>
      <c r="B219" s="109" t="str">
        <f>Famille!$A$31</f>
        <v>Contrôle</v>
      </c>
      <c r="C219" s="5" t="s">
        <v>416</v>
      </c>
      <c r="D219" s="4" t="s">
        <v>865</v>
      </c>
      <c r="F219" s="7" t="s">
        <v>7</v>
      </c>
      <c r="G219" s="116">
        <v>1</v>
      </c>
      <c r="H219" s="2">
        <v>225</v>
      </c>
    </row>
    <row r="220" spans="1:8" s="109" customFormat="1" ht="12.95" customHeight="1" x14ac:dyDescent="0.2">
      <c r="A220" s="109" t="str">
        <f>Famille!$A$8</f>
        <v>Moveo</v>
      </c>
      <c r="B220" s="109" t="str">
        <f>Famille!$A$31</f>
        <v>Contrôle</v>
      </c>
      <c r="C220" s="5" t="s">
        <v>417</v>
      </c>
      <c r="D220" s="4" t="s">
        <v>866</v>
      </c>
      <c r="F220" s="7" t="s">
        <v>7</v>
      </c>
      <c r="G220" s="116">
        <v>1</v>
      </c>
      <c r="H220" s="2">
        <v>226</v>
      </c>
    </row>
    <row r="221" spans="1:8" s="109" customFormat="1" ht="12.95" customHeight="1" x14ac:dyDescent="0.2">
      <c r="A221" s="109" t="str">
        <f>Famille!$A$8</f>
        <v>Moveo</v>
      </c>
      <c r="B221" s="109" t="str">
        <f>Famille!$A$31</f>
        <v>Contrôle</v>
      </c>
      <c r="C221" s="5" t="s">
        <v>418</v>
      </c>
      <c r="D221" s="4" t="s">
        <v>867</v>
      </c>
      <c r="F221" s="7" t="s">
        <v>7</v>
      </c>
      <c r="G221" s="116">
        <v>1</v>
      </c>
      <c r="H221" s="2">
        <v>227</v>
      </c>
    </row>
    <row r="222" spans="1:8" s="109" customFormat="1" ht="12.95" customHeight="1" x14ac:dyDescent="0.2">
      <c r="A222" s="109" t="str">
        <f>Famille!$A$8</f>
        <v>Moveo</v>
      </c>
      <c r="B222" s="109" t="str">
        <f>Famille!$A$31</f>
        <v>Contrôle</v>
      </c>
      <c r="C222" s="5" t="s">
        <v>419</v>
      </c>
      <c r="D222" s="4" t="s">
        <v>868</v>
      </c>
      <c r="F222" s="7" t="s">
        <v>7</v>
      </c>
      <c r="G222" s="116">
        <v>1</v>
      </c>
      <c r="H222" s="2">
        <v>228</v>
      </c>
    </row>
    <row r="223" spans="1:8" s="109" customFormat="1" ht="12.95" customHeight="1" x14ac:dyDescent="0.2">
      <c r="A223" s="109" t="str">
        <f>Famille!$A$8</f>
        <v>Moveo</v>
      </c>
      <c r="B223" s="109" t="str">
        <f>Famille!$A$31</f>
        <v>Contrôle</v>
      </c>
      <c r="C223" s="5" t="s">
        <v>420</v>
      </c>
      <c r="D223" s="4" t="s">
        <v>869</v>
      </c>
      <c r="F223" s="7" t="s">
        <v>7</v>
      </c>
      <c r="G223" s="116">
        <v>1</v>
      </c>
      <c r="H223" s="2">
        <v>229</v>
      </c>
    </row>
    <row r="224" spans="1:8" s="109" customFormat="1" ht="12.95" customHeight="1" x14ac:dyDescent="0.2">
      <c r="A224" s="109" t="str">
        <f>Famille!$A$8</f>
        <v>Moveo</v>
      </c>
      <c r="B224" s="109" t="str">
        <f>Famille!$A$31</f>
        <v>Contrôle</v>
      </c>
      <c r="C224" s="5" t="s">
        <v>421</v>
      </c>
      <c r="D224" s="4" t="s">
        <v>870</v>
      </c>
      <c r="F224" s="7" t="s">
        <v>7</v>
      </c>
      <c r="G224" s="116">
        <v>1</v>
      </c>
      <c r="H224" s="2">
        <v>230</v>
      </c>
    </row>
    <row r="225" spans="1:8" s="109" customFormat="1" ht="12.95" customHeight="1" x14ac:dyDescent="0.2">
      <c r="A225" s="109" t="str">
        <f>Famille!$A$8</f>
        <v>Moveo</v>
      </c>
      <c r="B225" s="109" t="str">
        <f>Famille!$A$31</f>
        <v>Contrôle</v>
      </c>
      <c r="C225" s="5" t="s">
        <v>422</v>
      </c>
      <c r="D225" s="4" t="s">
        <v>871</v>
      </c>
      <c r="F225" s="7" t="s">
        <v>7</v>
      </c>
      <c r="G225" s="116">
        <v>1</v>
      </c>
      <c r="H225" s="2">
        <v>231</v>
      </c>
    </row>
    <row r="226" spans="1:8" s="109" customFormat="1" ht="12.95" customHeight="1" x14ac:dyDescent="0.2">
      <c r="A226" s="109" t="str">
        <f>Famille!$A$8</f>
        <v>Moveo</v>
      </c>
      <c r="B226" s="109" t="str">
        <f>Famille!$A$31</f>
        <v>Contrôle</v>
      </c>
      <c r="C226" s="5" t="s">
        <v>423</v>
      </c>
      <c r="D226" s="4" t="s">
        <v>872</v>
      </c>
      <c r="F226" s="7" t="s">
        <v>7</v>
      </c>
      <c r="G226" s="116">
        <v>1</v>
      </c>
      <c r="H226" s="2">
        <v>232</v>
      </c>
    </row>
    <row r="227" spans="1:8" s="109" customFormat="1" ht="12.95" customHeight="1" x14ac:dyDescent="0.2">
      <c r="A227" s="109" t="str">
        <f>Famille!$A$8</f>
        <v>Moveo</v>
      </c>
      <c r="B227" s="109" t="str">
        <f>Famille!$A$31</f>
        <v>Contrôle</v>
      </c>
      <c r="C227" s="5" t="s">
        <v>424</v>
      </c>
      <c r="D227" s="4" t="s">
        <v>873</v>
      </c>
      <c r="F227" s="7" t="s">
        <v>7</v>
      </c>
      <c r="G227" s="116">
        <v>1</v>
      </c>
      <c r="H227" s="2">
        <v>233</v>
      </c>
    </row>
    <row r="228" spans="1:8" s="109" customFormat="1" ht="12.95" customHeight="1" x14ac:dyDescent="0.2">
      <c r="A228" s="109" t="str">
        <f>Famille!$A$8</f>
        <v>Moveo</v>
      </c>
      <c r="B228" s="109" t="str">
        <f>Famille!$A$31</f>
        <v>Contrôle</v>
      </c>
      <c r="C228" s="5" t="s">
        <v>425</v>
      </c>
      <c r="D228" s="4" t="s">
        <v>874</v>
      </c>
      <c r="F228" s="7" t="s">
        <v>7</v>
      </c>
      <c r="G228" s="116">
        <v>1</v>
      </c>
      <c r="H228" s="2">
        <v>234</v>
      </c>
    </row>
    <row r="229" spans="1:8" s="109" customFormat="1" ht="12.95" customHeight="1" x14ac:dyDescent="0.2">
      <c r="A229" s="109" t="str">
        <f>Famille!$A$8</f>
        <v>Moveo</v>
      </c>
      <c r="B229" s="109" t="str">
        <f>Famille!$A$31</f>
        <v>Contrôle</v>
      </c>
      <c r="C229" s="5" t="s">
        <v>426</v>
      </c>
      <c r="D229" s="4" t="s">
        <v>875</v>
      </c>
      <c r="F229" s="7" t="s">
        <v>7</v>
      </c>
      <c r="G229" s="116">
        <v>1</v>
      </c>
      <c r="H229" s="2">
        <v>235</v>
      </c>
    </row>
    <row r="230" spans="1:8" s="109" customFormat="1" ht="12.95" customHeight="1" x14ac:dyDescent="0.2">
      <c r="A230" s="109" t="str">
        <f>Famille!$A$8</f>
        <v>Moveo</v>
      </c>
      <c r="B230" s="109" t="str">
        <f>Famille!$A$32</f>
        <v>Accessoires</v>
      </c>
      <c r="C230" s="5" t="s">
        <v>427</v>
      </c>
      <c r="D230" s="4" t="s">
        <v>876</v>
      </c>
      <c r="F230" s="7" t="s">
        <v>7</v>
      </c>
      <c r="G230" s="116">
        <v>1</v>
      </c>
      <c r="H230" s="2">
        <v>236</v>
      </c>
    </row>
    <row r="231" spans="1:8" s="109" customFormat="1" ht="12.95" customHeight="1" x14ac:dyDescent="0.2">
      <c r="A231" s="109" t="str">
        <f>Famille!$A$8</f>
        <v>Moveo</v>
      </c>
      <c r="B231" s="109" t="str">
        <f>Famille!$A$32</f>
        <v>Accessoires</v>
      </c>
      <c r="C231" s="5" t="s">
        <v>428</v>
      </c>
      <c r="D231" s="4" t="s">
        <v>877</v>
      </c>
      <c r="F231" s="7" t="s">
        <v>7</v>
      </c>
      <c r="G231" s="116">
        <v>1</v>
      </c>
      <c r="H231" s="2">
        <v>237</v>
      </c>
    </row>
    <row r="232" spans="1:8" s="109" customFormat="1" ht="12.95" customHeight="1" x14ac:dyDescent="0.2">
      <c r="A232" s="109" t="str">
        <f>Famille!$A$8</f>
        <v>Moveo</v>
      </c>
      <c r="B232" s="109" t="str">
        <f>Famille!$A$32</f>
        <v>Accessoires</v>
      </c>
      <c r="C232" s="5" t="s">
        <v>429</v>
      </c>
      <c r="D232" s="4" t="s">
        <v>878</v>
      </c>
      <c r="F232" s="7" t="s">
        <v>7</v>
      </c>
      <c r="G232" s="116">
        <v>1</v>
      </c>
      <c r="H232" s="2">
        <v>238</v>
      </c>
    </row>
    <row r="233" spans="1:8" s="109" customFormat="1" ht="12.95" customHeight="1" x14ac:dyDescent="0.2">
      <c r="A233" s="109" t="str">
        <f>Famille!$A$8</f>
        <v>Moveo</v>
      </c>
      <c r="B233" s="109" t="str">
        <f>Famille!$A$32</f>
        <v>Accessoires</v>
      </c>
      <c r="C233" s="5" t="s">
        <v>430</v>
      </c>
      <c r="D233" s="4" t="s">
        <v>879</v>
      </c>
      <c r="F233" s="7" t="s">
        <v>7</v>
      </c>
      <c r="G233" s="116">
        <v>1</v>
      </c>
      <c r="H233" s="2">
        <v>239</v>
      </c>
    </row>
    <row r="234" spans="1:8" s="109" customFormat="1" ht="12.95" customHeight="1" x14ac:dyDescent="0.2">
      <c r="A234" s="109" t="str">
        <f>Famille!$A$8</f>
        <v>Moveo</v>
      </c>
      <c r="B234" s="109" t="str">
        <f>Famille!$A$32</f>
        <v>Accessoires</v>
      </c>
      <c r="C234" s="5" t="s">
        <v>431</v>
      </c>
      <c r="D234" s="4" t="s">
        <v>880</v>
      </c>
      <c r="F234" s="7" t="s">
        <v>7</v>
      </c>
      <c r="G234" s="116">
        <v>1</v>
      </c>
      <c r="H234" s="2">
        <v>240</v>
      </c>
    </row>
    <row r="235" spans="1:8" s="109" customFormat="1" ht="12.95" customHeight="1" x14ac:dyDescent="0.2">
      <c r="A235" s="109" t="str">
        <f>Famille!$A$8</f>
        <v>Moveo</v>
      </c>
      <c r="B235" s="109" t="str">
        <f>Famille!$A$32</f>
        <v>Accessoires</v>
      </c>
      <c r="C235" s="5" t="s">
        <v>432</v>
      </c>
      <c r="D235" s="4" t="s">
        <v>881</v>
      </c>
      <c r="F235" s="7" t="s">
        <v>7</v>
      </c>
      <c r="G235" s="116">
        <v>1</v>
      </c>
      <c r="H235" s="2">
        <v>241</v>
      </c>
    </row>
    <row r="236" spans="1:8" s="109" customFormat="1" ht="12.95" customHeight="1" x14ac:dyDescent="0.2">
      <c r="A236" s="109" t="str">
        <f>Famille!$A$8</f>
        <v>Moveo</v>
      </c>
      <c r="B236" s="109" t="str">
        <f>Famille!$A$32</f>
        <v>Accessoires</v>
      </c>
      <c r="C236" s="5" t="s">
        <v>433</v>
      </c>
      <c r="D236" s="4" t="s">
        <v>882</v>
      </c>
      <c r="F236" s="7" t="s">
        <v>7</v>
      </c>
      <c r="G236" s="116">
        <v>1</v>
      </c>
      <c r="H236" s="2">
        <v>242</v>
      </c>
    </row>
    <row r="237" spans="1:8" s="109" customFormat="1" ht="12.95" customHeight="1" x14ac:dyDescent="0.2">
      <c r="A237" s="109" t="str">
        <f>Famille!$A$8</f>
        <v>Moveo</v>
      </c>
      <c r="B237" s="109" t="str">
        <f>Famille!$A$32</f>
        <v>Accessoires</v>
      </c>
      <c r="C237" s="5" t="s">
        <v>434</v>
      </c>
      <c r="D237" s="4" t="s">
        <v>883</v>
      </c>
      <c r="F237" s="7" t="s">
        <v>7</v>
      </c>
      <c r="G237" s="116">
        <v>1</v>
      </c>
      <c r="H237" s="2">
        <v>243</v>
      </c>
    </row>
    <row r="238" spans="1:8" s="109" customFormat="1" ht="12.95" customHeight="1" x14ac:dyDescent="0.2">
      <c r="A238" s="109" t="str">
        <f>Famille!$A$8</f>
        <v>Moveo</v>
      </c>
      <c r="B238" s="109" t="str">
        <f>Famille!$A$32</f>
        <v>Accessoires</v>
      </c>
      <c r="C238" s="5" t="s">
        <v>435</v>
      </c>
      <c r="D238" s="4" t="s">
        <v>884</v>
      </c>
      <c r="F238" s="7" t="s">
        <v>7</v>
      </c>
      <c r="G238" s="116">
        <v>1</v>
      </c>
      <c r="H238" s="2">
        <v>244</v>
      </c>
    </row>
    <row r="239" spans="1:8" s="109" customFormat="1" ht="12.95" customHeight="1" x14ac:dyDescent="0.2">
      <c r="A239" s="109" t="str">
        <f>Famille!$A$8</f>
        <v>Moveo</v>
      </c>
      <c r="B239" s="109" t="str">
        <f>Famille!$A$32</f>
        <v>Accessoires</v>
      </c>
      <c r="C239" s="5" t="s">
        <v>436</v>
      </c>
      <c r="D239" s="4" t="s">
        <v>885</v>
      </c>
      <c r="F239" s="7" t="s">
        <v>7</v>
      </c>
      <c r="G239" s="116">
        <v>1</v>
      </c>
      <c r="H239" s="2">
        <v>245</v>
      </c>
    </row>
    <row r="240" spans="1:8" s="109" customFormat="1" ht="12.95" customHeight="1" x14ac:dyDescent="0.2">
      <c r="A240" s="109" t="str">
        <f>Famille!$A$8</f>
        <v>Moveo</v>
      </c>
      <c r="B240" s="109" t="str">
        <f>Famille!$A$32</f>
        <v>Accessoires</v>
      </c>
      <c r="C240" s="5" t="s">
        <v>437</v>
      </c>
      <c r="D240" s="4" t="s">
        <v>886</v>
      </c>
      <c r="F240" s="7" t="s">
        <v>7</v>
      </c>
      <c r="G240" s="116">
        <v>1</v>
      </c>
      <c r="H240" s="2">
        <v>246</v>
      </c>
    </row>
    <row r="241" spans="1:8" s="109" customFormat="1" ht="12.95" customHeight="1" x14ac:dyDescent="0.2">
      <c r="A241" s="109" t="str">
        <f>Famille!$A$8</f>
        <v>Moveo</v>
      </c>
      <c r="B241" s="109" t="str">
        <f>Famille!$A$32</f>
        <v>Accessoires</v>
      </c>
      <c r="C241" s="5" t="s">
        <v>438</v>
      </c>
      <c r="D241" s="4" t="s">
        <v>887</v>
      </c>
      <c r="F241" s="7" t="s">
        <v>7</v>
      </c>
      <c r="G241" s="116">
        <v>1</v>
      </c>
      <c r="H241" s="2">
        <v>247</v>
      </c>
    </row>
    <row r="242" spans="1:8" s="109" customFormat="1" ht="12.95" customHeight="1" x14ac:dyDescent="0.2">
      <c r="A242" s="109" t="str">
        <f>Famille!$A$8</f>
        <v>Moveo</v>
      </c>
      <c r="B242" s="109" t="str">
        <f>Famille!$A$32</f>
        <v>Accessoires</v>
      </c>
      <c r="C242" s="5" t="s">
        <v>439</v>
      </c>
      <c r="D242" s="4" t="s">
        <v>888</v>
      </c>
      <c r="F242" s="7" t="s">
        <v>7</v>
      </c>
      <c r="G242" s="116">
        <v>1</v>
      </c>
      <c r="H242" s="2">
        <v>248</v>
      </c>
    </row>
    <row r="243" spans="1:8" s="109" customFormat="1" ht="12.95" customHeight="1" x14ac:dyDescent="0.2">
      <c r="A243" s="109" t="str">
        <f>Famille!$A$8</f>
        <v>Moveo</v>
      </c>
      <c r="B243" s="109" t="str">
        <f>Famille!$A$32</f>
        <v>Accessoires</v>
      </c>
      <c r="C243" s="5" t="s">
        <v>440</v>
      </c>
      <c r="D243" s="4" t="s">
        <v>889</v>
      </c>
      <c r="F243" s="7" t="s">
        <v>7</v>
      </c>
      <c r="G243" s="116">
        <v>1</v>
      </c>
      <c r="H243" s="2">
        <v>249</v>
      </c>
    </row>
    <row r="244" spans="1:8" s="109" customFormat="1" ht="12.95" customHeight="1" x14ac:dyDescent="0.2">
      <c r="A244" s="109" t="str">
        <f>Famille!$A$8</f>
        <v>Moveo</v>
      </c>
      <c r="B244" s="109" t="str">
        <f>Famille!$A$32</f>
        <v>Accessoires</v>
      </c>
      <c r="C244" s="5" t="s">
        <v>441</v>
      </c>
      <c r="D244" s="4" t="s">
        <v>890</v>
      </c>
      <c r="F244" s="7" t="s">
        <v>7</v>
      </c>
      <c r="G244" s="116">
        <v>1</v>
      </c>
      <c r="H244" s="2">
        <v>250</v>
      </c>
    </row>
    <row r="245" spans="1:8" s="109" customFormat="1" ht="12.95" customHeight="1" x14ac:dyDescent="0.2">
      <c r="A245" s="109" t="str">
        <f>Famille!$A$8</f>
        <v>Moveo</v>
      </c>
      <c r="B245" s="109" t="str">
        <f>Famille!$A$32</f>
        <v>Accessoires</v>
      </c>
      <c r="C245" s="5" t="s">
        <v>442</v>
      </c>
      <c r="D245" s="4" t="s">
        <v>891</v>
      </c>
      <c r="F245" s="7" t="s">
        <v>7</v>
      </c>
      <c r="G245" s="116">
        <v>1</v>
      </c>
      <c r="H245" s="2">
        <v>251</v>
      </c>
    </row>
    <row r="246" spans="1:8" s="109" customFormat="1" ht="12.95" customHeight="1" x14ac:dyDescent="0.2">
      <c r="A246" s="109" t="str">
        <f>Famille!$A$8</f>
        <v>Moveo</v>
      </c>
      <c r="B246" s="109" t="str">
        <f>Famille!$A$32</f>
        <v>Accessoires</v>
      </c>
      <c r="C246" s="5" t="s">
        <v>443</v>
      </c>
      <c r="D246" s="4" t="s">
        <v>892</v>
      </c>
      <c r="F246" s="7" t="s">
        <v>7</v>
      </c>
      <c r="G246" s="116">
        <v>1</v>
      </c>
      <c r="H246" s="2">
        <v>252</v>
      </c>
    </row>
    <row r="247" spans="1:8" s="109" customFormat="1" ht="12.95" customHeight="1" x14ac:dyDescent="0.2">
      <c r="A247" s="109" t="str">
        <f>Famille!$A$8</f>
        <v>Moveo</v>
      </c>
      <c r="B247" s="109" t="str">
        <f>Famille!$A$32</f>
        <v>Accessoires</v>
      </c>
      <c r="C247" s="5" t="s">
        <v>444</v>
      </c>
      <c r="D247" s="4" t="s">
        <v>893</v>
      </c>
      <c r="F247" s="7" t="s">
        <v>7</v>
      </c>
      <c r="G247" s="116">
        <v>1</v>
      </c>
      <c r="H247" s="2">
        <v>253</v>
      </c>
    </row>
    <row r="248" spans="1:8" s="109" customFormat="1" ht="12.95" customHeight="1" x14ac:dyDescent="0.2">
      <c r="A248" s="109" t="str">
        <f>Famille!$A$8</f>
        <v>Moveo</v>
      </c>
      <c r="B248" s="109" t="str">
        <f>Famille!$A$32</f>
        <v>Accessoires</v>
      </c>
      <c r="C248" s="5" t="s">
        <v>445</v>
      </c>
      <c r="D248" s="4" t="s">
        <v>894</v>
      </c>
      <c r="F248" s="7" t="s">
        <v>7</v>
      </c>
      <c r="G248" s="116">
        <v>1</v>
      </c>
      <c r="H248" s="2">
        <v>254</v>
      </c>
    </row>
    <row r="249" spans="1:8" s="109" customFormat="1" ht="12.95" customHeight="1" x14ac:dyDescent="0.2">
      <c r="A249" s="109" t="str">
        <f>Famille!$A$8</f>
        <v>Moveo</v>
      </c>
      <c r="B249" s="109" t="str">
        <f>Famille!$A$32</f>
        <v>Accessoires</v>
      </c>
      <c r="C249" s="5" t="s">
        <v>446</v>
      </c>
      <c r="D249" s="4" t="s">
        <v>895</v>
      </c>
      <c r="F249" s="7" t="s">
        <v>7</v>
      </c>
      <c r="G249" s="116">
        <v>1</v>
      </c>
      <c r="H249" s="2">
        <v>255</v>
      </c>
    </row>
    <row r="250" spans="1:8" s="109" customFormat="1" ht="12.95" customHeight="1" x14ac:dyDescent="0.2">
      <c r="A250" s="109" t="str">
        <f>Famille!$A$8</f>
        <v>Moveo</v>
      </c>
      <c r="B250" s="109" t="str">
        <f>Famille!$A$33</f>
        <v>Cache vis</v>
      </c>
      <c r="C250" s="5" t="s">
        <v>447</v>
      </c>
      <c r="D250" s="4" t="s">
        <v>896</v>
      </c>
      <c r="F250" s="7" t="s">
        <v>156</v>
      </c>
      <c r="G250" s="116">
        <v>12</v>
      </c>
      <c r="H250" s="2">
        <v>256</v>
      </c>
    </row>
    <row r="251" spans="1:8" s="109" customFormat="1" ht="12.95" customHeight="1" x14ac:dyDescent="0.2">
      <c r="A251" s="109" t="str">
        <f>Famille!$A$8</f>
        <v>Moveo</v>
      </c>
      <c r="B251" s="109" t="str">
        <f>Famille!$A$33</f>
        <v>Cache vis</v>
      </c>
      <c r="C251" s="5" t="s">
        <v>448</v>
      </c>
      <c r="D251" s="4" t="s">
        <v>897</v>
      </c>
      <c r="F251" s="7" t="s">
        <v>156</v>
      </c>
      <c r="G251" s="116">
        <v>12</v>
      </c>
      <c r="H251" s="2">
        <v>257</v>
      </c>
    </row>
    <row r="252" spans="1:8" s="109" customFormat="1" ht="12.95" customHeight="1" x14ac:dyDescent="0.2">
      <c r="A252" s="109" t="str">
        <f>Famille!$A$8</f>
        <v>Moveo</v>
      </c>
      <c r="B252" s="109" t="str">
        <f>Famille!$A$33</f>
        <v>Cache vis</v>
      </c>
      <c r="C252" s="5" t="s">
        <v>449</v>
      </c>
      <c r="D252" s="4" t="s">
        <v>898</v>
      </c>
      <c r="F252" s="7" t="s">
        <v>156</v>
      </c>
      <c r="G252" s="116">
        <v>12</v>
      </c>
      <c r="H252" s="2">
        <v>258</v>
      </c>
    </row>
    <row r="253" spans="1:8" s="109" customFormat="1" ht="12.95" customHeight="1" x14ac:dyDescent="0.2">
      <c r="A253" s="109" t="str">
        <f>Famille!$A$8</f>
        <v>Moveo</v>
      </c>
      <c r="B253" s="109" t="str">
        <f>Famille!$A$33</f>
        <v>Cache vis</v>
      </c>
      <c r="C253" s="5" t="s">
        <v>450</v>
      </c>
      <c r="D253" s="4" t="s">
        <v>899</v>
      </c>
      <c r="F253" s="7" t="s">
        <v>156</v>
      </c>
      <c r="G253" s="116">
        <v>12</v>
      </c>
      <c r="H253" s="2">
        <v>259</v>
      </c>
    </row>
    <row r="254" spans="1:8" s="109" customFormat="1" ht="12.95" customHeight="1" x14ac:dyDescent="0.2">
      <c r="A254" s="109" t="str">
        <f>Famille!$A$8</f>
        <v>Moveo</v>
      </c>
      <c r="B254" s="109" t="str">
        <f>Famille!$A$33</f>
        <v>Cache vis</v>
      </c>
      <c r="C254" s="5" t="s">
        <v>451</v>
      </c>
      <c r="D254" s="4" t="s">
        <v>900</v>
      </c>
      <c r="F254" s="7" t="s">
        <v>156</v>
      </c>
      <c r="G254" s="116">
        <v>12</v>
      </c>
      <c r="H254" s="2">
        <v>260</v>
      </c>
    </row>
    <row r="255" spans="1:8" s="109" customFormat="1" ht="12.95" customHeight="1" x14ac:dyDescent="0.2">
      <c r="A255" s="109" t="str">
        <f>Famille!$A$8</f>
        <v>Moveo</v>
      </c>
      <c r="B255" s="109" t="str">
        <f>Famille!$A$33</f>
        <v>Cache vis</v>
      </c>
      <c r="C255" s="5" t="s">
        <v>452</v>
      </c>
      <c r="D255" s="4" t="s">
        <v>901</v>
      </c>
      <c r="F255" s="7" t="s">
        <v>156</v>
      </c>
      <c r="G255" s="116">
        <v>12</v>
      </c>
      <c r="H255" s="2">
        <v>261</v>
      </c>
    </row>
    <row r="256" spans="1:8" s="109" customFormat="1" ht="12.95" customHeight="1" x14ac:dyDescent="0.2">
      <c r="A256" s="109" t="str">
        <f>Famille!$A$8</f>
        <v>Moveo</v>
      </c>
      <c r="B256" s="109" t="str">
        <f>Famille!$A$33</f>
        <v>Cache vis</v>
      </c>
      <c r="C256" s="5" t="s">
        <v>453</v>
      </c>
      <c r="D256" s="4" t="s">
        <v>902</v>
      </c>
      <c r="F256" s="7" t="s">
        <v>156</v>
      </c>
      <c r="G256" s="116">
        <v>12</v>
      </c>
      <c r="H256" s="2">
        <v>262</v>
      </c>
    </row>
    <row r="257" spans="1:8" s="109" customFormat="1" ht="12.95" customHeight="1" x14ac:dyDescent="0.2">
      <c r="A257" s="109" t="str">
        <f>Famille!$A$8</f>
        <v>Moveo</v>
      </c>
      <c r="B257" s="109" t="str">
        <f>Famille!$A$33</f>
        <v>Cache vis</v>
      </c>
      <c r="C257" s="5" t="s">
        <v>454</v>
      </c>
      <c r="D257" s="4" t="s">
        <v>903</v>
      </c>
      <c r="F257" s="7" t="s">
        <v>156</v>
      </c>
      <c r="G257" s="116">
        <v>12</v>
      </c>
      <c r="H257" s="2">
        <v>263</v>
      </c>
    </row>
    <row r="258" spans="1:8" s="109" customFormat="1" ht="12.95" customHeight="1" x14ac:dyDescent="0.2">
      <c r="A258" s="109" t="str">
        <f>Famille!$A$8</f>
        <v>Moveo</v>
      </c>
      <c r="B258" s="109" t="str">
        <f>Famille!$A$33</f>
        <v>Cache vis</v>
      </c>
      <c r="C258" s="5" t="s">
        <v>455</v>
      </c>
      <c r="D258" s="4" t="s">
        <v>904</v>
      </c>
      <c r="F258" s="7" t="s">
        <v>156</v>
      </c>
      <c r="G258" s="116">
        <v>12</v>
      </c>
      <c r="H258" s="2">
        <v>264</v>
      </c>
    </row>
    <row r="259" spans="1:8" s="109" customFormat="1" ht="12.95" customHeight="1" x14ac:dyDescent="0.2">
      <c r="A259" s="109" t="str">
        <f>Famille!$A$8</f>
        <v>Moveo</v>
      </c>
      <c r="B259" s="109" t="str">
        <f>Famille!$A$33</f>
        <v>Cache vis</v>
      </c>
      <c r="C259" s="5" t="s">
        <v>456</v>
      </c>
      <c r="D259" s="4" t="s">
        <v>905</v>
      </c>
      <c r="F259" s="7" t="s">
        <v>156</v>
      </c>
      <c r="G259" s="116">
        <v>12</v>
      </c>
      <c r="H259" s="2">
        <v>265</v>
      </c>
    </row>
    <row r="260" spans="1:8" s="109" customFormat="1" ht="12.95" customHeight="1" x14ac:dyDescent="0.2">
      <c r="A260" s="109" t="str">
        <f>Famille!$A$8</f>
        <v>Moveo</v>
      </c>
      <c r="B260" s="109" t="str">
        <f>Famille!$A$33</f>
        <v>Cache vis</v>
      </c>
      <c r="C260" s="5" t="s">
        <v>457</v>
      </c>
      <c r="D260" s="4" t="s">
        <v>906</v>
      </c>
      <c r="F260" s="7" t="s">
        <v>156</v>
      </c>
      <c r="G260" s="116">
        <v>12</v>
      </c>
      <c r="H260" s="2">
        <v>266</v>
      </c>
    </row>
    <row r="261" spans="1:8" s="109" customFormat="1" ht="12.95" customHeight="1" x14ac:dyDescent="0.2">
      <c r="A261" s="109" t="str">
        <f>Famille!$A$8</f>
        <v>Moveo</v>
      </c>
      <c r="B261" s="109" t="str">
        <f>Famille!$A$33</f>
        <v>Cache vis</v>
      </c>
      <c r="C261" s="5" t="s">
        <v>458</v>
      </c>
      <c r="D261" s="4" t="s">
        <v>907</v>
      </c>
      <c r="F261" s="7" t="s">
        <v>156</v>
      </c>
      <c r="G261" s="116">
        <v>12</v>
      </c>
      <c r="H261" s="2">
        <v>267</v>
      </c>
    </row>
    <row r="262" spans="1:8" s="109" customFormat="1" ht="12.95" customHeight="1" x14ac:dyDescent="0.2">
      <c r="A262" s="109" t="str">
        <f>Famille!$A$8</f>
        <v>Moveo</v>
      </c>
      <c r="B262" s="109" t="str">
        <f>Famille!$A$33</f>
        <v>Cache vis</v>
      </c>
      <c r="C262" s="5" t="s">
        <v>459</v>
      </c>
      <c r="D262" s="4" t="s">
        <v>908</v>
      </c>
      <c r="F262" s="7" t="s">
        <v>156</v>
      </c>
      <c r="G262" s="116">
        <v>12</v>
      </c>
      <c r="H262" s="2">
        <v>268</v>
      </c>
    </row>
    <row r="263" spans="1:8" s="109" customFormat="1" ht="12.95" customHeight="1" x14ac:dyDescent="0.2">
      <c r="A263" s="109" t="str">
        <f>Famille!$A$8</f>
        <v>Moveo</v>
      </c>
      <c r="B263" s="109" t="str">
        <f>Famille!$A$33</f>
        <v>Cache vis</v>
      </c>
      <c r="C263" s="5" t="s">
        <v>460</v>
      </c>
      <c r="D263" s="4" t="s">
        <v>909</v>
      </c>
      <c r="F263" s="7" t="s">
        <v>156</v>
      </c>
      <c r="G263" s="116">
        <v>12</v>
      </c>
      <c r="H263" s="2">
        <v>269</v>
      </c>
    </row>
    <row r="264" spans="1:8" s="109" customFormat="1" ht="12.95" customHeight="1" x14ac:dyDescent="0.2">
      <c r="A264" s="109" t="str">
        <f>Famille!$A$8</f>
        <v>Moveo</v>
      </c>
      <c r="B264" s="109" t="str">
        <f>Famille!$A$33</f>
        <v>Cache vis</v>
      </c>
      <c r="C264" s="5" t="s">
        <v>461</v>
      </c>
      <c r="D264" s="4" t="s">
        <v>910</v>
      </c>
      <c r="F264" s="7" t="s">
        <v>155</v>
      </c>
      <c r="G264" s="116">
        <v>6</v>
      </c>
      <c r="H264" s="2">
        <v>270</v>
      </c>
    </row>
    <row r="265" spans="1:8" s="109" customFormat="1" ht="12.95" customHeight="1" x14ac:dyDescent="0.2">
      <c r="A265" s="109" t="str">
        <f>Famille!$A$8</f>
        <v>Moveo</v>
      </c>
      <c r="B265" s="109" t="str">
        <f>Famille!$A$33</f>
        <v>Cache vis</v>
      </c>
      <c r="C265" s="5" t="s">
        <v>462</v>
      </c>
      <c r="D265" s="4" t="s">
        <v>911</v>
      </c>
      <c r="F265" s="7" t="s">
        <v>155</v>
      </c>
      <c r="G265" s="116">
        <v>6</v>
      </c>
      <c r="H265" s="2">
        <v>271</v>
      </c>
    </row>
    <row r="266" spans="1:8" s="109" customFormat="1" ht="12.95" customHeight="1" x14ac:dyDescent="0.2">
      <c r="A266" s="109" t="str">
        <f>Famille!$A$8</f>
        <v>Moveo</v>
      </c>
      <c r="B266" s="109" t="str">
        <f>Famille!$A$33</f>
        <v>Cache vis</v>
      </c>
      <c r="C266" s="5" t="s">
        <v>463</v>
      </c>
      <c r="D266" s="4" t="s">
        <v>912</v>
      </c>
      <c r="F266" s="7" t="s">
        <v>155</v>
      </c>
      <c r="G266" s="116">
        <v>6</v>
      </c>
      <c r="H266" s="2">
        <v>272</v>
      </c>
    </row>
    <row r="267" spans="1:8" s="109" customFormat="1" ht="12.95" customHeight="1" x14ac:dyDescent="0.2">
      <c r="A267" s="109" t="str">
        <f>Famille!$A$8</f>
        <v>Moveo</v>
      </c>
      <c r="B267" s="109" t="str">
        <f>Famille!$A$33</f>
        <v>Cache vis</v>
      </c>
      <c r="C267" s="5" t="s">
        <v>464</v>
      </c>
      <c r="D267" s="4" t="s">
        <v>913</v>
      </c>
      <c r="F267" s="7" t="s">
        <v>155</v>
      </c>
      <c r="G267" s="116">
        <v>6</v>
      </c>
      <c r="H267" s="2">
        <v>273</v>
      </c>
    </row>
    <row r="268" spans="1:8" s="109" customFormat="1" ht="12.95" customHeight="1" x14ac:dyDescent="0.2">
      <c r="A268" s="109" t="str">
        <f>Famille!$A$8</f>
        <v>Moveo</v>
      </c>
      <c r="B268" s="109" t="str">
        <f>Famille!$A$33</f>
        <v>Cache vis</v>
      </c>
      <c r="C268" s="5" t="s">
        <v>465</v>
      </c>
      <c r="D268" s="4" t="s">
        <v>914</v>
      </c>
      <c r="F268" s="7" t="s">
        <v>155</v>
      </c>
      <c r="G268" s="116">
        <v>6</v>
      </c>
      <c r="H268" s="2">
        <v>274</v>
      </c>
    </row>
    <row r="269" spans="1:8" s="109" customFormat="1" ht="12.95" customHeight="1" x14ac:dyDescent="0.2">
      <c r="A269" s="109" t="str">
        <f>Famille!$A$8</f>
        <v>Moveo</v>
      </c>
      <c r="B269" s="109" t="str">
        <f>Famille!$A$33</f>
        <v>Cache vis</v>
      </c>
      <c r="C269" s="5" t="s">
        <v>466</v>
      </c>
      <c r="D269" s="4" t="s">
        <v>915</v>
      </c>
      <c r="F269" s="7" t="s">
        <v>155</v>
      </c>
      <c r="G269" s="116">
        <v>6</v>
      </c>
      <c r="H269" s="2">
        <v>275</v>
      </c>
    </row>
    <row r="270" spans="1:8" s="109" customFormat="1" ht="12.95" customHeight="1" x14ac:dyDescent="0.2">
      <c r="A270" s="109" t="str">
        <f>Famille!$A$8</f>
        <v>Moveo</v>
      </c>
      <c r="B270" s="109" t="str">
        <f>Famille!$A$33</f>
        <v>Cache vis</v>
      </c>
      <c r="C270" s="5" t="s">
        <v>467</v>
      </c>
      <c r="D270" s="4" t="s">
        <v>916</v>
      </c>
      <c r="F270" s="7" t="s">
        <v>155</v>
      </c>
      <c r="G270" s="116">
        <v>6</v>
      </c>
      <c r="H270" s="2">
        <v>276</v>
      </c>
    </row>
    <row r="271" spans="1:8" s="109" customFormat="1" ht="12.95" customHeight="1" x14ac:dyDescent="0.2">
      <c r="A271" s="109" t="str">
        <f>Famille!$A$8</f>
        <v>Moveo</v>
      </c>
      <c r="B271" s="109" t="str">
        <f>Famille!$A$33</f>
        <v>Cache vis</v>
      </c>
      <c r="C271" s="5" t="s">
        <v>468</v>
      </c>
      <c r="D271" s="4" t="s">
        <v>917</v>
      </c>
      <c r="F271" s="7" t="s">
        <v>155</v>
      </c>
      <c r="G271" s="116">
        <v>6</v>
      </c>
      <c r="H271" s="2">
        <v>277</v>
      </c>
    </row>
    <row r="272" spans="1:8" s="109" customFormat="1" ht="12.95" customHeight="1" x14ac:dyDescent="0.2">
      <c r="A272" s="109" t="str">
        <f>Famille!$A$8</f>
        <v>Moveo</v>
      </c>
      <c r="B272" s="109" t="str">
        <f>Famille!$A$33</f>
        <v>Cache vis</v>
      </c>
      <c r="C272" s="5" t="s">
        <v>469</v>
      </c>
      <c r="D272" s="4" t="s">
        <v>918</v>
      </c>
      <c r="F272" s="7" t="s">
        <v>155</v>
      </c>
      <c r="G272" s="116">
        <v>6</v>
      </c>
      <c r="H272" s="2">
        <v>278</v>
      </c>
    </row>
    <row r="273" spans="1:8" s="109" customFormat="1" ht="12.95" customHeight="1" x14ac:dyDescent="0.2">
      <c r="A273" s="109" t="str">
        <f>Famille!$A$8</f>
        <v>Moveo</v>
      </c>
      <c r="B273" s="109" t="str">
        <f>Famille!$A$33</f>
        <v>Cache vis</v>
      </c>
      <c r="C273" s="5" t="s">
        <v>470</v>
      </c>
      <c r="D273" s="4" t="s">
        <v>919</v>
      </c>
      <c r="F273" s="7" t="s">
        <v>155</v>
      </c>
      <c r="G273" s="116">
        <v>6</v>
      </c>
      <c r="H273" s="2">
        <v>279</v>
      </c>
    </row>
    <row r="274" spans="1:8" s="109" customFormat="1" ht="12.95" customHeight="1" x14ac:dyDescent="0.2">
      <c r="A274" s="109" t="str">
        <f>Famille!$A$8</f>
        <v>Moveo</v>
      </c>
      <c r="B274" s="109" t="str">
        <f>Famille!$A$33</f>
        <v>Cache vis</v>
      </c>
      <c r="C274" s="5" t="s">
        <v>471</v>
      </c>
      <c r="D274" s="4" t="s">
        <v>920</v>
      </c>
      <c r="F274" s="7" t="s">
        <v>155</v>
      </c>
      <c r="G274" s="116">
        <v>6</v>
      </c>
      <c r="H274" s="2">
        <v>280</v>
      </c>
    </row>
    <row r="275" spans="1:8" s="109" customFormat="1" ht="12.95" customHeight="1" x14ac:dyDescent="0.2">
      <c r="A275" s="109" t="str">
        <f>Famille!$A$8</f>
        <v>Moveo</v>
      </c>
      <c r="B275" s="109" t="str">
        <f>Famille!$A$33</f>
        <v>Cache vis</v>
      </c>
      <c r="C275" s="5" t="s">
        <v>472</v>
      </c>
      <c r="D275" s="4" t="s">
        <v>921</v>
      </c>
      <c r="F275" s="7" t="s">
        <v>155</v>
      </c>
      <c r="G275" s="116">
        <v>6</v>
      </c>
      <c r="H275" s="2">
        <v>281</v>
      </c>
    </row>
    <row r="276" spans="1:8" s="109" customFormat="1" ht="12.95" customHeight="1" x14ac:dyDescent="0.2">
      <c r="A276" s="109" t="str">
        <f>Famille!$A$8</f>
        <v>Moveo</v>
      </c>
      <c r="B276" s="109" t="str">
        <f>Famille!$A$33</f>
        <v>Cache vis</v>
      </c>
      <c r="C276" s="5" t="s">
        <v>473</v>
      </c>
      <c r="D276" s="4" t="s">
        <v>922</v>
      </c>
      <c r="F276" s="7" t="s">
        <v>155</v>
      </c>
      <c r="G276" s="116">
        <v>6</v>
      </c>
      <c r="H276" s="2">
        <v>282</v>
      </c>
    </row>
    <row r="277" spans="1:8" s="109" customFormat="1" ht="12.95" customHeight="1" x14ac:dyDescent="0.2">
      <c r="A277" s="109" t="str">
        <f>Famille!$A$8</f>
        <v>Moveo</v>
      </c>
      <c r="B277" s="109" t="str">
        <f>Famille!$A$33</f>
        <v>Cache vis</v>
      </c>
      <c r="C277" s="5" t="s">
        <v>474</v>
      </c>
      <c r="D277" s="4" t="s">
        <v>923</v>
      </c>
      <c r="F277" s="7" t="s">
        <v>155</v>
      </c>
      <c r="G277" s="116">
        <v>6</v>
      </c>
      <c r="H277" s="2">
        <v>283</v>
      </c>
    </row>
    <row r="278" spans="1:8" s="109" customFormat="1" ht="12.95" customHeight="1" x14ac:dyDescent="0.2">
      <c r="A278" s="109" t="str">
        <f>Famille!$A$9</f>
        <v>Variflex</v>
      </c>
      <c r="B278" s="109" t="str">
        <f>Famille!$A$34</f>
        <v>VE</v>
      </c>
      <c r="C278" s="5" t="s">
        <v>475</v>
      </c>
      <c r="D278" s="4" t="s">
        <v>924</v>
      </c>
      <c r="F278" s="7" t="s">
        <v>7</v>
      </c>
      <c r="G278" s="116">
        <v>1</v>
      </c>
      <c r="H278" s="2">
        <v>284</v>
      </c>
    </row>
    <row r="279" spans="1:8" s="109" customFormat="1" ht="12.95" customHeight="1" x14ac:dyDescent="0.2">
      <c r="A279" s="109" t="str">
        <f>Famille!$A$9</f>
        <v>Variflex</v>
      </c>
      <c r="B279" s="109" t="str">
        <f>Famille!$A$34</f>
        <v>VE</v>
      </c>
      <c r="C279" s="5" t="s">
        <v>476</v>
      </c>
      <c r="D279" s="4" t="s">
        <v>925</v>
      </c>
      <c r="F279" s="7" t="s">
        <v>7</v>
      </c>
      <c r="G279" s="116">
        <v>1</v>
      </c>
      <c r="H279" s="2">
        <v>285</v>
      </c>
    </row>
    <row r="280" spans="1:8" s="109" customFormat="1" ht="12.95" customHeight="1" x14ac:dyDescent="0.2">
      <c r="A280" s="109" t="str">
        <f>Famille!$A$9</f>
        <v>Variflex</v>
      </c>
      <c r="B280" s="109" t="str">
        <f>Famille!$A$34</f>
        <v>VE</v>
      </c>
      <c r="C280" s="5" t="s">
        <v>477</v>
      </c>
      <c r="D280" s="4" t="s">
        <v>926</v>
      </c>
      <c r="F280" s="7" t="s">
        <v>7</v>
      </c>
      <c r="G280" s="116">
        <v>1</v>
      </c>
      <c r="H280" s="2">
        <v>286</v>
      </c>
    </row>
    <row r="281" spans="1:8" s="109" customFormat="1" ht="12.95" customHeight="1" x14ac:dyDescent="0.2">
      <c r="A281" s="109" t="str">
        <f>Famille!$A$9</f>
        <v>Variflex</v>
      </c>
      <c r="B281" s="109" t="str">
        <f>Famille!$A$34</f>
        <v>VE</v>
      </c>
      <c r="C281" s="5" t="s">
        <v>478</v>
      </c>
      <c r="D281" s="4" t="s">
        <v>927</v>
      </c>
      <c r="F281" s="7" t="s">
        <v>7</v>
      </c>
      <c r="G281" s="116">
        <v>1</v>
      </c>
      <c r="H281" s="2">
        <v>287</v>
      </c>
    </row>
    <row r="282" spans="1:8" s="109" customFormat="1" ht="12.95" customHeight="1" x14ac:dyDescent="0.2">
      <c r="A282" s="109" t="str">
        <f>Famille!$A$9</f>
        <v>Variflex</v>
      </c>
      <c r="B282" s="109" t="str">
        <f>Famille!$A$34</f>
        <v>VE</v>
      </c>
      <c r="C282" s="5" t="s">
        <v>479</v>
      </c>
      <c r="D282" s="4" t="s">
        <v>928</v>
      </c>
      <c r="F282" s="7" t="s">
        <v>7</v>
      </c>
      <c r="G282" s="116">
        <v>1</v>
      </c>
      <c r="H282" s="2">
        <v>288</v>
      </c>
    </row>
    <row r="283" spans="1:8" s="109" customFormat="1" ht="12.95" customHeight="1" x14ac:dyDescent="0.2">
      <c r="A283" s="109" t="str">
        <f>Famille!$A$9</f>
        <v>Variflex</v>
      </c>
      <c r="B283" s="109" t="str">
        <f>Famille!$A$35</f>
        <v>TE</v>
      </c>
      <c r="C283" s="5" t="s">
        <v>480</v>
      </c>
      <c r="D283" s="4" t="s">
        <v>929</v>
      </c>
      <c r="F283" s="7" t="s">
        <v>7</v>
      </c>
      <c r="G283" s="116">
        <v>1</v>
      </c>
      <c r="H283" s="2">
        <v>289</v>
      </c>
    </row>
    <row r="284" spans="1:8" s="109" customFormat="1" ht="12.95" customHeight="1" x14ac:dyDescent="0.2">
      <c r="A284" s="109" t="str">
        <f>Famille!$A$9</f>
        <v>Variflex</v>
      </c>
      <c r="B284" s="109" t="str">
        <f>Famille!$A$35</f>
        <v>TE</v>
      </c>
      <c r="C284" s="5" t="s">
        <v>481</v>
      </c>
      <c r="D284" s="4" t="s">
        <v>930</v>
      </c>
      <c r="F284" s="7" t="s">
        <v>7</v>
      </c>
      <c r="G284" s="116">
        <v>1</v>
      </c>
      <c r="H284" s="2">
        <v>290</v>
      </c>
    </row>
    <row r="285" spans="1:8" s="109" customFormat="1" ht="12.95" customHeight="1" x14ac:dyDescent="0.2">
      <c r="A285" s="109" t="str">
        <f>Famille!$A$9</f>
        <v>Variflex</v>
      </c>
      <c r="B285" s="109" t="str">
        <f>Famille!$A$35</f>
        <v>TE</v>
      </c>
      <c r="C285" s="5" t="s">
        <v>482</v>
      </c>
      <c r="D285" s="4" t="s">
        <v>931</v>
      </c>
      <c r="F285" s="7" t="s">
        <v>7</v>
      </c>
      <c r="G285" s="116">
        <v>1</v>
      </c>
      <c r="H285" s="2">
        <v>291</v>
      </c>
    </row>
    <row r="286" spans="1:8" s="109" customFormat="1" ht="12.95" customHeight="1" x14ac:dyDescent="0.2">
      <c r="A286" s="109" t="str">
        <f>Famille!$A$9</f>
        <v>Variflex</v>
      </c>
      <c r="B286" s="109" t="str">
        <f>Famille!$A$35</f>
        <v>TE</v>
      </c>
      <c r="C286" s="5" t="s">
        <v>483</v>
      </c>
      <c r="D286" s="4" t="s">
        <v>932</v>
      </c>
      <c r="F286" s="7" t="s">
        <v>7</v>
      </c>
      <c r="G286" s="116">
        <v>1</v>
      </c>
      <c r="H286" s="2">
        <v>292</v>
      </c>
    </row>
    <row r="287" spans="1:8" s="109" customFormat="1" ht="12.95" customHeight="1" x14ac:dyDescent="0.2">
      <c r="A287" s="109" t="str">
        <f>Famille!$A$9</f>
        <v>Variflex</v>
      </c>
      <c r="B287" s="109" t="str">
        <f>Famille!$A$35</f>
        <v>TE</v>
      </c>
      <c r="C287" s="5" t="s">
        <v>484</v>
      </c>
      <c r="D287" s="4" t="s">
        <v>933</v>
      </c>
      <c r="F287" s="7" t="s">
        <v>7</v>
      </c>
      <c r="G287" s="116">
        <v>1</v>
      </c>
      <c r="H287" s="2">
        <v>293</v>
      </c>
    </row>
    <row r="288" spans="1:8" s="109" customFormat="1" ht="12.95" customHeight="1" x14ac:dyDescent="0.2">
      <c r="A288" s="109" t="str">
        <f>Famille!$A$9</f>
        <v>Variflex</v>
      </c>
      <c r="B288" s="109" t="str">
        <f>Famille!$A$35</f>
        <v>TE</v>
      </c>
      <c r="C288" s="5" t="s">
        <v>485</v>
      </c>
      <c r="D288" s="4" t="s">
        <v>934</v>
      </c>
      <c r="F288" s="7" t="s">
        <v>7</v>
      </c>
      <c r="G288" s="116">
        <v>1</v>
      </c>
      <c r="H288" s="2">
        <v>294</v>
      </c>
    </row>
    <row r="289" spans="1:8" s="109" customFormat="1" ht="12.95" customHeight="1" x14ac:dyDescent="0.2">
      <c r="A289" s="109" t="str">
        <f>Famille!$A$9</f>
        <v>Variflex</v>
      </c>
      <c r="B289" s="109" t="str">
        <f>Famille!$A$35</f>
        <v>TE</v>
      </c>
      <c r="C289" s="5" t="s">
        <v>486</v>
      </c>
      <c r="D289" s="4" t="s">
        <v>935</v>
      </c>
      <c r="F289" s="7" t="s">
        <v>7</v>
      </c>
      <c r="G289" s="116">
        <v>1</v>
      </c>
      <c r="H289" s="2">
        <v>295</v>
      </c>
    </row>
    <row r="290" spans="1:8" s="109" customFormat="1" ht="12.95" customHeight="1" x14ac:dyDescent="0.2">
      <c r="A290" s="109" t="str">
        <f>Famille!$A$9</f>
        <v>Variflex</v>
      </c>
      <c r="B290" s="109" t="str">
        <f>Famille!$A$35</f>
        <v>TE</v>
      </c>
      <c r="C290" s="5" t="s">
        <v>487</v>
      </c>
      <c r="D290" s="4" t="s">
        <v>936</v>
      </c>
      <c r="F290" s="7" t="s">
        <v>7</v>
      </c>
      <c r="G290" s="116">
        <v>1</v>
      </c>
      <c r="H290" s="2">
        <v>296</v>
      </c>
    </row>
    <row r="291" spans="1:8" s="109" customFormat="1" ht="12.95" customHeight="1" x14ac:dyDescent="0.2">
      <c r="A291" s="109" t="str">
        <f>Famille!$A$9</f>
        <v>Variflex</v>
      </c>
      <c r="B291" s="109" t="str">
        <f>Famille!$A$35</f>
        <v>TE</v>
      </c>
      <c r="C291" s="5" t="s">
        <v>488</v>
      </c>
      <c r="D291" s="4" t="s">
        <v>937</v>
      </c>
      <c r="F291" s="7" t="s">
        <v>7</v>
      </c>
      <c r="G291" s="116">
        <v>1</v>
      </c>
      <c r="H291" s="2">
        <v>297</v>
      </c>
    </row>
    <row r="292" spans="1:8" s="109" customFormat="1" ht="12.95" customHeight="1" x14ac:dyDescent="0.2">
      <c r="A292" s="109" t="str">
        <f>Famille!$A$9</f>
        <v>Variflex</v>
      </c>
      <c r="B292" s="109" t="str">
        <f>Famille!$A$35</f>
        <v>TE</v>
      </c>
      <c r="C292" s="5" t="s">
        <v>489</v>
      </c>
      <c r="D292" s="4" t="s">
        <v>938</v>
      </c>
      <c r="F292" s="7" t="s">
        <v>7</v>
      </c>
      <c r="G292" s="116">
        <v>1</v>
      </c>
      <c r="H292" s="2">
        <v>298</v>
      </c>
    </row>
    <row r="293" spans="1:8" s="109" customFormat="1" ht="12.95" customHeight="1" x14ac:dyDescent="0.2">
      <c r="A293" s="109" t="str">
        <f>Famille!$A$9</f>
        <v>Variflex</v>
      </c>
      <c r="B293" s="109" t="str">
        <f>Famille!$A$36</f>
        <v>TE Semi-auto</v>
      </c>
      <c r="C293" s="5" t="s">
        <v>490</v>
      </c>
      <c r="D293" s="4" t="s">
        <v>939</v>
      </c>
      <c r="F293" s="7" t="s">
        <v>7</v>
      </c>
      <c r="G293" s="116">
        <v>1</v>
      </c>
      <c r="H293" s="2">
        <v>299</v>
      </c>
    </row>
    <row r="294" spans="1:8" s="109" customFormat="1" ht="12.95" customHeight="1" x14ac:dyDescent="0.2">
      <c r="A294" s="109" t="str">
        <f>Famille!$A$9</f>
        <v>Variflex</v>
      </c>
      <c r="B294" s="109" t="str">
        <f>Famille!$A$36</f>
        <v>TE Semi-auto</v>
      </c>
      <c r="C294" s="5" t="s">
        <v>491</v>
      </c>
      <c r="D294" s="4" t="s">
        <v>940</v>
      </c>
      <c r="F294" s="7" t="s">
        <v>7</v>
      </c>
      <c r="G294" s="116">
        <v>1</v>
      </c>
      <c r="H294" s="2">
        <v>300</v>
      </c>
    </row>
    <row r="295" spans="1:8" s="109" customFormat="1" ht="12.95" customHeight="1" x14ac:dyDescent="0.2">
      <c r="A295" s="109" t="str">
        <f>Famille!$A$9</f>
        <v>Variflex</v>
      </c>
      <c r="B295" s="109" t="str">
        <f>Famille!$A$36</f>
        <v>TE Semi-auto</v>
      </c>
      <c r="C295" s="5" t="s">
        <v>492</v>
      </c>
      <c r="D295" s="4" t="s">
        <v>941</v>
      </c>
      <c r="F295" s="7" t="s">
        <v>7</v>
      </c>
      <c r="G295" s="116">
        <v>1</v>
      </c>
      <c r="H295" s="2">
        <v>301</v>
      </c>
    </row>
    <row r="296" spans="1:8" s="109" customFormat="1" ht="12.95" customHeight="1" x14ac:dyDescent="0.2">
      <c r="A296" s="109" t="str">
        <f>Famille!$A$9</f>
        <v>Variflex</v>
      </c>
      <c r="B296" s="109" t="str">
        <f>Famille!$A$37</f>
        <v>TEF</v>
      </c>
      <c r="C296" s="5" t="s">
        <v>493</v>
      </c>
      <c r="D296" s="4" t="s">
        <v>942</v>
      </c>
      <c r="F296" s="7" t="s">
        <v>7</v>
      </c>
      <c r="G296" s="116">
        <v>1</v>
      </c>
      <c r="H296" s="2">
        <v>302</v>
      </c>
    </row>
    <row r="297" spans="1:8" s="109" customFormat="1" ht="12.95" customHeight="1" x14ac:dyDescent="0.2">
      <c r="A297" s="109" t="str">
        <f>Famille!$A$9</f>
        <v>Variflex</v>
      </c>
      <c r="B297" s="109" t="str">
        <f>Famille!$A$37</f>
        <v>TEF</v>
      </c>
      <c r="C297" s="5" t="s">
        <v>494</v>
      </c>
      <c r="D297" s="4" t="s">
        <v>943</v>
      </c>
      <c r="F297" s="7" t="s">
        <v>7</v>
      </c>
      <c r="G297" s="116">
        <v>1</v>
      </c>
      <c r="H297" s="2">
        <v>303</v>
      </c>
    </row>
    <row r="298" spans="1:8" s="109" customFormat="1" ht="12.95" customHeight="1" x14ac:dyDescent="0.2">
      <c r="A298" s="109" t="str">
        <f>Famille!$A$9</f>
        <v>Variflex</v>
      </c>
      <c r="B298" s="109" t="str">
        <f>Famille!$A$37</f>
        <v>TEF</v>
      </c>
      <c r="C298" s="5" t="s">
        <v>495</v>
      </c>
      <c r="D298" s="4" t="s">
        <v>944</v>
      </c>
      <c r="F298" s="7" t="s">
        <v>7</v>
      </c>
      <c r="G298" s="116">
        <v>1</v>
      </c>
      <c r="H298" s="2">
        <v>304</v>
      </c>
    </row>
    <row r="299" spans="1:8" s="109" customFormat="1" ht="12.95" customHeight="1" x14ac:dyDescent="0.2">
      <c r="A299" s="109" t="str">
        <f>Famille!$A$9</f>
        <v>Variflex</v>
      </c>
      <c r="B299" s="109" t="str">
        <f>Famille!$A$37</f>
        <v>TEF</v>
      </c>
      <c r="C299" s="5" t="s">
        <v>496</v>
      </c>
      <c r="D299" s="4" t="s">
        <v>945</v>
      </c>
      <c r="F299" s="7" t="s">
        <v>7</v>
      </c>
      <c r="G299" s="116">
        <v>1</v>
      </c>
      <c r="H299" s="2">
        <v>305</v>
      </c>
    </row>
    <row r="300" spans="1:8" s="109" customFormat="1" ht="12.95" customHeight="1" x14ac:dyDescent="0.2">
      <c r="A300" s="109" t="str">
        <f>Famille!$A$9</f>
        <v>Variflex</v>
      </c>
      <c r="B300" s="109" t="str">
        <f>Famille!$A$37</f>
        <v>TEF</v>
      </c>
      <c r="C300" s="5" t="s">
        <v>497</v>
      </c>
      <c r="D300" s="4" t="s">
        <v>946</v>
      </c>
      <c r="F300" s="7" t="s">
        <v>7</v>
      </c>
      <c r="G300" s="116">
        <v>1</v>
      </c>
      <c r="H300" s="2">
        <v>306</v>
      </c>
    </row>
    <row r="301" spans="1:8" s="109" customFormat="1" ht="12.95" customHeight="1" x14ac:dyDescent="0.2">
      <c r="A301" s="109" t="str">
        <f>Famille!$A$9</f>
        <v>Variflex</v>
      </c>
      <c r="B301" s="109" t="str">
        <f>Famille!$A$38</f>
        <v>DT/DTZ</v>
      </c>
      <c r="C301" s="5" t="s">
        <v>498</v>
      </c>
      <c r="D301" s="4" t="s">
        <v>947</v>
      </c>
      <c r="F301" s="7" t="s">
        <v>7</v>
      </c>
      <c r="G301" s="116">
        <v>1</v>
      </c>
      <c r="H301" s="2">
        <v>307</v>
      </c>
    </row>
    <row r="302" spans="1:8" s="109" customFormat="1" ht="12.95" customHeight="1" x14ac:dyDescent="0.2">
      <c r="A302" s="109" t="str">
        <f>Famille!$A$9</f>
        <v>Variflex</v>
      </c>
      <c r="B302" s="109" t="str">
        <f>Famille!$A$38</f>
        <v>DT/DTZ</v>
      </c>
      <c r="C302" s="5" t="s">
        <v>499</v>
      </c>
      <c r="D302" s="4" t="s">
        <v>948</v>
      </c>
      <c r="F302" s="7" t="s">
        <v>7</v>
      </c>
      <c r="G302" s="116">
        <v>1</v>
      </c>
      <c r="H302" s="2">
        <v>308</v>
      </c>
    </row>
    <row r="303" spans="1:8" s="109" customFormat="1" ht="12.95" customHeight="1" x14ac:dyDescent="0.2">
      <c r="A303" s="109" t="str">
        <f>Famille!$A$9</f>
        <v>Variflex</v>
      </c>
      <c r="B303" s="109" t="str">
        <f>Famille!$A$38</f>
        <v>DT/DTZ</v>
      </c>
      <c r="C303" s="5" t="s">
        <v>500</v>
      </c>
      <c r="D303" s="4" t="s">
        <v>949</v>
      </c>
      <c r="F303" s="7" t="s">
        <v>7</v>
      </c>
      <c r="G303" s="116">
        <v>1</v>
      </c>
      <c r="H303" s="2">
        <v>309</v>
      </c>
    </row>
    <row r="304" spans="1:8" s="109" customFormat="1" ht="12.95" customHeight="1" x14ac:dyDescent="0.2">
      <c r="A304" s="109" t="str">
        <f>Famille!$A$9</f>
        <v>Variflex</v>
      </c>
      <c r="B304" s="109" t="str">
        <f>Famille!$A$38</f>
        <v>DT/DTZ</v>
      </c>
      <c r="C304" s="5" t="s">
        <v>501</v>
      </c>
      <c r="D304" s="4" t="s">
        <v>950</v>
      </c>
      <c r="F304" s="7" t="s">
        <v>7</v>
      </c>
      <c r="G304" s="116">
        <v>1</v>
      </c>
      <c r="H304" s="2">
        <v>310</v>
      </c>
    </row>
    <row r="305" spans="1:8" s="109" customFormat="1" ht="12.95" customHeight="1" x14ac:dyDescent="0.2">
      <c r="A305" s="109" t="str">
        <f>Famille!$A$9</f>
        <v>Variflex</v>
      </c>
      <c r="B305" s="109" t="str">
        <f>Famille!$A$38</f>
        <v>DT/DTZ</v>
      </c>
      <c r="C305" s="5" t="s">
        <v>502</v>
      </c>
      <c r="D305" s="4" t="s">
        <v>951</v>
      </c>
      <c r="F305" s="7" t="s">
        <v>7</v>
      </c>
      <c r="G305" s="116">
        <v>1</v>
      </c>
      <c r="H305" s="2">
        <v>311</v>
      </c>
    </row>
    <row r="306" spans="1:8" s="109" customFormat="1" ht="12.95" customHeight="1" x14ac:dyDescent="0.2">
      <c r="A306" s="109" t="str">
        <f>Famille!$A$9</f>
        <v>Variflex</v>
      </c>
      <c r="B306" s="109" t="str">
        <f>Famille!$A$38</f>
        <v>DT/DTZ</v>
      </c>
      <c r="C306" s="5" t="s">
        <v>503</v>
      </c>
      <c r="D306" s="4" t="s">
        <v>952</v>
      </c>
      <c r="F306" s="7" t="s">
        <v>7</v>
      </c>
      <c r="G306" s="116">
        <v>1</v>
      </c>
      <c r="H306" s="2">
        <v>312</v>
      </c>
    </row>
    <row r="307" spans="1:8" s="109" customFormat="1" ht="12.95" customHeight="1" x14ac:dyDescent="0.2">
      <c r="A307" s="109" t="str">
        <f>Famille!$A$9</f>
        <v>Variflex</v>
      </c>
      <c r="B307" s="109" t="str">
        <f>Famille!$A$38</f>
        <v>DT/DTZ</v>
      </c>
      <c r="C307" s="5" t="s">
        <v>504</v>
      </c>
      <c r="D307" s="4" t="s">
        <v>953</v>
      </c>
      <c r="F307" s="7" t="s">
        <v>7</v>
      </c>
      <c r="G307" s="116">
        <v>1</v>
      </c>
      <c r="H307" s="2">
        <v>313</v>
      </c>
    </row>
    <row r="308" spans="1:8" s="109" customFormat="1" ht="12.95" customHeight="1" x14ac:dyDescent="0.2">
      <c r="A308" s="109" t="str">
        <f>Famille!$A$9</f>
        <v>Variflex</v>
      </c>
      <c r="B308" s="109" t="str">
        <f>Famille!$A$38</f>
        <v>DT/DTZ</v>
      </c>
      <c r="C308" s="5" t="s">
        <v>505</v>
      </c>
      <c r="D308" s="4" t="s">
        <v>954</v>
      </c>
      <c r="F308" s="7" t="s">
        <v>7</v>
      </c>
      <c r="G308" s="116">
        <v>1</v>
      </c>
      <c r="H308" s="2">
        <v>314</v>
      </c>
    </row>
    <row r="309" spans="1:8" s="109" customFormat="1" ht="12.95" customHeight="1" x14ac:dyDescent="0.2">
      <c r="A309" s="109" t="str">
        <f>Famille!$A$9</f>
        <v>Variflex</v>
      </c>
      <c r="B309" s="109" t="str">
        <f>Famille!$A$38</f>
        <v>DT/DTZ</v>
      </c>
      <c r="C309" s="5" t="s">
        <v>506</v>
      </c>
      <c r="D309" s="4" t="s">
        <v>955</v>
      </c>
      <c r="F309" s="7" t="s">
        <v>7</v>
      </c>
      <c r="G309" s="116">
        <v>1</v>
      </c>
      <c r="H309" s="2">
        <v>315</v>
      </c>
    </row>
    <row r="310" spans="1:8" s="109" customFormat="1" ht="12.95" customHeight="1" x14ac:dyDescent="0.2">
      <c r="A310" s="109" t="str">
        <f>Famille!$A$9</f>
        <v>Variflex</v>
      </c>
      <c r="B310" s="109" t="str">
        <f>Famille!$A$38</f>
        <v>DT/DTZ</v>
      </c>
      <c r="C310" s="5" t="s">
        <v>507</v>
      </c>
      <c r="D310" s="4" t="s">
        <v>956</v>
      </c>
      <c r="F310" s="7" t="s">
        <v>7</v>
      </c>
      <c r="G310" s="116">
        <v>1</v>
      </c>
      <c r="H310" s="2">
        <v>316</v>
      </c>
    </row>
    <row r="311" spans="1:8" s="109" customFormat="1" ht="12.95" customHeight="1" x14ac:dyDescent="0.2">
      <c r="A311" s="109" t="str">
        <f>Famille!$A$9</f>
        <v>Variflex</v>
      </c>
      <c r="B311" s="109" t="str">
        <f>Famille!$A$38</f>
        <v>DT/DTZ</v>
      </c>
      <c r="C311" s="5" t="s">
        <v>508</v>
      </c>
      <c r="D311" s="4" t="s">
        <v>957</v>
      </c>
      <c r="F311" s="7" t="s">
        <v>7</v>
      </c>
      <c r="G311" s="116">
        <v>1</v>
      </c>
      <c r="H311" s="2">
        <v>317</v>
      </c>
    </row>
    <row r="312" spans="1:8" s="109" customFormat="1" ht="12.95" customHeight="1" x14ac:dyDescent="0.2">
      <c r="A312" s="109" t="str">
        <f>Famille!$A$9</f>
        <v>Variflex</v>
      </c>
      <c r="B312" s="109" t="str">
        <f>Famille!$A$38</f>
        <v>DT/DTZ</v>
      </c>
      <c r="C312" s="5" t="s">
        <v>509</v>
      </c>
      <c r="D312" s="4" t="s">
        <v>958</v>
      </c>
      <c r="F312" s="7" t="s">
        <v>7</v>
      </c>
      <c r="G312" s="116">
        <v>1</v>
      </c>
      <c r="H312" s="2">
        <v>318</v>
      </c>
    </row>
    <row r="313" spans="1:8" s="109" customFormat="1" ht="12.95" customHeight="1" x14ac:dyDescent="0.2">
      <c r="A313" s="109" t="str">
        <f>Famille!$A$9</f>
        <v>Variflex</v>
      </c>
      <c r="B313" s="109" t="str">
        <f>Famille!$A$38</f>
        <v>DT/DTZ</v>
      </c>
      <c r="C313" s="5" t="s">
        <v>510</v>
      </c>
      <c r="D313" s="4" t="s">
        <v>959</v>
      </c>
      <c r="F313" s="7" t="s">
        <v>7</v>
      </c>
      <c r="G313" s="116">
        <v>1</v>
      </c>
      <c r="H313" s="2">
        <v>319</v>
      </c>
    </row>
    <row r="314" spans="1:8" s="109" customFormat="1" ht="12.95" customHeight="1" x14ac:dyDescent="0.2">
      <c r="A314" s="109" t="str">
        <f>Famille!$A$9</f>
        <v>Variflex</v>
      </c>
      <c r="B314" s="109" t="str">
        <f>Famille!$A$38</f>
        <v>DT/DTZ</v>
      </c>
      <c r="C314" s="5" t="s">
        <v>511</v>
      </c>
      <c r="D314" s="4" t="s">
        <v>960</v>
      </c>
      <c r="F314" s="7" t="s">
        <v>7</v>
      </c>
      <c r="G314" s="116">
        <v>1</v>
      </c>
      <c r="H314" s="2">
        <v>320</v>
      </c>
    </row>
    <row r="315" spans="1:8" s="109" customFormat="1" ht="12.95" customHeight="1" x14ac:dyDescent="0.2">
      <c r="A315" s="109" t="str">
        <f>Famille!$A$9</f>
        <v>Variflex</v>
      </c>
      <c r="B315" s="109" t="str">
        <f>Famille!$A$39</f>
        <v>Semi-auto Execution</v>
      </c>
      <c r="C315" s="5" t="s">
        <v>512</v>
      </c>
      <c r="D315" s="4" t="s">
        <v>961</v>
      </c>
      <c r="F315" s="7" t="s">
        <v>7</v>
      </c>
      <c r="G315" s="116">
        <v>1</v>
      </c>
      <c r="H315" s="2">
        <v>321</v>
      </c>
    </row>
    <row r="316" spans="1:8" s="109" customFormat="1" ht="12.95" customHeight="1" x14ac:dyDescent="0.2">
      <c r="A316" s="109" t="str">
        <f>Famille!$A$9</f>
        <v>Variflex</v>
      </c>
      <c r="B316" s="109" t="str">
        <f>Famille!$A$39</f>
        <v>Semi-auto Execution</v>
      </c>
      <c r="C316" s="5" t="s">
        <v>513</v>
      </c>
      <c r="D316" s="4" t="s">
        <v>962</v>
      </c>
      <c r="F316" s="7" t="s">
        <v>7</v>
      </c>
      <c r="G316" s="116">
        <v>1</v>
      </c>
      <c r="H316" s="2">
        <v>322</v>
      </c>
    </row>
    <row r="317" spans="1:8" s="109" customFormat="1" ht="12.95" customHeight="1" x14ac:dyDescent="0.2">
      <c r="A317" s="109" t="str">
        <f>Famille!$A$9</f>
        <v>Variflex</v>
      </c>
      <c r="B317" s="109" t="str">
        <f>Famille!$A$39</f>
        <v>Semi-auto Execution</v>
      </c>
      <c r="C317" s="5" t="s">
        <v>514</v>
      </c>
      <c r="D317" s="4" t="s">
        <v>963</v>
      </c>
      <c r="F317" s="7" t="s">
        <v>7</v>
      </c>
      <c r="G317" s="116">
        <v>1</v>
      </c>
      <c r="H317" s="2">
        <v>323</v>
      </c>
    </row>
    <row r="318" spans="1:8" s="109" customFormat="1" ht="12.95" customHeight="1" x14ac:dyDescent="0.2">
      <c r="A318" s="109" t="str">
        <f>Famille!$A$9</f>
        <v>Variflex</v>
      </c>
      <c r="B318" s="109" t="str">
        <f>Famille!$A$39</f>
        <v>Semi-auto Execution</v>
      </c>
      <c r="C318" s="5" t="s">
        <v>515</v>
      </c>
      <c r="D318" s="4" t="s">
        <v>964</v>
      </c>
      <c r="F318" s="7" t="s">
        <v>7</v>
      </c>
      <c r="G318" s="116">
        <v>1</v>
      </c>
      <c r="H318" s="2">
        <v>324</v>
      </c>
    </row>
    <row r="319" spans="1:8" s="109" customFormat="1" ht="12.95" customHeight="1" x14ac:dyDescent="0.2">
      <c r="A319" s="109" t="str">
        <f>Famille!$A$9</f>
        <v>Variflex</v>
      </c>
      <c r="B319" s="109" t="str">
        <f>Famille!$A$39</f>
        <v>Semi-auto Execution</v>
      </c>
      <c r="C319" s="5" t="s">
        <v>516</v>
      </c>
      <c r="D319" s="4" t="s">
        <v>965</v>
      </c>
      <c r="F319" s="7" t="s">
        <v>7</v>
      </c>
      <c r="G319" s="116">
        <v>1</v>
      </c>
      <c r="H319" s="2">
        <v>325</v>
      </c>
    </row>
    <row r="320" spans="1:8" s="109" customFormat="1" ht="12.95" customHeight="1" x14ac:dyDescent="0.2">
      <c r="A320" s="109" t="str">
        <f>Famille!$A$9</f>
        <v>Variflex</v>
      </c>
      <c r="B320" s="109" t="str">
        <f>Famille!$A$39</f>
        <v>Semi-auto Execution</v>
      </c>
      <c r="C320" s="5" t="s">
        <v>517</v>
      </c>
      <c r="D320" s="4" t="s">
        <v>966</v>
      </c>
      <c r="F320" s="7" t="s">
        <v>7</v>
      </c>
      <c r="G320" s="116">
        <v>1</v>
      </c>
      <c r="H320" s="2">
        <v>326</v>
      </c>
    </row>
    <row r="321" spans="1:8" s="109" customFormat="1" ht="12.95" customHeight="1" x14ac:dyDescent="0.2">
      <c r="A321" s="109" t="str">
        <f>Famille!$A$9</f>
        <v>Variflex</v>
      </c>
      <c r="B321" s="109" t="str">
        <f>Famille!$A$39</f>
        <v>Semi-auto Execution</v>
      </c>
      <c r="C321" s="5" t="s">
        <v>518</v>
      </c>
      <c r="D321" s="4" t="s">
        <v>967</v>
      </c>
      <c r="F321" s="7" t="s">
        <v>7</v>
      </c>
      <c r="G321" s="116">
        <v>1</v>
      </c>
      <c r="H321" s="2">
        <v>327</v>
      </c>
    </row>
    <row r="322" spans="1:8" s="109" customFormat="1" ht="12.95" customHeight="1" x14ac:dyDescent="0.2">
      <c r="A322" s="109" t="str">
        <f>Famille!$A$9</f>
        <v>Variflex</v>
      </c>
      <c r="B322" s="109" t="str">
        <f>Famille!$A$39</f>
        <v>Semi-auto Execution</v>
      </c>
      <c r="C322" s="5" t="s">
        <v>519</v>
      </c>
      <c r="D322" s="4" t="s">
        <v>968</v>
      </c>
      <c r="F322" s="7" t="s">
        <v>7</v>
      </c>
      <c r="G322" s="116">
        <v>1</v>
      </c>
      <c r="H322" s="2">
        <v>328</v>
      </c>
    </row>
    <row r="323" spans="1:8" s="109" customFormat="1" ht="12.95" customHeight="1" x14ac:dyDescent="0.2">
      <c r="A323" s="109" t="str">
        <f>Famille!$A$9</f>
        <v>Variflex</v>
      </c>
      <c r="B323" s="109" t="str">
        <f>Famille!$A$39</f>
        <v>Semi-auto Execution</v>
      </c>
      <c r="C323" s="5" t="s">
        <v>520</v>
      </c>
      <c r="D323" s="4" t="s">
        <v>969</v>
      </c>
      <c r="F323" s="7" t="s">
        <v>7</v>
      </c>
      <c r="G323" s="116">
        <v>1</v>
      </c>
      <c r="H323" s="2">
        <v>329</v>
      </c>
    </row>
    <row r="324" spans="1:8" s="109" customFormat="1" ht="12.95" customHeight="1" x14ac:dyDescent="0.2">
      <c r="A324" s="109" t="str">
        <f>Famille!$A$9</f>
        <v>Variflex</v>
      </c>
      <c r="B324" s="109" t="str">
        <f>Famille!$A$39</f>
        <v>Semi-auto Execution</v>
      </c>
      <c r="C324" s="5" t="s">
        <v>521</v>
      </c>
      <c r="D324" s="4" t="s">
        <v>970</v>
      </c>
      <c r="F324" s="7" t="s">
        <v>7</v>
      </c>
      <c r="G324" s="116">
        <v>1</v>
      </c>
      <c r="H324" s="2">
        <v>330</v>
      </c>
    </row>
    <row r="325" spans="1:8" s="109" customFormat="1" ht="12.95" customHeight="1" x14ac:dyDescent="0.2">
      <c r="A325" s="109" t="str">
        <f>Famille!$A$9</f>
        <v>Variflex</v>
      </c>
      <c r="B325" s="109" t="str">
        <f>Famille!$A$39</f>
        <v>Semi-auto Execution</v>
      </c>
      <c r="C325" s="5" t="s">
        <v>522</v>
      </c>
      <c r="D325" s="4" t="s">
        <v>971</v>
      </c>
      <c r="F325" s="7" t="s">
        <v>7</v>
      </c>
      <c r="G325" s="116">
        <v>1</v>
      </c>
      <c r="H325" s="2">
        <v>331</v>
      </c>
    </row>
    <row r="326" spans="1:8" s="109" customFormat="1" ht="12.95" customHeight="1" x14ac:dyDescent="0.2">
      <c r="A326" s="109" t="str">
        <f>Famille!$A$9</f>
        <v>Variflex</v>
      </c>
      <c r="B326" s="109" t="str">
        <f>Famille!$A$40</f>
        <v>Divers</v>
      </c>
      <c r="C326" s="5" t="s">
        <v>523</v>
      </c>
      <c r="D326" s="4" t="s">
        <v>972</v>
      </c>
      <c r="F326" s="7" t="s">
        <v>7</v>
      </c>
      <c r="G326" s="116">
        <v>1</v>
      </c>
      <c r="H326" s="2">
        <v>332</v>
      </c>
    </row>
    <row r="327" spans="1:8" s="109" customFormat="1" ht="12.95" customHeight="1" x14ac:dyDescent="0.2">
      <c r="A327" s="109" t="str">
        <f>Famille!$A$9</f>
        <v>Variflex</v>
      </c>
      <c r="B327" s="109" t="str">
        <f>Famille!$A$40</f>
        <v>Divers</v>
      </c>
      <c r="C327" s="5" t="s">
        <v>524</v>
      </c>
      <c r="D327" s="4" t="s">
        <v>973</v>
      </c>
      <c r="F327" s="7" t="s">
        <v>7</v>
      </c>
      <c r="G327" s="116">
        <v>1</v>
      </c>
      <c r="H327" s="2">
        <v>333</v>
      </c>
    </row>
    <row r="328" spans="1:8" s="109" customFormat="1" ht="12.95" customHeight="1" x14ac:dyDescent="0.2">
      <c r="A328" s="109" t="str">
        <f>Famille!$A$9</f>
        <v>Variflex</v>
      </c>
      <c r="B328" s="109" t="str">
        <f>Famille!$A$40</f>
        <v>Divers</v>
      </c>
      <c r="C328" s="5" t="s">
        <v>525</v>
      </c>
      <c r="D328" s="4" t="s">
        <v>974</v>
      </c>
      <c r="F328" s="7" t="s">
        <v>7</v>
      </c>
      <c r="G328" s="116">
        <v>1</v>
      </c>
      <c r="H328" s="2">
        <v>334</v>
      </c>
    </row>
    <row r="329" spans="1:8" s="109" customFormat="1" ht="12.95" customHeight="1" x14ac:dyDescent="0.2">
      <c r="A329" s="109" t="str">
        <f>Famille!$A$9</f>
        <v>Variflex</v>
      </c>
      <c r="B329" s="109" t="str">
        <f>Famille!$A$40</f>
        <v>Divers</v>
      </c>
      <c r="C329" s="5" t="s">
        <v>526</v>
      </c>
      <c r="D329" s="4" t="s">
        <v>975</v>
      </c>
      <c r="F329" s="7" t="s">
        <v>7</v>
      </c>
      <c r="G329" s="116">
        <v>1</v>
      </c>
      <c r="H329" s="2">
        <v>335</v>
      </c>
    </row>
    <row r="330" spans="1:8" s="109" customFormat="1" ht="12.95" customHeight="1" x14ac:dyDescent="0.2">
      <c r="A330" s="109" t="str">
        <f>Famille!$A$9</f>
        <v>Variflex</v>
      </c>
      <c r="B330" s="109" t="str">
        <f>Famille!$A$40</f>
        <v>Divers</v>
      </c>
      <c r="C330" s="5" t="s">
        <v>527</v>
      </c>
      <c r="D330" s="4" t="s">
        <v>976</v>
      </c>
      <c r="F330" s="7" t="s">
        <v>7</v>
      </c>
      <c r="G330" s="116">
        <v>1</v>
      </c>
      <c r="H330" s="2">
        <v>336</v>
      </c>
    </row>
    <row r="331" spans="1:8" s="109" customFormat="1" ht="12.95" customHeight="1" x14ac:dyDescent="0.2">
      <c r="A331" s="109" t="str">
        <f>Famille!$A$9</f>
        <v>Variflex</v>
      </c>
      <c r="B331" s="109" t="str">
        <f>Famille!$A$40</f>
        <v>Divers</v>
      </c>
      <c r="C331" s="5" t="s">
        <v>528</v>
      </c>
      <c r="D331" s="4" t="s">
        <v>977</v>
      </c>
      <c r="F331" s="7" t="s">
        <v>7</v>
      </c>
      <c r="G331" s="116">
        <v>1</v>
      </c>
      <c r="H331" s="2">
        <v>337</v>
      </c>
    </row>
    <row r="332" spans="1:8" s="109" customFormat="1" ht="12.95" customHeight="1" x14ac:dyDescent="0.2">
      <c r="A332" s="109" t="str">
        <f>Famille!$A$9</f>
        <v>Variflex</v>
      </c>
      <c r="B332" s="109" t="str">
        <f>Famille!$A$40</f>
        <v>Divers</v>
      </c>
      <c r="C332" s="5" t="s">
        <v>529</v>
      </c>
      <c r="D332" s="4" t="s">
        <v>978</v>
      </c>
      <c r="F332" s="7" t="s">
        <v>7</v>
      </c>
      <c r="G332" s="116">
        <v>1</v>
      </c>
      <c r="H332" s="2">
        <v>338</v>
      </c>
    </row>
    <row r="333" spans="1:8" s="109" customFormat="1" ht="12.95" customHeight="1" x14ac:dyDescent="0.2">
      <c r="A333" s="109" t="str">
        <f>Famille!$A$9</f>
        <v>Variflex</v>
      </c>
      <c r="B333" s="109" t="str">
        <f>Famille!$A$40</f>
        <v>Divers</v>
      </c>
      <c r="C333" s="5" t="s">
        <v>530</v>
      </c>
      <c r="D333" s="4" t="s">
        <v>979</v>
      </c>
      <c r="F333" s="7" t="s">
        <v>7</v>
      </c>
      <c r="G333" s="116">
        <v>1</v>
      </c>
      <c r="H333" s="2">
        <v>339</v>
      </c>
    </row>
    <row r="334" spans="1:8" s="109" customFormat="1" ht="12.95" customHeight="1" x14ac:dyDescent="0.2">
      <c r="A334" s="109" t="str">
        <f>Famille!$A$9</f>
        <v>Variflex</v>
      </c>
      <c r="B334" s="109" t="str">
        <f>Famille!$A$40</f>
        <v>Divers</v>
      </c>
      <c r="C334" s="5" t="s">
        <v>531</v>
      </c>
      <c r="D334" s="4" t="s">
        <v>980</v>
      </c>
      <c r="F334" s="7" t="s">
        <v>7</v>
      </c>
      <c r="G334" s="116">
        <v>1</v>
      </c>
      <c r="H334" s="2">
        <v>340</v>
      </c>
    </row>
    <row r="335" spans="1:8" s="109" customFormat="1" ht="12.95" customHeight="1" x14ac:dyDescent="0.2">
      <c r="A335" s="109" t="str">
        <f>Famille!$A$9</f>
        <v>Variflex</v>
      </c>
      <c r="B335" s="109" t="str">
        <f>Famille!$A$40</f>
        <v>Divers</v>
      </c>
      <c r="C335" s="5" t="s">
        <v>532</v>
      </c>
      <c r="D335" s="4" t="s">
        <v>981</v>
      </c>
      <c r="F335" s="7" t="s">
        <v>7</v>
      </c>
      <c r="G335" s="116">
        <v>1</v>
      </c>
      <c r="H335" s="2">
        <v>341</v>
      </c>
    </row>
    <row r="336" spans="1:8" s="109" customFormat="1" ht="12.95" customHeight="1" x14ac:dyDescent="0.2">
      <c r="A336" s="109" t="str">
        <f>Famille!$A$9</f>
        <v>Variflex</v>
      </c>
      <c r="B336" s="109" t="str">
        <f>Famille!$A$40</f>
        <v>Divers</v>
      </c>
      <c r="C336" s="5" t="s">
        <v>533</v>
      </c>
      <c r="D336" s="4" t="s">
        <v>982</v>
      </c>
      <c r="F336" s="7" t="s">
        <v>7</v>
      </c>
      <c r="G336" s="116">
        <v>1</v>
      </c>
      <c r="H336" s="2">
        <v>342</v>
      </c>
    </row>
    <row r="337" spans="1:8" s="109" customFormat="1" ht="12.95" customHeight="1" x14ac:dyDescent="0.2">
      <c r="A337" s="109" t="str">
        <f>Famille!$A$9</f>
        <v>Variflex</v>
      </c>
      <c r="B337" s="109" t="str">
        <f>Famille!$A$40</f>
        <v>Divers</v>
      </c>
      <c r="C337" s="5" t="s">
        <v>534</v>
      </c>
      <c r="D337" s="4" t="s">
        <v>983</v>
      </c>
      <c r="F337" s="7" t="s">
        <v>7</v>
      </c>
      <c r="G337" s="116">
        <v>1</v>
      </c>
      <c r="H337" s="2">
        <v>343</v>
      </c>
    </row>
    <row r="338" spans="1:8" s="109" customFormat="1" ht="12.95" customHeight="1" x14ac:dyDescent="0.2">
      <c r="A338" s="109" t="str">
        <f>Famille!$A$9</f>
        <v>Variflex</v>
      </c>
      <c r="B338" s="109" t="str">
        <f>Famille!$A$40</f>
        <v>Divers</v>
      </c>
      <c r="C338" s="5" t="s">
        <v>535</v>
      </c>
      <c r="D338" s="4" t="s">
        <v>984</v>
      </c>
      <c r="F338" s="7" t="s">
        <v>7</v>
      </c>
      <c r="G338" s="116">
        <v>1</v>
      </c>
      <c r="H338" s="2">
        <v>344</v>
      </c>
    </row>
    <row r="339" spans="1:8" s="109" customFormat="1" ht="12.95" customHeight="1" x14ac:dyDescent="0.2">
      <c r="A339" s="109" t="str">
        <f>Famille!$A$9</f>
        <v>Variflex</v>
      </c>
      <c r="B339" s="109" t="str">
        <f>Famille!$A$40</f>
        <v>Divers</v>
      </c>
      <c r="C339" s="5" t="s">
        <v>536</v>
      </c>
      <c r="D339" s="4" t="s">
        <v>985</v>
      </c>
      <c r="F339" s="7" t="s">
        <v>7</v>
      </c>
      <c r="G339" s="116">
        <v>1</v>
      </c>
      <c r="H339" s="2">
        <v>345</v>
      </c>
    </row>
    <row r="340" spans="1:8" s="109" customFormat="1" ht="12.95" customHeight="1" x14ac:dyDescent="0.2">
      <c r="A340" s="109" t="str">
        <f>Famille!$A$9</f>
        <v>Variflex</v>
      </c>
      <c r="B340" s="109" t="str">
        <f>Famille!$A$40</f>
        <v>Divers</v>
      </c>
      <c r="C340" s="5" t="s">
        <v>537</v>
      </c>
      <c r="D340" s="4" t="s">
        <v>986</v>
      </c>
      <c r="F340" s="7" t="s">
        <v>7</v>
      </c>
      <c r="G340" s="116">
        <v>1</v>
      </c>
      <c r="H340" s="2">
        <v>346</v>
      </c>
    </row>
    <row r="341" spans="1:8" s="109" customFormat="1" ht="12.95" customHeight="1" x14ac:dyDescent="0.2">
      <c r="A341" s="109" t="str">
        <f>Famille!$A$9</f>
        <v>Variflex</v>
      </c>
      <c r="B341" s="109" t="str">
        <f>Famille!$A$40</f>
        <v>Divers</v>
      </c>
      <c r="C341" s="5" t="s">
        <v>538</v>
      </c>
      <c r="D341" s="4" t="s">
        <v>987</v>
      </c>
      <c r="F341" s="7" t="s">
        <v>7</v>
      </c>
      <c r="G341" s="116">
        <v>1</v>
      </c>
      <c r="H341" s="2">
        <v>347</v>
      </c>
    </row>
    <row r="342" spans="1:8" s="109" customFormat="1" ht="12.95" customHeight="1" x14ac:dyDescent="0.2">
      <c r="A342" s="109" t="str">
        <f>Famille!$A$9</f>
        <v>Variflex</v>
      </c>
      <c r="B342" s="109" t="str">
        <f>Famille!$A$40</f>
        <v>Divers</v>
      </c>
      <c r="C342" s="5" t="s">
        <v>539</v>
      </c>
      <c r="D342" s="4" t="s">
        <v>988</v>
      </c>
      <c r="F342" s="7" t="s">
        <v>7</v>
      </c>
      <c r="G342" s="116">
        <v>1</v>
      </c>
      <c r="H342" s="2">
        <v>348</v>
      </c>
    </row>
    <row r="343" spans="1:8" s="109" customFormat="1" ht="12.95" customHeight="1" x14ac:dyDescent="0.2">
      <c r="A343" s="109" t="str">
        <f>Famille!$A$9</f>
        <v>Variflex</v>
      </c>
      <c r="B343" s="109" t="str">
        <f>Famille!$A$40</f>
        <v>Divers</v>
      </c>
      <c r="C343" s="5" t="s">
        <v>540</v>
      </c>
      <c r="D343" s="4" t="s">
        <v>989</v>
      </c>
      <c r="F343" s="7" t="s">
        <v>7</v>
      </c>
      <c r="G343" s="116">
        <v>1</v>
      </c>
      <c r="H343" s="2">
        <v>349</v>
      </c>
    </row>
    <row r="344" spans="1:8" s="109" customFormat="1" ht="12.95" customHeight="1" x14ac:dyDescent="0.2">
      <c r="A344" s="109" t="str">
        <f>Famille!$A$10</f>
        <v>ComfortDrive</v>
      </c>
      <c r="B344" s="109" t="str">
        <f>Famille!$A$41</f>
        <v>Ceiling Track</v>
      </c>
      <c r="C344" s="5" t="s">
        <v>541</v>
      </c>
      <c r="D344" s="4" t="s">
        <v>990</v>
      </c>
      <c r="F344" s="7" t="s">
        <v>7</v>
      </c>
      <c r="G344" s="116">
        <v>1</v>
      </c>
      <c r="H344" s="2">
        <v>350</v>
      </c>
    </row>
    <row r="345" spans="1:8" s="109" customFormat="1" ht="12.95" customHeight="1" x14ac:dyDescent="0.2">
      <c r="A345" s="109" t="str">
        <f>Famille!$A$10</f>
        <v>ComfortDrive</v>
      </c>
      <c r="B345" s="109" t="str">
        <f>Famille!$A$41</f>
        <v>Ceiling Track</v>
      </c>
      <c r="C345" s="5" t="s">
        <v>542</v>
      </c>
      <c r="D345" s="4" t="s">
        <v>991</v>
      </c>
      <c r="F345" s="7" t="s">
        <v>7</v>
      </c>
      <c r="G345" s="116">
        <v>1</v>
      </c>
      <c r="H345" s="2">
        <v>351</v>
      </c>
    </row>
    <row r="346" spans="1:8" s="109" customFormat="1" ht="12.95" customHeight="1" x14ac:dyDescent="0.2">
      <c r="A346" s="109" t="str">
        <f>Famille!$A$10</f>
        <v>ComfortDrive</v>
      </c>
      <c r="B346" s="109" t="str">
        <f>Famille!$A$41</f>
        <v>Ceiling Track</v>
      </c>
      <c r="C346" s="5" t="s">
        <v>543</v>
      </c>
      <c r="D346" s="4" t="s">
        <v>992</v>
      </c>
      <c r="F346" s="7" t="s">
        <v>7</v>
      </c>
      <c r="G346" s="116">
        <v>1</v>
      </c>
      <c r="H346" s="2">
        <v>352</v>
      </c>
    </row>
    <row r="347" spans="1:8" s="109" customFormat="1" ht="12.95" customHeight="1" x14ac:dyDescent="0.2">
      <c r="A347" s="109" t="str">
        <f>Famille!$A$10</f>
        <v>ComfortDrive</v>
      </c>
      <c r="B347" s="109" t="str">
        <f>Famille!$A$41</f>
        <v>Ceiling Track</v>
      </c>
      <c r="C347" s="5" t="s">
        <v>544</v>
      </c>
      <c r="D347" s="4" t="s">
        <v>993</v>
      </c>
      <c r="F347" s="7" t="s">
        <v>7</v>
      </c>
      <c r="G347" s="116">
        <v>1</v>
      </c>
      <c r="H347" s="2">
        <v>353</v>
      </c>
    </row>
    <row r="348" spans="1:8" s="109" customFormat="1" ht="12.95" customHeight="1" x14ac:dyDescent="0.2">
      <c r="A348" s="109" t="str">
        <f>Famille!$A$10</f>
        <v>ComfortDrive</v>
      </c>
      <c r="B348" s="109" t="str">
        <f>Famille!$A$41</f>
        <v>Ceiling Track</v>
      </c>
      <c r="C348" s="5" t="s">
        <v>545</v>
      </c>
      <c r="D348" s="4" t="s">
        <v>994</v>
      </c>
      <c r="F348" s="7" t="s">
        <v>7</v>
      </c>
      <c r="G348" s="116">
        <v>1</v>
      </c>
      <c r="H348" s="2">
        <v>354</v>
      </c>
    </row>
    <row r="349" spans="1:8" s="109" customFormat="1" ht="12.95" customHeight="1" x14ac:dyDescent="0.2">
      <c r="A349" s="109" t="str">
        <f>Famille!$A$10</f>
        <v>ComfortDrive</v>
      </c>
      <c r="B349" s="109" t="str">
        <f>Famille!$A$41</f>
        <v>Ceiling Track</v>
      </c>
      <c r="C349" s="5" t="s">
        <v>546</v>
      </c>
      <c r="D349" s="4" t="s">
        <v>995</v>
      </c>
      <c r="F349" s="7" t="s">
        <v>7</v>
      </c>
      <c r="G349" s="116">
        <v>1</v>
      </c>
      <c r="H349" s="2">
        <v>355</v>
      </c>
    </row>
    <row r="350" spans="1:8" s="109" customFormat="1" ht="12.95" customHeight="1" x14ac:dyDescent="0.2">
      <c r="A350" s="109" t="str">
        <f>Famille!$A$10</f>
        <v>ComfortDrive</v>
      </c>
      <c r="B350" s="109" t="str">
        <f>Famille!$A$41</f>
        <v>Ceiling Track</v>
      </c>
      <c r="C350" s="5" t="s">
        <v>547</v>
      </c>
      <c r="D350" s="4" t="s">
        <v>996</v>
      </c>
      <c r="F350" s="7" t="s">
        <v>7</v>
      </c>
      <c r="G350" s="116">
        <v>1</v>
      </c>
      <c r="H350" s="2">
        <v>356</v>
      </c>
    </row>
    <row r="351" spans="1:8" s="109" customFormat="1" ht="12.95" customHeight="1" x14ac:dyDescent="0.2">
      <c r="A351" s="109" t="str">
        <f>Famille!$A$10</f>
        <v>ComfortDrive</v>
      </c>
      <c r="B351" s="109" t="str">
        <f>Famille!$A$42</f>
        <v>Element</v>
      </c>
      <c r="C351" s="5" t="s">
        <v>548</v>
      </c>
      <c r="D351" s="4" t="s">
        <v>997</v>
      </c>
      <c r="F351" s="7" t="s">
        <v>7</v>
      </c>
      <c r="G351" s="116">
        <v>1</v>
      </c>
      <c r="H351" s="2">
        <v>357</v>
      </c>
    </row>
    <row r="352" spans="1:8" s="109" customFormat="1" ht="12.95" customHeight="1" x14ac:dyDescent="0.2">
      <c r="A352" s="109" t="str">
        <f>Famille!$A$10</f>
        <v>ComfortDrive</v>
      </c>
      <c r="B352" s="109" t="str">
        <f>Famille!$A$42</f>
        <v>Element</v>
      </c>
      <c r="C352" s="5" t="s">
        <v>549</v>
      </c>
      <c r="D352" s="4" t="s">
        <v>998</v>
      </c>
      <c r="F352" s="7" t="s">
        <v>7</v>
      </c>
      <c r="G352" s="116">
        <v>1</v>
      </c>
      <c r="H352" s="2">
        <v>358</v>
      </c>
    </row>
    <row r="353" spans="1:8" s="109" customFormat="1" ht="12.95" customHeight="1" x14ac:dyDescent="0.2">
      <c r="A353" s="109" t="str">
        <f>Famille!$A$10</f>
        <v>ComfortDrive</v>
      </c>
      <c r="B353" s="109" t="str">
        <f>Famille!$A$42</f>
        <v>Element</v>
      </c>
      <c r="C353" s="5" t="s">
        <v>550</v>
      </c>
      <c r="D353" s="4" t="s">
        <v>999</v>
      </c>
      <c r="F353" s="7" t="s">
        <v>7</v>
      </c>
      <c r="G353" s="116">
        <v>1</v>
      </c>
      <c r="H353" s="2">
        <v>359</v>
      </c>
    </row>
    <row r="354" spans="1:8" s="109" customFormat="1" ht="12.95" customHeight="1" x14ac:dyDescent="0.2">
      <c r="A354" s="109" t="str">
        <f>Famille!$A$10</f>
        <v>ComfortDrive</v>
      </c>
      <c r="B354" s="109" t="str">
        <f>Famille!$A$43</f>
        <v>Contrôle</v>
      </c>
      <c r="C354" s="5" t="s">
        <v>551</v>
      </c>
      <c r="D354" s="4" t="s">
        <v>1000</v>
      </c>
      <c r="F354" s="7" t="s">
        <v>7</v>
      </c>
      <c r="G354" s="116">
        <v>1</v>
      </c>
      <c r="H354" s="2">
        <v>360</v>
      </c>
    </row>
    <row r="355" spans="1:8" s="109" customFormat="1" ht="12.95" customHeight="1" x14ac:dyDescent="0.2">
      <c r="A355" s="109" t="str">
        <f>Famille!$A$10</f>
        <v>ComfortDrive</v>
      </c>
      <c r="B355" s="109" t="str">
        <f>Famille!$A$43</f>
        <v>Contrôle</v>
      </c>
      <c r="C355" s="5" t="s">
        <v>552</v>
      </c>
      <c r="D355" s="4" t="s">
        <v>1001</v>
      </c>
      <c r="F355" s="7" t="s">
        <v>7</v>
      </c>
      <c r="G355" s="116">
        <v>1</v>
      </c>
      <c r="H355" s="2">
        <v>361</v>
      </c>
    </row>
    <row r="356" spans="1:8" s="109" customFormat="1" ht="12.95" customHeight="1" x14ac:dyDescent="0.2">
      <c r="A356" s="109" t="str">
        <f>Famille!$A$10</f>
        <v>ComfortDrive</v>
      </c>
      <c r="B356" s="109" t="str">
        <f>Famille!$A$43</f>
        <v>Contrôle</v>
      </c>
      <c r="C356" s="5" t="s">
        <v>553</v>
      </c>
      <c r="D356" s="4" t="s">
        <v>1002</v>
      </c>
      <c r="F356" s="7" t="s">
        <v>7</v>
      </c>
      <c r="G356" s="116">
        <v>1</v>
      </c>
      <c r="H356" s="2">
        <v>362</v>
      </c>
    </row>
    <row r="357" spans="1:8" s="109" customFormat="1" ht="12.95" customHeight="1" x14ac:dyDescent="0.2">
      <c r="A357" s="109" t="str">
        <f>Famille!$A$10</f>
        <v>ComfortDrive</v>
      </c>
      <c r="B357" s="109" t="str">
        <f>Famille!$A$43</f>
        <v>Contrôle</v>
      </c>
      <c r="C357" s="5" t="s">
        <v>554</v>
      </c>
      <c r="D357" s="4" t="s">
        <v>1003</v>
      </c>
      <c r="F357" s="7" t="s">
        <v>7</v>
      </c>
      <c r="G357" s="116">
        <v>1</v>
      </c>
      <c r="H357" s="2">
        <v>363</v>
      </c>
    </row>
    <row r="358" spans="1:8" s="109" customFormat="1" ht="12.95" customHeight="1" x14ac:dyDescent="0.2">
      <c r="A358" s="109" t="str">
        <f>Famille!$A$10</f>
        <v>ComfortDrive</v>
      </c>
      <c r="B358" s="109" t="str">
        <f>Famille!$A$44</f>
        <v>Câble</v>
      </c>
      <c r="C358" s="5" t="s">
        <v>555</v>
      </c>
      <c r="D358" s="4" t="s">
        <v>1004</v>
      </c>
      <c r="F358" s="7" t="s">
        <v>7</v>
      </c>
      <c r="G358" s="116">
        <v>1</v>
      </c>
      <c r="H358" s="2">
        <v>364</v>
      </c>
    </row>
    <row r="359" spans="1:8" s="109" customFormat="1" ht="12.95" customHeight="1" x14ac:dyDescent="0.2">
      <c r="A359" s="109" t="str">
        <f>Famille!$A$10</f>
        <v>ComfortDrive</v>
      </c>
      <c r="B359" s="109" t="str">
        <f>Famille!$A$44</f>
        <v>Câble</v>
      </c>
      <c r="C359" s="5" t="s">
        <v>556</v>
      </c>
      <c r="D359" s="4" t="s">
        <v>1005</v>
      </c>
      <c r="F359" s="7" t="s">
        <v>7</v>
      </c>
      <c r="G359" s="116">
        <v>1</v>
      </c>
      <c r="H359" s="2">
        <v>365</v>
      </c>
    </row>
    <row r="360" spans="1:8" s="109" customFormat="1" ht="12.95" customHeight="1" x14ac:dyDescent="0.2">
      <c r="A360" s="109" t="str">
        <f>Famille!$A$10</f>
        <v>ComfortDrive</v>
      </c>
      <c r="B360" s="109" t="str">
        <f>Famille!$A$44</f>
        <v>Câble</v>
      </c>
      <c r="C360" s="5" t="s">
        <v>557</v>
      </c>
      <c r="D360" s="4" t="s">
        <v>1006</v>
      </c>
      <c r="F360" s="7" t="s">
        <v>7</v>
      </c>
      <c r="G360" s="116">
        <v>1</v>
      </c>
      <c r="H360" s="2">
        <v>366</v>
      </c>
    </row>
    <row r="361" spans="1:8" s="109" customFormat="1" ht="12.95" customHeight="1" x14ac:dyDescent="0.2">
      <c r="A361" s="109" t="str">
        <f>Famille!$A$10</f>
        <v>ComfortDrive</v>
      </c>
      <c r="B361" s="109" t="str">
        <f>Famille!$A$44</f>
        <v>Câble</v>
      </c>
      <c r="C361" s="5" t="s">
        <v>558</v>
      </c>
      <c r="D361" s="4" t="s">
        <v>1007</v>
      </c>
      <c r="F361" s="7" t="s">
        <v>7</v>
      </c>
      <c r="G361" s="116">
        <v>1</v>
      </c>
      <c r="H361" s="2">
        <v>367</v>
      </c>
    </row>
    <row r="362" spans="1:8" s="109" customFormat="1" ht="12.95" customHeight="1" x14ac:dyDescent="0.2">
      <c r="A362" s="109" t="str">
        <f>Famille!$A$10</f>
        <v>ComfortDrive</v>
      </c>
      <c r="B362" s="109" t="str">
        <f>Famille!$A$44</f>
        <v>Câble</v>
      </c>
      <c r="C362" s="5" t="s">
        <v>559</v>
      </c>
      <c r="D362" s="4" t="s">
        <v>1008</v>
      </c>
      <c r="F362" s="7" t="s">
        <v>7</v>
      </c>
      <c r="G362" s="116">
        <v>1</v>
      </c>
      <c r="H362" s="2">
        <v>368</v>
      </c>
    </row>
    <row r="363" spans="1:8" s="109" customFormat="1" ht="12.95" customHeight="1" x14ac:dyDescent="0.2">
      <c r="A363" s="109" t="str">
        <f>Famille!$A$10</f>
        <v>ComfortDrive</v>
      </c>
      <c r="B363" s="109" t="str">
        <f>Famille!$A$44</f>
        <v>Câble</v>
      </c>
      <c r="C363" s="5" t="s">
        <v>560</v>
      </c>
      <c r="D363" s="4" t="s">
        <v>1009</v>
      </c>
      <c r="F363" s="7" t="s">
        <v>7</v>
      </c>
      <c r="G363" s="116">
        <v>1</v>
      </c>
      <c r="H363" s="2">
        <v>369</v>
      </c>
    </row>
    <row r="364" spans="1:8" s="109" customFormat="1" ht="12.95" customHeight="1" x14ac:dyDescent="0.2">
      <c r="A364" s="109" t="str">
        <f>Famille!$A$10</f>
        <v>ComfortDrive</v>
      </c>
      <c r="B364" s="109" t="str">
        <f>Famille!$A$44</f>
        <v>Câble</v>
      </c>
      <c r="C364" s="5" t="s">
        <v>561</v>
      </c>
      <c r="D364" s="4" t="s">
        <v>1010</v>
      </c>
      <c r="F364" s="7" t="s">
        <v>7</v>
      </c>
      <c r="G364" s="116">
        <v>1</v>
      </c>
      <c r="H364" s="2">
        <v>370</v>
      </c>
    </row>
    <row r="365" spans="1:8" s="109" customFormat="1" ht="12.95" customHeight="1" x14ac:dyDescent="0.2">
      <c r="A365" s="109" t="str">
        <f>Famille!$A$10</f>
        <v>ComfortDrive</v>
      </c>
      <c r="B365" s="109" t="str">
        <f>Famille!$A$44</f>
        <v>Câble</v>
      </c>
      <c r="C365" s="5" t="s">
        <v>562</v>
      </c>
      <c r="D365" s="4" t="s">
        <v>1011</v>
      </c>
      <c r="F365" s="7" t="s">
        <v>7</v>
      </c>
      <c r="G365" s="116">
        <v>1</v>
      </c>
      <c r="H365" s="2">
        <v>371</v>
      </c>
    </row>
    <row r="366" spans="1:8" s="109" customFormat="1" ht="12.95" customHeight="1" x14ac:dyDescent="0.2">
      <c r="A366" s="109" t="str">
        <f>Famille!$A$10</f>
        <v>ComfortDrive</v>
      </c>
      <c r="B366" s="109" t="str">
        <f>Famille!$A$44</f>
        <v>Câble</v>
      </c>
      <c r="C366" s="5" t="s">
        <v>563</v>
      </c>
      <c r="D366" s="4" t="s">
        <v>1012</v>
      </c>
      <c r="F366" s="7" t="s">
        <v>7</v>
      </c>
      <c r="G366" s="116">
        <v>1</v>
      </c>
      <c r="H366" s="2">
        <v>372</v>
      </c>
    </row>
    <row r="367" spans="1:8" s="109" customFormat="1" ht="12.95" customHeight="1" x14ac:dyDescent="0.2">
      <c r="A367" s="109" t="str">
        <f>Famille!$A$10</f>
        <v>ComfortDrive</v>
      </c>
      <c r="B367" s="109" t="str">
        <f>Famille!$A$44</f>
        <v>Câble</v>
      </c>
      <c r="C367" s="5" t="s">
        <v>564</v>
      </c>
      <c r="D367" s="4" t="s">
        <v>1013</v>
      </c>
      <c r="F367" s="7" t="s">
        <v>7</v>
      </c>
      <c r="G367" s="116">
        <v>1</v>
      </c>
      <c r="H367" s="2">
        <v>373</v>
      </c>
    </row>
    <row r="368" spans="1:8" s="109" customFormat="1" ht="12.95" customHeight="1" x14ac:dyDescent="0.2">
      <c r="A368" s="109" t="str">
        <f>Famille!$A$10</f>
        <v>ComfortDrive</v>
      </c>
      <c r="B368" s="109" t="str">
        <f>Famille!$A$44</f>
        <v>Câble</v>
      </c>
      <c r="C368" s="5" t="s">
        <v>565</v>
      </c>
      <c r="D368" s="4" t="s">
        <v>1014</v>
      </c>
      <c r="F368" s="7" t="s">
        <v>7</v>
      </c>
      <c r="G368" s="116">
        <v>1</v>
      </c>
      <c r="H368" s="2">
        <v>374</v>
      </c>
    </row>
    <row r="369" spans="1:8" s="109" customFormat="1" ht="12.95" customHeight="1" x14ac:dyDescent="0.2">
      <c r="A369" s="109" t="str">
        <f>Famille!$A$10</f>
        <v>ComfortDrive</v>
      </c>
      <c r="B369" s="109" t="str">
        <f>Famille!$A$44</f>
        <v>Câble</v>
      </c>
      <c r="C369" s="5" t="s">
        <v>566</v>
      </c>
      <c r="D369" s="4" t="s">
        <v>1015</v>
      </c>
      <c r="F369" s="7" t="s">
        <v>7</v>
      </c>
      <c r="G369" s="116">
        <v>1</v>
      </c>
      <c r="H369" s="2">
        <v>375</v>
      </c>
    </row>
    <row r="370" spans="1:8" s="109" customFormat="1" ht="12.95" customHeight="1" x14ac:dyDescent="0.2">
      <c r="A370" s="109" t="str">
        <f>Famille!$A$10</f>
        <v>ComfortDrive</v>
      </c>
      <c r="B370" s="109" t="str">
        <f>Famille!$A$44</f>
        <v>Câble</v>
      </c>
      <c r="C370" s="5" t="s">
        <v>567</v>
      </c>
      <c r="D370" s="4" t="s">
        <v>1016</v>
      </c>
      <c r="F370" s="7" t="s">
        <v>7</v>
      </c>
      <c r="G370" s="116">
        <v>1</v>
      </c>
      <c r="H370" s="2">
        <v>376</v>
      </c>
    </row>
    <row r="371" spans="1:8" s="109" customFormat="1" ht="12.95" customHeight="1" x14ac:dyDescent="0.2">
      <c r="A371" s="109" t="str">
        <f>Famille!$A$10</f>
        <v>ComfortDrive</v>
      </c>
      <c r="B371" s="109" t="str">
        <f>Famille!$A$44</f>
        <v>Câble</v>
      </c>
      <c r="C371" s="5" t="s">
        <v>568</v>
      </c>
      <c r="D371" s="4" t="s">
        <v>1017</v>
      </c>
      <c r="F371" s="7" t="s">
        <v>7</v>
      </c>
      <c r="G371" s="116">
        <v>1</v>
      </c>
      <c r="H371" s="2">
        <v>377</v>
      </c>
    </row>
    <row r="372" spans="1:8" s="109" customFormat="1" ht="12.95" customHeight="1" x14ac:dyDescent="0.2">
      <c r="A372" s="109" t="str">
        <f>Famille!$A$10</f>
        <v>ComfortDrive</v>
      </c>
      <c r="B372" s="109" t="str">
        <f>Famille!$A$44</f>
        <v>Câble</v>
      </c>
      <c r="C372" s="5" t="s">
        <v>569</v>
      </c>
      <c r="D372" s="4" t="s">
        <v>1018</v>
      </c>
      <c r="F372" s="7" t="s">
        <v>7</v>
      </c>
      <c r="G372" s="116">
        <v>1</v>
      </c>
      <c r="H372" s="2">
        <v>378</v>
      </c>
    </row>
    <row r="373" spans="1:8" s="109" customFormat="1" ht="12.95" customHeight="1" x14ac:dyDescent="0.2">
      <c r="A373" s="109" t="str">
        <f>Famille!$A$10</f>
        <v>ComfortDrive</v>
      </c>
      <c r="B373" s="109" t="str">
        <f>Famille!$A$45</f>
        <v>Outils</v>
      </c>
      <c r="C373" s="5" t="s">
        <v>570</v>
      </c>
      <c r="D373" s="4" t="s">
        <v>1019</v>
      </c>
      <c r="F373" s="7" t="s">
        <v>7</v>
      </c>
      <c r="G373" s="116">
        <v>1</v>
      </c>
      <c r="H373" s="2">
        <v>379</v>
      </c>
    </row>
    <row r="374" spans="1:8" s="109" customFormat="1" ht="12.95" customHeight="1" x14ac:dyDescent="0.2">
      <c r="A374" s="109" t="str">
        <f>Famille!$A$10</f>
        <v>ComfortDrive</v>
      </c>
      <c r="B374" s="109" t="str">
        <f>Famille!$A$45</f>
        <v>Outils</v>
      </c>
      <c r="C374" s="5" t="s">
        <v>571</v>
      </c>
      <c r="D374" s="4" t="s">
        <v>1020</v>
      </c>
      <c r="F374" s="7" t="s">
        <v>7</v>
      </c>
      <c r="G374" s="116">
        <v>1</v>
      </c>
      <c r="H374" s="2">
        <v>380</v>
      </c>
    </row>
    <row r="375" spans="1:8" s="109" customFormat="1" ht="12.95" customHeight="1" x14ac:dyDescent="0.2">
      <c r="A375" s="109" t="str">
        <f>Famille!$A$10</f>
        <v>ComfortDrive</v>
      </c>
      <c r="B375" s="109" t="str">
        <f>Famille!$A$45</f>
        <v>Outils</v>
      </c>
      <c r="C375" s="5" t="s">
        <v>572</v>
      </c>
      <c r="D375" s="4" t="s">
        <v>1021</v>
      </c>
      <c r="F375" s="7" t="s">
        <v>7</v>
      </c>
      <c r="G375" s="116">
        <v>1</v>
      </c>
      <c r="H375" s="2">
        <v>381</v>
      </c>
    </row>
    <row r="376" spans="1:8" s="109" customFormat="1" ht="12.95" customHeight="1" x14ac:dyDescent="0.2">
      <c r="A376" s="109" t="str">
        <f>Famille!$A$10</f>
        <v>ComfortDrive</v>
      </c>
      <c r="B376" s="109" t="str">
        <f>Famille!$A$46</f>
        <v>Variflex</v>
      </c>
      <c r="C376" s="5" t="s">
        <v>573</v>
      </c>
      <c r="D376" s="4" t="s">
        <v>1022</v>
      </c>
      <c r="F376" s="7" t="s">
        <v>7</v>
      </c>
      <c r="G376" s="116">
        <v>1</v>
      </c>
      <c r="H376" s="2">
        <v>382</v>
      </c>
    </row>
    <row r="377" spans="1:8" s="109" customFormat="1" ht="12.95" customHeight="1" x14ac:dyDescent="0.2">
      <c r="A377" s="109" t="str">
        <f>Famille!$A$10</f>
        <v>ComfortDrive</v>
      </c>
      <c r="B377" s="109" t="str">
        <f>Famille!$A$46</f>
        <v>Variflex</v>
      </c>
      <c r="C377" s="5" t="s">
        <v>574</v>
      </c>
      <c r="D377" s="4" t="s">
        <v>1023</v>
      </c>
      <c r="F377" s="7" t="s">
        <v>7</v>
      </c>
      <c r="G377" s="116">
        <v>1</v>
      </c>
      <c r="H377" s="2">
        <v>383</v>
      </c>
    </row>
    <row r="378" spans="1:8" s="109" customFormat="1" ht="12.95" customHeight="1" x14ac:dyDescent="0.2">
      <c r="A378" s="109" t="str">
        <f>Famille!$A$10</f>
        <v>ComfortDrive</v>
      </c>
      <c r="B378" s="109" t="str">
        <f>Famille!$A$46</f>
        <v>Variflex</v>
      </c>
      <c r="C378" s="5" t="s">
        <v>575</v>
      </c>
      <c r="D378" s="4" t="s">
        <v>1024</v>
      </c>
      <c r="F378" s="7" t="s">
        <v>7</v>
      </c>
      <c r="G378" s="116">
        <v>1</v>
      </c>
      <c r="H378" s="2">
        <v>384</v>
      </c>
    </row>
    <row r="379" spans="1:8" s="109" customFormat="1" ht="12.95" customHeight="1" x14ac:dyDescent="0.2">
      <c r="A379" s="109" t="str">
        <f>Famille!$A$10</f>
        <v>ComfortDrive</v>
      </c>
      <c r="B379" s="109" t="str">
        <f>Famille!$A$46</f>
        <v>Variflex</v>
      </c>
      <c r="C379" s="5" t="s">
        <v>576</v>
      </c>
      <c r="D379" s="4" t="s">
        <v>1025</v>
      </c>
      <c r="F379" s="7" t="s">
        <v>7</v>
      </c>
      <c r="G379" s="116">
        <v>1</v>
      </c>
      <c r="H379" s="2">
        <v>385</v>
      </c>
    </row>
    <row r="380" spans="1:8" s="109" customFormat="1" ht="12.95" customHeight="1" x14ac:dyDescent="0.2">
      <c r="A380" s="109" t="str">
        <f>Famille!$A$10</f>
        <v>ComfortDrive</v>
      </c>
      <c r="B380" s="109" t="str">
        <f>Famille!$A$46</f>
        <v>Variflex</v>
      </c>
      <c r="C380" s="5" t="s">
        <v>577</v>
      </c>
      <c r="D380" s="4" t="s">
        <v>1026</v>
      </c>
      <c r="F380" s="7" t="s">
        <v>7</v>
      </c>
      <c r="G380" s="116">
        <v>1</v>
      </c>
      <c r="H380" s="2">
        <v>386</v>
      </c>
    </row>
    <row r="381" spans="1:8" s="109" customFormat="1" ht="12.95" customHeight="1" x14ac:dyDescent="0.2">
      <c r="A381" s="109" t="str">
        <f>Famille!$A$10</f>
        <v>ComfortDrive</v>
      </c>
      <c r="B381" s="109" t="str">
        <f>Famille!$A$46</f>
        <v>Variflex</v>
      </c>
      <c r="C381" s="5" t="s">
        <v>578</v>
      </c>
      <c r="D381" s="4" t="s">
        <v>1027</v>
      </c>
      <c r="F381" s="7" t="s">
        <v>7</v>
      </c>
      <c r="G381" s="116">
        <v>1</v>
      </c>
      <c r="H381" s="2">
        <v>387</v>
      </c>
    </row>
    <row r="382" spans="1:8" s="109" customFormat="1" ht="12.95" customHeight="1" x14ac:dyDescent="0.2">
      <c r="A382" s="109" t="str">
        <f>Famille!$A$10</f>
        <v>ComfortDrive</v>
      </c>
      <c r="B382" s="109" t="str">
        <f>Famille!$A$46</f>
        <v>Variflex</v>
      </c>
      <c r="C382" s="5" t="s">
        <v>579</v>
      </c>
      <c r="D382" s="4" t="s">
        <v>1028</v>
      </c>
      <c r="F382" s="7" t="s">
        <v>7</v>
      </c>
      <c r="G382" s="116">
        <v>1</v>
      </c>
      <c r="H382" s="2">
        <v>388</v>
      </c>
    </row>
    <row r="383" spans="1:8" s="109" customFormat="1" ht="12.95" customHeight="1" x14ac:dyDescent="0.2">
      <c r="A383" s="109" t="str">
        <f>Famille!$A$10</f>
        <v>ComfortDrive</v>
      </c>
      <c r="B383" s="109" t="str">
        <f>Famille!$A$46</f>
        <v>Variflex</v>
      </c>
      <c r="C383" s="5" t="s">
        <v>580</v>
      </c>
      <c r="D383" s="4" t="s">
        <v>1029</v>
      </c>
      <c r="F383" s="7" t="s">
        <v>7</v>
      </c>
      <c r="G383" s="116">
        <v>1</v>
      </c>
      <c r="H383" s="2">
        <v>389</v>
      </c>
    </row>
    <row r="384" spans="1:8" s="109" customFormat="1" ht="12.95" customHeight="1" x14ac:dyDescent="0.2">
      <c r="A384" s="109" t="str">
        <f>Famille!$A$10</f>
        <v>ComfortDrive</v>
      </c>
      <c r="B384" s="109" t="str">
        <f>Famille!$A$47</f>
        <v>Moveo</v>
      </c>
      <c r="C384" s="5" t="s">
        <v>581</v>
      </c>
      <c r="D384" s="4" t="s">
        <v>1030</v>
      </c>
      <c r="F384" s="7" t="s">
        <v>7</v>
      </c>
      <c r="G384" s="116">
        <v>1</v>
      </c>
      <c r="H384" s="2">
        <v>390</v>
      </c>
    </row>
    <row r="385" spans="1:8" s="109" customFormat="1" ht="12.95" customHeight="1" x14ac:dyDescent="0.2">
      <c r="A385" s="109" t="str">
        <f>Famille!$A$10</f>
        <v>ComfortDrive</v>
      </c>
      <c r="B385" s="109" t="str">
        <f>Famille!$A$47</f>
        <v>Moveo</v>
      </c>
      <c r="C385" s="5" t="s">
        <v>582</v>
      </c>
      <c r="D385" s="4" t="s">
        <v>1031</v>
      </c>
      <c r="F385" s="7" t="s">
        <v>7</v>
      </c>
      <c r="G385" s="116">
        <v>1</v>
      </c>
      <c r="H385" s="2">
        <v>391</v>
      </c>
    </row>
    <row r="386" spans="1:8" s="109" customFormat="1" ht="12.95" customHeight="1" x14ac:dyDescent="0.2">
      <c r="A386" s="109" t="str">
        <f>Famille!$A$10</f>
        <v>ComfortDrive</v>
      </c>
      <c r="B386" s="109" t="str">
        <f>Famille!$A$47</f>
        <v>Moveo</v>
      </c>
      <c r="C386" s="5" t="s">
        <v>583</v>
      </c>
      <c r="D386" s="4" t="s">
        <v>1032</v>
      </c>
      <c r="F386" s="7" t="s">
        <v>7</v>
      </c>
      <c r="G386" s="116">
        <v>1</v>
      </c>
      <c r="H386" s="2">
        <v>392</v>
      </c>
    </row>
    <row r="387" spans="1:8" s="109" customFormat="1" ht="12.95" customHeight="1" x14ac:dyDescent="0.2">
      <c r="A387" s="109" t="str">
        <f>Famille!$A$10</f>
        <v>ComfortDrive</v>
      </c>
      <c r="B387" s="109" t="str">
        <f>Famille!$A$47</f>
        <v>Moveo</v>
      </c>
      <c r="C387" s="5" t="s">
        <v>584</v>
      </c>
      <c r="D387" s="4" t="s">
        <v>1033</v>
      </c>
      <c r="F387" s="7" t="s">
        <v>7</v>
      </c>
      <c r="G387" s="116">
        <v>1</v>
      </c>
      <c r="H387" s="2">
        <v>393</v>
      </c>
    </row>
    <row r="388" spans="1:8" s="109" customFormat="1" ht="12.95" customHeight="1" x14ac:dyDescent="0.2">
      <c r="A388" s="109" t="str">
        <f>Famille!$A$10</f>
        <v>ComfortDrive</v>
      </c>
      <c r="B388" s="109" t="str">
        <f>Famille!$A$47</f>
        <v>Moveo</v>
      </c>
      <c r="C388" s="5" t="s">
        <v>585</v>
      </c>
      <c r="D388" s="4" t="s">
        <v>1034</v>
      </c>
      <c r="F388" s="7" t="s">
        <v>7</v>
      </c>
      <c r="G388" s="116">
        <v>1</v>
      </c>
      <c r="H388" s="2">
        <v>394</v>
      </c>
    </row>
    <row r="389" spans="1:8" s="109" customFormat="1" ht="12.95" customHeight="1" x14ac:dyDescent="0.2">
      <c r="A389" s="109" t="str">
        <f>Famille!$A$10</f>
        <v>ComfortDrive</v>
      </c>
      <c r="B389" s="109" t="str">
        <f>Famille!$A$47</f>
        <v>Moveo</v>
      </c>
      <c r="C389" s="5" t="s">
        <v>586</v>
      </c>
      <c r="D389" s="4" t="s">
        <v>1035</v>
      </c>
      <c r="F389" s="7" t="s">
        <v>7</v>
      </c>
      <c r="G389" s="116">
        <v>1</v>
      </c>
      <c r="H389" s="2">
        <v>395</v>
      </c>
    </row>
    <row r="390" spans="1:8" s="109" customFormat="1" ht="12.95" customHeight="1" x14ac:dyDescent="0.2">
      <c r="A390" s="109" t="str">
        <f>Famille!$A$10</f>
        <v>ComfortDrive</v>
      </c>
      <c r="B390" s="109" t="str">
        <f>Famille!$A$47</f>
        <v>Moveo</v>
      </c>
      <c r="C390" s="5" t="s">
        <v>587</v>
      </c>
      <c r="D390" s="4" t="s">
        <v>1036</v>
      </c>
      <c r="F390" s="7" t="s">
        <v>7</v>
      </c>
      <c r="G390" s="116">
        <v>1</v>
      </c>
      <c r="H390" s="2">
        <v>396</v>
      </c>
    </row>
    <row r="391" spans="1:8" s="109" customFormat="1" ht="12.95" customHeight="1" x14ac:dyDescent="0.2">
      <c r="A391" s="109" t="str">
        <f>Famille!$A$11</f>
        <v>Varitrans</v>
      </c>
      <c r="B391" s="109" t="str">
        <f>Famille!$A$48</f>
        <v>VE</v>
      </c>
      <c r="C391" s="5" t="s">
        <v>588</v>
      </c>
      <c r="D391" s="4" t="s">
        <v>1037</v>
      </c>
      <c r="F391" s="7" t="s">
        <v>7</v>
      </c>
      <c r="G391" s="116">
        <v>1</v>
      </c>
      <c r="H391" s="2">
        <v>397</v>
      </c>
    </row>
    <row r="392" spans="1:8" s="109" customFormat="1" ht="12.95" customHeight="1" x14ac:dyDescent="0.2">
      <c r="A392" s="109" t="str">
        <f>Famille!$A$11</f>
        <v>Varitrans</v>
      </c>
      <c r="B392" s="109" t="str">
        <f>Famille!$A$48</f>
        <v>VE</v>
      </c>
      <c r="C392" s="5" t="s">
        <v>589</v>
      </c>
      <c r="D392" s="4" t="s">
        <v>1038</v>
      </c>
      <c r="F392" s="7" t="s">
        <v>7</v>
      </c>
      <c r="G392" s="116">
        <v>1</v>
      </c>
      <c r="H392" s="2">
        <v>398</v>
      </c>
    </row>
    <row r="393" spans="1:8" s="109" customFormat="1" ht="12.95" customHeight="1" x14ac:dyDescent="0.2">
      <c r="A393" s="109" t="str">
        <f>Famille!$A$11</f>
        <v>Varitrans</v>
      </c>
      <c r="B393" s="109" t="str">
        <f>Famille!$A$48</f>
        <v>VE</v>
      </c>
      <c r="C393" s="5" t="s">
        <v>590</v>
      </c>
      <c r="D393" s="4" t="s">
        <v>1039</v>
      </c>
      <c r="F393" s="7" t="s">
        <v>7</v>
      </c>
      <c r="G393" s="116">
        <v>1</v>
      </c>
      <c r="H393" s="2">
        <v>399</v>
      </c>
    </row>
    <row r="394" spans="1:8" s="109" customFormat="1" ht="12.95" customHeight="1" x14ac:dyDescent="0.2">
      <c r="A394" s="109" t="str">
        <f>Famille!$A$11</f>
        <v>Varitrans</v>
      </c>
      <c r="B394" s="109" t="str">
        <f>Famille!$A$48</f>
        <v>VE</v>
      </c>
      <c r="C394" s="5" t="s">
        <v>591</v>
      </c>
      <c r="D394" s="4" t="s">
        <v>1040</v>
      </c>
      <c r="F394" s="7" t="s">
        <v>7</v>
      </c>
      <c r="G394" s="116">
        <v>1</v>
      </c>
      <c r="H394" s="2">
        <v>400</v>
      </c>
    </row>
    <row r="395" spans="1:8" s="109" customFormat="1" ht="12.95" customHeight="1" x14ac:dyDescent="0.2">
      <c r="A395" s="109" t="str">
        <f>Famille!$A$11</f>
        <v>Varitrans</v>
      </c>
      <c r="B395" s="109" t="str">
        <f>Famille!$A$48</f>
        <v>VE</v>
      </c>
      <c r="C395" s="5" t="s">
        <v>592</v>
      </c>
      <c r="D395" s="4" t="s">
        <v>1041</v>
      </c>
      <c r="F395" s="7" t="s">
        <v>7</v>
      </c>
      <c r="G395" s="116">
        <v>1</v>
      </c>
      <c r="H395" s="2">
        <v>401</v>
      </c>
    </row>
    <row r="396" spans="1:8" s="109" customFormat="1" ht="12.95" customHeight="1" x14ac:dyDescent="0.2">
      <c r="A396" s="109" t="str">
        <f>Famille!$A$11</f>
        <v>Varitrans</v>
      </c>
      <c r="B396" s="109" t="str">
        <f>Famille!$A$48</f>
        <v>VE</v>
      </c>
      <c r="C396" s="5" t="s">
        <v>593</v>
      </c>
      <c r="D396" s="4" t="s">
        <v>1042</v>
      </c>
      <c r="F396" s="7" t="s">
        <v>7</v>
      </c>
      <c r="G396" s="116">
        <v>1</v>
      </c>
      <c r="H396" s="2">
        <v>402</v>
      </c>
    </row>
    <row r="397" spans="1:8" s="109" customFormat="1" ht="12.95" customHeight="1" x14ac:dyDescent="0.2">
      <c r="A397" s="109" t="str">
        <f>Famille!$A$11</f>
        <v>Varitrans</v>
      </c>
      <c r="B397" s="109" t="str">
        <f>Famille!$A$48</f>
        <v>VE</v>
      </c>
      <c r="C397" s="5" t="s">
        <v>594</v>
      </c>
      <c r="D397" s="4" t="s">
        <v>1043</v>
      </c>
      <c r="F397" s="7" t="s">
        <v>7</v>
      </c>
      <c r="G397" s="116">
        <v>1</v>
      </c>
      <c r="H397" s="2">
        <v>403</v>
      </c>
    </row>
    <row r="398" spans="1:8" s="109" customFormat="1" ht="12.95" customHeight="1" x14ac:dyDescent="0.2">
      <c r="A398" s="109" t="str">
        <f>Famille!$A$11</f>
        <v>Varitrans</v>
      </c>
      <c r="B398" s="109" t="str">
        <f>Famille!$A$48</f>
        <v>VE</v>
      </c>
      <c r="C398" s="5" t="s">
        <v>595</v>
      </c>
      <c r="D398" s="4" t="s">
        <v>1044</v>
      </c>
      <c r="F398" s="7" t="s">
        <v>7</v>
      </c>
      <c r="G398" s="116">
        <v>1</v>
      </c>
      <c r="H398" s="2">
        <v>404</v>
      </c>
    </row>
    <row r="399" spans="1:8" s="109" customFormat="1" ht="12.95" customHeight="1" x14ac:dyDescent="0.2">
      <c r="A399" s="109" t="str">
        <f>Famille!$A$11</f>
        <v>Varitrans</v>
      </c>
      <c r="B399" s="109" t="str">
        <f>Famille!$A$48</f>
        <v>VE</v>
      </c>
      <c r="C399" s="5" t="s">
        <v>596</v>
      </c>
      <c r="D399" s="4" t="s">
        <v>1045</v>
      </c>
      <c r="F399" s="7" t="s">
        <v>7</v>
      </c>
      <c r="G399" s="116">
        <v>1</v>
      </c>
      <c r="H399" s="2">
        <v>405</v>
      </c>
    </row>
    <row r="400" spans="1:8" s="109" customFormat="1" ht="12.95" customHeight="1" x14ac:dyDescent="0.2">
      <c r="A400" s="109" t="str">
        <f>Famille!$A$11</f>
        <v>Varitrans</v>
      </c>
      <c r="B400" s="109" t="str">
        <f>Famille!$A$48</f>
        <v>VE</v>
      </c>
      <c r="C400" s="5" t="s">
        <v>597</v>
      </c>
      <c r="D400" s="4" t="s">
        <v>1046</v>
      </c>
      <c r="F400" s="7" t="s">
        <v>7</v>
      </c>
      <c r="G400" s="116">
        <v>1</v>
      </c>
      <c r="H400" s="2">
        <v>406</v>
      </c>
    </row>
    <row r="401" spans="1:8" s="109" customFormat="1" ht="12.95" customHeight="1" x14ac:dyDescent="0.2">
      <c r="A401" s="109" t="str">
        <f>Famille!$A$11</f>
        <v>Varitrans</v>
      </c>
      <c r="B401" s="109" t="str">
        <f>Famille!$A$48</f>
        <v>VE</v>
      </c>
      <c r="C401" s="5" t="s">
        <v>598</v>
      </c>
      <c r="D401" s="4" t="s">
        <v>1047</v>
      </c>
      <c r="F401" s="7" t="s">
        <v>7</v>
      </c>
      <c r="G401" s="116">
        <v>1</v>
      </c>
      <c r="H401" s="2">
        <v>407</v>
      </c>
    </row>
    <row r="402" spans="1:8" s="109" customFormat="1" ht="12.95" customHeight="1" x14ac:dyDescent="0.2">
      <c r="A402" s="109" t="str">
        <f>Famille!$A$11</f>
        <v>Varitrans</v>
      </c>
      <c r="B402" s="109" t="str">
        <f>Famille!$A$48</f>
        <v>VE</v>
      </c>
      <c r="C402" s="5" t="s">
        <v>599</v>
      </c>
      <c r="D402" s="4" t="s">
        <v>1048</v>
      </c>
      <c r="F402" s="7" t="s">
        <v>7</v>
      </c>
      <c r="G402" s="116">
        <v>1</v>
      </c>
      <c r="H402" s="2">
        <v>408</v>
      </c>
    </row>
    <row r="403" spans="1:8" s="109" customFormat="1" ht="12.95" customHeight="1" x14ac:dyDescent="0.2">
      <c r="A403" s="109" t="str">
        <f>Famille!$A$11</f>
        <v>Varitrans</v>
      </c>
      <c r="B403" s="109" t="str">
        <f>Famille!$A$48</f>
        <v>VE</v>
      </c>
      <c r="C403" s="5" t="s">
        <v>600</v>
      </c>
      <c r="D403" s="4" t="s">
        <v>1049</v>
      </c>
      <c r="F403" s="7" t="s">
        <v>7</v>
      </c>
      <c r="G403" s="116">
        <v>1</v>
      </c>
      <c r="H403" s="2">
        <v>409</v>
      </c>
    </row>
    <row r="404" spans="1:8" s="109" customFormat="1" ht="12.95" customHeight="1" x14ac:dyDescent="0.2">
      <c r="A404" s="109" t="str">
        <f>Famille!$A$11</f>
        <v>Varitrans</v>
      </c>
      <c r="B404" s="109" t="str">
        <f>Famille!$A$48</f>
        <v>VE</v>
      </c>
      <c r="C404" s="5" t="s">
        <v>601</v>
      </c>
      <c r="D404" s="4" t="s">
        <v>1050</v>
      </c>
      <c r="F404" s="7" t="s">
        <v>7</v>
      </c>
      <c r="G404" s="116">
        <v>1</v>
      </c>
      <c r="H404" s="2">
        <v>410</v>
      </c>
    </row>
    <row r="405" spans="1:8" s="109" customFormat="1" ht="12.95" customHeight="1" x14ac:dyDescent="0.2">
      <c r="A405" s="109" t="str">
        <f>Famille!$A$11</f>
        <v>Varitrans</v>
      </c>
      <c r="B405" s="109" t="str">
        <f>Famille!$A$49</f>
        <v>DT</v>
      </c>
      <c r="C405" s="5" t="s">
        <v>602</v>
      </c>
      <c r="D405" s="4" t="s">
        <v>1051</v>
      </c>
      <c r="F405" s="7" t="s">
        <v>7</v>
      </c>
      <c r="G405" s="116">
        <v>1</v>
      </c>
      <c r="H405" s="2">
        <v>411</v>
      </c>
    </row>
    <row r="406" spans="1:8" s="109" customFormat="1" ht="12.95" customHeight="1" x14ac:dyDescent="0.2">
      <c r="A406" s="109" t="str">
        <f>Famille!$A$11</f>
        <v>Varitrans</v>
      </c>
      <c r="B406" s="109" t="str">
        <f>Famille!$A$49</f>
        <v>DT</v>
      </c>
      <c r="C406" s="5" t="s">
        <v>603</v>
      </c>
      <c r="D406" s="4" t="s">
        <v>1052</v>
      </c>
      <c r="F406" s="7" t="s">
        <v>7</v>
      </c>
      <c r="G406" s="116">
        <v>1</v>
      </c>
      <c r="H406" s="2">
        <v>412</v>
      </c>
    </row>
    <row r="407" spans="1:8" s="109" customFormat="1" ht="12.95" customHeight="1" x14ac:dyDescent="0.2">
      <c r="A407" s="109" t="str">
        <f>Famille!$A$11</f>
        <v>Varitrans</v>
      </c>
      <c r="B407" s="109" t="str">
        <f>Famille!$A$49</f>
        <v>DT</v>
      </c>
      <c r="C407" s="5" t="s">
        <v>604</v>
      </c>
      <c r="D407" s="4" t="s">
        <v>1053</v>
      </c>
      <c r="F407" s="7" t="s">
        <v>7</v>
      </c>
      <c r="G407" s="116">
        <v>1</v>
      </c>
      <c r="H407" s="2">
        <v>413</v>
      </c>
    </row>
    <row r="408" spans="1:8" s="109" customFormat="1" ht="12.95" customHeight="1" x14ac:dyDescent="0.2">
      <c r="A408" s="109" t="str">
        <f>Famille!$A$11</f>
        <v>Varitrans</v>
      </c>
      <c r="B408" s="109" t="str">
        <f>Famille!$A$49</f>
        <v>DT</v>
      </c>
      <c r="C408" s="5" t="s">
        <v>605</v>
      </c>
      <c r="D408" s="4" t="s">
        <v>1054</v>
      </c>
      <c r="F408" s="7" t="s">
        <v>7</v>
      </c>
      <c r="G408" s="116">
        <v>1</v>
      </c>
      <c r="H408" s="2">
        <v>414</v>
      </c>
    </row>
    <row r="409" spans="1:8" s="109" customFormat="1" ht="12.95" customHeight="1" x14ac:dyDescent="0.2">
      <c r="A409" s="109" t="str">
        <f>Famille!$A$11</f>
        <v>Varitrans</v>
      </c>
      <c r="B409" s="109" t="str">
        <f>Famille!$A$49</f>
        <v>DT</v>
      </c>
      <c r="C409" s="5" t="s">
        <v>606</v>
      </c>
      <c r="D409" s="4" t="s">
        <v>1055</v>
      </c>
      <c r="F409" s="7" t="s">
        <v>7</v>
      </c>
      <c r="G409" s="116">
        <v>1</v>
      </c>
      <c r="H409" s="2">
        <v>415</v>
      </c>
    </row>
    <row r="410" spans="1:8" s="109" customFormat="1" ht="12.95" customHeight="1" x14ac:dyDescent="0.2">
      <c r="A410" s="109" t="str">
        <f>Famille!$A$11</f>
        <v>Varitrans</v>
      </c>
      <c r="B410" s="109" t="str">
        <f>Famille!$A$49</f>
        <v>DT</v>
      </c>
      <c r="C410" s="5" t="s">
        <v>607</v>
      </c>
      <c r="D410" s="4" t="s">
        <v>1056</v>
      </c>
      <c r="F410" s="7" t="s">
        <v>7</v>
      </c>
      <c r="G410" s="116">
        <v>1</v>
      </c>
      <c r="H410" s="2">
        <v>416</v>
      </c>
    </row>
    <row r="411" spans="1:8" s="109" customFormat="1" ht="12.95" customHeight="1" x14ac:dyDescent="0.2">
      <c r="A411" s="109" t="str">
        <f>Famille!$A$11</f>
        <v>Varitrans</v>
      </c>
      <c r="B411" s="109" t="str">
        <f>Famille!$A$49</f>
        <v>DT</v>
      </c>
      <c r="C411" s="5" t="s">
        <v>608</v>
      </c>
      <c r="D411" s="4" t="s">
        <v>1057</v>
      </c>
      <c r="F411" s="7" t="s">
        <v>7</v>
      </c>
      <c r="G411" s="116">
        <v>1</v>
      </c>
      <c r="H411" s="2">
        <v>417</v>
      </c>
    </row>
    <row r="412" spans="1:8" s="109" customFormat="1" ht="12.95" customHeight="1" x14ac:dyDescent="0.2">
      <c r="A412" s="109" t="str">
        <f>Famille!$A$11</f>
        <v>Varitrans</v>
      </c>
      <c r="B412" s="109" t="str">
        <f>Famille!$A$49</f>
        <v>DT</v>
      </c>
      <c r="C412" s="5" t="s">
        <v>609</v>
      </c>
      <c r="D412" s="4" t="s">
        <v>1058</v>
      </c>
      <c r="F412" s="7" t="s">
        <v>7</v>
      </c>
      <c r="G412" s="116">
        <v>1</v>
      </c>
      <c r="H412" s="2">
        <v>418</v>
      </c>
    </row>
    <row r="413" spans="1:8" s="109" customFormat="1" ht="12.95" customHeight="1" x14ac:dyDescent="0.2">
      <c r="A413" s="109" t="str">
        <f>Famille!$A$11</f>
        <v>Varitrans</v>
      </c>
      <c r="B413" s="109" t="str">
        <f>Famille!$A$49</f>
        <v>DT</v>
      </c>
      <c r="C413" s="5" t="s">
        <v>610</v>
      </c>
      <c r="D413" s="4" t="s">
        <v>1059</v>
      </c>
      <c r="F413" s="7" t="s">
        <v>7</v>
      </c>
      <c r="G413" s="116">
        <v>1</v>
      </c>
      <c r="H413" s="2">
        <v>419</v>
      </c>
    </row>
    <row r="414" spans="1:8" s="109" customFormat="1" ht="12.95" customHeight="1" x14ac:dyDescent="0.2">
      <c r="A414" s="109" t="str">
        <f>Famille!$A$11</f>
        <v>Varitrans</v>
      </c>
      <c r="B414" s="109" t="str">
        <f>Famille!$A$49</f>
        <v>DT</v>
      </c>
      <c r="C414" s="5" t="s">
        <v>611</v>
      </c>
      <c r="D414" s="4" t="s">
        <v>1060</v>
      </c>
      <c r="F414" s="7" t="s">
        <v>7</v>
      </c>
      <c r="G414" s="116">
        <v>1</v>
      </c>
      <c r="H414" s="2">
        <v>420</v>
      </c>
    </row>
    <row r="415" spans="1:8" s="109" customFormat="1" ht="12.95" customHeight="1" x14ac:dyDescent="0.2">
      <c r="A415" s="109" t="str">
        <f>Famille!$A$11</f>
        <v>Varitrans</v>
      </c>
      <c r="B415" s="109" t="str">
        <f>Famille!$A$49</f>
        <v>DT</v>
      </c>
      <c r="C415" s="5" t="s">
        <v>612</v>
      </c>
      <c r="D415" s="4" t="s">
        <v>1061</v>
      </c>
      <c r="F415" s="7" t="s">
        <v>7</v>
      </c>
      <c r="G415" s="116">
        <v>1</v>
      </c>
      <c r="H415" s="2">
        <v>421</v>
      </c>
    </row>
    <row r="416" spans="1:8" s="109" customFormat="1" ht="12.95" customHeight="1" x14ac:dyDescent="0.2">
      <c r="A416" s="109" t="str">
        <f>Famille!$A$11</f>
        <v>Varitrans</v>
      </c>
      <c r="B416" s="109" t="str">
        <f>Famille!$A$50</f>
        <v>Corner Element</v>
      </c>
      <c r="C416" s="5" t="s">
        <v>613</v>
      </c>
      <c r="D416" s="4" t="s">
        <v>1062</v>
      </c>
      <c r="F416" s="7" t="s">
        <v>7</v>
      </c>
      <c r="G416" s="116">
        <v>1</v>
      </c>
      <c r="H416" s="2">
        <v>422</v>
      </c>
    </row>
    <row r="417" spans="1:8" s="109" customFormat="1" ht="12.95" customHeight="1" x14ac:dyDescent="0.2">
      <c r="A417" s="109" t="str">
        <f>Famille!$A$11</f>
        <v>Varitrans</v>
      </c>
      <c r="B417" s="109" t="str">
        <f>Famille!$A$50</f>
        <v>Corner Element</v>
      </c>
      <c r="C417" s="5" t="s">
        <v>614</v>
      </c>
      <c r="D417" s="4" t="s">
        <v>1063</v>
      </c>
      <c r="F417" s="7" t="s">
        <v>7</v>
      </c>
      <c r="G417" s="116">
        <v>1</v>
      </c>
      <c r="H417" s="2">
        <v>423</v>
      </c>
    </row>
    <row r="418" spans="1:8" s="109" customFormat="1" ht="12.95" customHeight="1" x14ac:dyDescent="0.2">
      <c r="A418" s="109" t="str">
        <f>Famille!$A$11</f>
        <v>Varitrans</v>
      </c>
      <c r="B418" s="109" t="str">
        <f>Famille!$A$50</f>
        <v>Corner Element</v>
      </c>
      <c r="C418" s="5" t="s">
        <v>615</v>
      </c>
      <c r="D418" s="4" t="s">
        <v>1064</v>
      </c>
      <c r="F418" s="7" t="s">
        <v>7</v>
      </c>
      <c r="G418" s="116">
        <v>1</v>
      </c>
      <c r="H418" s="2">
        <v>424</v>
      </c>
    </row>
    <row r="419" spans="1:8" s="109" customFormat="1" ht="12.95" customHeight="1" x14ac:dyDescent="0.2">
      <c r="A419" s="109" t="str">
        <f>Famille!$A$11</f>
        <v>Varitrans</v>
      </c>
      <c r="B419" s="109" t="str">
        <f>Famille!$A$50</f>
        <v>Corner Element</v>
      </c>
      <c r="C419" s="5" t="s">
        <v>616</v>
      </c>
      <c r="D419" s="4" t="s">
        <v>1065</v>
      </c>
      <c r="F419" s="7" t="s">
        <v>7</v>
      </c>
      <c r="G419" s="116">
        <v>1</v>
      </c>
      <c r="H419" s="2">
        <v>425</v>
      </c>
    </row>
    <row r="420" spans="1:8" s="109" customFormat="1" ht="12.95" customHeight="1" x14ac:dyDescent="0.2">
      <c r="A420" s="109" t="str">
        <f>Famille!$A$11</f>
        <v>Varitrans</v>
      </c>
      <c r="B420" s="109" t="str">
        <f>Famille!$A$50</f>
        <v>Corner Element</v>
      </c>
      <c r="C420" s="5" t="s">
        <v>617</v>
      </c>
      <c r="D420" s="4" t="s">
        <v>1066</v>
      </c>
      <c r="F420" s="7" t="s">
        <v>7</v>
      </c>
      <c r="G420" s="116">
        <v>1</v>
      </c>
      <c r="H420" s="2">
        <v>426</v>
      </c>
    </row>
    <row r="421" spans="1:8" s="109" customFormat="1" ht="12.95" customHeight="1" x14ac:dyDescent="0.2">
      <c r="A421" s="109" t="str">
        <f>Famille!$A$11</f>
        <v>Varitrans</v>
      </c>
      <c r="B421" s="109" t="str">
        <f>Famille!$A$50</f>
        <v>Corner Element</v>
      </c>
      <c r="C421" s="5" t="s">
        <v>618</v>
      </c>
      <c r="D421" s="4" t="s">
        <v>1067</v>
      </c>
      <c r="F421" s="7" t="s">
        <v>7</v>
      </c>
      <c r="G421" s="116">
        <v>1</v>
      </c>
      <c r="H421" s="2">
        <v>427</v>
      </c>
    </row>
    <row r="422" spans="1:8" s="109" customFormat="1" ht="12.95" customHeight="1" x14ac:dyDescent="0.2">
      <c r="A422" s="109" t="str">
        <f>Famille!$A$11</f>
        <v>Varitrans</v>
      </c>
      <c r="B422" s="109" t="str">
        <f>Famille!$A$50</f>
        <v>Corner Element</v>
      </c>
      <c r="C422" s="5" t="s">
        <v>619</v>
      </c>
      <c r="D422" s="4" t="s">
        <v>1068</v>
      </c>
      <c r="F422" s="7" t="s">
        <v>7</v>
      </c>
      <c r="G422" s="116">
        <v>1</v>
      </c>
      <c r="H422" s="2">
        <v>428</v>
      </c>
    </row>
    <row r="423" spans="1:8" s="109" customFormat="1" ht="12.95" customHeight="1" x14ac:dyDescent="0.2">
      <c r="A423" s="109" t="str">
        <f>Famille!$A$11</f>
        <v>Varitrans</v>
      </c>
      <c r="B423" s="109" t="str">
        <f>Famille!$A$50</f>
        <v>Corner Element</v>
      </c>
      <c r="C423" s="5" t="s">
        <v>620</v>
      </c>
      <c r="D423" s="4" t="s">
        <v>1069</v>
      </c>
      <c r="F423" s="7" t="s">
        <v>7</v>
      </c>
      <c r="G423" s="116">
        <v>1</v>
      </c>
      <c r="H423" s="2">
        <v>429</v>
      </c>
    </row>
    <row r="424" spans="1:8" s="109" customFormat="1" ht="12.95" customHeight="1" x14ac:dyDescent="0.2">
      <c r="A424" s="109" t="str">
        <f>Famille!$A$11</f>
        <v>Varitrans</v>
      </c>
      <c r="B424" s="109" t="str">
        <f>Famille!$A$50</f>
        <v>Corner Element</v>
      </c>
      <c r="C424" s="5" t="s">
        <v>621</v>
      </c>
      <c r="D424" s="4" t="s">
        <v>1070</v>
      </c>
      <c r="F424" s="7" t="s">
        <v>7</v>
      </c>
      <c r="G424" s="116">
        <v>1</v>
      </c>
      <c r="H424" s="2">
        <v>430</v>
      </c>
    </row>
    <row r="425" spans="1:8" s="109" customFormat="1" ht="12.95" customHeight="1" x14ac:dyDescent="0.2">
      <c r="A425" s="109" t="str">
        <f>Famille!$A$11</f>
        <v>Varitrans</v>
      </c>
      <c r="B425" s="109" t="str">
        <f>Famille!$A$50</f>
        <v>Corner Element</v>
      </c>
      <c r="C425" s="5" t="s">
        <v>622</v>
      </c>
      <c r="D425" s="4" t="s">
        <v>1071</v>
      </c>
      <c r="F425" s="7" t="s">
        <v>7</v>
      </c>
      <c r="G425" s="116">
        <v>1</v>
      </c>
      <c r="H425" s="2">
        <v>431</v>
      </c>
    </row>
    <row r="426" spans="1:8" s="109" customFormat="1" ht="12.95" customHeight="1" x14ac:dyDescent="0.2">
      <c r="A426" s="109" t="str">
        <f>Famille!$A$11</f>
        <v>Varitrans</v>
      </c>
      <c r="B426" s="109" t="str">
        <f>Famille!$A$51</f>
        <v>Swing Door</v>
      </c>
      <c r="C426" s="5" t="s">
        <v>623</v>
      </c>
      <c r="D426" s="4" t="s">
        <v>1072</v>
      </c>
      <c r="F426" s="7" t="s">
        <v>7</v>
      </c>
      <c r="G426" s="116">
        <v>1</v>
      </c>
      <c r="H426" s="2">
        <v>432</v>
      </c>
    </row>
    <row r="427" spans="1:8" s="109" customFormat="1" ht="12.95" customHeight="1" x14ac:dyDescent="0.2">
      <c r="A427" s="109" t="str">
        <f>Famille!$A$11</f>
        <v>Varitrans</v>
      </c>
      <c r="B427" s="109" t="str">
        <f>Famille!$A$51</f>
        <v>Swing Door</v>
      </c>
      <c r="C427" s="5" t="s">
        <v>624</v>
      </c>
      <c r="D427" s="4" t="s">
        <v>1073</v>
      </c>
      <c r="F427" s="7" t="s">
        <v>7</v>
      </c>
      <c r="G427" s="116">
        <v>1</v>
      </c>
      <c r="H427" s="2">
        <v>433</v>
      </c>
    </row>
    <row r="428" spans="1:8" s="109" customFormat="1" ht="12.95" customHeight="1" x14ac:dyDescent="0.2">
      <c r="A428" s="109" t="str">
        <f>Famille!$A$11</f>
        <v>Varitrans</v>
      </c>
      <c r="B428" s="109" t="str">
        <f>Famille!$A$51</f>
        <v>Swing Door</v>
      </c>
      <c r="C428" s="5" t="s">
        <v>625</v>
      </c>
      <c r="D428" s="4" t="s">
        <v>1074</v>
      </c>
      <c r="F428" s="7" t="s">
        <v>7</v>
      </c>
      <c r="G428" s="116">
        <v>1</v>
      </c>
      <c r="H428" s="2">
        <v>434</v>
      </c>
    </row>
    <row r="429" spans="1:8" s="109" customFormat="1" ht="12.95" customHeight="1" x14ac:dyDescent="0.2">
      <c r="A429" s="109" t="str">
        <f>Famille!$A$11</f>
        <v>Varitrans</v>
      </c>
      <c r="B429" s="109" t="str">
        <f>Famille!$A$51</f>
        <v>Swing Door</v>
      </c>
      <c r="C429" s="5" t="s">
        <v>626</v>
      </c>
      <c r="D429" s="4" t="s">
        <v>1075</v>
      </c>
      <c r="F429" s="7" t="s">
        <v>7</v>
      </c>
      <c r="G429" s="116">
        <v>1</v>
      </c>
      <c r="H429" s="2">
        <v>435</v>
      </c>
    </row>
    <row r="430" spans="1:8" s="109" customFormat="1" ht="12.95" customHeight="1" x14ac:dyDescent="0.2">
      <c r="A430" s="109" t="str">
        <f>Famille!$A$11</f>
        <v>Varitrans</v>
      </c>
      <c r="B430" s="109" t="str">
        <f>Famille!$A$51</f>
        <v>Swing Door</v>
      </c>
      <c r="C430" s="5" t="s">
        <v>627</v>
      </c>
      <c r="D430" s="4" t="s">
        <v>1076</v>
      </c>
      <c r="F430" s="7" t="s">
        <v>7</v>
      </c>
      <c r="G430" s="116">
        <v>1</v>
      </c>
      <c r="H430" s="2">
        <v>436</v>
      </c>
    </row>
    <row r="431" spans="1:8" s="109" customFormat="1" ht="12.95" customHeight="1" x14ac:dyDescent="0.2">
      <c r="A431" s="109" t="str">
        <f>Famille!$A$11</f>
        <v>Varitrans</v>
      </c>
      <c r="B431" s="109" t="str">
        <f>Famille!$A$52</f>
        <v>Profile Cylinder</v>
      </c>
      <c r="C431" s="5" t="s">
        <v>628</v>
      </c>
      <c r="D431" s="4" t="s">
        <v>1077</v>
      </c>
      <c r="F431" s="7" t="s">
        <v>7</v>
      </c>
      <c r="G431" s="116">
        <v>1</v>
      </c>
      <c r="H431" s="2">
        <v>437</v>
      </c>
    </row>
    <row r="432" spans="1:8" s="109" customFormat="1" ht="12.95" customHeight="1" x14ac:dyDescent="0.2">
      <c r="A432" s="109" t="str">
        <f>Famille!$A$11</f>
        <v>Varitrans</v>
      </c>
      <c r="B432" s="109" t="str">
        <f>Famille!$A$52</f>
        <v>Profile Cylinder</v>
      </c>
      <c r="C432" s="5" t="s">
        <v>629</v>
      </c>
      <c r="D432" s="4" t="s">
        <v>1078</v>
      </c>
      <c r="F432" s="7" t="s">
        <v>7</v>
      </c>
      <c r="G432" s="116">
        <v>1</v>
      </c>
      <c r="H432" s="2">
        <v>438</v>
      </c>
    </row>
    <row r="433" spans="1:8" s="109" customFormat="1" ht="12.95" customHeight="1" x14ac:dyDescent="0.2">
      <c r="A433" s="109" t="str">
        <f>Famille!$A$11</f>
        <v>Varitrans</v>
      </c>
      <c r="B433" s="109" t="str">
        <f>Famille!$A$52</f>
        <v>Profile Cylinder</v>
      </c>
      <c r="C433" s="5" t="s">
        <v>630</v>
      </c>
      <c r="D433" s="4" t="s">
        <v>1079</v>
      </c>
      <c r="F433" s="7" t="s">
        <v>7</v>
      </c>
      <c r="G433" s="116">
        <v>1</v>
      </c>
      <c r="H433" s="2">
        <v>439</v>
      </c>
    </row>
    <row r="434" spans="1:8" s="109" customFormat="1" ht="12.95" customHeight="1" x14ac:dyDescent="0.2">
      <c r="A434" s="109" t="str">
        <f>Famille!$A$11</f>
        <v>Varitrans</v>
      </c>
      <c r="B434" s="109" t="str">
        <f>Famille!$A$52</f>
        <v>Profile Cylinder</v>
      </c>
      <c r="C434" s="5" t="s">
        <v>631</v>
      </c>
      <c r="D434" s="4" t="s">
        <v>1080</v>
      </c>
      <c r="F434" s="7" t="s">
        <v>7</v>
      </c>
      <c r="G434" s="116">
        <v>1</v>
      </c>
      <c r="H434" s="2">
        <v>440</v>
      </c>
    </row>
    <row r="435" spans="1:8" s="109" customFormat="1" ht="12.95" customHeight="1" x14ac:dyDescent="0.2">
      <c r="A435" s="109" t="str">
        <f>Famille!$A$11</f>
        <v>Varitrans</v>
      </c>
      <c r="B435" s="109" t="str">
        <f>Famille!$A$52</f>
        <v>Profile Cylinder</v>
      </c>
      <c r="C435" s="5" t="s">
        <v>632</v>
      </c>
      <c r="D435" s="4" t="s">
        <v>1081</v>
      </c>
      <c r="F435" s="7" t="s">
        <v>7</v>
      </c>
      <c r="G435" s="116">
        <v>1</v>
      </c>
      <c r="H435" s="2">
        <v>441</v>
      </c>
    </row>
    <row r="436" spans="1:8" s="109" customFormat="1" ht="12.95" customHeight="1" x14ac:dyDescent="0.2">
      <c r="A436" s="109" t="str">
        <f>Famille!$A$11</f>
        <v>Varitrans</v>
      </c>
      <c r="B436" s="109" t="str">
        <f>Famille!$A$52</f>
        <v>Profile Cylinder</v>
      </c>
      <c r="C436" s="5" t="s">
        <v>633</v>
      </c>
      <c r="D436" s="4" t="s">
        <v>1082</v>
      </c>
      <c r="F436" s="7" t="s">
        <v>7</v>
      </c>
      <c r="G436" s="116">
        <v>1</v>
      </c>
      <c r="H436" s="2">
        <v>442</v>
      </c>
    </row>
    <row r="437" spans="1:8" s="109" customFormat="1" ht="12.95" customHeight="1" x14ac:dyDescent="0.2">
      <c r="A437" s="109" t="str">
        <f>Famille!$A$11</f>
        <v>Varitrans</v>
      </c>
      <c r="B437" s="109" t="str">
        <f>Famille!$A$52</f>
        <v>Profile Cylinder</v>
      </c>
      <c r="C437" s="5" t="s">
        <v>634</v>
      </c>
      <c r="D437" s="4" t="s">
        <v>1083</v>
      </c>
      <c r="F437" s="7" t="s">
        <v>7</v>
      </c>
      <c r="G437" s="116">
        <v>1</v>
      </c>
      <c r="H437" s="2">
        <v>443</v>
      </c>
    </row>
    <row r="438" spans="1:8" s="109" customFormat="1" ht="12.95" customHeight="1" x14ac:dyDescent="0.2">
      <c r="A438" s="109" t="str">
        <f>Famille!$A$11</f>
        <v>Varitrans</v>
      </c>
      <c r="B438" s="109" t="str">
        <f>Famille!$A$52</f>
        <v>Profile Cylinder</v>
      </c>
      <c r="C438" s="5" t="s">
        <v>635</v>
      </c>
      <c r="D438" s="4" t="s">
        <v>1084</v>
      </c>
      <c r="F438" s="7" t="s">
        <v>7</v>
      </c>
      <c r="G438" s="116">
        <v>1</v>
      </c>
      <c r="H438" s="2">
        <v>444</v>
      </c>
    </row>
    <row r="439" spans="1:8" s="109" customFormat="1" ht="12.95" customHeight="1" x14ac:dyDescent="0.2">
      <c r="A439" s="109" t="str">
        <f>Famille!$A$11</f>
        <v>Varitrans</v>
      </c>
      <c r="B439" s="109" t="str">
        <f>Famille!$A$52</f>
        <v>Profile Cylinder</v>
      </c>
      <c r="C439" s="5" t="s">
        <v>636</v>
      </c>
      <c r="D439" s="4" t="s">
        <v>1085</v>
      </c>
      <c r="F439" s="7" t="s">
        <v>7</v>
      </c>
      <c r="G439" s="116">
        <v>1</v>
      </c>
      <c r="H439" s="2">
        <v>445</v>
      </c>
    </row>
    <row r="440" spans="1:8" s="109" customFormat="1" ht="12.95" customHeight="1" x14ac:dyDescent="0.2">
      <c r="A440" s="109" t="str">
        <f>Famille!$A$12</f>
        <v>Porte</v>
      </c>
      <c r="B440" s="108"/>
      <c r="C440" s="5" t="s">
        <v>637</v>
      </c>
      <c r="D440" s="4" t="s">
        <v>1086</v>
      </c>
      <c r="F440" s="7" t="s">
        <v>7</v>
      </c>
      <c r="G440" s="116">
        <v>1</v>
      </c>
      <c r="H440" s="2">
        <v>446</v>
      </c>
    </row>
    <row r="441" spans="1:8" s="109" customFormat="1" ht="12.95" customHeight="1" x14ac:dyDescent="0.2">
      <c r="A441" s="109" t="str">
        <f>Famille!$A$12</f>
        <v>Porte</v>
      </c>
      <c r="B441" s="108"/>
      <c r="C441" s="5" t="s">
        <v>638</v>
      </c>
      <c r="D441" s="4" t="s">
        <v>1087</v>
      </c>
      <c r="F441" s="7" t="s">
        <v>7</v>
      </c>
      <c r="G441" s="116">
        <v>1</v>
      </c>
      <c r="H441" s="2">
        <v>447</v>
      </c>
    </row>
    <row r="442" spans="1:8" s="109" customFormat="1" ht="12.95" customHeight="1" x14ac:dyDescent="0.2">
      <c r="A442" s="109" t="str">
        <f>Famille!$A$12</f>
        <v>Porte</v>
      </c>
      <c r="B442" s="108"/>
      <c r="C442" s="5" t="s">
        <v>639</v>
      </c>
      <c r="D442" s="4" t="s">
        <v>1088</v>
      </c>
      <c r="F442" s="7" t="s">
        <v>7</v>
      </c>
      <c r="G442" s="116">
        <v>1</v>
      </c>
      <c r="H442" s="2">
        <v>448</v>
      </c>
    </row>
    <row r="443" spans="1:8" s="109" customFormat="1" ht="12.95" customHeight="1" x14ac:dyDescent="0.2">
      <c r="A443" s="109" t="str">
        <f>+Famille!$A$13</f>
        <v>Capot</v>
      </c>
      <c r="B443" s="108" t="str">
        <f>Famille!$A$53</f>
        <v>RAL 9010</v>
      </c>
      <c r="C443" s="5" t="s">
        <v>640</v>
      </c>
      <c r="D443" s="4" t="s">
        <v>1089</v>
      </c>
      <c r="F443" s="7" t="s">
        <v>7</v>
      </c>
      <c r="G443" s="116">
        <v>1</v>
      </c>
      <c r="H443" s="2">
        <v>449</v>
      </c>
    </row>
    <row r="444" spans="1:8" ht="12.95" customHeight="1" x14ac:dyDescent="0.2">
      <c r="A444" s="109" t="str">
        <f>+Famille!$A$13</f>
        <v>Capot</v>
      </c>
      <c r="B444" s="108" t="str">
        <f>Famille!$A$53</f>
        <v>RAL 9010</v>
      </c>
      <c r="C444" s="5" t="s">
        <v>641</v>
      </c>
      <c r="D444" s="4" t="s">
        <v>1090</v>
      </c>
      <c r="E444" s="109"/>
      <c r="F444" s="7" t="s">
        <v>7</v>
      </c>
      <c r="G444" s="116">
        <v>1</v>
      </c>
      <c r="H444" s="2">
        <v>450</v>
      </c>
    </row>
    <row r="445" spans="1:8" ht="12.95" customHeight="1" x14ac:dyDescent="0.2">
      <c r="A445" s="109" t="str">
        <f>+Famille!$A$13</f>
        <v>Capot</v>
      </c>
      <c r="B445" s="108" t="str">
        <f>Famille!$A$53</f>
        <v>RAL 9010</v>
      </c>
      <c r="C445" s="5" t="s">
        <v>642</v>
      </c>
      <c r="D445" s="4" t="s">
        <v>1091</v>
      </c>
      <c r="E445" s="109"/>
      <c r="F445" s="7" t="s">
        <v>7</v>
      </c>
      <c r="G445" s="116">
        <v>1</v>
      </c>
      <c r="H445" s="2">
        <v>451</v>
      </c>
    </row>
    <row r="446" spans="1:8" ht="12.95" customHeight="1" x14ac:dyDescent="0.2">
      <c r="A446" s="109" t="str">
        <f>+Famille!$A$13</f>
        <v>Capot</v>
      </c>
      <c r="B446" s="108" t="str">
        <f>Famille!$A$53</f>
        <v>RAL 9010</v>
      </c>
      <c r="C446" s="5" t="s">
        <v>643</v>
      </c>
      <c r="D446" s="4" t="s">
        <v>1092</v>
      </c>
      <c r="E446" s="109"/>
      <c r="F446" s="7" t="s">
        <v>7</v>
      </c>
      <c r="G446" s="116">
        <v>1</v>
      </c>
      <c r="H446" s="2">
        <v>452</v>
      </c>
    </row>
    <row r="447" spans="1:8" ht="12.95" customHeight="1" x14ac:dyDescent="0.2">
      <c r="A447" s="109" t="str">
        <f>+Famille!$A$13</f>
        <v>Capot</v>
      </c>
      <c r="B447" s="108" t="str">
        <f>Famille!$A$53</f>
        <v>RAL 9010</v>
      </c>
      <c r="C447" s="5" t="s">
        <v>644</v>
      </c>
      <c r="D447" s="4" t="s">
        <v>1093</v>
      </c>
      <c r="E447" s="109"/>
      <c r="F447" s="7" t="s">
        <v>7</v>
      </c>
      <c r="G447" s="116">
        <v>1</v>
      </c>
      <c r="H447" s="2">
        <v>453</v>
      </c>
    </row>
    <row r="448" spans="1:8" ht="12.95" customHeight="1" x14ac:dyDescent="0.2">
      <c r="A448" s="109" t="str">
        <f>+Famille!$A$13</f>
        <v>Capot</v>
      </c>
      <c r="B448" s="108" t="str">
        <f>Famille!$A$54</f>
        <v>RAL 9003</v>
      </c>
      <c r="C448" s="5" t="s">
        <v>645</v>
      </c>
      <c r="D448" s="4" t="s">
        <v>1094</v>
      </c>
      <c r="E448" s="109"/>
      <c r="F448" s="7" t="s">
        <v>7</v>
      </c>
      <c r="G448" s="116">
        <v>1</v>
      </c>
      <c r="H448" s="2">
        <v>454</v>
      </c>
    </row>
    <row r="449" spans="1:8" ht="12.95" customHeight="1" x14ac:dyDescent="0.2">
      <c r="A449" s="109" t="str">
        <f>+Famille!$A$13</f>
        <v>Capot</v>
      </c>
      <c r="B449" s="108" t="str">
        <f>Famille!$A$54</f>
        <v>RAL 9003</v>
      </c>
      <c r="C449" s="5" t="s">
        <v>646</v>
      </c>
      <c r="D449" s="4" t="s">
        <v>1095</v>
      </c>
      <c r="E449" s="109"/>
      <c r="F449" s="7" t="s">
        <v>7</v>
      </c>
      <c r="G449" s="116">
        <v>1</v>
      </c>
      <c r="H449" s="2">
        <v>455</v>
      </c>
    </row>
    <row r="450" spans="1:8" ht="12.95" customHeight="1" x14ac:dyDescent="0.2">
      <c r="A450" s="109" t="str">
        <f>+Famille!$A$13</f>
        <v>Capot</v>
      </c>
      <c r="B450" s="108" t="str">
        <f>Famille!$A$54</f>
        <v>RAL 9003</v>
      </c>
      <c r="C450" s="5" t="s">
        <v>647</v>
      </c>
      <c r="D450" s="4" t="s">
        <v>1096</v>
      </c>
      <c r="E450" s="109"/>
      <c r="F450" s="7" t="s">
        <v>7</v>
      </c>
      <c r="G450" s="116">
        <v>1</v>
      </c>
      <c r="H450" s="2">
        <v>456</v>
      </c>
    </row>
    <row r="451" spans="1:8" ht="12.95" customHeight="1" x14ac:dyDescent="0.2">
      <c r="A451" s="109" t="str">
        <f>+Famille!$A$13</f>
        <v>Capot</v>
      </c>
      <c r="B451" s="108" t="str">
        <f>Famille!$A$54</f>
        <v>RAL 9003</v>
      </c>
      <c r="C451" s="5" t="s">
        <v>648</v>
      </c>
      <c r="D451" s="4" t="s">
        <v>1097</v>
      </c>
      <c r="E451" s="109"/>
      <c r="F451" s="7" t="s">
        <v>7</v>
      </c>
      <c r="G451" s="116">
        <v>1</v>
      </c>
      <c r="H451" s="2">
        <v>457</v>
      </c>
    </row>
    <row r="452" spans="1:8" ht="12.95" customHeight="1" x14ac:dyDescent="0.2">
      <c r="A452" s="109" t="str">
        <f>+Famille!$A$13</f>
        <v>Capot</v>
      </c>
      <c r="B452" s="108" t="str">
        <f>Famille!$A$54</f>
        <v>RAL 9003</v>
      </c>
      <c r="C452" s="5" t="s">
        <v>649</v>
      </c>
      <c r="D452" s="4" t="s">
        <v>1098</v>
      </c>
      <c r="E452" s="109"/>
      <c r="F452" s="7" t="s">
        <v>7</v>
      </c>
      <c r="G452" s="116">
        <v>1</v>
      </c>
      <c r="H452" s="2">
        <v>458</v>
      </c>
    </row>
    <row r="453" spans="1:8" ht="12.95" customHeight="1" x14ac:dyDescent="0.25">
      <c r="A453" s="4"/>
    </row>
    <row r="454" spans="1:8" ht="12.95" customHeight="1" x14ac:dyDescent="0.25"/>
    <row r="455" spans="1:8" ht="12.95" customHeight="1" x14ac:dyDescent="0.25"/>
    <row r="456" spans="1:8" ht="12.95" customHeight="1" x14ac:dyDescent="0.25"/>
    <row r="457" spans="1:8" ht="12.95" customHeight="1" x14ac:dyDescent="0.25"/>
    <row r="458" spans="1:8" ht="12.95" customHeight="1" x14ac:dyDescent="0.25"/>
    <row r="459" spans="1:8" ht="12.95" customHeight="1" x14ac:dyDescent="0.25"/>
    <row r="460" spans="1:8" ht="12.95" customHeight="1" x14ac:dyDescent="0.25"/>
    <row r="461" spans="1:8" ht="12.95" customHeight="1" x14ac:dyDescent="0.25"/>
    <row r="462" spans="1:8" ht="12.95" customHeight="1" x14ac:dyDescent="0.25"/>
    <row r="463" spans="1:8" ht="12.95" customHeight="1" x14ac:dyDescent="0.25"/>
    <row r="464" spans="1:8" ht="12.95" customHeight="1" x14ac:dyDescent="0.25"/>
    <row r="465" ht="12.95" customHeight="1" x14ac:dyDescent="0.25"/>
    <row r="466" ht="12.95" customHeight="1" x14ac:dyDescent="0.25"/>
    <row r="467" ht="12.95" customHeight="1" x14ac:dyDescent="0.25"/>
    <row r="468" ht="12.95" customHeight="1" x14ac:dyDescent="0.25"/>
    <row r="469" ht="12.95" customHeight="1" x14ac:dyDescent="0.25"/>
    <row r="470" ht="12.95" customHeight="1" x14ac:dyDescent="0.25"/>
    <row r="471" ht="12.95" customHeight="1" x14ac:dyDescent="0.25"/>
    <row r="472" ht="12.95" customHeight="1" x14ac:dyDescent="0.25"/>
    <row r="473" ht="12.95" customHeight="1" x14ac:dyDescent="0.25"/>
    <row r="474" ht="12.95" customHeight="1" x14ac:dyDescent="0.25"/>
    <row r="475" ht="12.95" customHeight="1" x14ac:dyDescent="0.25"/>
    <row r="476" ht="12.95" customHeight="1" x14ac:dyDescent="0.25"/>
    <row r="477" ht="12.95" customHeight="1" x14ac:dyDescent="0.25"/>
    <row r="478" ht="12.95" customHeight="1" x14ac:dyDescent="0.25"/>
    <row r="479" ht="12.95" customHeight="1" x14ac:dyDescent="0.25"/>
    <row r="480" ht="12.95" customHeight="1" x14ac:dyDescent="0.25"/>
    <row r="481" ht="12.95" customHeight="1" x14ac:dyDescent="0.25"/>
    <row r="482" ht="12.95" customHeight="1" x14ac:dyDescent="0.25"/>
    <row r="483" ht="12.95" customHeight="1" x14ac:dyDescent="0.25"/>
    <row r="484" ht="12.95" customHeight="1" x14ac:dyDescent="0.25"/>
    <row r="485" ht="12.95" customHeight="1" x14ac:dyDescent="0.25"/>
    <row r="486" ht="12.95" customHeight="1" x14ac:dyDescent="0.25"/>
    <row r="487" ht="12.95" customHeight="1" x14ac:dyDescent="0.25"/>
    <row r="488" ht="12.95" customHeight="1" x14ac:dyDescent="0.25"/>
    <row r="489" ht="12.95" customHeight="1" x14ac:dyDescent="0.25"/>
    <row r="490" ht="12.95" customHeight="1" x14ac:dyDescent="0.25"/>
    <row r="491" ht="12.95" customHeight="1" x14ac:dyDescent="0.25"/>
    <row r="492" ht="12.95" customHeight="1" x14ac:dyDescent="0.25"/>
    <row r="493" ht="12.95" customHeight="1" x14ac:dyDescent="0.25"/>
    <row r="494" ht="12.95" customHeight="1" x14ac:dyDescent="0.25"/>
    <row r="495" ht="12.95" customHeight="1" x14ac:dyDescent="0.25"/>
    <row r="496" ht="12.95" customHeight="1" x14ac:dyDescent="0.25"/>
    <row r="497" ht="12.95" customHeight="1" x14ac:dyDescent="0.25"/>
    <row r="498" ht="12.95" customHeight="1" x14ac:dyDescent="0.25"/>
    <row r="499" ht="12.95" customHeight="1" x14ac:dyDescent="0.25"/>
    <row r="500" ht="12.95" customHeight="1" x14ac:dyDescent="0.25"/>
    <row r="501" ht="12.95" customHeight="1" x14ac:dyDescent="0.25"/>
    <row r="502" ht="12.95" customHeight="1" x14ac:dyDescent="0.25"/>
    <row r="503" ht="12.95" customHeight="1" x14ac:dyDescent="0.25"/>
    <row r="504" ht="12.95" customHeight="1" x14ac:dyDescent="0.25"/>
    <row r="505" ht="12.95" customHeight="1" x14ac:dyDescent="0.25"/>
    <row r="506" ht="12.95" customHeight="1" x14ac:dyDescent="0.25"/>
    <row r="507" ht="12.95" customHeight="1" x14ac:dyDescent="0.25"/>
    <row r="508" ht="12.95" customHeight="1" x14ac:dyDescent="0.25"/>
    <row r="509" ht="12.95" customHeight="1" x14ac:dyDescent="0.25"/>
    <row r="510" ht="12.95" customHeight="1" x14ac:dyDescent="0.25"/>
    <row r="511" ht="12.95" customHeight="1" x14ac:dyDescent="0.25"/>
    <row r="512" ht="12.95" customHeight="1" x14ac:dyDescent="0.25"/>
    <row r="513" ht="12.95" customHeight="1" x14ac:dyDescent="0.25"/>
    <row r="514" ht="12.95" customHeight="1" x14ac:dyDescent="0.25"/>
    <row r="515" ht="12.95" customHeight="1" x14ac:dyDescent="0.25"/>
    <row r="516" ht="12.95" customHeight="1" x14ac:dyDescent="0.25"/>
    <row r="517" ht="12.95" customHeight="1" x14ac:dyDescent="0.25"/>
    <row r="518" ht="12.95" customHeight="1" x14ac:dyDescent="0.25"/>
    <row r="519" ht="12.95" customHeight="1" x14ac:dyDescent="0.25"/>
    <row r="520" ht="12.95" customHeight="1" x14ac:dyDescent="0.25"/>
    <row r="521" ht="12.95" customHeight="1" x14ac:dyDescent="0.25"/>
    <row r="522" ht="12.95" customHeight="1" x14ac:dyDescent="0.25"/>
    <row r="523" ht="12.95" customHeight="1" x14ac:dyDescent="0.25"/>
    <row r="524" ht="12.95" customHeight="1" x14ac:dyDescent="0.25"/>
    <row r="525" ht="12.95" customHeight="1" x14ac:dyDescent="0.25"/>
    <row r="526" ht="12.95" customHeight="1" x14ac:dyDescent="0.25"/>
    <row r="527" ht="12.95" customHeight="1" x14ac:dyDescent="0.25"/>
    <row r="528" ht="12.95" customHeight="1" x14ac:dyDescent="0.25"/>
    <row r="529" ht="12.95" customHeight="1" x14ac:dyDescent="0.25"/>
    <row r="530" ht="12.95" customHeight="1" x14ac:dyDescent="0.25"/>
    <row r="531" ht="12.95" customHeight="1" x14ac:dyDescent="0.25"/>
    <row r="532" ht="12.95" customHeight="1" x14ac:dyDescent="0.25"/>
    <row r="533" ht="12.95" customHeight="1" x14ac:dyDescent="0.25"/>
    <row r="534" ht="12.95" customHeight="1" x14ac:dyDescent="0.25"/>
    <row r="535" ht="12.95" customHeight="1" x14ac:dyDescent="0.25"/>
    <row r="536" ht="12.95" customHeight="1" x14ac:dyDescent="0.25"/>
    <row r="537" ht="12.95" customHeight="1" x14ac:dyDescent="0.25"/>
    <row r="538" ht="12.95" customHeight="1" x14ac:dyDescent="0.25"/>
    <row r="539" ht="12.95" customHeight="1" x14ac:dyDescent="0.25"/>
    <row r="540" ht="12.95" customHeight="1" x14ac:dyDescent="0.25"/>
    <row r="541" ht="12.95" customHeight="1" x14ac:dyDescent="0.25"/>
    <row r="542" ht="12.95" customHeight="1" x14ac:dyDescent="0.25"/>
    <row r="543" ht="12.95" customHeight="1" x14ac:dyDescent="0.25"/>
    <row r="544" ht="12.95" customHeight="1" x14ac:dyDescent="0.25"/>
    <row r="545" ht="12.95" customHeight="1" x14ac:dyDescent="0.25"/>
    <row r="546" ht="12.95" customHeight="1" x14ac:dyDescent="0.25"/>
    <row r="547" ht="12.95" customHeight="1" x14ac:dyDescent="0.25"/>
    <row r="548" ht="12.95" customHeight="1" x14ac:dyDescent="0.25"/>
    <row r="549" ht="12.95" customHeight="1" x14ac:dyDescent="0.25"/>
    <row r="550" ht="12.95" customHeight="1" x14ac:dyDescent="0.25"/>
    <row r="551" ht="12.95" customHeight="1" x14ac:dyDescent="0.25"/>
    <row r="552" ht="12.95" customHeight="1" x14ac:dyDescent="0.25"/>
    <row r="553" ht="12.95" customHeight="1" x14ac:dyDescent="0.25"/>
    <row r="554" ht="12.95" customHeight="1" x14ac:dyDescent="0.25"/>
    <row r="555" ht="12.95" customHeight="1" x14ac:dyDescent="0.25"/>
    <row r="556" ht="12.95" customHeight="1" x14ac:dyDescent="0.25"/>
    <row r="557" ht="12.95" customHeight="1" x14ac:dyDescent="0.25"/>
    <row r="558" ht="12.95" customHeight="1" x14ac:dyDescent="0.25"/>
    <row r="559" ht="12.95" customHeight="1" x14ac:dyDescent="0.25"/>
    <row r="560" ht="12.95" customHeight="1" x14ac:dyDescent="0.25"/>
    <row r="561" ht="12.95" customHeight="1" x14ac:dyDescent="0.25"/>
    <row r="562" ht="12.95" customHeight="1" x14ac:dyDescent="0.25"/>
    <row r="563" ht="12.95" customHeight="1" x14ac:dyDescent="0.25"/>
    <row r="564" ht="12.95" customHeight="1" x14ac:dyDescent="0.25"/>
    <row r="565" ht="12.95" customHeight="1" x14ac:dyDescent="0.25"/>
    <row r="566" ht="12.95" customHeight="1" x14ac:dyDescent="0.25"/>
    <row r="567" ht="12.95" customHeight="1" x14ac:dyDescent="0.25"/>
    <row r="568" ht="12.95" customHeight="1" x14ac:dyDescent="0.25"/>
    <row r="569" ht="12.95" customHeight="1" x14ac:dyDescent="0.25"/>
    <row r="570" ht="12.95" customHeight="1" x14ac:dyDescent="0.25"/>
    <row r="571" ht="12.95" customHeight="1" x14ac:dyDescent="0.25"/>
    <row r="572" ht="12.95" customHeight="1" x14ac:dyDescent="0.25"/>
    <row r="573" ht="12.95" customHeight="1" x14ac:dyDescent="0.25"/>
    <row r="574" ht="12.95" customHeight="1" x14ac:dyDescent="0.25"/>
    <row r="575" ht="12.95" customHeight="1" x14ac:dyDescent="0.25"/>
    <row r="576" ht="12.95" customHeight="1" x14ac:dyDescent="0.25"/>
    <row r="577" ht="12.95" customHeight="1" x14ac:dyDescent="0.25"/>
    <row r="578" ht="12.95" customHeight="1" x14ac:dyDescent="0.25"/>
    <row r="579" ht="12.95" customHeight="1" x14ac:dyDescent="0.25"/>
    <row r="580" ht="12.95" customHeight="1" x14ac:dyDescent="0.25"/>
    <row r="581" ht="12.95" customHeight="1" x14ac:dyDescent="0.25"/>
    <row r="582" ht="12.95" customHeight="1" x14ac:dyDescent="0.25"/>
    <row r="583" ht="12.95" customHeight="1" x14ac:dyDescent="0.25"/>
    <row r="584" ht="12.95" customHeight="1" x14ac:dyDescent="0.25"/>
    <row r="585" ht="12.95" customHeight="1" x14ac:dyDescent="0.25"/>
    <row r="586" ht="12.95" customHeight="1" x14ac:dyDescent="0.25"/>
    <row r="587" ht="12.95" customHeight="1" x14ac:dyDescent="0.25"/>
    <row r="588" ht="12.95" customHeight="1" x14ac:dyDescent="0.25"/>
    <row r="589" ht="12.95" customHeight="1" x14ac:dyDescent="0.25"/>
    <row r="590" ht="12.95" customHeight="1" x14ac:dyDescent="0.25"/>
    <row r="591" ht="12.95" customHeight="1" x14ac:dyDescent="0.25"/>
    <row r="592" ht="12.95" customHeight="1" x14ac:dyDescent="0.25"/>
    <row r="593" ht="12.95" customHeight="1" x14ac:dyDescent="0.25"/>
    <row r="594" ht="12.95" customHeight="1" x14ac:dyDescent="0.25"/>
    <row r="595" ht="12.95" customHeight="1" x14ac:dyDescent="0.25"/>
    <row r="596" ht="12.95" customHeight="1" x14ac:dyDescent="0.25"/>
    <row r="597" ht="12.95" customHeight="1" x14ac:dyDescent="0.25"/>
    <row r="598" ht="12.95" customHeight="1" x14ac:dyDescent="0.25"/>
    <row r="599" ht="12.95" customHeight="1" x14ac:dyDescent="0.25"/>
    <row r="600" ht="12.95" customHeight="1" x14ac:dyDescent="0.25"/>
    <row r="601" ht="12.95" customHeight="1" x14ac:dyDescent="0.25"/>
    <row r="602" ht="12.95" customHeight="1" x14ac:dyDescent="0.25"/>
    <row r="603" ht="12.95" customHeight="1" x14ac:dyDescent="0.25"/>
    <row r="604" ht="12.95" customHeight="1" x14ac:dyDescent="0.25"/>
    <row r="605" ht="12.95" customHeight="1" x14ac:dyDescent="0.25"/>
    <row r="606" ht="12.95" customHeight="1" x14ac:dyDescent="0.25"/>
    <row r="607" ht="12.95" customHeight="1" x14ac:dyDescent="0.25"/>
    <row r="608" ht="12.95" customHeight="1" x14ac:dyDescent="0.25"/>
    <row r="609" ht="12.95" customHeight="1" x14ac:dyDescent="0.25"/>
    <row r="610" ht="12.95" customHeight="1" x14ac:dyDescent="0.25"/>
    <row r="611" ht="12.95" customHeight="1" x14ac:dyDescent="0.25"/>
    <row r="612" ht="12.95" customHeight="1" x14ac:dyDescent="0.25"/>
    <row r="613" ht="12.95" customHeight="1" x14ac:dyDescent="0.25"/>
    <row r="614" ht="12.95" customHeight="1" x14ac:dyDescent="0.25"/>
    <row r="615" ht="12.95" customHeight="1" x14ac:dyDescent="0.25"/>
    <row r="616" ht="12.95" customHeight="1" x14ac:dyDescent="0.25"/>
    <row r="617" ht="12.95" customHeight="1" x14ac:dyDescent="0.25"/>
    <row r="618" ht="12.95" customHeight="1" x14ac:dyDescent="0.25"/>
    <row r="619" ht="12.95" customHeight="1" x14ac:dyDescent="0.25"/>
    <row r="620" ht="12.95" customHeight="1" x14ac:dyDescent="0.25"/>
    <row r="621" ht="12.95" customHeight="1" x14ac:dyDescent="0.25"/>
    <row r="622" ht="12.95" customHeight="1" x14ac:dyDescent="0.25"/>
    <row r="623" ht="12.95" customHeight="1" x14ac:dyDescent="0.25"/>
    <row r="624" ht="12.95" customHeight="1" x14ac:dyDescent="0.25"/>
    <row r="625" ht="12.95" customHeight="1" x14ac:dyDescent="0.25"/>
    <row r="626" ht="12.95" customHeight="1" x14ac:dyDescent="0.25"/>
    <row r="627" ht="12.95" customHeight="1" x14ac:dyDescent="0.25"/>
    <row r="628" ht="12.95" customHeight="1" x14ac:dyDescent="0.25"/>
    <row r="629" ht="12.95" customHeight="1" x14ac:dyDescent="0.25"/>
    <row r="630" ht="12.95" customHeight="1" x14ac:dyDescent="0.25"/>
    <row r="631" ht="12.95" customHeight="1" x14ac:dyDescent="0.25"/>
    <row r="632" ht="12.95" customHeight="1" x14ac:dyDescent="0.25"/>
    <row r="633" ht="12.95" customHeight="1" x14ac:dyDescent="0.25"/>
    <row r="634" ht="12.95" customHeight="1" x14ac:dyDescent="0.25"/>
    <row r="635" ht="12.95" customHeight="1" x14ac:dyDescent="0.25"/>
    <row r="636" ht="12.95" customHeight="1" x14ac:dyDescent="0.25"/>
    <row r="637" ht="12.95" customHeight="1" x14ac:dyDescent="0.25"/>
    <row r="638" ht="12.95" customHeight="1" x14ac:dyDescent="0.25"/>
    <row r="639" ht="12.95" customHeight="1" x14ac:dyDescent="0.25"/>
    <row r="640" ht="12.95" customHeight="1" x14ac:dyDescent="0.25"/>
    <row r="641" ht="12.95" customHeight="1" x14ac:dyDescent="0.25"/>
    <row r="642" ht="12.95" customHeight="1" x14ac:dyDescent="0.25"/>
    <row r="643" ht="12.95" customHeight="1" x14ac:dyDescent="0.25"/>
    <row r="644" ht="12.95" customHeight="1" x14ac:dyDescent="0.25"/>
    <row r="645" ht="12.95" customHeight="1" x14ac:dyDescent="0.25"/>
    <row r="646" ht="12.95" customHeight="1" x14ac:dyDescent="0.25"/>
    <row r="647" ht="12.95" customHeight="1" x14ac:dyDescent="0.25"/>
    <row r="648" ht="12.95" customHeight="1" x14ac:dyDescent="0.25"/>
    <row r="649" ht="12.95" customHeight="1" x14ac:dyDescent="0.25"/>
    <row r="650" ht="12.95" customHeight="1" x14ac:dyDescent="0.25"/>
    <row r="651" ht="12.95" customHeight="1" x14ac:dyDescent="0.25"/>
    <row r="652" ht="12.95" customHeight="1" x14ac:dyDescent="0.25"/>
    <row r="653" ht="12.95" customHeight="1" x14ac:dyDescent="0.25"/>
    <row r="654" ht="12.95" customHeight="1" x14ac:dyDescent="0.25"/>
    <row r="655" ht="12.95" customHeight="1" x14ac:dyDescent="0.25"/>
    <row r="656" ht="12.95" customHeight="1" x14ac:dyDescent="0.25"/>
    <row r="657" ht="12.95" customHeight="1" x14ac:dyDescent="0.25"/>
    <row r="658" ht="12.95" customHeight="1" x14ac:dyDescent="0.25"/>
    <row r="659" ht="12.95" customHeight="1" x14ac:dyDescent="0.25"/>
    <row r="660" ht="12.95" customHeight="1" x14ac:dyDescent="0.25"/>
    <row r="661" ht="12.95" customHeight="1" x14ac:dyDescent="0.25"/>
    <row r="662" ht="12.95" customHeight="1" x14ac:dyDescent="0.25"/>
    <row r="663" ht="12.95" customHeight="1" x14ac:dyDescent="0.25"/>
    <row r="664" ht="12.95" customHeight="1" x14ac:dyDescent="0.25"/>
    <row r="665" ht="12.95" customHeight="1" x14ac:dyDescent="0.25"/>
    <row r="666" ht="12.95" customHeight="1" x14ac:dyDescent="0.25"/>
    <row r="667" ht="12.95" customHeight="1" x14ac:dyDescent="0.25"/>
    <row r="668" ht="12.95" customHeight="1" x14ac:dyDescent="0.25"/>
    <row r="669" ht="12.95" customHeight="1" x14ac:dyDescent="0.25"/>
    <row r="670" ht="12.95" customHeight="1" x14ac:dyDescent="0.25"/>
    <row r="671" ht="12.95" customHeight="1" x14ac:dyDescent="0.25"/>
    <row r="672" ht="12.95" customHeight="1" x14ac:dyDescent="0.25"/>
    <row r="673" ht="12.95" customHeight="1" x14ac:dyDescent="0.25"/>
    <row r="674" ht="12.95" customHeight="1" x14ac:dyDescent="0.25"/>
    <row r="675" ht="12.95" customHeight="1" x14ac:dyDescent="0.25"/>
    <row r="676" ht="12.95" customHeight="1" x14ac:dyDescent="0.25"/>
    <row r="677" ht="12.95" customHeight="1" x14ac:dyDescent="0.25"/>
    <row r="678" ht="12.95" customHeight="1" x14ac:dyDescent="0.25"/>
    <row r="679" ht="12.95" customHeight="1" x14ac:dyDescent="0.25"/>
    <row r="680" ht="12.95" customHeight="1" x14ac:dyDescent="0.25"/>
    <row r="681" ht="12.95" customHeight="1" x14ac:dyDescent="0.25"/>
    <row r="682" ht="12.95" customHeight="1" x14ac:dyDescent="0.25"/>
    <row r="683" ht="12.95" customHeight="1" x14ac:dyDescent="0.25"/>
    <row r="684" ht="12.95" customHeight="1" x14ac:dyDescent="0.25"/>
    <row r="685" ht="12.95" customHeight="1" x14ac:dyDescent="0.25"/>
    <row r="686" ht="12.95" customHeight="1" x14ac:dyDescent="0.25"/>
    <row r="687" ht="12.95" customHeight="1" x14ac:dyDescent="0.25"/>
    <row r="688" ht="12.95" customHeight="1" x14ac:dyDescent="0.25"/>
    <row r="689" ht="12.95" customHeight="1" x14ac:dyDescent="0.25"/>
    <row r="690" ht="12.95" customHeight="1" x14ac:dyDescent="0.25"/>
    <row r="691" ht="12.95" customHeight="1" x14ac:dyDescent="0.25"/>
    <row r="692" ht="12.95" customHeight="1" x14ac:dyDescent="0.25"/>
    <row r="693" ht="12.95" customHeight="1" x14ac:dyDescent="0.25"/>
    <row r="694" ht="12.95" customHeight="1" x14ac:dyDescent="0.25"/>
    <row r="695" ht="12.95" customHeight="1" x14ac:dyDescent="0.25"/>
    <row r="696" ht="12.95" customHeight="1" x14ac:dyDescent="0.25"/>
    <row r="697" ht="12.95" customHeight="1" x14ac:dyDescent="0.25"/>
    <row r="698" ht="12.95" customHeight="1" x14ac:dyDescent="0.25"/>
    <row r="699" ht="12.95" customHeight="1" x14ac:dyDescent="0.25"/>
    <row r="700" ht="12.95" customHeight="1" x14ac:dyDescent="0.25"/>
    <row r="701" ht="12.95" customHeight="1" x14ac:dyDescent="0.25"/>
    <row r="702" ht="12.95" customHeight="1" x14ac:dyDescent="0.25"/>
    <row r="703" ht="12.95" customHeight="1" x14ac:dyDescent="0.25"/>
    <row r="704" ht="12.95" customHeight="1" x14ac:dyDescent="0.25"/>
    <row r="705" ht="12.95" customHeight="1" x14ac:dyDescent="0.25"/>
    <row r="706" ht="12.95" customHeight="1" x14ac:dyDescent="0.25"/>
    <row r="707" ht="12.95" customHeight="1" x14ac:dyDescent="0.25"/>
    <row r="708" ht="12.95" customHeight="1" x14ac:dyDescent="0.25"/>
    <row r="709" ht="12.95" customHeight="1" x14ac:dyDescent="0.25"/>
    <row r="710" ht="12.95" customHeight="1" x14ac:dyDescent="0.25"/>
    <row r="711" ht="12.95" customHeight="1" x14ac:dyDescent="0.25"/>
    <row r="712" ht="12.95" customHeight="1" x14ac:dyDescent="0.25"/>
    <row r="713" ht="12.95" customHeight="1" x14ac:dyDescent="0.25"/>
    <row r="714" ht="12.95" customHeight="1" x14ac:dyDescent="0.25"/>
    <row r="715" ht="12.95" customHeight="1" x14ac:dyDescent="0.25"/>
    <row r="716" ht="12.95" customHeight="1" x14ac:dyDescent="0.25"/>
    <row r="717" ht="12.95" customHeight="1" x14ac:dyDescent="0.25"/>
    <row r="718" ht="12.95" customHeight="1" x14ac:dyDescent="0.25"/>
    <row r="719" ht="12.95" customHeight="1" x14ac:dyDescent="0.25"/>
    <row r="720" ht="12.95" customHeight="1" x14ac:dyDescent="0.25"/>
    <row r="721" ht="12.95" customHeight="1" x14ac:dyDescent="0.25"/>
    <row r="722" ht="12.95" customHeight="1" x14ac:dyDescent="0.25"/>
    <row r="723" ht="12.95" customHeight="1" x14ac:dyDescent="0.25"/>
    <row r="724" ht="12.95" customHeight="1" x14ac:dyDescent="0.25"/>
    <row r="725" ht="12.95" customHeight="1" x14ac:dyDescent="0.25"/>
    <row r="726" ht="12.95" customHeight="1" x14ac:dyDescent="0.25"/>
    <row r="727" ht="12.95" customHeight="1" x14ac:dyDescent="0.25"/>
    <row r="728" ht="12.95" customHeight="1" x14ac:dyDescent="0.25"/>
    <row r="729" ht="12.95" customHeight="1" x14ac:dyDescent="0.25"/>
    <row r="730" ht="12.95" customHeight="1" x14ac:dyDescent="0.25"/>
    <row r="731" ht="12.95" customHeight="1" x14ac:dyDescent="0.25"/>
    <row r="732" ht="12.95" customHeight="1" x14ac:dyDescent="0.25"/>
    <row r="733" ht="12.95" customHeight="1" x14ac:dyDescent="0.25"/>
    <row r="734" ht="12.95" customHeight="1" x14ac:dyDescent="0.25"/>
    <row r="735" ht="12.95" customHeight="1" x14ac:dyDescent="0.25"/>
    <row r="736" ht="12.95" customHeight="1" x14ac:dyDescent="0.25"/>
    <row r="737" ht="12.95" customHeight="1" x14ac:dyDescent="0.25"/>
    <row r="738" ht="12.95" customHeight="1" x14ac:dyDescent="0.25"/>
    <row r="739" ht="12.95" customHeight="1" x14ac:dyDescent="0.25"/>
    <row r="740" ht="12.95" customHeight="1" x14ac:dyDescent="0.25"/>
    <row r="741" ht="12.95" customHeight="1" x14ac:dyDescent="0.25"/>
    <row r="742" ht="12.95" customHeight="1" x14ac:dyDescent="0.25"/>
    <row r="743" ht="12.95" customHeight="1" x14ac:dyDescent="0.25"/>
    <row r="744" ht="12.95" customHeight="1" x14ac:dyDescent="0.25"/>
    <row r="745" ht="12.95" customHeight="1" x14ac:dyDescent="0.25"/>
    <row r="746" ht="12.95" customHeight="1" x14ac:dyDescent="0.25"/>
    <row r="747" ht="12.95" customHeight="1" x14ac:dyDescent="0.25"/>
    <row r="748" ht="12.95" customHeight="1" x14ac:dyDescent="0.25"/>
    <row r="749" ht="12.95" customHeight="1" x14ac:dyDescent="0.25"/>
    <row r="750" ht="12.95" customHeight="1" x14ac:dyDescent="0.25"/>
    <row r="751" ht="12.95" customHeight="1" x14ac:dyDescent="0.25"/>
    <row r="752" ht="12.95" customHeight="1" x14ac:dyDescent="0.25"/>
    <row r="753" ht="12.95" customHeight="1" x14ac:dyDescent="0.25"/>
    <row r="754" ht="12.95" customHeight="1" x14ac:dyDescent="0.25"/>
    <row r="755" ht="12.95" customHeight="1" x14ac:dyDescent="0.25"/>
    <row r="756" ht="12.95" customHeight="1" x14ac:dyDescent="0.25"/>
    <row r="757" ht="12.95" customHeight="1" x14ac:dyDescent="0.25"/>
    <row r="758" ht="12.95" customHeight="1" x14ac:dyDescent="0.25"/>
    <row r="759" ht="12.95" customHeight="1" x14ac:dyDescent="0.25"/>
    <row r="760" ht="12.95" customHeight="1" x14ac:dyDescent="0.25"/>
    <row r="761" ht="12.95" customHeight="1" x14ac:dyDescent="0.25"/>
    <row r="762" ht="12.95" customHeight="1" x14ac:dyDescent="0.25"/>
    <row r="763" ht="12.95" customHeight="1" x14ac:dyDescent="0.25"/>
    <row r="764" ht="12.95" customHeight="1" x14ac:dyDescent="0.25"/>
    <row r="765" ht="12.95" customHeight="1" x14ac:dyDescent="0.25"/>
    <row r="766" ht="12.95" customHeight="1" x14ac:dyDescent="0.25"/>
    <row r="767" ht="12.95" customHeight="1" x14ac:dyDescent="0.25"/>
    <row r="768" ht="12.95" customHeight="1" x14ac:dyDescent="0.25"/>
    <row r="769" ht="12.95" customHeight="1" x14ac:dyDescent="0.25"/>
    <row r="770" ht="12.95" customHeight="1" x14ac:dyDescent="0.25"/>
    <row r="771" ht="12.95" customHeight="1" x14ac:dyDescent="0.25"/>
    <row r="772" ht="12.95" customHeight="1" x14ac:dyDescent="0.25"/>
    <row r="773" ht="12.95" customHeight="1" x14ac:dyDescent="0.25"/>
    <row r="774" ht="12.95" customHeight="1" x14ac:dyDescent="0.25"/>
    <row r="775" ht="12.95" customHeight="1" x14ac:dyDescent="0.25"/>
    <row r="776" ht="12.95" customHeight="1" x14ac:dyDescent="0.25"/>
    <row r="777" ht="12.95" customHeight="1" x14ac:dyDescent="0.25"/>
    <row r="778" ht="12.95" customHeight="1" x14ac:dyDescent="0.25"/>
    <row r="779" ht="12.95" customHeight="1" x14ac:dyDescent="0.25"/>
    <row r="780" ht="12.95" customHeight="1" x14ac:dyDescent="0.25"/>
    <row r="781" ht="12.95" customHeight="1" x14ac:dyDescent="0.25"/>
    <row r="782" ht="12.95" customHeight="1" x14ac:dyDescent="0.25"/>
    <row r="783" ht="12.95" customHeight="1" x14ac:dyDescent="0.25"/>
    <row r="784" ht="12.95" customHeight="1" x14ac:dyDescent="0.25"/>
    <row r="785" ht="12.95" customHeight="1" x14ac:dyDescent="0.25"/>
    <row r="786" ht="12.95" customHeight="1" x14ac:dyDescent="0.25"/>
    <row r="787" ht="12.95" customHeight="1" x14ac:dyDescent="0.25"/>
    <row r="788" ht="12.95" customHeight="1" x14ac:dyDescent="0.25"/>
    <row r="789" ht="12.95" customHeight="1" x14ac:dyDescent="0.25"/>
    <row r="790" ht="12.95" customHeight="1" x14ac:dyDescent="0.25"/>
    <row r="791" ht="12.95" customHeight="1" x14ac:dyDescent="0.25"/>
    <row r="792" ht="12.95" customHeight="1" x14ac:dyDescent="0.25"/>
    <row r="793" ht="12.95" customHeight="1" x14ac:dyDescent="0.25"/>
    <row r="794" ht="12.95" customHeight="1" x14ac:dyDescent="0.25"/>
    <row r="795" ht="12.95" customHeight="1" x14ac:dyDescent="0.25"/>
    <row r="796" ht="12.95" customHeight="1" x14ac:dyDescent="0.25"/>
    <row r="797" ht="12.95" customHeight="1" x14ac:dyDescent="0.25"/>
    <row r="798" ht="12.95" customHeight="1" x14ac:dyDescent="0.25"/>
    <row r="799" ht="12.95" customHeight="1" x14ac:dyDescent="0.25"/>
    <row r="800" ht="12.95" customHeight="1" x14ac:dyDescent="0.25"/>
    <row r="801" ht="12.95" customHeight="1" x14ac:dyDescent="0.25"/>
    <row r="802" ht="12.95" customHeight="1" x14ac:dyDescent="0.25"/>
    <row r="803" ht="12.95" customHeight="1" x14ac:dyDescent="0.25"/>
    <row r="804" ht="12.95" customHeight="1" x14ac:dyDescent="0.25"/>
    <row r="805" ht="12.95" customHeight="1" x14ac:dyDescent="0.25"/>
    <row r="806" ht="12.95" customHeight="1" x14ac:dyDescent="0.25"/>
    <row r="807" ht="12.95" customHeight="1" x14ac:dyDescent="0.25"/>
    <row r="808" ht="12.95" customHeight="1" x14ac:dyDescent="0.25"/>
    <row r="809" ht="12.95" customHeight="1" x14ac:dyDescent="0.25"/>
    <row r="810" ht="12.95" customHeight="1" x14ac:dyDescent="0.25"/>
    <row r="811" ht="12.95" customHeight="1" x14ac:dyDescent="0.25"/>
    <row r="812" ht="12.95" customHeight="1" x14ac:dyDescent="0.25"/>
    <row r="813" ht="12.95" customHeight="1" x14ac:dyDescent="0.25"/>
    <row r="814" ht="12.95" customHeight="1" x14ac:dyDescent="0.25"/>
    <row r="815" ht="12.95" customHeight="1" x14ac:dyDescent="0.25"/>
    <row r="816" ht="12.95" customHeight="1" x14ac:dyDescent="0.25"/>
    <row r="817" ht="12.95" customHeight="1" x14ac:dyDescent="0.25"/>
    <row r="818" ht="12.95" customHeight="1" x14ac:dyDescent="0.25"/>
    <row r="819" ht="12.95" customHeight="1" x14ac:dyDescent="0.25"/>
    <row r="820" ht="12.95" customHeight="1" x14ac:dyDescent="0.25"/>
    <row r="821" ht="12.95" customHeight="1" x14ac:dyDescent="0.25"/>
    <row r="822" ht="12.95" customHeight="1" x14ac:dyDescent="0.25"/>
    <row r="823" ht="12.95" customHeight="1" x14ac:dyDescent="0.25"/>
    <row r="824" ht="12.95" customHeight="1" x14ac:dyDescent="0.25"/>
    <row r="825" ht="12.95" customHeight="1" x14ac:dyDescent="0.25"/>
    <row r="826" ht="12.95" customHeight="1" x14ac:dyDescent="0.25"/>
    <row r="827" ht="12.95" customHeight="1" x14ac:dyDescent="0.25"/>
    <row r="828" ht="12.95" customHeight="1" x14ac:dyDescent="0.25"/>
    <row r="829" ht="12.95" customHeight="1" x14ac:dyDescent="0.25"/>
    <row r="830" ht="12.95" customHeight="1" x14ac:dyDescent="0.25"/>
    <row r="831" ht="12.95" customHeight="1" x14ac:dyDescent="0.25"/>
    <row r="832" ht="12.95" customHeight="1" x14ac:dyDescent="0.25"/>
    <row r="833" ht="12.95" customHeight="1" x14ac:dyDescent="0.25"/>
    <row r="834" ht="12.95" customHeight="1" x14ac:dyDescent="0.25"/>
    <row r="835" ht="12.95" customHeight="1" x14ac:dyDescent="0.25"/>
    <row r="836" ht="12.95" customHeight="1" x14ac:dyDescent="0.25"/>
    <row r="837" ht="12.95" customHeight="1" x14ac:dyDescent="0.25"/>
    <row r="838" ht="12.95" customHeight="1" x14ac:dyDescent="0.25"/>
    <row r="839" ht="12.95" customHeight="1" x14ac:dyDescent="0.25"/>
    <row r="840" ht="12.95" customHeight="1" x14ac:dyDescent="0.25"/>
    <row r="841" ht="12.95" customHeight="1" x14ac:dyDescent="0.25"/>
    <row r="842" ht="12.95" customHeight="1" x14ac:dyDescent="0.25"/>
    <row r="843" ht="12.95" customHeight="1" x14ac:dyDescent="0.25"/>
    <row r="844" ht="12.95" customHeight="1" x14ac:dyDescent="0.25"/>
    <row r="845" ht="12.95" customHeight="1" x14ac:dyDescent="0.25"/>
    <row r="846" ht="12.95" customHeight="1" x14ac:dyDescent="0.25"/>
    <row r="847" ht="12.95" customHeight="1" x14ac:dyDescent="0.25"/>
    <row r="848" ht="12.95" customHeight="1" x14ac:dyDescent="0.25"/>
    <row r="849" ht="12.95" customHeight="1" x14ac:dyDescent="0.25"/>
    <row r="850" ht="12.95" customHeight="1" x14ac:dyDescent="0.25"/>
    <row r="851" ht="12.95" customHeight="1" x14ac:dyDescent="0.25"/>
    <row r="852" ht="12.95" customHeight="1" x14ac:dyDescent="0.25"/>
    <row r="853" ht="12.95" customHeight="1" x14ac:dyDescent="0.25"/>
    <row r="854" ht="12.95" customHeight="1" x14ac:dyDescent="0.25"/>
    <row r="855" ht="12.95" customHeight="1" x14ac:dyDescent="0.25"/>
    <row r="856" ht="12.95" customHeight="1" x14ac:dyDescent="0.25"/>
    <row r="857" ht="12.95" customHeight="1" x14ac:dyDescent="0.25"/>
    <row r="858" ht="12.95" customHeight="1" x14ac:dyDescent="0.25"/>
    <row r="859" ht="12.95" customHeight="1" x14ac:dyDescent="0.25"/>
    <row r="860" ht="12.95" customHeight="1" x14ac:dyDescent="0.25"/>
    <row r="861" ht="12.95" customHeight="1" x14ac:dyDescent="0.25"/>
    <row r="862" ht="12.95" customHeight="1" x14ac:dyDescent="0.25"/>
    <row r="863" ht="12.95" customHeight="1" x14ac:dyDescent="0.25"/>
    <row r="864" ht="12.95" customHeight="1" x14ac:dyDescent="0.25"/>
    <row r="865" ht="12.95" customHeight="1" x14ac:dyDescent="0.25"/>
    <row r="866" ht="12.95" customHeight="1" x14ac:dyDescent="0.25"/>
    <row r="867" ht="12.95" customHeight="1" x14ac:dyDescent="0.25"/>
    <row r="868" ht="12.95" customHeight="1" x14ac:dyDescent="0.25"/>
    <row r="869" ht="12.95" customHeight="1" x14ac:dyDescent="0.25"/>
    <row r="870" ht="12.95" customHeight="1" x14ac:dyDescent="0.25"/>
    <row r="871" ht="12.95" customHeight="1" x14ac:dyDescent="0.25"/>
    <row r="872" ht="12.95" customHeight="1" x14ac:dyDescent="0.25"/>
    <row r="873" ht="12.95" customHeight="1" x14ac:dyDescent="0.25"/>
    <row r="874" ht="12.95" customHeight="1" x14ac:dyDescent="0.25"/>
    <row r="875" ht="12.95" customHeight="1" x14ac:dyDescent="0.25"/>
    <row r="876" ht="12.95" customHeight="1" x14ac:dyDescent="0.25"/>
    <row r="877" ht="12.95" customHeight="1" x14ac:dyDescent="0.25"/>
    <row r="878" ht="12.95" customHeight="1" x14ac:dyDescent="0.25"/>
    <row r="879" ht="12.95" customHeight="1" x14ac:dyDescent="0.25"/>
    <row r="880" ht="12.95" customHeight="1" x14ac:dyDescent="0.25"/>
    <row r="881" ht="12.95" customHeight="1" x14ac:dyDescent="0.25"/>
    <row r="882" ht="12.95" customHeight="1" x14ac:dyDescent="0.25"/>
    <row r="883" ht="12.95" customHeight="1" x14ac:dyDescent="0.25"/>
    <row r="884" ht="12.95" customHeight="1" x14ac:dyDescent="0.25"/>
    <row r="885" ht="12.95" customHeight="1" x14ac:dyDescent="0.25"/>
    <row r="886" ht="12.95" customHeight="1" x14ac:dyDescent="0.25"/>
    <row r="887" ht="12.95" customHeight="1" x14ac:dyDescent="0.25"/>
    <row r="888" ht="12.95" customHeight="1" x14ac:dyDescent="0.25"/>
    <row r="889" ht="12.95" customHeight="1" x14ac:dyDescent="0.25"/>
    <row r="890" ht="12.95" customHeight="1" x14ac:dyDescent="0.25"/>
    <row r="891" ht="12.95" customHeight="1" x14ac:dyDescent="0.25"/>
    <row r="892" ht="12.95" customHeight="1" x14ac:dyDescent="0.25"/>
    <row r="893" ht="12.95" customHeight="1" x14ac:dyDescent="0.25"/>
    <row r="894" ht="12.95" customHeight="1" x14ac:dyDescent="0.25"/>
    <row r="895" ht="12.95" customHeight="1" x14ac:dyDescent="0.25"/>
    <row r="896" ht="12.95" customHeight="1" x14ac:dyDescent="0.25"/>
    <row r="897" ht="12.95" customHeight="1" x14ac:dyDescent="0.25"/>
    <row r="898" ht="12.95" customHeight="1" x14ac:dyDescent="0.25"/>
    <row r="899" ht="12.95" customHeight="1" x14ac:dyDescent="0.25"/>
    <row r="900" ht="12.95" customHeight="1" x14ac:dyDescent="0.25"/>
    <row r="901" ht="12.95" customHeight="1" x14ac:dyDescent="0.25"/>
  </sheetData>
  <conditionalFormatting sqref="A1:XFD1048576">
    <cfRule type="expression" dxfId="5" priority="1">
      <formula>ROW(A1)=ActiveRow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4097" r:id="rId4" name="Image2">
          <controlPr defaultSize="0" autoLine="0" r:id="rId5">
            <anchor moveWithCells="1">
              <from>
                <xdr:col>8</xdr:col>
                <xdr:colOff>123825</xdr:colOff>
                <xdr:row>0</xdr:row>
                <xdr:rowOff>0</xdr:rowOff>
              </from>
              <to>
                <xdr:col>10</xdr:col>
                <xdr:colOff>552450</xdr:colOff>
                <xdr:row>9</xdr:row>
                <xdr:rowOff>114300</xdr:rowOff>
              </to>
            </anchor>
          </controlPr>
        </control>
      </mc:Choice>
      <mc:Fallback>
        <control shapeId="4097" r:id="rId4" name="Image2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1:I57"/>
  <sheetViews>
    <sheetView workbookViewId="0">
      <selection activeCell="A20" sqref="A20"/>
    </sheetView>
  </sheetViews>
  <sheetFormatPr baseColWidth="10" defaultRowHeight="12.75" x14ac:dyDescent="0.2"/>
  <cols>
    <col min="1" max="1" width="25.7109375" style="81" customWidth="1"/>
    <col min="2" max="2" width="12.7109375" style="168" customWidth="1"/>
    <col min="3" max="3" width="8.7109375" style="86" customWidth="1"/>
    <col min="4" max="4" width="25.7109375" style="81" customWidth="1"/>
    <col min="5" max="5" width="8.7109375" style="192" customWidth="1"/>
    <col min="6" max="6" width="25.7109375" style="81" customWidth="1"/>
    <col min="7" max="16384" width="11.42578125" style="81"/>
  </cols>
  <sheetData>
    <row r="1" spans="1:6" ht="30" customHeight="1" x14ac:dyDescent="0.2">
      <c r="A1" s="193" t="s">
        <v>100</v>
      </c>
      <c r="D1" s="200" t="s">
        <v>77</v>
      </c>
      <c r="E1" s="191"/>
      <c r="F1" s="200" t="s">
        <v>181</v>
      </c>
    </row>
    <row r="2" spans="1:6" ht="12" customHeight="1" x14ac:dyDescent="0.2">
      <c r="A2" s="197" t="s">
        <v>59</v>
      </c>
      <c r="D2" s="189" t="s">
        <v>196</v>
      </c>
      <c r="E2" s="190"/>
      <c r="F2" s="189" t="s">
        <v>187</v>
      </c>
    </row>
    <row r="3" spans="1:6" ht="12" customHeight="1" x14ac:dyDescent="0.2">
      <c r="A3" s="198" t="s">
        <v>60</v>
      </c>
      <c r="D3" s="189" t="s">
        <v>96</v>
      </c>
      <c r="E3" s="190"/>
      <c r="F3" s="189" t="s">
        <v>182</v>
      </c>
    </row>
    <row r="4" spans="1:6" ht="12" customHeight="1" x14ac:dyDescent="0.2">
      <c r="A4" s="198" t="s">
        <v>61</v>
      </c>
      <c r="D4" s="189" t="s">
        <v>97</v>
      </c>
      <c r="E4" s="190"/>
      <c r="F4" s="189" t="s">
        <v>184</v>
      </c>
    </row>
    <row r="5" spans="1:6" ht="12" customHeight="1" x14ac:dyDescent="0.2">
      <c r="A5" s="198" t="s">
        <v>62</v>
      </c>
      <c r="D5" s="189" t="s">
        <v>193</v>
      </c>
      <c r="E5" s="190"/>
      <c r="F5" s="189" t="s">
        <v>188</v>
      </c>
    </row>
    <row r="6" spans="1:6" ht="12" customHeight="1" x14ac:dyDescent="0.2">
      <c r="A6" s="198" t="s">
        <v>63</v>
      </c>
      <c r="D6" s="189"/>
      <c r="E6" s="190"/>
      <c r="F6" s="189" t="s">
        <v>183</v>
      </c>
    </row>
    <row r="7" spans="1:6" ht="12" customHeight="1" x14ac:dyDescent="0.2">
      <c r="A7" s="198" t="s">
        <v>122</v>
      </c>
      <c r="D7" s="189" t="s">
        <v>111</v>
      </c>
      <c r="E7" s="190"/>
      <c r="F7" s="189" t="s">
        <v>185</v>
      </c>
    </row>
    <row r="8" spans="1:6" ht="12" customHeight="1" x14ac:dyDescent="0.2">
      <c r="A8" s="198" t="s">
        <v>123</v>
      </c>
      <c r="D8" s="189" t="s">
        <v>108</v>
      </c>
      <c r="E8" s="190"/>
      <c r="F8" s="189" t="s">
        <v>186</v>
      </c>
    </row>
    <row r="9" spans="1:6" ht="12" customHeight="1" x14ac:dyDescent="0.2">
      <c r="A9" s="198" t="s">
        <v>124</v>
      </c>
      <c r="D9" s="189" t="s">
        <v>109</v>
      </c>
      <c r="E9" s="190"/>
      <c r="F9" s="194"/>
    </row>
    <row r="10" spans="1:6" ht="12" customHeight="1" x14ac:dyDescent="0.2">
      <c r="A10" s="198" t="s">
        <v>125</v>
      </c>
      <c r="D10" s="189"/>
      <c r="E10" s="190"/>
      <c r="F10" s="194"/>
    </row>
    <row r="11" spans="1:6" ht="12" customHeight="1" x14ac:dyDescent="0.2">
      <c r="A11" s="198" t="s">
        <v>126</v>
      </c>
      <c r="D11" s="189" t="s">
        <v>110</v>
      </c>
      <c r="E11" s="190"/>
      <c r="F11" s="195"/>
    </row>
    <row r="12" spans="1:6" ht="12" customHeight="1" x14ac:dyDescent="0.2">
      <c r="A12" s="198" t="s">
        <v>157</v>
      </c>
      <c r="D12" s="196"/>
      <c r="E12" s="190"/>
      <c r="F12" s="195"/>
    </row>
    <row r="13" spans="1:6" ht="12" customHeight="1" x14ac:dyDescent="0.2">
      <c r="A13" s="198" t="s">
        <v>190</v>
      </c>
      <c r="D13" s="194"/>
      <c r="E13" s="190"/>
      <c r="F13" s="195"/>
    </row>
    <row r="14" spans="1:6" x14ac:dyDescent="0.2">
      <c r="A14" s="34" t="s">
        <v>64</v>
      </c>
      <c r="B14" s="199" t="s">
        <v>2</v>
      </c>
      <c r="D14" s="194"/>
      <c r="F14" s="194"/>
    </row>
    <row r="15" spans="1:6" x14ac:dyDescent="0.2">
      <c r="A15" s="38" t="s">
        <v>65</v>
      </c>
      <c r="B15" s="213" t="s">
        <v>154</v>
      </c>
      <c r="C15" s="81"/>
      <c r="D15" s="194"/>
      <c r="F15" s="194"/>
    </row>
    <row r="16" spans="1:6" x14ac:dyDescent="0.2">
      <c r="A16" s="38" t="s">
        <v>192</v>
      </c>
      <c r="B16" s="215"/>
      <c r="C16" s="81"/>
      <c r="D16" s="194"/>
      <c r="F16" s="194"/>
    </row>
    <row r="17" spans="1:7" x14ac:dyDescent="0.2">
      <c r="A17" s="38" t="s">
        <v>66</v>
      </c>
      <c r="B17" s="215"/>
      <c r="C17" s="81"/>
      <c r="D17" s="194"/>
      <c r="F17" s="194"/>
    </row>
    <row r="18" spans="1:7" x14ac:dyDescent="0.2">
      <c r="A18" s="38" t="s">
        <v>197</v>
      </c>
      <c r="B18" s="215"/>
      <c r="C18" s="81"/>
      <c r="D18" s="194"/>
      <c r="F18" s="194"/>
    </row>
    <row r="19" spans="1:7" x14ac:dyDescent="0.2">
      <c r="A19" s="38" t="s">
        <v>67</v>
      </c>
      <c r="B19" s="215"/>
      <c r="C19" s="81"/>
    </row>
    <row r="20" spans="1:7" x14ac:dyDescent="0.2">
      <c r="A20" s="38" t="s">
        <v>91</v>
      </c>
      <c r="B20" s="213" t="s">
        <v>153</v>
      </c>
      <c r="C20" s="81"/>
    </row>
    <row r="21" spans="1:7" x14ac:dyDescent="0.2">
      <c r="A21" s="38" t="s">
        <v>93</v>
      </c>
      <c r="B21" s="215"/>
      <c r="C21" s="81"/>
      <c r="G21" s="108"/>
    </row>
    <row r="22" spans="1:7" x14ac:dyDescent="0.2">
      <c r="A22" s="38" t="s">
        <v>95</v>
      </c>
      <c r="B22" s="215"/>
      <c r="C22" s="81"/>
      <c r="G22" s="108"/>
    </row>
    <row r="23" spans="1:7" x14ac:dyDescent="0.2">
      <c r="A23" s="38" t="s">
        <v>94</v>
      </c>
      <c r="B23" s="215"/>
      <c r="C23" s="81"/>
      <c r="G23" s="108"/>
    </row>
    <row r="24" spans="1:7" x14ac:dyDescent="0.2">
      <c r="A24" s="38" t="s">
        <v>92</v>
      </c>
      <c r="B24" s="215"/>
      <c r="C24" s="81"/>
      <c r="G24" s="108"/>
    </row>
    <row r="25" spans="1:7" x14ac:dyDescent="0.2">
      <c r="A25" s="38" t="s">
        <v>127</v>
      </c>
      <c r="B25" s="213" t="s">
        <v>147</v>
      </c>
      <c r="C25" s="81"/>
      <c r="G25" s="108"/>
    </row>
    <row r="26" spans="1:7" x14ac:dyDescent="0.2">
      <c r="A26" s="38" t="s">
        <v>123</v>
      </c>
      <c r="B26" s="215"/>
      <c r="C26" s="81"/>
      <c r="G26" s="108"/>
    </row>
    <row r="27" spans="1:7" x14ac:dyDescent="0.2">
      <c r="A27" s="38" t="s">
        <v>125</v>
      </c>
      <c r="B27" s="215"/>
      <c r="C27" s="81"/>
      <c r="G27" s="108"/>
    </row>
    <row r="28" spans="1:7" x14ac:dyDescent="0.2">
      <c r="A28" s="38" t="s">
        <v>126</v>
      </c>
      <c r="B28" s="215"/>
      <c r="C28" s="81"/>
    </row>
    <row r="29" spans="1:7" x14ac:dyDescent="0.2">
      <c r="A29" s="38" t="s">
        <v>128</v>
      </c>
      <c r="B29" s="213" t="s">
        <v>146</v>
      </c>
      <c r="C29" s="81"/>
    </row>
    <row r="30" spans="1:7" x14ac:dyDescent="0.2">
      <c r="A30" s="38" t="s">
        <v>129</v>
      </c>
      <c r="B30" s="215"/>
      <c r="C30" s="81"/>
    </row>
    <row r="31" spans="1:7" x14ac:dyDescent="0.2">
      <c r="A31" s="38" t="s">
        <v>130</v>
      </c>
      <c r="B31" s="215"/>
      <c r="C31" s="81"/>
    </row>
    <row r="32" spans="1:7" x14ac:dyDescent="0.2">
      <c r="A32" s="38" t="s">
        <v>131</v>
      </c>
      <c r="B32" s="215"/>
      <c r="C32" s="81"/>
    </row>
    <row r="33" spans="1:8" x14ac:dyDescent="0.2">
      <c r="A33" s="38" t="s">
        <v>132</v>
      </c>
      <c r="B33" s="215"/>
      <c r="C33" s="81"/>
    </row>
    <row r="34" spans="1:8" x14ac:dyDescent="0.2">
      <c r="A34" s="38" t="s">
        <v>137</v>
      </c>
      <c r="B34" s="213" t="s">
        <v>145</v>
      </c>
      <c r="C34" s="81"/>
    </row>
    <row r="35" spans="1:8" x14ac:dyDescent="0.2">
      <c r="A35" s="38" t="s">
        <v>138</v>
      </c>
      <c r="B35" s="215"/>
      <c r="C35" s="81"/>
    </row>
    <row r="36" spans="1:8" x14ac:dyDescent="0.2">
      <c r="A36" s="38" t="s">
        <v>139</v>
      </c>
      <c r="B36" s="215"/>
      <c r="C36" s="81"/>
    </row>
    <row r="37" spans="1:8" x14ac:dyDescent="0.2">
      <c r="A37" s="38" t="s">
        <v>140</v>
      </c>
      <c r="B37" s="215"/>
      <c r="C37" s="81"/>
    </row>
    <row r="38" spans="1:8" x14ac:dyDescent="0.2">
      <c r="A38" s="38" t="s">
        <v>141</v>
      </c>
      <c r="B38" s="215"/>
      <c r="C38" s="81"/>
    </row>
    <row r="39" spans="1:8" x14ac:dyDescent="0.2">
      <c r="A39" s="38" t="s">
        <v>142</v>
      </c>
      <c r="B39" s="215"/>
      <c r="C39" s="81"/>
    </row>
    <row r="40" spans="1:8" x14ac:dyDescent="0.2">
      <c r="A40" s="38" t="s">
        <v>143</v>
      </c>
      <c r="B40" s="215"/>
      <c r="C40" s="81"/>
    </row>
    <row r="41" spans="1:8" x14ac:dyDescent="0.2">
      <c r="A41" s="38" t="s">
        <v>133</v>
      </c>
      <c r="B41" s="213" t="s">
        <v>144</v>
      </c>
      <c r="C41" s="81"/>
    </row>
    <row r="42" spans="1:8" x14ac:dyDescent="0.2">
      <c r="A42" s="38" t="s">
        <v>134</v>
      </c>
      <c r="B42" s="215"/>
      <c r="C42" s="81"/>
    </row>
    <row r="43" spans="1:8" x14ac:dyDescent="0.2">
      <c r="A43" s="38" t="s">
        <v>130</v>
      </c>
      <c r="B43" s="215"/>
      <c r="C43" s="81"/>
      <c r="H43" s="108"/>
    </row>
    <row r="44" spans="1:8" x14ac:dyDescent="0.2">
      <c r="A44" s="38" t="s">
        <v>135</v>
      </c>
      <c r="B44" s="215"/>
      <c r="C44" s="81"/>
      <c r="H44" s="108"/>
    </row>
    <row r="45" spans="1:8" x14ac:dyDescent="0.2">
      <c r="A45" s="38" t="s">
        <v>136</v>
      </c>
      <c r="B45" s="215"/>
      <c r="C45" s="81"/>
      <c r="H45" s="108"/>
    </row>
    <row r="46" spans="1:8" x14ac:dyDescent="0.2">
      <c r="A46" s="38" t="s">
        <v>124</v>
      </c>
      <c r="B46" s="215"/>
      <c r="C46" s="81"/>
      <c r="H46" s="108"/>
    </row>
    <row r="47" spans="1:8" x14ac:dyDescent="0.2">
      <c r="A47" s="38" t="s">
        <v>123</v>
      </c>
      <c r="B47" s="215"/>
      <c r="C47" s="81"/>
      <c r="H47" s="108"/>
    </row>
    <row r="48" spans="1:8" x14ac:dyDescent="0.2">
      <c r="A48" s="38" t="s">
        <v>137</v>
      </c>
      <c r="B48" s="213" t="s">
        <v>152</v>
      </c>
      <c r="C48" s="81"/>
      <c r="H48" s="108"/>
    </row>
    <row r="49" spans="1:9" x14ac:dyDescent="0.2">
      <c r="A49" s="38" t="s">
        <v>148</v>
      </c>
      <c r="B49" s="215"/>
      <c r="C49" s="81"/>
      <c r="H49" s="108"/>
    </row>
    <row r="50" spans="1:9" x14ac:dyDescent="0.2">
      <c r="A50" s="38" t="s">
        <v>149</v>
      </c>
      <c r="B50" s="215"/>
      <c r="C50" s="81"/>
      <c r="H50" s="108"/>
    </row>
    <row r="51" spans="1:9" x14ac:dyDescent="0.2">
      <c r="A51" s="38" t="s">
        <v>150</v>
      </c>
      <c r="B51" s="215"/>
      <c r="C51" s="81"/>
      <c r="H51" s="108"/>
    </row>
    <row r="52" spans="1:9" x14ac:dyDescent="0.2">
      <c r="A52" s="38" t="s">
        <v>151</v>
      </c>
      <c r="B52" s="214"/>
      <c r="C52" s="81"/>
      <c r="H52" s="108"/>
    </row>
    <row r="53" spans="1:9" x14ac:dyDescent="0.2">
      <c r="A53" s="38" t="s">
        <v>65</v>
      </c>
      <c r="B53" s="213" t="s">
        <v>191</v>
      </c>
      <c r="C53" s="81"/>
      <c r="H53" s="108"/>
    </row>
    <row r="54" spans="1:9" x14ac:dyDescent="0.2">
      <c r="A54" s="38" t="s">
        <v>192</v>
      </c>
      <c r="B54" s="214"/>
      <c r="I54" s="108"/>
    </row>
    <row r="55" spans="1:9" x14ac:dyDescent="0.2">
      <c r="I55" s="108"/>
    </row>
    <row r="56" spans="1:9" x14ac:dyDescent="0.2">
      <c r="I56" s="108"/>
    </row>
    <row r="57" spans="1:9" x14ac:dyDescent="0.2">
      <c r="I57" s="108"/>
    </row>
  </sheetData>
  <sortState ref="F2:F9">
    <sortCondition ref="F2:F9"/>
  </sortState>
  <mergeCells count="8">
    <mergeCell ref="B53:B54"/>
    <mergeCell ref="B48:B52"/>
    <mergeCell ref="B20:B24"/>
    <mergeCell ref="B15:B19"/>
    <mergeCell ref="B34:B40"/>
    <mergeCell ref="B41:B47"/>
    <mergeCell ref="B29:B33"/>
    <mergeCell ref="B25:B28"/>
  </mergeCells>
  <dataValidations count="1">
    <dataValidation allowBlank="1" showInputMessage="1" showErrorMessage="1" promptTitle="Sous Famille" prompt="Pour insérer une nouvelle sous-famille :_x000a_- Copier la dernière existante_x000a_- Coller en dessous" sqref="A14" xr:uid="{00000000-0002-0000-0500-000000000000}"/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"/>
  <dimension ref="A1:I9"/>
  <sheetViews>
    <sheetView workbookViewId="0">
      <selection sqref="A1:K9"/>
    </sheetView>
  </sheetViews>
  <sheetFormatPr baseColWidth="10" defaultRowHeight="15" x14ac:dyDescent="0.25"/>
  <sheetData>
    <row r="1" spans="1:9" x14ac:dyDescent="0.25">
      <c r="A1" s="4" t="s">
        <v>59</v>
      </c>
      <c r="B1" s="4" t="s">
        <v>65</v>
      </c>
      <c r="C1" s="5" t="s">
        <v>112</v>
      </c>
      <c r="D1" s="4" t="s">
        <v>170</v>
      </c>
      <c r="E1" s="4" t="s">
        <v>159</v>
      </c>
      <c r="F1" s="6" t="s">
        <v>6</v>
      </c>
      <c r="G1" s="115">
        <v>9</v>
      </c>
      <c r="H1" s="2">
        <v>95.62</v>
      </c>
      <c r="I1" s="1"/>
    </row>
    <row r="2" spans="1:9" x14ac:dyDescent="0.25">
      <c r="A2" s="4" t="s">
        <v>59</v>
      </c>
      <c r="B2" s="4" t="s">
        <v>65</v>
      </c>
      <c r="C2" s="5" t="s">
        <v>113</v>
      </c>
      <c r="D2" s="5" t="s">
        <v>171</v>
      </c>
      <c r="E2" s="4" t="s">
        <v>160</v>
      </c>
      <c r="F2" s="7" t="s">
        <v>7</v>
      </c>
      <c r="G2" s="116">
        <v>3</v>
      </c>
      <c r="H2" s="2">
        <v>125.24</v>
      </c>
      <c r="I2" s="8"/>
    </row>
    <row r="3" spans="1:9" x14ac:dyDescent="0.25">
      <c r="A3" s="4" t="s">
        <v>59</v>
      </c>
      <c r="B3" s="4" t="s">
        <v>65</v>
      </c>
      <c r="C3" s="5" t="s">
        <v>114</v>
      </c>
      <c r="D3" s="5" t="s">
        <v>172</v>
      </c>
      <c r="E3" s="4" t="s">
        <v>161</v>
      </c>
      <c r="F3" s="7" t="s">
        <v>7</v>
      </c>
      <c r="G3" s="116">
        <v>5</v>
      </c>
      <c r="H3" s="2">
        <v>95.33</v>
      </c>
      <c r="I3" s="8"/>
    </row>
    <row r="4" spans="1:9" x14ac:dyDescent="0.25">
      <c r="A4" s="4" t="s">
        <v>59</v>
      </c>
      <c r="B4" s="4" t="s">
        <v>65</v>
      </c>
      <c r="C4" s="5" t="s">
        <v>115</v>
      </c>
      <c r="D4" s="5" t="s">
        <v>173</v>
      </c>
      <c r="E4" s="4" t="s">
        <v>162</v>
      </c>
      <c r="F4" s="7" t="s">
        <v>7</v>
      </c>
      <c r="G4" s="116">
        <v>3</v>
      </c>
      <c r="H4" s="2">
        <v>147.83000000000001</v>
      </c>
      <c r="I4" s="8"/>
    </row>
    <row r="5" spans="1:9" x14ac:dyDescent="0.25">
      <c r="A5" s="4" t="s">
        <v>59</v>
      </c>
      <c r="B5" s="4" t="s">
        <v>65</v>
      </c>
      <c r="C5" s="5" t="s">
        <v>116</v>
      </c>
      <c r="D5" s="5" t="s">
        <v>174</v>
      </c>
      <c r="E5" s="4" t="s">
        <v>163</v>
      </c>
      <c r="F5" s="7" t="s">
        <v>7</v>
      </c>
      <c r="G5" s="116">
        <v>3</v>
      </c>
      <c r="H5" s="2">
        <v>147.83000000000001</v>
      </c>
      <c r="I5" s="8"/>
    </row>
    <row r="6" spans="1:9" x14ac:dyDescent="0.25">
      <c r="A6" s="4" t="s">
        <v>59</v>
      </c>
      <c r="B6" s="4" t="s">
        <v>65</v>
      </c>
      <c r="C6" s="5" t="s">
        <v>117</v>
      </c>
      <c r="D6" s="5" t="s">
        <v>175</v>
      </c>
      <c r="E6" s="4" t="s">
        <v>164</v>
      </c>
      <c r="F6" s="7" t="s">
        <v>7</v>
      </c>
      <c r="G6" s="116">
        <v>1</v>
      </c>
      <c r="H6" s="2">
        <v>220.85</v>
      </c>
      <c r="I6" s="8"/>
    </row>
    <row r="7" spans="1:9" x14ac:dyDescent="0.25">
      <c r="A7" s="4" t="s">
        <v>59</v>
      </c>
      <c r="B7" s="4" t="s">
        <v>65</v>
      </c>
      <c r="C7" s="5" t="s">
        <v>118</v>
      </c>
      <c r="D7" s="5" t="s">
        <v>176</v>
      </c>
      <c r="E7" s="4" t="s">
        <v>165</v>
      </c>
      <c r="F7" s="7" t="s">
        <v>7</v>
      </c>
      <c r="G7" s="116">
        <v>2</v>
      </c>
      <c r="H7" s="2">
        <v>142.56</v>
      </c>
      <c r="I7" s="8"/>
    </row>
    <row r="8" spans="1:9" x14ac:dyDescent="0.25">
      <c r="A8" s="4" t="s">
        <v>59</v>
      </c>
      <c r="B8" s="4" t="s">
        <v>65</v>
      </c>
      <c r="C8" s="5" t="s">
        <v>119</v>
      </c>
      <c r="D8" s="5" t="s">
        <v>177</v>
      </c>
      <c r="E8" s="5" t="s">
        <v>166</v>
      </c>
      <c r="F8" s="7" t="s">
        <v>7</v>
      </c>
      <c r="G8" s="116">
        <v>1</v>
      </c>
      <c r="H8" s="97">
        <v>0</v>
      </c>
      <c r="I8" s="8"/>
    </row>
    <row r="9" spans="1:9" x14ac:dyDescent="0.25">
      <c r="A9" s="4" t="s">
        <v>59</v>
      </c>
      <c r="B9" s="4" t="s">
        <v>65</v>
      </c>
      <c r="C9" s="5" t="s">
        <v>120</v>
      </c>
      <c r="D9" s="5" t="s">
        <v>178</v>
      </c>
      <c r="E9" s="5" t="s">
        <v>167</v>
      </c>
      <c r="F9" s="7" t="s">
        <v>7</v>
      </c>
      <c r="G9" s="116">
        <v>1</v>
      </c>
      <c r="H9" s="97">
        <v>0</v>
      </c>
      <c r="I9" s="8"/>
    </row>
  </sheetData>
  <conditionalFormatting sqref="A1:I9">
    <cfRule type="expression" dxfId="4" priority="1">
      <formula>ROW(A1)=ActiveRow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>
    <tabColor theme="2" tint="-0.249977111117893"/>
    <pageSetUpPr fitToPage="1"/>
  </sheetPr>
  <dimension ref="A1:F28"/>
  <sheetViews>
    <sheetView zoomScaleNormal="100" workbookViewId="0"/>
  </sheetViews>
  <sheetFormatPr baseColWidth="10" defaultRowHeight="12.75" x14ac:dyDescent="0.2"/>
  <cols>
    <col min="1" max="1" width="15.7109375" style="28" customWidth="1"/>
    <col min="2" max="2" width="30.7109375" style="28" customWidth="1"/>
    <col min="3" max="3" width="15.7109375" style="28" customWidth="1"/>
    <col min="4" max="4" width="12.7109375" style="29" customWidth="1"/>
    <col min="5" max="5" width="10.7109375" style="30" customWidth="1"/>
    <col min="6" max="6" width="10.7109375" style="31" customWidth="1"/>
    <col min="7" max="16384" width="11.42578125" style="14"/>
  </cols>
  <sheetData>
    <row r="1" spans="1:6" ht="30" customHeight="1" x14ac:dyDescent="0.2">
      <c r="A1" s="78"/>
      <c r="B1" s="216" t="s">
        <v>8</v>
      </c>
      <c r="C1" s="216"/>
      <c r="D1" s="216"/>
      <c r="E1" s="216"/>
      <c r="F1" s="216"/>
    </row>
    <row r="2" spans="1:6" s="19" customFormat="1" ht="30" customHeight="1" x14ac:dyDescent="0.25">
      <c r="A2" s="15" t="s">
        <v>9</v>
      </c>
      <c r="B2" s="15" t="s">
        <v>10</v>
      </c>
      <c r="C2" s="15" t="s">
        <v>11</v>
      </c>
      <c r="D2" s="16" t="s">
        <v>12</v>
      </c>
      <c r="E2" s="17" t="s">
        <v>13</v>
      </c>
      <c r="F2" s="18" t="s">
        <v>14</v>
      </c>
    </row>
    <row r="3" spans="1:6" s="19" customFormat="1" ht="24.95" customHeight="1" x14ac:dyDescent="0.25">
      <c r="A3" s="20" t="s">
        <v>15</v>
      </c>
      <c r="B3" s="20" t="s">
        <v>16</v>
      </c>
      <c r="C3" s="20" t="s">
        <v>17</v>
      </c>
      <c r="D3" s="21" t="s">
        <v>18</v>
      </c>
      <c r="E3" s="22">
        <v>0.8</v>
      </c>
      <c r="F3" s="23">
        <v>48</v>
      </c>
    </row>
    <row r="4" spans="1:6" s="19" customFormat="1" ht="24.95" customHeight="1" x14ac:dyDescent="0.25">
      <c r="A4" s="20" t="s">
        <v>19</v>
      </c>
      <c r="B4" s="20" t="s">
        <v>20</v>
      </c>
      <c r="C4" s="20" t="s">
        <v>21</v>
      </c>
      <c r="D4" s="21" t="s">
        <v>22</v>
      </c>
      <c r="E4" s="22">
        <v>0.7</v>
      </c>
      <c r="F4" s="23">
        <v>45</v>
      </c>
    </row>
    <row r="5" spans="1:6" s="19" customFormat="1" ht="24.95" customHeight="1" x14ac:dyDescent="0.25">
      <c r="A5" s="20" t="s">
        <v>23</v>
      </c>
      <c r="B5" s="20" t="s">
        <v>24</v>
      </c>
      <c r="C5" s="20" t="s">
        <v>25</v>
      </c>
      <c r="D5" s="21" t="s">
        <v>84</v>
      </c>
      <c r="E5" s="22">
        <v>0.8</v>
      </c>
      <c r="F5" s="23">
        <v>40</v>
      </c>
    </row>
    <row r="6" spans="1:6" s="19" customFormat="1" ht="24.95" customHeight="1" x14ac:dyDescent="0.25">
      <c r="A6" s="20" t="s">
        <v>26</v>
      </c>
      <c r="B6" s="20" t="s">
        <v>27</v>
      </c>
      <c r="C6" s="20" t="s">
        <v>28</v>
      </c>
      <c r="D6" s="21" t="s">
        <v>68</v>
      </c>
      <c r="E6" s="22">
        <v>0.7</v>
      </c>
      <c r="F6" s="23">
        <v>40</v>
      </c>
    </row>
    <row r="7" spans="1:6" s="19" customFormat="1" ht="24.95" customHeight="1" x14ac:dyDescent="0.25">
      <c r="A7" s="20" t="s">
        <v>26</v>
      </c>
      <c r="B7" s="20" t="s">
        <v>29</v>
      </c>
      <c r="C7" s="20" t="s">
        <v>28</v>
      </c>
      <c r="D7" s="21" t="s">
        <v>85</v>
      </c>
      <c r="E7" s="22">
        <v>0.7</v>
      </c>
      <c r="F7" s="23">
        <v>40</v>
      </c>
    </row>
    <row r="8" spans="1:6" s="19" customFormat="1" ht="24.95" customHeight="1" x14ac:dyDescent="0.25">
      <c r="A8" s="20" t="s">
        <v>26</v>
      </c>
      <c r="B8" s="20" t="s">
        <v>30</v>
      </c>
      <c r="C8" s="20" t="s">
        <v>31</v>
      </c>
      <c r="D8" s="21" t="s">
        <v>85</v>
      </c>
      <c r="E8" s="22">
        <v>0.7</v>
      </c>
      <c r="F8" s="23">
        <v>43</v>
      </c>
    </row>
    <row r="9" spans="1:6" s="19" customFormat="1" ht="24.95" customHeight="1" x14ac:dyDescent="0.25">
      <c r="A9" s="20" t="s">
        <v>26</v>
      </c>
      <c r="B9" s="20" t="s">
        <v>32</v>
      </c>
      <c r="C9" s="20" t="s">
        <v>33</v>
      </c>
      <c r="D9" s="21" t="s">
        <v>85</v>
      </c>
      <c r="E9" s="22">
        <v>0.7</v>
      </c>
      <c r="F9" s="23">
        <v>40</v>
      </c>
    </row>
    <row r="10" spans="1:6" s="19" customFormat="1" ht="24.95" customHeight="1" x14ac:dyDescent="0.25">
      <c r="A10" s="20" t="s">
        <v>34</v>
      </c>
      <c r="B10" s="20" t="s">
        <v>35</v>
      </c>
      <c r="C10" s="20" t="s">
        <v>36</v>
      </c>
      <c r="D10" s="21" t="s">
        <v>22</v>
      </c>
      <c r="E10" s="22">
        <v>0.9</v>
      </c>
      <c r="F10" s="23">
        <v>47</v>
      </c>
    </row>
    <row r="11" spans="1:6" s="19" customFormat="1" ht="24.95" customHeight="1" x14ac:dyDescent="0.25">
      <c r="A11" s="20" t="s">
        <v>37</v>
      </c>
      <c r="B11" s="20" t="s">
        <v>38</v>
      </c>
      <c r="C11" s="20" t="s">
        <v>39</v>
      </c>
      <c r="D11" s="21" t="s">
        <v>86</v>
      </c>
      <c r="E11" s="22">
        <v>0.8</v>
      </c>
      <c r="F11" s="23">
        <v>40</v>
      </c>
    </row>
    <row r="12" spans="1:6" s="19" customFormat="1" ht="24.95" customHeight="1" x14ac:dyDescent="0.25">
      <c r="A12" s="20" t="s">
        <v>37</v>
      </c>
      <c r="B12" s="20" t="s">
        <v>38</v>
      </c>
      <c r="C12" s="20" t="s">
        <v>39</v>
      </c>
      <c r="D12" s="21" t="s">
        <v>87</v>
      </c>
      <c r="E12" s="22">
        <v>0.3</v>
      </c>
      <c r="F12" s="23">
        <v>20</v>
      </c>
    </row>
    <row r="13" spans="1:6" s="19" customFormat="1" ht="24.95" customHeight="1" x14ac:dyDescent="0.25">
      <c r="A13" s="20" t="s">
        <v>40</v>
      </c>
      <c r="B13" s="20" t="s">
        <v>41</v>
      </c>
      <c r="C13" s="20" t="s">
        <v>42</v>
      </c>
      <c r="D13" s="21" t="s">
        <v>88</v>
      </c>
      <c r="E13" s="22">
        <v>0.8</v>
      </c>
      <c r="F13" s="23">
        <v>47</v>
      </c>
    </row>
    <row r="14" spans="1:6" s="19" customFormat="1" ht="24.95" customHeight="1" x14ac:dyDescent="0.25">
      <c r="A14" s="20" t="s">
        <v>40</v>
      </c>
      <c r="B14" s="20" t="s">
        <v>43</v>
      </c>
      <c r="C14" s="20" t="s">
        <v>44</v>
      </c>
      <c r="D14" s="21" t="s">
        <v>88</v>
      </c>
      <c r="E14" s="22">
        <v>0.8</v>
      </c>
      <c r="F14" s="23">
        <v>50</v>
      </c>
    </row>
    <row r="15" spans="1:6" s="19" customFormat="1" ht="24.95" customHeight="1" x14ac:dyDescent="0.25">
      <c r="A15" s="20" t="s">
        <v>40</v>
      </c>
      <c r="B15" s="20" t="s">
        <v>45</v>
      </c>
      <c r="C15" s="20" t="s">
        <v>46</v>
      </c>
      <c r="D15" s="21" t="s">
        <v>88</v>
      </c>
      <c r="E15" s="22">
        <v>0.8</v>
      </c>
      <c r="F15" s="23">
        <v>50</v>
      </c>
    </row>
    <row r="16" spans="1:6" s="19" customFormat="1" ht="24.95" customHeight="1" x14ac:dyDescent="0.25">
      <c r="A16" s="20" t="s">
        <v>40</v>
      </c>
      <c r="B16" s="20" t="s">
        <v>47</v>
      </c>
      <c r="C16" s="20" t="s">
        <v>48</v>
      </c>
      <c r="D16" s="21" t="s">
        <v>88</v>
      </c>
      <c r="E16" s="22">
        <v>0.8</v>
      </c>
      <c r="F16" s="23">
        <v>48</v>
      </c>
    </row>
    <row r="17" spans="1:6" s="19" customFormat="1" ht="24.95" customHeight="1" x14ac:dyDescent="0.25">
      <c r="A17" s="20" t="s">
        <v>49</v>
      </c>
      <c r="B17" s="20" t="s">
        <v>50</v>
      </c>
      <c r="C17" s="20"/>
      <c r="D17" s="21" t="s">
        <v>51</v>
      </c>
      <c r="E17" s="22">
        <v>24</v>
      </c>
      <c r="F17" s="23">
        <v>210</v>
      </c>
    </row>
    <row r="18" spans="1:6" s="19" customFormat="1" ht="24.95" customHeight="1" x14ac:dyDescent="0.25">
      <c r="A18" s="20" t="s">
        <v>52</v>
      </c>
      <c r="B18" s="20" t="s">
        <v>47</v>
      </c>
      <c r="C18" s="20" t="s">
        <v>48</v>
      </c>
      <c r="D18" s="21" t="s">
        <v>88</v>
      </c>
      <c r="E18" s="22">
        <v>0.8</v>
      </c>
      <c r="F18" s="23">
        <v>48</v>
      </c>
    </row>
    <row r="19" spans="1:6" s="19" customFormat="1" ht="24.95" customHeight="1" x14ac:dyDescent="0.25">
      <c r="A19" s="20" t="s">
        <v>53</v>
      </c>
      <c r="B19" s="20" t="s">
        <v>54</v>
      </c>
      <c r="C19" s="20"/>
      <c r="D19" s="21" t="s">
        <v>55</v>
      </c>
      <c r="E19" s="22" t="s">
        <v>56</v>
      </c>
      <c r="F19" s="23">
        <v>79.12</v>
      </c>
    </row>
    <row r="20" spans="1:6" s="19" customFormat="1" ht="24.95" customHeight="1" x14ac:dyDescent="0.25">
      <c r="A20" s="24" t="s">
        <v>57</v>
      </c>
      <c r="B20" s="24"/>
      <c r="C20" s="24"/>
      <c r="D20" s="25"/>
      <c r="E20" s="26"/>
      <c r="F20" s="27"/>
    </row>
    <row r="21" spans="1:6" s="19" customFormat="1" ht="24.95" customHeight="1" x14ac:dyDescent="0.25">
      <c r="A21" s="24" t="s">
        <v>58</v>
      </c>
      <c r="B21" s="24"/>
      <c r="C21" s="24"/>
      <c r="D21" s="25"/>
      <c r="E21" s="26"/>
      <c r="F21" s="27"/>
    </row>
    <row r="22" spans="1:6" s="19" customFormat="1" ht="12.75" customHeight="1" x14ac:dyDescent="0.25">
      <c r="A22" s="24"/>
      <c r="B22" s="24"/>
      <c r="C22" s="24"/>
      <c r="D22" s="25"/>
      <c r="E22" s="26"/>
      <c r="F22" s="27"/>
    </row>
    <row r="23" spans="1:6" s="19" customFormat="1" ht="12.75" customHeight="1" x14ac:dyDescent="0.25">
      <c r="A23" s="24"/>
      <c r="B23" s="24"/>
      <c r="C23" s="24"/>
      <c r="D23" s="25"/>
      <c r="E23" s="26"/>
      <c r="F23" s="27"/>
    </row>
    <row r="24" spans="1:6" ht="12.75" customHeight="1" x14ac:dyDescent="0.2"/>
    <row r="25" spans="1:6" ht="12.75" customHeight="1" x14ac:dyDescent="0.2"/>
    <row r="26" spans="1:6" ht="12.75" customHeight="1" x14ac:dyDescent="0.2"/>
    <row r="27" spans="1:6" ht="12.75" customHeight="1" x14ac:dyDescent="0.2"/>
    <row r="28" spans="1:6" ht="12.75" customHeight="1" x14ac:dyDescent="0.2"/>
  </sheetData>
  <mergeCells count="1">
    <mergeCell ref="B1:F1"/>
  </mergeCells>
  <pageMargins left="0.39370078740157483" right="0.39370078740157483" top="0.39370078740157483" bottom="0.39370078740157483" header="0" footer="0"/>
  <pageSetup paperSize="9" scale="98" orientation="portrait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4">
    <tabColor theme="1"/>
  </sheetPr>
  <dimension ref="A1:FH1000"/>
  <sheetViews>
    <sheetView workbookViewId="0">
      <pane xSplit="12" ySplit="3" topLeftCell="M4" activePane="bottomRight" state="frozen"/>
      <selection pane="topRight" activeCell="M1" sqref="M1"/>
      <selection pane="bottomLeft" activeCell="A4" sqref="A4"/>
      <selection pane="bottomRight"/>
    </sheetView>
  </sheetViews>
  <sheetFormatPr baseColWidth="10" defaultRowHeight="12.75" x14ac:dyDescent="0.25"/>
  <cols>
    <col min="1" max="1" width="12.7109375" style="141" customWidth="1"/>
    <col min="2" max="2" width="8.7109375" style="127" customWidth="1"/>
    <col min="3" max="3" width="12.7109375" style="142" customWidth="1"/>
    <col min="4" max="4" width="41.7109375" style="141" customWidth="1"/>
    <col min="5" max="5" width="41.7109375" style="142" customWidth="1"/>
    <col min="6" max="6" width="6.7109375" style="143" customWidth="1"/>
    <col min="7" max="7" width="4.7109375" style="138" customWidth="1"/>
    <col min="8" max="9" width="12.7109375" style="138" customWidth="1"/>
    <col min="10" max="10" width="12.7109375" style="140" customWidth="1"/>
    <col min="11" max="11" width="4.7109375" style="137" customWidth="1"/>
    <col min="12" max="12" width="10.7109375" style="137" customWidth="1"/>
    <col min="13" max="42" width="10.7109375" style="145" customWidth="1"/>
    <col min="43" max="164" width="10.7109375" style="137" customWidth="1"/>
    <col min="165" max="16384" width="11.42578125" style="139"/>
  </cols>
  <sheetData>
    <row r="1" spans="1:164" s="120" customFormat="1" ht="30" customHeight="1" x14ac:dyDescent="0.25">
      <c r="A1" s="78"/>
      <c r="B1" s="118" t="s">
        <v>81</v>
      </c>
      <c r="C1" s="119"/>
      <c r="D1" s="118"/>
      <c r="E1" s="118"/>
      <c r="F1" s="118"/>
      <c r="H1" s="155" t="s">
        <v>83</v>
      </c>
      <c r="I1" s="155" t="s">
        <v>82</v>
      </c>
      <c r="J1" s="156" t="str">
        <f>IF($H$2="","",$H$2)</f>
        <v/>
      </c>
      <c r="K1" s="121"/>
      <c r="L1" s="155" t="s">
        <v>82</v>
      </c>
      <c r="M1" s="146" t="s">
        <v>200</v>
      </c>
      <c r="N1" s="146" t="s">
        <v>199</v>
      </c>
      <c r="O1" s="146"/>
      <c r="P1" s="146"/>
      <c r="Q1" s="146"/>
      <c r="R1" s="146"/>
      <c r="S1" s="146"/>
      <c r="T1" s="146"/>
      <c r="U1" s="146"/>
      <c r="V1" s="146"/>
      <c r="W1" s="146"/>
      <c r="X1" s="146"/>
      <c r="Y1" s="146"/>
      <c r="Z1" s="146"/>
      <c r="AA1" s="146"/>
      <c r="AB1" s="146"/>
      <c r="AC1" s="146"/>
      <c r="AD1" s="146"/>
      <c r="AE1" s="146"/>
      <c r="AF1" s="146"/>
      <c r="AG1" s="146"/>
      <c r="AH1" s="146"/>
      <c r="AI1" s="146"/>
      <c r="AJ1" s="146"/>
      <c r="AK1" s="146"/>
      <c r="AL1" s="146"/>
      <c r="AM1" s="146"/>
      <c r="AN1" s="146"/>
      <c r="AO1" s="146"/>
      <c r="AP1" s="146"/>
      <c r="AQ1" s="122"/>
      <c r="AR1" s="122"/>
      <c r="AS1" s="122"/>
      <c r="AT1" s="122"/>
      <c r="AU1" s="122"/>
      <c r="AV1" s="122"/>
      <c r="AW1" s="122"/>
      <c r="AX1" s="122"/>
      <c r="AY1" s="122"/>
      <c r="AZ1" s="122"/>
      <c r="BA1" s="122"/>
      <c r="BB1" s="122"/>
      <c r="BC1" s="122"/>
      <c r="BD1" s="122"/>
      <c r="BE1" s="122"/>
      <c r="BF1" s="122"/>
      <c r="BG1" s="122"/>
      <c r="BH1" s="122"/>
      <c r="BI1" s="122"/>
      <c r="BJ1" s="122"/>
      <c r="BK1" s="122"/>
      <c r="BL1" s="122"/>
      <c r="BM1" s="122"/>
      <c r="BN1" s="122"/>
      <c r="BO1" s="122"/>
      <c r="BP1" s="122"/>
      <c r="BQ1" s="122"/>
      <c r="BR1" s="122"/>
      <c r="BS1" s="122"/>
      <c r="BT1" s="122"/>
      <c r="BU1" s="122"/>
      <c r="BV1" s="122"/>
      <c r="BW1" s="122"/>
      <c r="BX1" s="122"/>
      <c r="BY1" s="122"/>
      <c r="BZ1" s="122"/>
      <c r="CA1" s="122"/>
      <c r="CB1" s="122"/>
      <c r="CC1" s="122"/>
      <c r="CD1" s="122"/>
      <c r="CE1" s="122"/>
      <c r="CF1" s="122"/>
      <c r="CG1" s="122"/>
      <c r="CH1" s="122"/>
      <c r="CI1" s="122"/>
      <c r="CJ1" s="122"/>
      <c r="CK1" s="122"/>
      <c r="CL1" s="122"/>
      <c r="CM1" s="122"/>
      <c r="CN1" s="122"/>
      <c r="CO1" s="122"/>
      <c r="CP1" s="122"/>
      <c r="CQ1" s="122"/>
      <c r="CR1" s="122"/>
      <c r="CS1" s="122"/>
      <c r="CT1" s="122"/>
      <c r="CU1" s="122"/>
      <c r="CV1" s="122"/>
      <c r="CW1" s="122"/>
      <c r="CX1" s="122"/>
      <c r="CY1" s="122"/>
      <c r="CZ1" s="122"/>
      <c r="DA1" s="122"/>
      <c r="DB1" s="122"/>
      <c r="DC1" s="122"/>
      <c r="DD1" s="122"/>
      <c r="DE1" s="122"/>
      <c r="DF1" s="122"/>
      <c r="DG1" s="122"/>
      <c r="DH1" s="122"/>
      <c r="DI1" s="122"/>
      <c r="DJ1" s="122"/>
      <c r="DK1" s="122"/>
      <c r="DL1" s="122"/>
      <c r="DM1" s="122"/>
      <c r="DN1" s="122"/>
      <c r="DO1" s="122"/>
      <c r="DP1" s="122"/>
      <c r="DQ1" s="122"/>
      <c r="DR1" s="122"/>
      <c r="DS1" s="122"/>
      <c r="DT1" s="122"/>
      <c r="DU1" s="122"/>
      <c r="DV1" s="122"/>
      <c r="DW1" s="122"/>
      <c r="DX1" s="122"/>
      <c r="DY1" s="122"/>
      <c r="DZ1" s="122"/>
      <c r="EA1" s="122"/>
      <c r="EB1" s="122"/>
      <c r="EC1" s="122"/>
      <c r="ED1" s="122"/>
      <c r="EE1" s="122"/>
      <c r="EF1" s="122"/>
      <c r="EG1" s="122"/>
      <c r="EH1" s="122"/>
      <c r="EI1" s="122"/>
      <c r="EJ1" s="122"/>
      <c r="EK1" s="122"/>
      <c r="EL1" s="122"/>
      <c r="EM1" s="122"/>
      <c r="EN1" s="122"/>
      <c r="EO1" s="122"/>
      <c r="EP1" s="122"/>
      <c r="EQ1" s="122"/>
      <c r="ER1" s="122"/>
      <c r="ES1" s="122"/>
      <c r="ET1" s="122"/>
      <c r="EU1" s="122"/>
      <c r="EV1" s="122"/>
      <c r="EW1" s="122"/>
      <c r="EX1" s="122"/>
      <c r="EY1" s="122"/>
      <c r="EZ1" s="122"/>
      <c r="FA1" s="122"/>
      <c r="FB1" s="122"/>
      <c r="FC1" s="122"/>
      <c r="FD1" s="122"/>
      <c r="FE1" s="122"/>
      <c r="FF1" s="122"/>
      <c r="FG1" s="122"/>
      <c r="FH1" s="122"/>
    </row>
    <row r="2" spans="1:164" s="126" customFormat="1" ht="15" customHeight="1" x14ac:dyDescent="0.25">
      <c r="A2" s="221" t="str">
        <f>Produits!A2</f>
        <v>Famille</v>
      </c>
      <c r="B2" s="219" t="str">
        <f>Produits!B2</f>
        <v>Sous Famille</v>
      </c>
      <c r="C2" s="219" t="str">
        <f>Produits!C2</f>
        <v>Référence / Fournisseur</v>
      </c>
      <c r="D2" s="219" t="str">
        <f>Produits!D2</f>
        <v>Description (Français)</v>
      </c>
      <c r="E2" s="219" t="str">
        <f>Produits!E2</f>
        <v>Description (English)</v>
      </c>
      <c r="F2" s="219" t="str">
        <f>Produits!F2</f>
        <v>U</v>
      </c>
      <c r="G2" s="124"/>
      <c r="H2" s="217" t="s">
        <v>89</v>
      </c>
      <c r="I2" s="161" t="s">
        <v>0</v>
      </c>
      <c r="J2" s="163" t="str">
        <f>IF($J$1="","",HLOOKUP($J$1,$M$1:$AAV$1000,2,0))</f>
        <v/>
      </c>
      <c r="K2" s="124"/>
      <c r="L2" s="161" t="s">
        <v>0</v>
      </c>
      <c r="M2" s="204">
        <v>42977</v>
      </c>
      <c r="N2" s="203">
        <v>42957</v>
      </c>
      <c r="O2" s="172"/>
      <c r="P2" s="172"/>
      <c r="Q2" s="172"/>
      <c r="R2" s="172"/>
      <c r="S2" s="171"/>
      <c r="T2" s="170"/>
      <c r="U2" s="170"/>
      <c r="V2" s="169"/>
      <c r="W2" s="167"/>
      <c r="X2" s="166"/>
      <c r="Y2" s="165"/>
      <c r="Z2" s="164"/>
      <c r="AA2" s="149"/>
      <c r="AB2" s="149"/>
      <c r="AC2" s="149"/>
      <c r="AD2" s="149"/>
      <c r="AE2" s="149"/>
      <c r="AF2" s="149"/>
      <c r="AG2" s="148"/>
      <c r="AH2" s="148"/>
      <c r="AI2" s="148"/>
      <c r="AJ2" s="148"/>
      <c r="AK2" s="148"/>
      <c r="AL2" s="148"/>
      <c r="AM2" s="148"/>
      <c r="AN2" s="148"/>
      <c r="AO2" s="148"/>
      <c r="AP2" s="148"/>
      <c r="AQ2" s="125"/>
      <c r="AR2" s="125"/>
      <c r="AS2" s="125"/>
      <c r="AT2" s="125"/>
      <c r="AU2" s="125"/>
      <c r="AV2" s="125"/>
      <c r="AW2" s="125"/>
      <c r="AX2" s="125"/>
      <c r="AY2" s="125"/>
      <c r="AZ2" s="125"/>
      <c r="BA2" s="125"/>
      <c r="BB2" s="125"/>
      <c r="BC2" s="125"/>
      <c r="BD2" s="125"/>
      <c r="BE2" s="125"/>
      <c r="BF2" s="125"/>
      <c r="BG2" s="125"/>
      <c r="BH2" s="125"/>
      <c r="BI2" s="125"/>
      <c r="BJ2" s="125"/>
      <c r="BK2" s="125"/>
      <c r="BL2" s="125"/>
      <c r="BM2" s="125"/>
      <c r="BN2" s="125"/>
      <c r="BO2" s="125"/>
      <c r="BP2" s="125"/>
      <c r="BQ2" s="125"/>
      <c r="BR2" s="125"/>
      <c r="BS2" s="125"/>
      <c r="BT2" s="125"/>
      <c r="BU2" s="125"/>
      <c r="BV2" s="125"/>
      <c r="BW2" s="125"/>
      <c r="BX2" s="125"/>
      <c r="BY2" s="125"/>
      <c r="BZ2" s="125"/>
      <c r="CA2" s="125"/>
      <c r="CB2" s="125"/>
      <c r="CC2" s="125"/>
      <c r="CD2" s="125"/>
      <c r="CE2" s="125"/>
      <c r="CF2" s="125"/>
      <c r="CG2" s="125"/>
      <c r="CH2" s="125"/>
      <c r="CI2" s="125"/>
      <c r="CJ2" s="125"/>
      <c r="CK2" s="125"/>
      <c r="CL2" s="125"/>
      <c r="CM2" s="125"/>
      <c r="CN2" s="125"/>
      <c r="CO2" s="125"/>
      <c r="CP2" s="125"/>
      <c r="CQ2" s="125"/>
      <c r="CR2" s="125"/>
      <c r="CS2" s="125"/>
      <c r="CT2" s="125"/>
      <c r="CU2" s="125"/>
      <c r="CV2" s="125"/>
      <c r="CW2" s="125"/>
      <c r="CX2" s="125"/>
      <c r="CY2" s="125"/>
      <c r="CZ2" s="125"/>
      <c r="DA2" s="125"/>
      <c r="DB2" s="125"/>
      <c r="DC2" s="125"/>
      <c r="DD2" s="125"/>
      <c r="DE2" s="125"/>
      <c r="DF2" s="125"/>
      <c r="DG2" s="125"/>
      <c r="DH2" s="125"/>
      <c r="DI2" s="125"/>
      <c r="DJ2" s="125"/>
      <c r="DK2" s="125"/>
      <c r="DL2" s="125"/>
      <c r="DM2" s="125"/>
      <c r="DN2" s="125"/>
      <c r="DO2" s="125"/>
      <c r="DP2" s="125"/>
      <c r="DQ2" s="125"/>
      <c r="DR2" s="125"/>
      <c r="DS2" s="125"/>
      <c r="DT2" s="125"/>
      <c r="DU2" s="125"/>
      <c r="DV2" s="125"/>
      <c r="DW2" s="125"/>
      <c r="DX2" s="125"/>
      <c r="DY2" s="125"/>
      <c r="DZ2" s="125"/>
      <c r="EA2" s="125"/>
      <c r="EB2" s="125"/>
      <c r="EC2" s="125"/>
      <c r="ED2" s="125"/>
      <c r="EE2" s="125"/>
      <c r="EF2" s="125"/>
      <c r="EG2" s="125"/>
      <c r="EH2" s="125"/>
      <c r="EI2" s="125"/>
      <c r="EJ2" s="125"/>
      <c r="EK2" s="125"/>
      <c r="EL2" s="125"/>
      <c r="EM2" s="125"/>
      <c r="EN2" s="125"/>
      <c r="EO2" s="125"/>
      <c r="EP2" s="125"/>
      <c r="EQ2" s="125"/>
      <c r="ER2" s="125"/>
      <c r="ES2" s="125"/>
      <c r="ET2" s="125"/>
      <c r="EU2" s="125"/>
      <c r="EV2" s="125"/>
      <c r="EW2" s="125"/>
      <c r="EX2" s="125"/>
      <c r="EY2" s="125"/>
      <c r="EZ2" s="125"/>
      <c r="FA2" s="125"/>
      <c r="FB2" s="125"/>
      <c r="FC2" s="125"/>
      <c r="FD2" s="125"/>
      <c r="FE2" s="125"/>
      <c r="FF2" s="125"/>
      <c r="FG2" s="125"/>
      <c r="FH2" s="125"/>
    </row>
    <row r="3" spans="1:164" s="154" customFormat="1" ht="15" customHeight="1" x14ac:dyDescent="0.25">
      <c r="A3" s="222"/>
      <c r="B3" s="220"/>
      <c r="C3" s="220"/>
      <c r="D3" s="220"/>
      <c r="E3" s="220"/>
      <c r="F3" s="220"/>
      <c r="G3" s="150"/>
      <c r="H3" s="218"/>
      <c r="I3" s="159" t="s">
        <v>98</v>
      </c>
      <c r="J3" s="158" t="str">
        <f>IF($J$1="","",HLOOKUP($J$1,$M$1:$AAV$1000,3,0))</f>
        <v/>
      </c>
      <c r="K3" s="151"/>
      <c r="L3" s="160" t="s">
        <v>98</v>
      </c>
      <c r="M3" s="152">
        <v>10000</v>
      </c>
      <c r="N3" s="152">
        <v>20000</v>
      </c>
      <c r="O3" s="152"/>
      <c r="P3" s="152"/>
      <c r="Q3" s="152"/>
      <c r="R3" s="152"/>
      <c r="S3" s="152"/>
      <c r="T3" s="152"/>
      <c r="U3" s="152"/>
      <c r="V3" s="152"/>
      <c r="W3" s="152"/>
      <c r="X3" s="152"/>
      <c r="Y3" s="152"/>
      <c r="Z3" s="152"/>
      <c r="AA3" s="152"/>
      <c r="AB3" s="152"/>
      <c r="AC3" s="152"/>
      <c r="AD3" s="152"/>
      <c r="AE3" s="152"/>
      <c r="AF3" s="152"/>
      <c r="AG3" s="152"/>
      <c r="AH3" s="152"/>
      <c r="AI3" s="152"/>
      <c r="AJ3" s="152"/>
      <c r="AK3" s="152"/>
      <c r="AL3" s="152"/>
      <c r="AM3" s="152"/>
      <c r="AN3" s="152"/>
      <c r="AO3" s="152"/>
      <c r="AP3" s="152"/>
      <c r="AQ3" s="153"/>
      <c r="AR3" s="153"/>
      <c r="AS3" s="153"/>
      <c r="AT3" s="153"/>
      <c r="AU3" s="153"/>
      <c r="AV3" s="153"/>
      <c r="AW3" s="153"/>
      <c r="AX3" s="153"/>
      <c r="AY3" s="153"/>
      <c r="AZ3" s="153"/>
      <c r="BA3" s="153"/>
      <c r="BB3" s="153"/>
      <c r="BC3" s="153"/>
      <c r="BD3" s="153"/>
      <c r="BE3" s="153"/>
      <c r="BF3" s="153"/>
      <c r="BG3" s="153"/>
      <c r="BH3" s="153"/>
      <c r="BI3" s="153"/>
      <c r="BJ3" s="153"/>
      <c r="BK3" s="153"/>
      <c r="BL3" s="153"/>
      <c r="BM3" s="153"/>
      <c r="BN3" s="153"/>
      <c r="BO3" s="153"/>
      <c r="BP3" s="153"/>
      <c r="BQ3" s="153"/>
      <c r="BR3" s="153"/>
      <c r="BS3" s="153"/>
      <c r="BT3" s="153"/>
      <c r="BU3" s="153"/>
      <c r="BV3" s="153"/>
      <c r="BW3" s="153"/>
      <c r="BX3" s="153"/>
      <c r="BY3" s="153"/>
      <c r="BZ3" s="153"/>
      <c r="CA3" s="153"/>
      <c r="CB3" s="153"/>
      <c r="CC3" s="153"/>
      <c r="CD3" s="153"/>
      <c r="CE3" s="153"/>
      <c r="CF3" s="153"/>
      <c r="CG3" s="153"/>
      <c r="CH3" s="153"/>
      <c r="CI3" s="153"/>
      <c r="CJ3" s="153"/>
      <c r="CK3" s="153"/>
      <c r="CL3" s="153"/>
      <c r="CM3" s="153"/>
      <c r="CN3" s="153"/>
      <c r="CO3" s="153"/>
      <c r="CP3" s="153"/>
      <c r="CQ3" s="153"/>
      <c r="CR3" s="153"/>
      <c r="CS3" s="153"/>
      <c r="CT3" s="153"/>
      <c r="CU3" s="153"/>
      <c r="CV3" s="153"/>
      <c r="CW3" s="153"/>
      <c r="CX3" s="153"/>
      <c r="CY3" s="153"/>
      <c r="CZ3" s="153"/>
      <c r="DA3" s="153"/>
      <c r="DB3" s="153"/>
      <c r="DC3" s="153"/>
      <c r="DD3" s="153"/>
      <c r="DE3" s="153"/>
      <c r="DF3" s="153"/>
      <c r="DG3" s="153"/>
      <c r="DH3" s="153"/>
      <c r="DI3" s="153"/>
      <c r="DJ3" s="153"/>
      <c r="DK3" s="153"/>
      <c r="DL3" s="153"/>
      <c r="DM3" s="153"/>
      <c r="DN3" s="153"/>
      <c r="DO3" s="153"/>
      <c r="DP3" s="153"/>
      <c r="DQ3" s="153"/>
      <c r="DR3" s="153"/>
      <c r="DS3" s="153"/>
      <c r="DT3" s="153"/>
      <c r="DU3" s="153"/>
      <c r="DV3" s="153"/>
      <c r="DW3" s="153"/>
      <c r="DX3" s="153"/>
      <c r="DY3" s="153"/>
      <c r="DZ3" s="153"/>
      <c r="EA3" s="153"/>
      <c r="EB3" s="153"/>
      <c r="EC3" s="153"/>
      <c r="ED3" s="153"/>
      <c r="EE3" s="153"/>
      <c r="EF3" s="153"/>
      <c r="EG3" s="153"/>
      <c r="EH3" s="153"/>
      <c r="EI3" s="153"/>
      <c r="EJ3" s="153"/>
      <c r="EK3" s="153"/>
      <c r="EL3" s="153"/>
      <c r="EM3" s="153"/>
      <c r="EN3" s="153"/>
      <c r="EO3" s="153"/>
      <c r="EP3" s="153"/>
      <c r="EQ3" s="153"/>
      <c r="ER3" s="153"/>
      <c r="ES3" s="153"/>
      <c r="ET3" s="153"/>
      <c r="EU3" s="153"/>
      <c r="EV3" s="153"/>
      <c r="EW3" s="153"/>
      <c r="EX3" s="153"/>
      <c r="EY3" s="153"/>
      <c r="EZ3" s="153"/>
      <c r="FA3" s="153"/>
      <c r="FB3" s="153"/>
      <c r="FC3" s="153"/>
      <c r="FD3" s="153"/>
      <c r="FE3" s="153"/>
      <c r="FF3" s="153"/>
      <c r="FG3" s="153"/>
      <c r="FH3" s="153"/>
    </row>
    <row r="4" spans="1:164" s="132" customFormat="1" x14ac:dyDescent="0.25">
      <c r="A4" s="127" t="str">
        <f>IF(Produits!A4="","",Produits!A4)</f>
        <v>Rail R à ailettes</v>
      </c>
      <c r="B4" s="127" t="str">
        <f>IF(Produits!B4="","",Produits!B4)</f>
        <v>RAL 9010</v>
      </c>
      <c r="C4" s="127" t="str">
        <f>IF(Produits!C4="","",Produits!C4)</f>
        <v>1000,00,0001</v>
      </c>
      <c r="D4" s="127" t="str">
        <f>IF(Produits!D4="","",Produits!D4)</f>
        <v>AA125</v>
      </c>
      <c r="E4" s="127" t="str">
        <f>IF(Produits!E4="","",Produits!E4)</f>
        <v/>
      </c>
      <c r="F4" s="128" t="str">
        <f>IF(Produits!F4="","",Produits!F4)</f>
        <v>3 m</v>
      </c>
      <c r="G4" s="129"/>
      <c r="H4" s="129"/>
      <c r="I4" s="129"/>
      <c r="J4" s="123" t="str">
        <f>IF($J$1="","",HLOOKUP($J$1,$M$1:$AAV$1000,4,0))</f>
        <v/>
      </c>
      <c r="K4" s="130"/>
      <c r="L4" s="131"/>
      <c r="M4" s="144">
        <v>27</v>
      </c>
      <c r="N4" s="144">
        <v>54</v>
      </c>
      <c r="O4" s="144"/>
      <c r="P4" s="144"/>
      <c r="Q4" s="144"/>
      <c r="R4" s="144"/>
      <c r="S4" s="144"/>
      <c r="T4" s="144"/>
      <c r="U4" s="144"/>
      <c r="V4" s="144"/>
      <c r="W4" s="144"/>
      <c r="X4" s="144"/>
      <c r="Y4" s="144"/>
      <c r="Z4" s="144"/>
      <c r="AA4" s="144"/>
      <c r="AB4" s="144"/>
      <c r="AC4" s="144"/>
      <c r="AD4" s="144"/>
      <c r="AE4" s="144"/>
      <c r="AF4" s="144"/>
      <c r="AG4" s="144"/>
      <c r="AH4" s="144"/>
      <c r="AI4" s="144"/>
      <c r="AJ4" s="144"/>
      <c r="AK4" s="144"/>
      <c r="AL4" s="144"/>
      <c r="AM4" s="144"/>
      <c r="AN4" s="144"/>
      <c r="AO4" s="144"/>
      <c r="AP4" s="144"/>
      <c r="AQ4" s="131"/>
      <c r="AR4" s="131"/>
      <c r="AS4" s="131"/>
      <c r="AT4" s="131"/>
      <c r="AU4" s="131"/>
      <c r="AV4" s="131"/>
      <c r="AW4" s="131"/>
      <c r="AX4" s="131"/>
      <c r="AY4" s="131"/>
      <c r="AZ4" s="131"/>
      <c r="BA4" s="131"/>
      <c r="BB4" s="131"/>
      <c r="BC4" s="131"/>
      <c r="BD4" s="131"/>
      <c r="BE4" s="131"/>
      <c r="BF4" s="131"/>
      <c r="BG4" s="131"/>
      <c r="BH4" s="131"/>
      <c r="BI4" s="131"/>
      <c r="BJ4" s="131"/>
      <c r="BK4" s="131"/>
      <c r="BL4" s="131"/>
      <c r="BM4" s="131"/>
      <c r="BN4" s="131"/>
      <c r="BO4" s="131"/>
      <c r="BP4" s="131"/>
      <c r="BQ4" s="131"/>
      <c r="BR4" s="131"/>
      <c r="BS4" s="131"/>
      <c r="BT4" s="131"/>
      <c r="BU4" s="131"/>
      <c r="BV4" s="131"/>
      <c r="BW4" s="131"/>
      <c r="BX4" s="131"/>
      <c r="BY4" s="131"/>
      <c r="BZ4" s="131"/>
      <c r="CA4" s="131"/>
      <c r="CB4" s="131"/>
      <c r="CC4" s="131"/>
      <c r="CD4" s="131"/>
      <c r="CE4" s="131"/>
      <c r="CF4" s="131"/>
      <c r="CG4" s="131"/>
      <c r="CH4" s="131"/>
      <c r="CI4" s="131"/>
      <c r="CJ4" s="131"/>
      <c r="CK4" s="131"/>
      <c r="CL4" s="131"/>
      <c r="CM4" s="131"/>
      <c r="CN4" s="131"/>
      <c r="CO4" s="131"/>
      <c r="CP4" s="131"/>
      <c r="CQ4" s="131"/>
      <c r="CR4" s="131"/>
      <c r="CS4" s="131"/>
      <c r="CT4" s="131"/>
      <c r="CU4" s="131"/>
      <c r="CV4" s="131"/>
      <c r="CW4" s="131"/>
      <c r="CX4" s="131"/>
      <c r="CY4" s="131"/>
      <c r="CZ4" s="131"/>
      <c r="DA4" s="131"/>
      <c r="DB4" s="131"/>
      <c r="DC4" s="131"/>
      <c r="DD4" s="131"/>
      <c r="DE4" s="131"/>
      <c r="DF4" s="131"/>
      <c r="DG4" s="131"/>
      <c r="DH4" s="131"/>
      <c r="DI4" s="131"/>
      <c r="DJ4" s="131"/>
      <c r="DK4" s="131"/>
      <c r="DL4" s="131"/>
      <c r="DM4" s="131"/>
      <c r="DN4" s="131"/>
      <c r="DO4" s="131"/>
      <c r="DP4" s="131"/>
      <c r="DQ4" s="131"/>
      <c r="DR4" s="131"/>
      <c r="DS4" s="131"/>
      <c r="DT4" s="131"/>
      <c r="DU4" s="131"/>
      <c r="DV4" s="131"/>
      <c r="DW4" s="131"/>
      <c r="DX4" s="131"/>
      <c r="DY4" s="131"/>
      <c r="DZ4" s="131"/>
      <c r="EA4" s="131"/>
      <c r="EB4" s="131"/>
      <c r="EC4" s="131"/>
      <c r="ED4" s="131"/>
      <c r="EE4" s="131"/>
      <c r="EF4" s="131"/>
      <c r="EG4" s="131"/>
      <c r="EH4" s="131"/>
      <c r="EI4" s="131"/>
      <c r="EJ4" s="131"/>
      <c r="EK4" s="131"/>
      <c r="EL4" s="131"/>
      <c r="EM4" s="131"/>
      <c r="EN4" s="131"/>
      <c r="EO4" s="131"/>
      <c r="EP4" s="131"/>
      <c r="EQ4" s="131"/>
      <c r="ER4" s="131"/>
      <c r="ES4" s="131"/>
      <c r="ET4" s="131"/>
      <c r="EU4" s="131"/>
      <c r="EV4" s="131"/>
      <c r="EW4" s="131"/>
      <c r="EX4" s="131"/>
      <c r="EY4" s="131"/>
      <c r="EZ4" s="131"/>
      <c r="FA4" s="131"/>
      <c r="FB4" s="131"/>
      <c r="FC4" s="131"/>
      <c r="FD4" s="131"/>
      <c r="FE4" s="131"/>
      <c r="FF4" s="131"/>
      <c r="FG4" s="131"/>
      <c r="FH4" s="131"/>
    </row>
    <row r="5" spans="1:164" s="134" customFormat="1" x14ac:dyDescent="0.25">
      <c r="A5" s="127" t="str">
        <f>IF(Produits!A5="","",Produits!A5)</f>
        <v>Rail R à ailettes</v>
      </c>
      <c r="B5" s="127" t="str">
        <f>IF(Produits!B5="","",Produits!B5)</f>
        <v>RAL 9010</v>
      </c>
      <c r="C5" s="127" t="str">
        <f>IF(Produits!C5="","",Produits!C5)</f>
        <v>1000,00,0002</v>
      </c>
      <c r="D5" s="127" t="str">
        <f>IF(Produits!D5="","",Produits!D5)</f>
        <v>AA126</v>
      </c>
      <c r="E5" s="127" t="str">
        <f>IF(Produits!E5="","",Produits!E5)</f>
        <v/>
      </c>
      <c r="F5" s="128" t="str">
        <f>IF(Produits!F5="","",Produits!F5)</f>
        <v>1 pcs</v>
      </c>
      <c r="G5" s="133"/>
      <c r="H5" s="133"/>
      <c r="I5" s="133"/>
      <c r="J5" s="123" t="str">
        <f>IF($J$1="","",HLOOKUP($J$1,$M$1:$AAV$1000,5,0))</f>
        <v/>
      </c>
      <c r="K5" s="131"/>
      <c r="L5" s="131"/>
      <c r="M5" s="144">
        <v>27</v>
      </c>
      <c r="N5" s="144">
        <v>54</v>
      </c>
      <c r="O5" s="144"/>
      <c r="P5" s="144"/>
      <c r="Q5" s="144"/>
      <c r="R5" s="144"/>
      <c r="S5" s="144"/>
      <c r="T5" s="144"/>
      <c r="U5" s="144"/>
      <c r="V5" s="144"/>
      <c r="W5" s="144"/>
      <c r="X5" s="144"/>
      <c r="Y5" s="144"/>
      <c r="Z5" s="144"/>
      <c r="AA5" s="144"/>
      <c r="AB5" s="144"/>
      <c r="AC5" s="144"/>
      <c r="AD5" s="144"/>
      <c r="AE5" s="144"/>
      <c r="AF5" s="144"/>
      <c r="AG5" s="144"/>
      <c r="AH5" s="144"/>
      <c r="AI5" s="144"/>
      <c r="AJ5" s="144"/>
      <c r="AK5" s="144"/>
      <c r="AL5" s="144"/>
      <c r="AM5" s="144"/>
      <c r="AN5" s="144"/>
      <c r="AO5" s="144"/>
      <c r="AP5" s="144"/>
      <c r="AQ5" s="131"/>
      <c r="AR5" s="131"/>
      <c r="AS5" s="131"/>
      <c r="AT5" s="131"/>
      <c r="AU5" s="131"/>
      <c r="AV5" s="131"/>
      <c r="AW5" s="131"/>
      <c r="AX5" s="131"/>
      <c r="AY5" s="131"/>
      <c r="AZ5" s="131"/>
      <c r="BA5" s="131"/>
      <c r="BB5" s="131"/>
      <c r="BC5" s="131"/>
      <c r="BD5" s="131"/>
      <c r="BE5" s="131"/>
      <c r="BF5" s="131"/>
      <c r="BG5" s="131"/>
      <c r="BH5" s="131"/>
      <c r="BI5" s="131"/>
      <c r="BJ5" s="131"/>
      <c r="BK5" s="131"/>
      <c r="BL5" s="131"/>
      <c r="BM5" s="131"/>
      <c r="BN5" s="131"/>
      <c r="BO5" s="131"/>
      <c r="BP5" s="131"/>
      <c r="BQ5" s="131"/>
      <c r="BR5" s="131"/>
      <c r="BS5" s="131"/>
      <c r="BT5" s="131"/>
      <c r="BU5" s="131"/>
      <c r="BV5" s="131"/>
      <c r="BW5" s="131"/>
      <c r="BX5" s="131"/>
      <c r="BY5" s="131"/>
      <c r="BZ5" s="131"/>
      <c r="CA5" s="131"/>
      <c r="CB5" s="131"/>
      <c r="CC5" s="131"/>
      <c r="CD5" s="131"/>
      <c r="CE5" s="131"/>
      <c r="CF5" s="131"/>
      <c r="CG5" s="131"/>
      <c r="CH5" s="131"/>
      <c r="CI5" s="131"/>
      <c r="CJ5" s="131"/>
      <c r="CK5" s="131"/>
      <c r="CL5" s="131"/>
      <c r="CM5" s="131"/>
      <c r="CN5" s="131"/>
      <c r="CO5" s="131"/>
      <c r="CP5" s="131"/>
      <c r="CQ5" s="131"/>
      <c r="CR5" s="131"/>
      <c r="CS5" s="131"/>
      <c r="CT5" s="131"/>
      <c r="CU5" s="131"/>
      <c r="CV5" s="131"/>
      <c r="CW5" s="131"/>
      <c r="CX5" s="131"/>
      <c r="CY5" s="131"/>
      <c r="CZ5" s="131"/>
      <c r="DA5" s="131"/>
      <c r="DB5" s="131"/>
      <c r="DC5" s="131"/>
      <c r="DD5" s="131"/>
      <c r="DE5" s="131"/>
      <c r="DF5" s="131"/>
      <c r="DG5" s="131"/>
      <c r="DH5" s="131"/>
      <c r="DI5" s="131"/>
      <c r="DJ5" s="131"/>
      <c r="DK5" s="131"/>
      <c r="DL5" s="131"/>
      <c r="DM5" s="131"/>
      <c r="DN5" s="131"/>
      <c r="DO5" s="131"/>
      <c r="DP5" s="131"/>
      <c r="DQ5" s="131"/>
      <c r="DR5" s="131"/>
      <c r="DS5" s="131"/>
      <c r="DT5" s="131"/>
      <c r="DU5" s="131"/>
      <c r="DV5" s="131"/>
      <c r="DW5" s="131"/>
      <c r="DX5" s="131"/>
      <c r="DY5" s="131"/>
      <c r="DZ5" s="131"/>
      <c r="EA5" s="131"/>
      <c r="EB5" s="131"/>
      <c r="EC5" s="131"/>
      <c r="ED5" s="131"/>
      <c r="EE5" s="131"/>
      <c r="EF5" s="131"/>
      <c r="EG5" s="131"/>
      <c r="EH5" s="131"/>
      <c r="EI5" s="131"/>
      <c r="EJ5" s="131"/>
      <c r="EK5" s="131"/>
      <c r="EL5" s="131"/>
      <c r="EM5" s="131"/>
      <c r="EN5" s="131"/>
      <c r="EO5" s="131"/>
      <c r="EP5" s="131"/>
      <c r="EQ5" s="131"/>
      <c r="ER5" s="131"/>
      <c r="ES5" s="131"/>
      <c r="ET5" s="131"/>
      <c r="EU5" s="131"/>
      <c r="EV5" s="131"/>
      <c r="EW5" s="131"/>
      <c r="EX5" s="131"/>
      <c r="EY5" s="131"/>
      <c r="EZ5" s="131"/>
      <c r="FA5" s="131"/>
      <c r="FB5" s="131"/>
      <c r="FC5" s="131"/>
      <c r="FD5" s="131"/>
      <c r="FE5" s="131"/>
      <c r="FF5" s="131"/>
      <c r="FG5" s="131"/>
      <c r="FH5" s="131"/>
    </row>
    <row r="6" spans="1:164" s="134" customFormat="1" x14ac:dyDescent="0.25">
      <c r="A6" s="127" t="str">
        <f>IF(Produits!A6="","",Produits!A6)</f>
        <v>Rail R à ailettes</v>
      </c>
      <c r="B6" s="127" t="str">
        <f>IF(Produits!B6="","",Produits!B6)</f>
        <v>RAL 9010</v>
      </c>
      <c r="C6" s="127" t="str">
        <f>IF(Produits!C6="","",Produits!C6)</f>
        <v>1000,00,0003</v>
      </c>
      <c r="D6" s="127" t="str">
        <f>IF(Produits!D6="","",Produits!D6)</f>
        <v>AA127</v>
      </c>
      <c r="E6" s="127" t="str">
        <f>IF(Produits!E6="","",Produits!E6)</f>
        <v/>
      </c>
      <c r="F6" s="128" t="str">
        <f>IF(Produits!F6="","",Produits!F6)</f>
        <v>1 pcs</v>
      </c>
      <c r="G6" s="133"/>
      <c r="H6" s="133"/>
      <c r="I6" s="133"/>
      <c r="J6" s="135" t="str">
        <f>IF($J$1="","",HLOOKUP($J$1,$M$1:$AAV$1000,6,0))</f>
        <v/>
      </c>
      <c r="K6" s="131"/>
      <c r="L6" s="131"/>
      <c r="M6" s="144">
        <v>27</v>
      </c>
      <c r="N6" s="144">
        <v>54</v>
      </c>
      <c r="O6" s="144"/>
      <c r="P6" s="144"/>
      <c r="Q6" s="144"/>
      <c r="R6" s="144"/>
      <c r="S6" s="144"/>
      <c r="T6" s="144"/>
      <c r="U6" s="144"/>
      <c r="V6" s="144"/>
      <c r="W6" s="144"/>
      <c r="X6" s="144"/>
      <c r="Y6" s="144"/>
      <c r="Z6" s="144"/>
      <c r="AA6" s="144"/>
      <c r="AB6" s="144"/>
      <c r="AC6" s="144"/>
      <c r="AD6" s="144"/>
      <c r="AE6" s="144"/>
      <c r="AF6" s="144"/>
      <c r="AG6" s="144"/>
      <c r="AH6" s="144"/>
      <c r="AI6" s="144"/>
      <c r="AJ6" s="144"/>
      <c r="AK6" s="144"/>
      <c r="AL6" s="144"/>
      <c r="AM6" s="144"/>
      <c r="AN6" s="144"/>
      <c r="AO6" s="144"/>
      <c r="AP6" s="144"/>
      <c r="AQ6" s="131"/>
      <c r="AR6" s="131"/>
      <c r="AS6" s="131"/>
      <c r="AT6" s="131"/>
      <c r="AU6" s="131"/>
      <c r="AV6" s="131"/>
      <c r="AW6" s="131"/>
      <c r="AX6" s="131"/>
      <c r="AY6" s="131"/>
      <c r="AZ6" s="131"/>
      <c r="BA6" s="131"/>
      <c r="BB6" s="131"/>
      <c r="BC6" s="131"/>
      <c r="BD6" s="131"/>
      <c r="BE6" s="131"/>
      <c r="BF6" s="131"/>
      <c r="BG6" s="131"/>
      <c r="BH6" s="131"/>
      <c r="BI6" s="131"/>
      <c r="BJ6" s="131"/>
      <c r="BK6" s="131"/>
      <c r="BL6" s="131"/>
      <c r="BM6" s="131"/>
      <c r="BN6" s="131"/>
      <c r="BO6" s="131"/>
      <c r="BP6" s="131"/>
      <c r="BQ6" s="131"/>
      <c r="BR6" s="131"/>
      <c r="BS6" s="131"/>
      <c r="BT6" s="131"/>
      <c r="BU6" s="131"/>
      <c r="BV6" s="131"/>
      <c r="BW6" s="131"/>
      <c r="BX6" s="131"/>
      <c r="BY6" s="131"/>
      <c r="BZ6" s="131"/>
      <c r="CA6" s="131"/>
      <c r="CB6" s="131"/>
      <c r="CC6" s="131"/>
      <c r="CD6" s="131"/>
      <c r="CE6" s="131"/>
      <c r="CF6" s="131"/>
      <c r="CG6" s="131"/>
      <c r="CH6" s="131"/>
      <c r="CI6" s="131"/>
      <c r="CJ6" s="131"/>
      <c r="CK6" s="131"/>
      <c r="CL6" s="131"/>
      <c r="CM6" s="131"/>
      <c r="CN6" s="131"/>
      <c r="CO6" s="131"/>
      <c r="CP6" s="131"/>
      <c r="CQ6" s="131"/>
      <c r="CR6" s="131"/>
      <c r="CS6" s="131"/>
      <c r="CT6" s="131"/>
      <c r="CU6" s="131"/>
      <c r="CV6" s="131"/>
      <c r="CW6" s="131"/>
      <c r="CX6" s="131"/>
      <c r="CY6" s="131"/>
      <c r="CZ6" s="131"/>
      <c r="DA6" s="131"/>
      <c r="DB6" s="131"/>
      <c r="DC6" s="131"/>
      <c r="DD6" s="131"/>
      <c r="DE6" s="131"/>
      <c r="DF6" s="131"/>
      <c r="DG6" s="131"/>
      <c r="DH6" s="131"/>
      <c r="DI6" s="131"/>
      <c r="DJ6" s="131"/>
      <c r="DK6" s="131"/>
      <c r="DL6" s="131"/>
      <c r="DM6" s="131"/>
      <c r="DN6" s="131"/>
      <c r="DO6" s="131"/>
      <c r="DP6" s="131"/>
      <c r="DQ6" s="131"/>
      <c r="DR6" s="131"/>
      <c r="DS6" s="131"/>
      <c r="DT6" s="131"/>
      <c r="DU6" s="131"/>
      <c r="DV6" s="131"/>
      <c r="DW6" s="131"/>
      <c r="DX6" s="131"/>
      <c r="DY6" s="131"/>
      <c r="DZ6" s="131"/>
      <c r="EA6" s="131"/>
      <c r="EB6" s="131"/>
      <c r="EC6" s="131"/>
      <c r="ED6" s="131"/>
      <c r="EE6" s="131"/>
      <c r="EF6" s="131"/>
      <c r="EG6" s="131"/>
      <c r="EH6" s="131"/>
      <c r="EI6" s="131"/>
      <c r="EJ6" s="131"/>
      <c r="EK6" s="131"/>
      <c r="EL6" s="131"/>
      <c r="EM6" s="131"/>
      <c r="EN6" s="131"/>
      <c r="EO6" s="131"/>
      <c r="EP6" s="131"/>
      <c r="EQ6" s="131"/>
      <c r="ER6" s="131"/>
      <c r="ES6" s="131"/>
      <c r="ET6" s="131"/>
      <c r="EU6" s="131"/>
      <c r="EV6" s="131"/>
      <c r="EW6" s="131"/>
      <c r="EX6" s="131"/>
      <c r="EY6" s="131"/>
      <c r="EZ6" s="131"/>
      <c r="FA6" s="131"/>
      <c r="FB6" s="131"/>
      <c r="FC6" s="131"/>
      <c r="FD6" s="131"/>
      <c r="FE6" s="131"/>
      <c r="FF6" s="131"/>
      <c r="FG6" s="131"/>
      <c r="FH6" s="131"/>
    </row>
    <row r="7" spans="1:164" s="134" customFormat="1" x14ac:dyDescent="0.25">
      <c r="A7" s="127" t="str">
        <f>IF(Produits!A7="","",Produits!A7)</f>
        <v>Rail R à ailettes</v>
      </c>
      <c r="B7" s="127" t="str">
        <f>IF(Produits!B7="","",Produits!B7)</f>
        <v>RAL 9010</v>
      </c>
      <c r="C7" s="127" t="str">
        <f>IF(Produits!C7="","",Produits!C7)</f>
        <v>1000,00,0004</v>
      </c>
      <c r="D7" s="127" t="str">
        <f>IF(Produits!D7="","",Produits!D7)</f>
        <v>AA128</v>
      </c>
      <c r="E7" s="127" t="str">
        <f>IF(Produits!E7="","",Produits!E7)</f>
        <v/>
      </c>
      <c r="F7" s="128" t="str">
        <f>IF(Produits!F7="","",Produits!F7)</f>
        <v>1 pcs</v>
      </c>
      <c r="G7" s="133"/>
      <c r="H7" s="133"/>
      <c r="I7" s="133"/>
      <c r="J7" s="135" t="str">
        <f>IF($J$1="","",HLOOKUP($J$1,$M$1:$AAV$1000,7,0))</f>
        <v/>
      </c>
      <c r="K7" s="131"/>
      <c r="L7" s="131"/>
      <c r="M7" s="144"/>
      <c r="N7" s="144"/>
      <c r="O7" s="144"/>
      <c r="P7" s="144"/>
      <c r="Q7" s="144"/>
      <c r="R7" s="144"/>
      <c r="S7" s="144"/>
      <c r="T7" s="144"/>
      <c r="U7" s="144"/>
      <c r="V7" s="144"/>
      <c r="W7" s="144"/>
      <c r="X7" s="144"/>
      <c r="Y7" s="144"/>
      <c r="Z7" s="144"/>
      <c r="AA7" s="144"/>
      <c r="AB7" s="144"/>
      <c r="AC7" s="144"/>
      <c r="AD7" s="144"/>
      <c r="AE7" s="144"/>
      <c r="AF7" s="144"/>
      <c r="AG7" s="144"/>
      <c r="AH7" s="144"/>
      <c r="AI7" s="144"/>
      <c r="AJ7" s="144"/>
      <c r="AK7" s="144"/>
      <c r="AL7" s="144"/>
      <c r="AM7" s="144"/>
      <c r="AN7" s="144"/>
      <c r="AO7" s="144"/>
      <c r="AP7" s="144"/>
      <c r="AQ7" s="131"/>
      <c r="AR7" s="131"/>
      <c r="AS7" s="131"/>
      <c r="AT7" s="131"/>
      <c r="AU7" s="131"/>
      <c r="AV7" s="131"/>
      <c r="AW7" s="131"/>
      <c r="AX7" s="131"/>
      <c r="AY7" s="131"/>
      <c r="AZ7" s="131"/>
      <c r="BA7" s="131"/>
      <c r="BB7" s="131"/>
      <c r="BC7" s="131"/>
      <c r="BD7" s="131"/>
      <c r="BE7" s="131"/>
      <c r="BF7" s="131"/>
      <c r="BG7" s="131"/>
      <c r="BH7" s="131"/>
      <c r="BI7" s="131"/>
      <c r="BJ7" s="131"/>
      <c r="BK7" s="131"/>
      <c r="BL7" s="131"/>
      <c r="BM7" s="131"/>
      <c r="BN7" s="131"/>
      <c r="BO7" s="131"/>
      <c r="BP7" s="131"/>
      <c r="BQ7" s="131"/>
      <c r="BR7" s="131"/>
      <c r="BS7" s="131"/>
      <c r="BT7" s="131"/>
      <c r="BU7" s="131"/>
      <c r="BV7" s="131"/>
      <c r="BW7" s="131"/>
      <c r="BX7" s="131"/>
      <c r="BY7" s="131"/>
      <c r="BZ7" s="131"/>
      <c r="CA7" s="131"/>
      <c r="CB7" s="131"/>
      <c r="CC7" s="131"/>
      <c r="CD7" s="131"/>
      <c r="CE7" s="131"/>
      <c r="CF7" s="131"/>
      <c r="CG7" s="131"/>
      <c r="CH7" s="131"/>
      <c r="CI7" s="131"/>
      <c r="CJ7" s="131"/>
      <c r="CK7" s="131"/>
      <c r="CL7" s="131"/>
      <c r="CM7" s="131"/>
      <c r="CN7" s="131"/>
      <c r="CO7" s="131"/>
      <c r="CP7" s="131"/>
      <c r="CQ7" s="131"/>
      <c r="CR7" s="131"/>
      <c r="CS7" s="131"/>
      <c r="CT7" s="131"/>
      <c r="CU7" s="131"/>
      <c r="CV7" s="131"/>
      <c r="CW7" s="131"/>
      <c r="CX7" s="131"/>
      <c r="CY7" s="131"/>
      <c r="CZ7" s="131"/>
      <c r="DA7" s="131"/>
      <c r="DB7" s="131"/>
      <c r="DC7" s="131"/>
      <c r="DD7" s="131"/>
      <c r="DE7" s="131"/>
      <c r="DF7" s="131"/>
      <c r="DG7" s="131"/>
      <c r="DH7" s="131"/>
      <c r="DI7" s="131"/>
      <c r="DJ7" s="131"/>
      <c r="DK7" s="131"/>
      <c r="DL7" s="131"/>
      <c r="DM7" s="131"/>
      <c r="DN7" s="131"/>
      <c r="DO7" s="131"/>
      <c r="DP7" s="131"/>
      <c r="DQ7" s="131"/>
      <c r="DR7" s="131"/>
      <c r="DS7" s="131"/>
      <c r="DT7" s="131"/>
      <c r="DU7" s="131"/>
      <c r="DV7" s="131"/>
      <c r="DW7" s="131"/>
      <c r="DX7" s="131"/>
      <c r="DY7" s="131"/>
      <c r="DZ7" s="131"/>
      <c r="EA7" s="131"/>
      <c r="EB7" s="131"/>
      <c r="EC7" s="131"/>
      <c r="ED7" s="131"/>
      <c r="EE7" s="131"/>
      <c r="EF7" s="131"/>
      <c r="EG7" s="131"/>
      <c r="EH7" s="131"/>
      <c r="EI7" s="131"/>
      <c r="EJ7" s="131"/>
      <c r="EK7" s="131"/>
      <c r="EL7" s="131"/>
      <c r="EM7" s="131"/>
      <c r="EN7" s="131"/>
      <c r="EO7" s="131"/>
      <c r="EP7" s="131"/>
      <c r="EQ7" s="131"/>
      <c r="ER7" s="131"/>
      <c r="ES7" s="131"/>
      <c r="ET7" s="131"/>
      <c r="EU7" s="131"/>
      <c r="EV7" s="131"/>
      <c r="EW7" s="131"/>
      <c r="EX7" s="131"/>
      <c r="EY7" s="131"/>
      <c r="EZ7" s="131"/>
      <c r="FA7" s="131"/>
      <c r="FB7" s="131"/>
      <c r="FC7" s="131"/>
      <c r="FD7" s="131"/>
      <c r="FE7" s="131"/>
      <c r="FF7" s="131"/>
      <c r="FG7" s="131"/>
      <c r="FH7" s="131"/>
    </row>
    <row r="8" spans="1:164" s="134" customFormat="1" x14ac:dyDescent="0.25">
      <c r="A8" s="127" t="str">
        <f>IF(Produits!A8="","",Produits!A8)</f>
        <v>Rail R à ailettes</v>
      </c>
      <c r="B8" s="127" t="str">
        <f>IF(Produits!B8="","",Produits!B8)</f>
        <v>RAL 9010</v>
      </c>
      <c r="C8" s="127" t="str">
        <f>IF(Produits!C8="","",Produits!C8)</f>
        <v>1000,00,0005</v>
      </c>
      <c r="D8" s="127" t="str">
        <f>IF(Produits!D8="","",Produits!D8)</f>
        <v>AA129</v>
      </c>
      <c r="E8" s="127" t="str">
        <f>IF(Produits!E8="","",Produits!E8)</f>
        <v/>
      </c>
      <c r="F8" s="128" t="str">
        <f>IF(Produits!F8="","",Produits!F8)</f>
        <v>1 pcs</v>
      </c>
      <c r="G8" s="133"/>
      <c r="H8" s="133"/>
      <c r="I8" s="133"/>
      <c r="J8" s="135" t="str">
        <f>IF($J$1="","",HLOOKUP($J$1,$M$1:$AAV$1000,8,0))</f>
        <v/>
      </c>
      <c r="K8" s="131"/>
      <c r="L8" s="131"/>
      <c r="M8" s="144"/>
      <c r="N8" s="144"/>
      <c r="O8" s="144"/>
      <c r="P8" s="144"/>
      <c r="Q8" s="144"/>
      <c r="R8" s="144"/>
      <c r="S8" s="144"/>
      <c r="T8" s="144"/>
      <c r="U8" s="144"/>
      <c r="V8" s="144"/>
      <c r="W8" s="144"/>
      <c r="X8" s="144"/>
      <c r="Y8" s="144"/>
      <c r="Z8" s="144"/>
      <c r="AA8" s="144"/>
      <c r="AB8" s="144"/>
      <c r="AC8" s="144"/>
      <c r="AD8" s="144"/>
      <c r="AE8" s="144"/>
      <c r="AF8" s="144"/>
      <c r="AG8" s="144"/>
      <c r="AH8" s="144"/>
      <c r="AI8" s="144"/>
      <c r="AJ8" s="144"/>
      <c r="AK8" s="144"/>
      <c r="AL8" s="144"/>
      <c r="AM8" s="144"/>
      <c r="AN8" s="144"/>
      <c r="AO8" s="144"/>
      <c r="AP8" s="144"/>
      <c r="AQ8" s="131"/>
      <c r="AR8" s="131"/>
      <c r="AS8" s="131"/>
      <c r="AT8" s="131"/>
      <c r="AU8" s="131"/>
      <c r="AV8" s="131"/>
      <c r="AW8" s="131"/>
      <c r="AX8" s="131"/>
      <c r="AY8" s="131"/>
      <c r="AZ8" s="131"/>
      <c r="BA8" s="131"/>
      <c r="BB8" s="131"/>
      <c r="BC8" s="131"/>
      <c r="BD8" s="131"/>
      <c r="BE8" s="131"/>
      <c r="BF8" s="131"/>
      <c r="BG8" s="131"/>
      <c r="BH8" s="131"/>
      <c r="BI8" s="131"/>
      <c r="BJ8" s="131"/>
      <c r="BK8" s="131"/>
      <c r="BL8" s="131"/>
      <c r="BM8" s="131"/>
      <c r="BN8" s="131"/>
      <c r="BO8" s="131"/>
      <c r="BP8" s="131"/>
      <c r="BQ8" s="131"/>
      <c r="BR8" s="131"/>
      <c r="BS8" s="131"/>
      <c r="BT8" s="131"/>
      <c r="BU8" s="131"/>
      <c r="BV8" s="131"/>
      <c r="BW8" s="131"/>
      <c r="BX8" s="131"/>
      <c r="BY8" s="131"/>
      <c r="BZ8" s="131"/>
      <c r="CA8" s="131"/>
      <c r="CB8" s="131"/>
      <c r="CC8" s="131"/>
      <c r="CD8" s="131"/>
      <c r="CE8" s="131"/>
      <c r="CF8" s="131"/>
      <c r="CG8" s="131"/>
      <c r="CH8" s="131"/>
      <c r="CI8" s="131"/>
      <c r="CJ8" s="131"/>
      <c r="CK8" s="131"/>
      <c r="CL8" s="131"/>
      <c r="CM8" s="131"/>
      <c r="CN8" s="131"/>
      <c r="CO8" s="131"/>
      <c r="CP8" s="131"/>
      <c r="CQ8" s="131"/>
      <c r="CR8" s="131"/>
      <c r="CS8" s="131"/>
      <c r="CT8" s="131"/>
      <c r="CU8" s="131"/>
      <c r="CV8" s="131"/>
      <c r="CW8" s="131"/>
      <c r="CX8" s="131"/>
      <c r="CY8" s="131"/>
      <c r="CZ8" s="131"/>
      <c r="DA8" s="131"/>
      <c r="DB8" s="131"/>
      <c r="DC8" s="131"/>
      <c r="DD8" s="131"/>
      <c r="DE8" s="131"/>
      <c r="DF8" s="131"/>
      <c r="DG8" s="131"/>
      <c r="DH8" s="131"/>
      <c r="DI8" s="131"/>
      <c r="DJ8" s="131"/>
      <c r="DK8" s="131"/>
      <c r="DL8" s="131"/>
      <c r="DM8" s="131"/>
      <c r="DN8" s="131"/>
      <c r="DO8" s="131"/>
      <c r="DP8" s="131"/>
      <c r="DQ8" s="131"/>
      <c r="DR8" s="131"/>
      <c r="DS8" s="131"/>
      <c r="DT8" s="131"/>
      <c r="DU8" s="131"/>
      <c r="DV8" s="131"/>
      <c r="DW8" s="131"/>
      <c r="DX8" s="131"/>
      <c r="DY8" s="131"/>
      <c r="DZ8" s="131"/>
      <c r="EA8" s="131"/>
      <c r="EB8" s="131"/>
      <c r="EC8" s="131"/>
      <c r="ED8" s="131"/>
      <c r="EE8" s="131"/>
      <c r="EF8" s="131"/>
      <c r="EG8" s="131"/>
      <c r="EH8" s="131"/>
      <c r="EI8" s="131"/>
      <c r="EJ8" s="131"/>
      <c r="EK8" s="131"/>
      <c r="EL8" s="131"/>
      <c r="EM8" s="131"/>
      <c r="EN8" s="131"/>
      <c r="EO8" s="131"/>
      <c r="EP8" s="131"/>
      <c r="EQ8" s="131"/>
      <c r="ER8" s="131"/>
      <c r="ES8" s="131"/>
      <c r="ET8" s="131"/>
      <c r="EU8" s="131"/>
      <c r="EV8" s="131"/>
      <c r="EW8" s="131"/>
      <c r="EX8" s="131"/>
      <c r="EY8" s="131"/>
      <c r="EZ8" s="131"/>
      <c r="FA8" s="131"/>
      <c r="FB8" s="131"/>
      <c r="FC8" s="131"/>
      <c r="FD8" s="131"/>
      <c r="FE8" s="131"/>
      <c r="FF8" s="131"/>
      <c r="FG8" s="131"/>
      <c r="FH8" s="131"/>
    </row>
    <row r="9" spans="1:164" s="134" customFormat="1" x14ac:dyDescent="0.25">
      <c r="A9" s="127" t="str">
        <f>IF(Produits!A9="","",Produits!A9)</f>
        <v>Rail R à ailettes</v>
      </c>
      <c r="B9" s="127" t="str">
        <f>IF(Produits!B9="","",Produits!B9)</f>
        <v>RAL 9010</v>
      </c>
      <c r="C9" s="127" t="str">
        <f>IF(Produits!C9="","",Produits!C9)</f>
        <v>1000,00,0006</v>
      </c>
      <c r="D9" s="127" t="str">
        <f>IF(Produits!D9="","",Produits!D9)</f>
        <v>AA130</v>
      </c>
      <c r="E9" s="127" t="str">
        <f>IF(Produits!E9="","",Produits!E9)</f>
        <v/>
      </c>
      <c r="F9" s="128" t="str">
        <f>IF(Produits!F9="","",Produits!F9)</f>
        <v>1 pcs</v>
      </c>
      <c r="G9" s="133"/>
      <c r="H9" s="133"/>
      <c r="I9" s="133"/>
      <c r="J9" s="135" t="str">
        <f>IF($J$1="","",HLOOKUP($J$1,$M$1:$AAV$1000,9,0))</f>
        <v/>
      </c>
      <c r="K9" s="131"/>
      <c r="L9" s="131"/>
      <c r="M9" s="144"/>
      <c r="N9" s="144"/>
      <c r="O9" s="144"/>
      <c r="P9" s="144"/>
      <c r="Q9" s="144"/>
      <c r="R9" s="144"/>
      <c r="S9" s="144"/>
      <c r="T9" s="144"/>
      <c r="U9" s="144"/>
      <c r="V9" s="144"/>
      <c r="W9" s="144"/>
      <c r="X9" s="144"/>
      <c r="Y9" s="144"/>
      <c r="Z9" s="144"/>
      <c r="AA9" s="144"/>
      <c r="AB9" s="144"/>
      <c r="AC9" s="144"/>
      <c r="AD9" s="144"/>
      <c r="AE9" s="144"/>
      <c r="AF9" s="144"/>
      <c r="AG9" s="144"/>
      <c r="AH9" s="144"/>
      <c r="AI9" s="144"/>
      <c r="AJ9" s="144"/>
      <c r="AK9" s="144"/>
      <c r="AL9" s="144"/>
      <c r="AM9" s="144"/>
      <c r="AN9" s="144"/>
      <c r="AO9" s="144"/>
      <c r="AP9" s="144"/>
      <c r="AQ9" s="131"/>
      <c r="AR9" s="131"/>
      <c r="AS9" s="131"/>
      <c r="AT9" s="131"/>
      <c r="AU9" s="131"/>
      <c r="AV9" s="131"/>
      <c r="AW9" s="131"/>
      <c r="AX9" s="131"/>
      <c r="AY9" s="131"/>
      <c r="AZ9" s="131"/>
      <c r="BA9" s="131"/>
      <c r="BB9" s="131"/>
      <c r="BC9" s="131"/>
      <c r="BD9" s="131"/>
      <c r="BE9" s="131"/>
      <c r="BF9" s="131"/>
      <c r="BG9" s="131"/>
      <c r="BH9" s="131"/>
      <c r="BI9" s="131"/>
      <c r="BJ9" s="131"/>
      <c r="BK9" s="131"/>
      <c r="BL9" s="131"/>
      <c r="BM9" s="131"/>
      <c r="BN9" s="131"/>
      <c r="BO9" s="131"/>
      <c r="BP9" s="131"/>
      <c r="BQ9" s="131"/>
      <c r="BR9" s="131"/>
      <c r="BS9" s="131"/>
      <c r="BT9" s="131"/>
      <c r="BU9" s="131"/>
      <c r="BV9" s="131"/>
      <c r="BW9" s="131"/>
      <c r="BX9" s="131"/>
      <c r="BY9" s="131"/>
      <c r="BZ9" s="131"/>
      <c r="CA9" s="131"/>
      <c r="CB9" s="131"/>
      <c r="CC9" s="131"/>
      <c r="CD9" s="131"/>
      <c r="CE9" s="131"/>
      <c r="CF9" s="131"/>
      <c r="CG9" s="131"/>
      <c r="CH9" s="131"/>
      <c r="CI9" s="131"/>
      <c r="CJ9" s="131"/>
      <c r="CK9" s="131"/>
      <c r="CL9" s="131"/>
      <c r="CM9" s="131"/>
      <c r="CN9" s="131"/>
      <c r="CO9" s="131"/>
      <c r="CP9" s="131"/>
      <c r="CQ9" s="131"/>
      <c r="CR9" s="131"/>
      <c r="CS9" s="131"/>
      <c r="CT9" s="131"/>
      <c r="CU9" s="131"/>
      <c r="CV9" s="131"/>
      <c r="CW9" s="131"/>
      <c r="CX9" s="131"/>
      <c r="CY9" s="131"/>
      <c r="CZ9" s="131"/>
      <c r="DA9" s="131"/>
      <c r="DB9" s="131"/>
      <c r="DC9" s="131"/>
      <c r="DD9" s="131"/>
      <c r="DE9" s="131"/>
      <c r="DF9" s="131"/>
      <c r="DG9" s="131"/>
      <c r="DH9" s="131"/>
      <c r="DI9" s="131"/>
      <c r="DJ9" s="131"/>
      <c r="DK9" s="131"/>
      <c r="DL9" s="131"/>
      <c r="DM9" s="131"/>
      <c r="DN9" s="131"/>
      <c r="DO9" s="131"/>
      <c r="DP9" s="131"/>
      <c r="DQ9" s="131"/>
      <c r="DR9" s="131"/>
      <c r="DS9" s="131"/>
      <c r="DT9" s="131"/>
      <c r="DU9" s="131"/>
      <c r="DV9" s="131"/>
      <c r="DW9" s="131"/>
      <c r="DX9" s="131"/>
      <c r="DY9" s="131"/>
      <c r="DZ9" s="131"/>
      <c r="EA9" s="131"/>
      <c r="EB9" s="131"/>
      <c r="EC9" s="131"/>
      <c r="ED9" s="131"/>
      <c r="EE9" s="131"/>
      <c r="EF9" s="131"/>
      <c r="EG9" s="131"/>
      <c r="EH9" s="131"/>
      <c r="EI9" s="131"/>
      <c r="EJ9" s="131"/>
      <c r="EK9" s="131"/>
      <c r="EL9" s="131"/>
      <c r="EM9" s="131"/>
      <c r="EN9" s="131"/>
      <c r="EO9" s="131"/>
      <c r="EP9" s="131"/>
      <c r="EQ9" s="131"/>
      <c r="ER9" s="131"/>
      <c r="ES9" s="131"/>
      <c r="ET9" s="131"/>
      <c r="EU9" s="131"/>
      <c r="EV9" s="131"/>
      <c r="EW9" s="131"/>
      <c r="EX9" s="131"/>
      <c r="EY9" s="131"/>
      <c r="EZ9" s="131"/>
      <c r="FA9" s="131"/>
      <c r="FB9" s="131"/>
      <c r="FC9" s="131"/>
      <c r="FD9" s="131"/>
      <c r="FE9" s="131"/>
      <c r="FF9" s="131"/>
      <c r="FG9" s="131"/>
      <c r="FH9" s="131"/>
    </row>
    <row r="10" spans="1:164" s="134" customFormat="1" x14ac:dyDescent="0.25">
      <c r="A10" s="127" t="str">
        <f>IF(Produits!A10="","",Produits!A10)</f>
        <v>Rail R à ailettes</v>
      </c>
      <c r="B10" s="127" t="str">
        <f>IF(Produits!B10="","",Produits!B10)</f>
        <v>RAL 9010</v>
      </c>
      <c r="C10" s="127" t="str">
        <f>IF(Produits!C10="","",Produits!C10)</f>
        <v>1000,00,0007</v>
      </c>
      <c r="D10" s="127" t="str">
        <f>IF(Produits!D10="","",Produits!D10)</f>
        <v>AA131</v>
      </c>
      <c r="E10" s="127" t="str">
        <f>IF(Produits!E10="","",Produits!E10)</f>
        <v/>
      </c>
      <c r="F10" s="128" t="str">
        <f>IF(Produits!F10="","",Produits!F10)</f>
        <v>1 pcs</v>
      </c>
      <c r="G10" s="133"/>
      <c r="H10" s="133"/>
      <c r="I10" s="133"/>
      <c r="J10" s="135" t="str">
        <f>IF($J$1="","",HLOOKUP($J$1,$M$1:$AAV$1000,10,0))</f>
        <v/>
      </c>
      <c r="K10" s="131"/>
      <c r="L10" s="131"/>
      <c r="M10" s="144"/>
      <c r="N10" s="144"/>
      <c r="O10" s="144"/>
      <c r="P10" s="144"/>
      <c r="Q10" s="144"/>
      <c r="R10" s="144"/>
      <c r="S10" s="144"/>
      <c r="T10" s="144"/>
      <c r="U10" s="144"/>
      <c r="V10" s="144"/>
      <c r="W10" s="144"/>
      <c r="X10" s="144"/>
      <c r="Y10" s="144"/>
      <c r="Z10" s="144"/>
      <c r="AA10" s="144"/>
      <c r="AB10" s="144"/>
      <c r="AC10" s="144"/>
      <c r="AD10" s="144"/>
      <c r="AE10" s="144"/>
      <c r="AF10" s="144"/>
      <c r="AG10" s="144"/>
      <c r="AH10" s="144"/>
      <c r="AI10" s="144"/>
      <c r="AJ10" s="144"/>
      <c r="AK10" s="144"/>
      <c r="AL10" s="144"/>
      <c r="AM10" s="144"/>
      <c r="AN10" s="144"/>
      <c r="AO10" s="144"/>
      <c r="AP10" s="144"/>
      <c r="AQ10" s="131"/>
      <c r="AR10" s="131"/>
      <c r="AS10" s="131"/>
      <c r="AT10" s="131"/>
      <c r="AU10" s="131"/>
      <c r="AV10" s="131"/>
      <c r="AW10" s="131"/>
      <c r="AX10" s="131"/>
      <c r="AY10" s="131"/>
      <c r="AZ10" s="131"/>
      <c r="BA10" s="131"/>
      <c r="BB10" s="131"/>
      <c r="BC10" s="131"/>
      <c r="BD10" s="131"/>
      <c r="BE10" s="131"/>
      <c r="BF10" s="131"/>
      <c r="BG10" s="131"/>
      <c r="BH10" s="131"/>
      <c r="BI10" s="131"/>
      <c r="BJ10" s="131"/>
      <c r="BK10" s="131"/>
      <c r="BL10" s="131"/>
      <c r="BM10" s="131"/>
      <c r="BN10" s="131"/>
      <c r="BO10" s="131"/>
      <c r="BP10" s="131"/>
      <c r="BQ10" s="131"/>
      <c r="BR10" s="131"/>
      <c r="BS10" s="131"/>
      <c r="BT10" s="131"/>
      <c r="BU10" s="131"/>
      <c r="BV10" s="131"/>
      <c r="BW10" s="131"/>
      <c r="BX10" s="131"/>
      <c r="BY10" s="131"/>
      <c r="BZ10" s="131"/>
      <c r="CA10" s="131"/>
      <c r="CB10" s="131"/>
      <c r="CC10" s="131"/>
      <c r="CD10" s="131"/>
      <c r="CE10" s="131"/>
      <c r="CF10" s="131"/>
      <c r="CG10" s="131"/>
      <c r="CH10" s="131"/>
      <c r="CI10" s="131"/>
      <c r="CJ10" s="131"/>
      <c r="CK10" s="131"/>
      <c r="CL10" s="131"/>
      <c r="CM10" s="131"/>
      <c r="CN10" s="131"/>
      <c r="CO10" s="131"/>
      <c r="CP10" s="131"/>
      <c r="CQ10" s="131"/>
      <c r="CR10" s="131"/>
      <c r="CS10" s="131"/>
      <c r="CT10" s="131"/>
      <c r="CU10" s="131"/>
      <c r="CV10" s="131"/>
      <c r="CW10" s="131"/>
      <c r="CX10" s="131"/>
      <c r="CY10" s="131"/>
      <c r="CZ10" s="131"/>
      <c r="DA10" s="131"/>
      <c r="DB10" s="131"/>
      <c r="DC10" s="131"/>
      <c r="DD10" s="131"/>
      <c r="DE10" s="131"/>
      <c r="DF10" s="131"/>
      <c r="DG10" s="131"/>
      <c r="DH10" s="131"/>
      <c r="DI10" s="131"/>
      <c r="DJ10" s="131"/>
      <c r="DK10" s="131"/>
      <c r="DL10" s="131"/>
      <c r="DM10" s="131"/>
      <c r="DN10" s="131"/>
      <c r="DO10" s="131"/>
      <c r="DP10" s="131"/>
      <c r="DQ10" s="131"/>
      <c r="DR10" s="131"/>
      <c r="DS10" s="131"/>
      <c r="DT10" s="131"/>
      <c r="DU10" s="131"/>
      <c r="DV10" s="131"/>
      <c r="DW10" s="131"/>
      <c r="DX10" s="131"/>
      <c r="DY10" s="131"/>
      <c r="DZ10" s="131"/>
      <c r="EA10" s="131"/>
      <c r="EB10" s="131"/>
      <c r="EC10" s="131"/>
      <c r="ED10" s="131"/>
      <c r="EE10" s="131"/>
      <c r="EF10" s="131"/>
      <c r="EG10" s="131"/>
      <c r="EH10" s="131"/>
      <c r="EI10" s="131"/>
      <c r="EJ10" s="131"/>
      <c r="EK10" s="131"/>
      <c r="EL10" s="131"/>
      <c r="EM10" s="131"/>
      <c r="EN10" s="131"/>
      <c r="EO10" s="131"/>
      <c r="EP10" s="131"/>
      <c r="EQ10" s="131"/>
      <c r="ER10" s="131"/>
      <c r="ES10" s="131"/>
      <c r="ET10" s="131"/>
      <c r="EU10" s="131"/>
      <c r="EV10" s="131"/>
      <c r="EW10" s="131"/>
      <c r="EX10" s="131"/>
      <c r="EY10" s="131"/>
      <c r="EZ10" s="131"/>
      <c r="FA10" s="131"/>
      <c r="FB10" s="131"/>
      <c r="FC10" s="131"/>
      <c r="FD10" s="131"/>
      <c r="FE10" s="131"/>
      <c r="FF10" s="131"/>
      <c r="FG10" s="131"/>
      <c r="FH10" s="131"/>
    </row>
    <row r="11" spans="1:164" s="134" customFormat="1" x14ac:dyDescent="0.25">
      <c r="A11" s="127" t="str">
        <f>IF(Produits!A11="","",Produits!A11)</f>
        <v>Rail R à ailettes</v>
      </c>
      <c r="B11" s="127" t="str">
        <f>IF(Produits!B11="","",Produits!B11)</f>
        <v>RAL 9010</v>
      </c>
      <c r="C11" s="127" t="str">
        <f>IF(Produits!C11="","",Produits!C11)</f>
        <v>1000,00,0008</v>
      </c>
      <c r="D11" s="127" t="str">
        <f>IF(Produits!D11="","",Produits!D11)</f>
        <v>AA132</v>
      </c>
      <c r="E11" s="127" t="str">
        <f>IF(Produits!E11="","",Produits!E11)</f>
        <v/>
      </c>
      <c r="F11" s="128" t="str">
        <f>IF(Produits!F11="","",Produits!F11)</f>
        <v>1 pcs</v>
      </c>
      <c r="G11" s="133"/>
      <c r="H11" s="133"/>
      <c r="I11" s="133"/>
      <c r="J11" s="135" t="str">
        <f>IF($J$1="","",HLOOKUP($J$1,$M$1:$AAV$1000,11,0))</f>
        <v/>
      </c>
      <c r="K11" s="131"/>
      <c r="L11" s="131"/>
      <c r="M11" s="144"/>
      <c r="N11" s="144"/>
      <c r="O11" s="144"/>
      <c r="P11" s="144"/>
      <c r="Q11" s="144"/>
      <c r="R11" s="144"/>
      <c r="S11" s="144"/>
      <c r="T11" s="144"/>
      <c r="U11" s="144"/>
      <c r="V11" s="144"/>
      <c r="W11" s="144"/>
      <c r="X11" s="144"/>
      <c r="Y11" s="144"/>
      <c r="Z11" s="144"/>
      <c r="AA11" s="144"/>
      <c r="AB11" s="144"/>
      <c r="AC11" s="144"/>
      <c r="AD11" s="144"/>
      <c r="AE11" s="144"/>
      <c r="AF11" s="144"/>
      <c r="AG11" s="144"/>
      <c r="AH11" s="144"/>
      <c r="AI11" s="144"/>
      <c r="AJ11" s="144"/>
      <c r="AK11" s="144"/>
      <c r="AL11" s="144"/>
      <c r="AM11" s="144"/>
      <c r="AN11" s="144"/>
      <c r="AO11" s="144"/>
      <c r="AP11" s="144"/>
      <c r="AQ11" s="131"/>
      <c r="AR11" s="131"/>
      <c r="AS11" s="131"/>
      <c r="AT11" s="131"/>
      <c r="AU11" s="131"/>
      <c r="AV11" s="131"/>
      <c r="AW11" s="131"/>
      <c r="AX11" s="131"/>
      <c r="AY11" s="131"/>
      <c r="AZ11" s="131"/>
      <c r="BA11" s="131"/>
      <c r="BB11" s="131"/>
      <c r="BC11" s="131"/>
      <c r="BD11" s="131"/>
      <c r="BE11" s="131"/>
      <c r="BF11" s="131"/>
      <c r="BG11" s="131"/>
      <c r="BH11" s="131"/>
      <c r="BI11" s="131"/>
      <c r="BJ11" s="131"/>
      <c r="BK11" s="131"/>
      <c r="BL11" s="131"/>
      <c r="BM11" s="131"/>
      <c r="BN11" s="131"/>
      <c r="BO11" s="131"/>
      <c r="BP11" s="131"/>
      <c r="BQ11" s="131"/>
      <c r="BR11" s="131"/>
      <c r="BS11" s="131"/>
      <c r="BT11" s="131"/>
      <c r="BU11" s="131"/>
      <c r="BV11" s="131"/>
      <c r="BW11" s="131"/>
      <c r="BX11" s="131"/>
      <c r="BY11" s="131"/>
      <c r="BZ11" s="131"/>
      <c r="CA11" s="131"/>
      <c r="CB11" s="131"/>
      <c r="CC11" s="131"/>
      <c r="CD11" s="131"/>
      <c r="CE11" s="131"/>
      <c r="CF11" s="131"/>
      <c r="CG11" s="131"/>
      <c r="CH11" s="131"/>
      <c r="CI11" s="131"/>
      <c r="CJ11" s="131"/>
      <c r="CK11" s="131"/>
      <c r="CL11" s="131"/>
      <c r="CM11" s="131"/>
      <c r="CN11" s="131"/>
      <c r="CO11" s="131"/>
      <c r="CP11" s="131"/>
      <c r="CQ11" s="131"/>
      <c r="CR11" s="131"/>
      <c r="CS11" s="131"/>
      <c r="CT11" s="131"/>
      <c r="CU11" s="131"/>
      <c r="CV11" s="131"/>
      <c r="CW11" s="131"/>
      <c r="CX11" s="131"/>
      <c r="CY11" s="131"/>
      <c r="CZ11" s="131"/>
      <c r="DA11" s="131"/>
      <c r="DB11" s="131"/>
      <c r="DC11" s="131"/>
      <c r="DD11" s="131"/>
      <c r="DE11" s="131"/>
      <c r="DF11" s="131"/>
      <c r="DG11" s="131"/>
      <c r="DH11" s="131"/>
      <c r="DI11" s="131"/>
      <c r="DJ11" s="131"/>
      <c r="DK11" s="131"/>
      <c r="DL11" s="131"/>
      <c r="DM11" s="131"/>
      <c r="DN11" s="131"/>
      <c r="DO11" s="131"/>
      <c r="DP11" s="131"/>
      <c r="DQ11" s="131"/>
      <c r="DR11" s="131"/>
      <c r="DS11" s="131"/>
      <c r="DT11" s="131"/>
      <c r="DU11" s="131"/>
      <c r="DV11" s="131"/>
      <c r="DW11" s="131"/>
      <c r="DX11" s="131"/>
      <c r="DY11" s="131"/>
      <c r="DZ11" s="131"/>
      <c r="EA11" s="131"/>
      <c r="EB11" s="131"/>
      <c r="EC11" s="131"/>
      <c r="ED11" s="131"/>
      <c r="EE11" s="131"/>
      <c r="EF11" s="131"/>
      <c r="EG11" s="131"/>
      <c r="EH11" s="131"/>
      <c r="EI11" s="131"/>
      <c r="EJ11" s="131"/>
      <c r="EK11" s="131"/>
      <c r="EL11" s="131"/>
      <c r="EM11" s="131"/>
      <c r="EN11" s="131"/>
      <c r="EO11" s="131"/>
      <c r="EP11" s="131"/>
      <c r="EQ11" s="131"/>
      <c r="ER11" s="131"/>
      <c r="ES11" s="131"/>
      <c r="ET11" s="131"/>
      <c r="EU11" s="131"/>
      <c r="EV11" s="131"/>
      <c r="EW11" s="131"/>
      <c r="EX11" s="131"/>
      <c r="EY11" s="131"/>
      <c r="EZ11" s="131"/>
      <c r="FA11" s="131"/>
      <c r="FB11" s="131"/>
      <c r="FC11" s="131"/>
      <c r="FD11" s="131"/>
      <c r="FE11" s="131"/>
      <c r="FF11" s="131"/>
      <c r="FG11" s="131"/>
      <c r="FH11" s="131"/>
    </row>
    <row r="12" spans="1:164" s="134" customFormat="1" x14ac:dyDescent="0.25">
      <c r="A12" s="127" t="str">
        <f>IF(Produits!A12="","",Produits!A12)</f>
        <v>Rail R à ailettes</v>
      </c>
      <c r="B12" s="127" t="str">
        <f>IF(Produits!B12="","",Produits!B12)</f>
        <v>RAL 9010</v>
      </c>
      <c r="C12" s="127" t="str">
        <f>IF(Produits!C12="","",Produits!C12)</f>
        <v>1000,00,0009</v>
      </c>
      <c r="D12" s="127" t="str">
        <f>IF(Produits!D12="","",Produits!D12)</f>
        <v>AA133</v>
      </c>
      <c r="E12" s="127" t="str">
        <f>IF(Produits!E12="","",Produits!E12)</f>
        <v/>
      </c>
      <c r="F12" s="128" t="str">
        <f>IF(Produits!F12="","",Produits!F12)</f>
        <v>1 pcs</v>
      </c>
      <c r="G12" s="133"/>
      <c r="H12" s="133"/>
      <c r="I12" s="133"/>
      <c r="J12" s="135" t="str">
        <f>IF($J$1="","",HLOOKUP($J$1,$M$1:$AAV$1000,12,0))</f>
        <v/>
      </c>
      <c r="K12" s="131"/>
      <c r="L12" s="131"/>
      <c r="M12" s="144"/>
      <c r="N12" s="144"/>
      <c r="O12" s="144"/>
      <c r="P12" s="144"/>
      <c r="Q12" s="144"/>
      <c r="R12" s="144"/>
      <c r="S12" s="144"/>
      <c r="T12" s="144"/>
      <c r="U12" s="144"/>
      <c r="V12" s="144"/>
      <c r="W12" s="144"/>
      <c r="X12" s="144"/>
      <c r="Y12" s="144"/>
      <c r="Z12" s="144"/>
      <c r="AA12" s="144"/>
      <c r="AB12" s="144"/>
      <c r="AC12" s="144"/>
      <c r="AD12" s="144"/>
      <c r="AE12" s="144"/>
      <c r="AF12" s="144"/>
      <c r="AG12" s="144"/>
      <c r="AH12" s="144"/>
      <c r="AI12" s="144"/>
      <c r="AJ12" s="144"/>
      <c r="AK12" s="144"/>
      <c r="AL12" s="144"/>
      <c r="AM12" s="144"/>
      <c r="AN12" s="144"/>
      <c r="AO12" s="144"/>
      <c r="AP12" s="144"/>
      <c r="AQ12" s="131"/>
      <c r="AR12" s="131"/>
      <c r="AS12" s="131"/>
      <c r="AT12" s="131"/>
      <c r="AU12" s="131"/>
      <c r="AV12" s="131"/>
      <c r="AW12" s="131"/>
      <c r="AX12" s="131"/>
      <c r="AY12" s="131"/>
      <c r="AZ12" s="131"/>
      <c r="BA12" s="131"/>
      <c r="BB12" s="131"/>
      <c r="BC12" s="131"/>
      <c r="BD12" s="131"/>
      <c r="BE12" s="131"/>
      <c r="BF12" s="131"/>
      <c r="BG12" s="131"/>
      <c r="BH12" s="131"/>
      <c r="BI12" s="131"/>
      <c r="BJ12" s="131"/>
      <c r="BK12" s="131"/>
      <c r="BL12" s="131"/>
      <c r="BM12" s="131"/>
      <c r="BN12" s="131"/>
      <c r="BO12" s="131"/>
      <c r="BP12" s="131"/>
      <c r="BQ12" s="131"/>
      <c r="BR12" s="131"/>
      <c r="BS12" s="131"/>
      <c r="BT12" s="131"/>
      <c r="BU12" s="131"/>
      <c r="BV12" s="131"/>
      <c r="BW12" s="131"/>
      <c r="BX12" s="131"/>
      <c r="BY12" s="131"/>
      <c r="BZ12" s="131"/>
      <c r="CA12" s="131"/>
      <c r="CB12" s="131"/>
      <c r="CC12" s="131"/>
      <c r="CD12" s="131"/>
      <c r="CE12" s="131"/>
      <c r="CF12" s="131"/>
      <c r="CG12" s="131"/>
      <c r="CH12" s="131"/>
      <c r="CI12" s="131"/>
      <c r="CJ12" s="131"/>
      <c r="CK12" s="131"/>
      <c r="CL12" s="131"/>
      <c r="CM12" s="131"/>
      <c r="CN12" s="131"/>
      <c r="CO12" s="131"/>
      <c r="CP12" s="131"/>
      <c r="CQ12" s="131"/>
      <c r="CR12" s="131"/>
      <c r="CS12" s="131"/>
      <c r="CT12" s="131"/>
      <c r="CU12" s="131"/>
      <c r="CV12" s="131"/>
      <c r="CW12" s="131"/>
      <c r="CX12" s="131"/>
      <c r="CY12" s="131"/>
      <c r="CZ12" s="131"/>
      <c r="DA12" s="131"/>
      <c r="DB12" s="131"/>
      <c r="DC12" s="131"/>
      <c r="DD12" s="131"/>
      <c r="DE12" s="131"/>
      <c r="DF12" s="131"/>
      <c r="DG12" s="131"/>
      <c r="DH12" s="131"/>
      <c r="DI12" s="131"/>
      <c r="DJ12" s="131"/>
      <c r="DK12" s="131"/>
      <c r="DL12" s="131"/>
      <c r="DM12" s="131"/>
      <c r="DN12" s="131"/>
      <c r="DO12" s="131"/>
      <c r="DP12" s="131"/>
      <c r="DQ12" s="131"/>
      <c r="DR12" s="131"/>
      <c r="DS12" s="131"/>
      <c r="DT12" s="131"/>
      <c r="DU12" s="131"/>
      <c r="DV12" s="131"/>
      <c r="DW12" s="131"/>
      <c r="DX12" s="131"/>
      <c r="DY12" s="131"/>
      <c r="DZ12" s="131"/>
      <c r="EA12" s="131"/>
      <c r="EB12" s="131"/>
      <c r="EC12" s="131"/>
      <c r="ED12" s="131"/>
      <c r="EE12" s="131"/>
      <c r="EF12" s="131"/>
      <c r="EG12" s="131"/>
      <c r="EH12" s="131"/>
      <c r="EI12" s="131"/>
      <c r="EJ12" s="131"/>
      <c r="EK12" s="131"/>
      <c r="EL12" s="131"/>
      <c r="EM12" s="131"/>
      <c r="EN12" s="131"/>
      <c r="EO12" s="131"/>
      <c r="EP12" s="131"/>
      <c r="EQ12" s="131"/>
      <c r="ER12" s="131"/>
      <c r="ES12" s="131"/>
      <c r="ET12" s="131"/>
      <c r="EU12" s="131"/>
      <c r="EV12" s="131"/>
      <c r="EW12" s="131"/>
      <c r="EX12" s="131"/>
      <c r="EY12" s="131"/>
      <c r="EZ12" s="131"/>
      <c r="FA12" s="131"/>
      <c r="FB12" s="131"/>
      <c r="FC12" s="131"/>
      <c r="FD12" s="131"/>
      <c r="FE12" s="131"/>
      <c r="FF12" s="131"/>
      <c r="FG12" s="131"/>
      <c r="FH12" s="131"/>
    </row>
    <row r="13" spans="1:164" s="134" customFormat="1" x14ac:dyDescent="0.25">
      <c r="A13" s="127" t="str">
        <f>IF(Produits!A13="","",Produits!A13)</f>
        <v>Rail R à ailettes</v>
      </c>
      <c r="B13" s="127" t="str">
        <f>IF(Produits!B13="","",Produits!B13)</f>
        <v>RAL 9003</v>
      </c>
      <c r="C13" s="127" t="str">
        <f>IF(Produits!C13="","",Produits!C13)</f>
        <v>1000,00,0010</v>
      </c>
      <c r="D13" s="127" t="str">
        <f>IF(Produits!D13="","",Produits!D13)</f>
        <v>AA134</v>
      </c>
      <c r="E13" s="127" t="str">
        <f>IF(Produits!E13="","",Produits!E13)</f>
        <v/>
      </c>
      <c r="F13" s="128" t="str">
        <f>IF(Produits!F13="","",Produits!F13)</f>
        <v>3 m</v>
      </c>
      <c r="G13" s="133"/>
      <c r="H13" s="133"/>
      <c r="I13" s="133"/>
      <c r="J13" s="135" t="str">
        <f>IF($J$1="","",HLOOKUP($J$1,$M$1:$AAV$1000,13,0))</f>
        <v/>
      </c>
      <c r="K13" s="131"/>
      <c r="L13" s="131"/>
      <c r="M13" s="144"/>
      <c r="N13" s="144"/>
      <c r="O13" s="144"/>
      <c r="P13" s="144"/>
      <c r="Q13" s="144"/>
      <c r="R13" s="144"/>
      <c r="S13" s="144"/>
      <c r="T13" s="144"/>
      <c r="U13" s="144"/>
      <c r="V13" s="144"/>
      <c r="W13" s="144"/>
      <c r="X13" s="144"/>
      <c r="Y13" s="144"/>
      <c r="Z13" s="144"/>
      <c r="AA13" s="144"/>
      <c r="AB13" s="144"/>
      <c r="AC13" s="144"/>
      <c r="AD13" s="144"/>
      <c r="AE13" s="144"/>
      <c r="AF13" s="144"/>
      <c r="AG13" s="144"/>
      <c r="AH13" s="144"/>
      <c r="AI13" s="144"/>
      <c r="AJ13" s="144"/>
      <c r="AK13" s="144"/>
      <c r="AL13" s="144"/>
      <c r="AM13" s="144"/>
      <c r="AN13" s="144"/>
      <c r="AO13" s="144"/>
      <c r="AP13" s="144"/>
      <c r="AQ13" s="131"/>
      <c r="AR13" s="131"/>
      <c r="AS13" s="131"/>
      <c r="AT13" s="131"/>
      <c r="AU13" s="131"/>
      <c r="AV13" s="131"/>
      <c r="AW13" s="131"/>
      <c r="AX13" s="131"/>
      <c r="AY13" s="131"/>
      <c r="AZ13" s="131"/>
      <c r="BA13" s="131"/>
      <c r="BB13" s="131"/>
      <c r="BC13" s="131"/>
      <c r="BD13" s="131"/>
      <c r="BE13" s="131"/>
      <c r="BF13" s="131"/>
      <c r="BG13" s="131"/>
      <c r="BH13" s="131"/>
      <c r="BI13" s="131"/>
      <c r="BJ13" s="131"/>
      <c r="BK13" s="131"/>
      <c r="BL13" s="131"/>
      <c r="BM13" s="131"/>
      <c r="BN13" s="131"/>
      <c r="BO13" s="131"/>
      <c r="BP13" s="131"/>
      <c r="BQ13" s="131"/>
      <c r="BR13" s="131"/>
      <c r="BS13" s="131"/>
      <c r="BT13" s="131"/>
      <c r="BU13" s="131"/>
      <c r="BV13" s="131"/>
      <c r="BW13" s="131"/>
      <c r="BX13" s="131"/>
      <c r="BY13" s="131"/>
      <c r="BZ13" s="131"/>
      <c r="CA13" s="131"/>
      <c r="CB13" s="131"/>
      <c r="CC13" s="131"/>
      <c r="CD13" s="131"/>
      <c r="CE13" s="131"/>
      <c r="CF13" s="131"/>
      <c r="CG13" s="131"/>
      <c r="CH13" s="131"/>
      <c r="CI13" s="131"/>
      <c r="CJ13" s="131"/>
      <c r="CK13" s="131"/>
      <c r="CL13" s="131"/>
      <c r="CM13" s="131"/>
      <c r="CN13" s="131"/>
      <c r="CO13" s="131"/>
      <c r="CP13" s="131"/>
      <c r="CQ13" s="131"/>
      <c r="CR13" s="131"/>
      <c r="CS13" s="131"/>
      <c r="CT13" s="131"/>
      <c r="CU13" s="131"/>
      <c r="CV13" s="131"/>
      <c r="CW13" s="131"/>
      <c r="CX13" s="131"/>
      <c r="CY13" s="131"/>
      <c r="CZ13" s="131"/>
      <c r="DA13" s="131"/>
      <c r="DB13" s="131"/>
      <c r="DC13" s="131"/>
      <c r="DD13" s="131"/>
      <c r="DE13" s="131"/>
      <c r="DF13" s="131"/>
      <c r="DG13" s="131"/>
      <c r="DH13" s="131"/>
      <c r="DI13" s="131"/>
      <c r="DJ13" s="131"/>
      <c r="DK13" s="131"/>
      <c r="DL13" s="131"/>
      <c r="DM13" s="131"/>
      <c r="DN13" s="131"/>
      <c r="DO13" s="131"/>
      <c r="DP13" s="131"/>
      <c r="DQ13" s="131"/>
      <c r="DR13" s="131"/>
      <c r="DS13" s="131"/>
      <c r="DT13" s="131"/>
      <c r="DU13" s="131"/>
      <c r="DV13" s="131"/>
      <c r="DW13" s="131"/>
      <c r="DX13" s="131"/>
      <c r="DY13" s="131"/>
      <c r="DZ13" s="131"/>
      <c r="EA13" s="131"/>
      <c r="EB13" s="131"/>
      <c r="EC13" s="131"/>
      <c r="ED13" s="131"/>
      <c r="EE13" s="131"/>
      <c r="EF13" s="131"/>
      <c r="EG13" s="131"/>
      <c r="EH13" s="131"/>
      <c r="EI13" s="131"/>
      <c r="EJ13" s="131"/>
      <c r="EK13" s="131"/>
      <c r="EL13" s="131"/>
      <c r="EM13" s="131"/>
      <c r="EN13" s="131"/>
      <c r="EO13" s="131"/>
      <c r="EP13" s="131"/>
      <c r="EQ13" s="131"/>
      <c r="ER13" s="131"/>
      <c r="ES13" s="131"/>
      <c r="ET13" s="131"/>
      <c r="EU13" s="131"/>
      <c r="EV13" s="131"/>
      <c r="EW13" s="131"/>
      <c r="EX13" s="131"/>
      <c r="EY13" s="131"/>
      <c r="EZ13" s="131"/>
      <c r="FA13" s="131"/>
      <c r="FB13" s="131"/>
      <c r="FC13" s="131"/>
      <c r="FD13" s="131"/>
      <c r="FE13" s="131"/>
      <c r="FF13" s="131"/>
      <c r="FG13" s="131"/>
      <c r="FH13" s="131"/>
    </row>
    <row r="14" spans="1:164" s="134" customFormat="1" ht="12.75" customHeight="1" x14ac:dyDescent="0.25">
      <c r="A14" s="127" t="str">
        <f>IF(Produits!A14="","",Produits!A14)</f>
        <v>Rail R à ailettes</v>
      </c>
      <c r="B14" s="127" t="str">
        <f>IF(Produits!B14="","",Produits!B14)</f>
        <v>RAL 9003</v>
      </c>
      <c r="C14" s="127" t="str">
        <f>IF(Produits!C14="","",Produits!C14)</f>
        <v>1000,00,0011</v>
      </c>
      <c r="D14" s="127" t="str">
        <f>IF(Produits!D14="","",Produits!D14)</f>
        <v>AA135</v>
      </c>
      <c r="E14" s="127" t="str">
        <f>IF(Produits!E14="","",Produits!E14)</f>
        <v/>
      </c>
      <c r="F14" s="128" t="str">
        <f>IF(Produits!F14="","",Produits!F14)</f>
        <v>1 pcs</v>
      </c>
      <c r="G14" s="133"/>
      <c r="H14" s="133"/>
      <c r="I14" s="133"/>
      <c r="J14" s="135" t="str">
        <f>IF($J$1="","",HLOOKUP($J$1,$M$1:$AAV$1000,14,0))</f>
        <v/>
      </c>
      <c r="K14" s="136"/>
      <c r="L14" s="131"/>
      <c r="M14" s="144"/>
      <c r="N14" s="144"/>
      <c r="O14" s="144"/>
      <c r="P14" s="144"/>
      <c r="Q14" s="144"/>
      <c r="R14" s="144"/>
      <c r="S14" s="144"/>
      <c r="T14" s="144"/>
      <c r="U14" s="144"/>
      <c r="V14" s="144"/>
      <c r="W14" s="144"/>
      <c r="X14" s="144"/>
      <c r="Y14" s="144"/>
      <c r="Z14" s="144"/>
      <c r="AA14" s="144"/>
      <c r="AB14" s="144"/>
      <c r="AC14" s="144"/>
      <c r="AD14" s="144"/>
      <c r="AE14" s="144"/>
      <c r="AF14" s="144"/>
      <c r="AG14" s="144"/>
      <c r="AH14" s="144"/>
      <c r="AI14" s="144"/>
      <c r="AJ14" s="144"/>
      <c r="AK14" s="144"/>
      <c r="AL14" s="144"/>
      <c r="AM14" s="144"/>
      <c r="AN14" s="144"/>
      <c r="AO14" s="144"/>
      <c r="AP14" s="144"/>
      <c r="AQ14" s="131"/>
      <c r="AR14" s="131"/>
      <c r="AS14" s="131"/>
      <c r="AT14" s="131"/>
      <c r="AU14" s="131"/>
      <c r="AV14" s="131"/>
      <c r="AW14" s="131"/>
      <c r="AX14" s="131"/>
      <c r="AY14" s="131"/>
      <c r="AZ14" s="131"/>
      <c r="BA14" s="131"/>
      <c r="BB14" s="131"/>
      <c r="BC14" s="131"/>
      <c r="BD14" s="131"/>
      <c r="BE14" s="131"/>
      <c r="BF14" s="131"/>
      <c r="BG14" s="131"/>
      <c r="BH14" s="131"/>
      <c r="BI14" s="131"/>
      <c r="BJ14" s="131"/>
      <c r="BK14" s="131"/>
      <c r="BL14" s="131"/>
      <c r="BM14" s="131"/>
      <c r="BN14" s="131"/>
      <c r="BO14" s="131"/>
      <c r="BP14" s="131"/>
      <c r="BQ14" s="131"/>
      <c r="BR14" s="131"/>
      <c r="BS14" s="131"/>
      <c r="BT14" s="131"/>
      <c r="BU14" s="131"/>
      <c r="BV14" s="131"/>
      <c r="BW14" s="131"/>
      <c r="BX14" s="131"/>
      <c r="BY14" s="131"/>
      <c r="BZ14" s="131"/>
      <c r="CA14" s="131"/>
      <c r="CB14" s="131"/>
      <c r="CC14" s="131"/>
      <c r="CD14" s="131"/>
      <c r="CE14" s="131"/>
      <c r="CF14" s="131"/>
      <c r="CG14" s="131"/>
      <c r="CH14" s="131"/>
      <c r="CI14" s="131"/>
      <c r="CJ14" s="131"/>
      <c r="CK14" s="131"/>
      <c r="CL14" s="131"/>
      <c r="CM14" s="131"/>
      <c r="CN14" s="131"/>
      <c r="CO14" s="131"/>
      <c r="CP14" s="131"/>
      <c r="CQ14" s="131"/>
      <c r="CR14" s="131"/>
      <c r="CS14" s="131"/>
      <c r="CT14" s="131"/>
      <c r="CU14" s="131"/>
      <c r="CV14" s="131"/>
      <c r="CW14" s="131"/>
      <c r="CX14" s="131"/>
      <c r="CY14" s="131"/>
      <c r="CZ14" s="131"/>
      <c r="DA14" s="131"/>
      <c r="DB14" s="131"/>
      <c r="DC14" s="131"/>
      <c r="DD14" s="131"/>
      <c r="DE14" s="131"/>
      <c r="DF14" s="131"/>
      <c r="DG14" s="131"/>
      <c r="DH14" s="131"/>
      <c r="DI14" s="131"/>
      <c r="DJ14" s="131"/>
      <c r="DK14" s="131"/>
      <c r="DL14" s="131"/>
      <c r="DM14" s="131"/>
      <c r="DN14" s="131"/>
      <c r="DO14" s="131"/>
      <c r="DP14" s="131"/>
      <c r="DQ14" s="131"/>
      <c r="DR14" s="131"/>
      <c r="DS14" s="131"/>
      <c r="DT14" s="131"/>
      <c r="DU14" s="131"/>
      <c r="DV14" s="131"/>
      <c r="DW14" s="131"/>
      <c r="DX14" s="131"/>
      <c r="DY14" s="131"/>
      <c r="DZ14" s="131"/>
      <c r="EA14" s="131"/>
      <c r="EB14" s="131"/>
      <c r="EC14" s="131"/>
      <c r="ED14" s="131"/>
      <c r="EE14" s="131"/>
      <c r="EF14" s="131"/>
      <c r="EG14" s="131"/>
      <c r="EH14" s="131"/>
      <c r="EI14" s="131"/>
      <c r="EJ14" s="131"/>
      <c r="EK14" s="131"/>
      <c r="EL14" s="131"/>
      <c r="EM14" s="131"/>
      <c r="EN14" s="131"/>
      <c r="EO14" s="131"/>
      <c r="EP14" s="131"/>
      <c r="EQ14" s="131"/>
      <c r="ER14" s="131"/>
      <c r="ES14" s="131"/>
      <c r="ET14" s="131"/>
      <c r="EU14" s="131"/>
      <c r="EV14" s="131"/>
      <c r="EW14" s="131"/>
      <c r="EX14" s="131"/>
      <c r="EY14" s="131"/>
      <c r="EZ14" s="131"/>
      <c r="FA14" s="131"/>
      <c r="FB14" s="131"/>
      <c r="FC14" s="131"/>
      <c r="FD14" s="131"/>
      <c r="FE14" s="131"/>
      <c r="FF14" s="131"/>
      <c r="FG14" s="131"/>
      <c r="FH14" s="131"/>
    </row>
    <row r="15" spans="1:164" s="134" customFormat="1" x14ac:dyDescent="0.25">
      <c r="A15" s="127" t="str">
        <f>IF(Produits!A15="","",Produits!A15)</f>
        <v>Rail R à ailettes</v>
      </c>
      <c r="B15" s="127" t="str">
        <f>IF(Produits!B15="","",Produits!B15)</f>
        <v>RAL 9003</v>
      </c>
      <c r="C15" s="127" t="str">
        <f>IF(Produits!C15="","",Produits!C15)</f>
        <v>1000,00,0012</v>
      </c>
      <c r="D15" s="127" t="str">
        <f>IF(Produits!D15="","",Produits!D15)</f>
        <v>AA136</v>
      </c>
      <c r="E15" s="127" t="str">
        <f>IF(Produits!E15="","",Produits!E15)</f>
        <v/>
      </c>
      <c r="F15" s="128" t="str">
        <f>IF(Produits!F15="","",Produits!F15)</f>
        <v>1 pcs</v>
      </c>
      <c r="G15" s="133"/>
      <c r="H15" s="133"/>
      <c r="I15" s="133"/>
      <c r="J15" s="135" t="str">
        <f>IF($J$1="","",HLOOKUP($J$1,$M$1:$AAV$1000,15,0))</f>
        <v/>
      </c>
      <c r="K15" s="131"/>
      <c r="L15" s="131"/>
      <c r="M15" s="144"/>
      <c r="N15" s="144"/>
      <c r="O15" s="144"/>
      <c r="P15" s="144"/>
      <c r="Q15" s="144"/>
      <c r="R15" s="144"/>
      <c r="S15" s="144"/>
      <c r="T15" s="144"/>
      <c r="U15" s="144"/>
      <c r="V15" s="144"/>
      <c r="W15" s="144"/>
      <c r="X15" s="144"/>
      <c r="Y15" s="144"/>
      <c r="Z15" s="144"/>
      <c r="AA15" s="144"/>
      <c r="AB15" s="144"/>
      <c r="AC15" s="144"/>
      <c r="AD15" s="144"/>
      <c r="AE15" s="144"/>
      <c r="AF15" s="144"/>
      <c r="AG15" s="144"/>
      <c r="AH15" s="144"/>
      <c r="AI15" s="144"/>
      <c r="AJ15" s="144"/>
      <c r="AK15" s="144"/>
      <c r="AL15" s="144"/>
      <c r="AM15" s="144"/>
      <c r="AN15" s="144"/>
      <c r="AO15" s="144"/>
      <c r="AP15" s="144"/>
      <c r="AQ15" s="131"/>
      <c r="AR15" s="131"/>
      <c r="AS15" s="131"/>
      <c r="AT15" s="131"/>
      <c r="AU15" s="131"/>
      <c r="AV15" s="131"/>
      <c r="AW15" s="131"/>
      <c r="AX15" s="131"/>
      <c r="AY15" s="131"/>
      <c r="AZ15" s="131"/>
      <c r="BA15" s="131"/>
      <c r="BB15" s="131"/>
      <c r="BC15" s="131"/>
      <c r="BD15" s="131"/>
      <c r="BE15" s="131"/>
      <c r="BF15" s="131"/>
      <c r="BG15" s="131"/>
      <c r="BH15" s="131"/>
      <c r="BI15" s="131"/>
      <c r="BJ15" s="131"/>
      <c r="BK15" s="131"/>
      <c r="BL15" s="131"/>
      <c r="BM15" s="131"/>
      <c r="BN15" s="131"/>
      <c r="BO15" s="131"/>
      <c r="BP15" s="131"/>
      <c r="BQ15" s="131"/>
      <c r="BR15" s="131"/>
      <c r="BS15" s="131"/>
      <c r="BT15" s="131"/>
      <c r="BU15" s="131"/>
      <c r="BV15" s="131"/>
      <c r="BW15" s="131"/>
      <c r="BX15" s="131"/>
      <c r="BY15" s="131"/>
      <c r="BZ15" s="131"/>
      <c r="CA15" s="131"/>
      <c r="CB15" s="131"/>
      <c r="CC15" s="131"/>
      <c r="CD15" s="131"/>
      <c r="CE15" s="131"/>
      <c r="CF15" s="131"/>
      <c r="CG15" s="131"/>
      <c r="CH15" s="131"/>
      <c r="CI15" s="131"/>
      <c r="CJ15" s="131"/>
      <c r="CK15" s="131"/>
      <c r="CL15" s="131"/>
      <c r="CM15" s="131"/>
      <c r="CN15" s="131"/>
      <c r="CO15" s="131"/>
      <c r="CP15" s="131"/>
      <c r="CQ15" s="131"/>
      <c r="CR15" s="131"/>
      <c r="CS15" s="131"/>
      <c r="CT15" s="131"/>
      <c r="CU15" s="131"/>
      <c r="CV15" s="131"/>
      <c r="CW15" s="131"/>
      <c r="CX15" s="131"/>
      <c r="CY15" s="131"/>
      <c r="CZ15" s="131"/>
      <c r="DA15" s="131"/>
      <c r="DB15" s="131"/>
      <c r="DC15" s="131"/>
      <c r="DD15" s="131"/>
      <c r="DE15" s="131"/>
      <c r="DF15" s="131"/>
      <c r="DG15" s="131"/>
      <c r="DH15" s="131"/>
      <c r="DI15" s="131"/>
      <c r="DJ15" s="131"/>
      <c r="DK15" s="131"/>
      <c r="DL15" s="131"/>
      <c r="DM15" s="131"/>
      <c r="DN15" s="131"/>
      <c r="DO15" s="131"/>
      <c r="DP15" s="131"/>
      <c r="DQ15" s="131"/>
      <c r="DR15" s="131"/>
      <c r="DS15" s="131"/>
      <c r="DT15" s="131"/>
      <c r="DU15" s="131"/>
      <c r="DV15" s="131"/>
      <c r="DW15" s="131"/>
      <c r="DX15" s="131"/>
      <c r="DY15" s="131"/>
      <c r="DZ15" s="131"/>
      <c r="EA15" s="131"/>
      <c r="EB15" s="131"/>
      <c r="EC15" s="131"/>
      <c r="ED15" s="131"/>
      <c r="EE15" s="131"/>
      <c r="EF15" s="131"/>
      <c r="EG15" s="131"/>
      <c r="EH15" s="131"/>
      <c r="EI15" s="131"/>
      <c r="EJ15" s="131"/>
      <c r="EK15" s="131"/>
      <c r="EL15" s="131"/>
      <c r="EM15" s="131"/>
      <c r="EN15" s="131"/>
      <c r="EO15" s="131"/>
      <c r="EP15" s="131"/>
      <c r="EQ15" s="131"/>
      <c r="ER15" s="131"/>
      <c r="ES15" s="131"/>
      <c r="ET15" s="131"/>
      <c r="EU15" s="131"/>
      <c r="EV15" s="131"/>
      <c r="EW15" s="131"/>
      <c r="EX15" s="131"/>
      <c r="EY15" s="131"/>
      <c r="EZ15" s="131"/>
      <c r="FA15" s="131"/>
      <c r="FB15" s="131"/>
      <c r="FC15" s="131"/>
      <c r="FD15" s="131"/>
      <c r="FE15" s="131"/>
      <c r="FF15" s="131"/>
      <c r="FG15" s="131"/>
      <c r="FH15" s="131"/>
    </row>
    <row r="16" spans="1:164" s="134" customFormat="1" x14ac:dyDescent="0.25">
      <c r="A16" s="127" t="str">
        <f>IF(Produits!A16="","",Produits!A16)</f>
        <v>Rail R à ailettes</v>
      </c>
      <c r="B16" s="127" t="str">
        <f>IF(Produits!B16="","",Produits!B16)</f>
        <v>RAL 9003</v>
      </c>
      <c r="C16" s="127" t="str">
        <f>IF(Produits!C16="","",Produits!C16)</f>
        <v>1000,00,0013</v>
      </c>
      <c r="D16" s="127" t="str">
        <f>IF(Produits!D16="","",Produits!D16)</f>
        <v>AA137</v>
      </c>
      <c r="E16" s="127" t="str">
        <f>IF(Produits!E16="","",Produits!E16)</f>
        <v/>
      </c>
      <c r="F16" s="128" t="str">
        <f>IF(Produits!F16="","",Produits!F16)</f>
        <v>1 pcs</v>
      </c>
      <c r="G16" s="133"/>
      <c r="H16" s="133"/>
      <c r="I16" s="133"/>
      <c r="J16" s="135" t="str">
        <f>IF($J$1="","",HLOOKUP($J$1,$M$1:$AAV$1000,16,0))</f>
        <v/>
      </c>
      <c r="K16" s="131"/>
      <c r="L16" s="131"/>
      <c r="M16" s="144"/>
      <c r="N16" s="144"/>
      <c r="O16" s="144"/>
      <c r="P16" s="144"/>
      <c r="Q16" s="144"/>
      <c r="R16" s="144"/>
      <c r="S16" s="144"/>
      <c r="T16" s="144"/>
      <c r="U16" s="144"/>
      <c r="V16" s="144"/>
      <c r="W16" s="144"/>
      <c r="X16" s="144"/>
      <c r="Y16" s="144"/>
      <c r="Z16" s="144"/>
      <c r="AA16" s="144"/>
      <c r="AB16" s="144"/>
      <c r="AC16" s="144"/>
      <c r="AD16" s="144"/>
      <c r="AE16" s="144"/>
      <c r="AF16" s="144"/>
      <c r="AG16" s="144"/>
      <c r="AH16" s="144"/>
      <c r="AI16" s="144"/>
      <c r="AJ16" s="144"/>
      <c r="AK16" s="144"/>
      <c r="AL16" s="144"/>
      <c r="AM16" s="144"/>
      <c r="AN16" s="144"/>
      <c r="AO16" s="144"/>
      <c r="AP16" s="144"/>
      <c r="AQ16" s="131"/>
      <c r="AR16" s="131"/>
      <c r="AS16" s="131"/>
      <c r="AT16" s="131"/>
      <c r="AU16" s="131"/>
      <c r="AV16" s="131"/>
      <c r="AW16" s="131"/>
      <c r="AX16" s="131"/>
      <c r="AY16" s="131"/>
      <c r="AZ16" s="131"/>
      <c r="BA16" s="131"/>
      <c r="BB16" s="131"/>
      <c r="BC16" s="131"/>
      <c r="BD16" s="131"/>
      <c r="BE16" s="131"/>
      <c r="BF16" s="131"/>
      <c r="BG16" s="131"/>
      <c r="BH16" s="131"/>
      <c r="BI16" s="131"/>
      <c r="BJ16" s="131"/>
      <c r="BK16" s="131"/>
      <c r="BL16" s="131"/>
      <c r="BM16" s="131"/>
      <c r="BN16" s="131"/>
      <c r="BO16" s="131"/>
      <c r="BP16" s="131"/>
      <c r="BQ16" s="131"/>
      <c r="BR16" s="131"/>
      <c r="BS16" s="131"/>
      <c r="BT16" s="131"/>
      <c r="BU16" s="131"/>
      <c r="BV16" s="131"/>
      <c r="BW16" s="131"/>
      <c r="BX16" s="131"/>
      <c r="BY16" s="131"/>
      <c r="BZ16" s="131"/>
      <c r="CA16" s="131"/>
      <c r="CB16" s="131"/>
      <c r="CC16" s="131"/>
      <c r="CD16" s="131"/>
      <c r="CE16" s="131"/>
      <c r="CF16" s="131"/>
      <c r="CG16" s="131"/>
      <c r="CH16" s="131"/>
      <c r="CI16" s="131"/>
      <c r="CJ16" s="131"/>
      <c r="CK16" s="131"/>
      <c r="CL16" s="131"/>
      <c r="CM16" s="131"/>
      <c r="CN16" s="131"/>
      <c r="CO16" s="131"/>
      <c r="CP16" s="131"/>
      <c r="CQ16" s="131"/>
      <c r="CR16" s="131"/>
      <c r="CS16" s="131"/>
      <c r="CT16" s="131"/>
      <c r="CU16" s="131"/>
      <c r="CV16" s="131"/>
      <c r="CW16" s="131"/>
      <c r="CX16" s="131"/>
      <c r="CY16" s="131"/>
      <c r="CZ16" s="131"/>
      <c r="DA16" s="131"/>
      <c r="DB16" s="131"/>
      <c r="DC16" s="131"/>
      <c r="DD16" s="131"/>
      <c r="DE16" s="131"/>
      <c r="DF16" s="131"/>
      <c r="DG16" s="131"/>
      <c r="DH16" s="131"/>
      <c r="DI16" s="131"/>
      <c r="DJ16" s="131"/>
      <c r="DK16" s="131"/>
      <c r="DL16" s="131"/>
      <c r="DM16" s="131"/>
      <c r="DN16" s="131"/>
      <c r="DO16" s="131"/>
      <c r="DP16" s="131"/>
      <c r="DQ16" s="131"/>
      <c r="DR16" s="131"/>
      <c r="DS16" s="131"/>
      <c r="DT16" s="131"/>
      <c r="DU16" s="131"/>
      <c r="DV16" s="131"/>
      <c r="DW16" s="131"/>
      <c r="DX16" s="131"/>
      <c r="DY16" s="131"/>
      <c r="DZ16" s="131"/>
      <c r="EA16" s="131"/>
      <c r="EB16" s="131"/>
      <c r="EC16" s="131"/>
      <c r="ED16" s="131"/>
      <c r="EE16" s="131"/>
      <c r="EF16" s="131"/>
      <c r="EG16" s="131"/>
      <c r="EH16" s="131"/>
      <c r="EI16" s="131"/>
      <c r="EJ16" s="131"/>
      <c r="EK16" s="131"/>
      <c r="EL16" s="131"/>
      <c r="EM16" s="131"/>
      <c r="EN16" s="131"/>
      <c r="EO16" s="131"/>
      <c r="EP16" s="131"/>
      <c r="EQ16" s="131"/>
      <c r="ER16" s="131"/>
      <c r="ES16" s="131"/>
      <c r="ET16" s="131"/>
      <c r="EU16" s="131"/>
      <c r="EV16" s="131"/>
      <c r="EW16" s="131"/>
      <c r="EX16" s="131"/>
      <c r="EY16" s="131"/>
      <c r="EZ16" s="131"/>
      <c r="FA16" s="131"/>
      <c r="FB16" s="131"/>
      <c r="FC16" s="131"/>
      <c r="FD16" s="131"/>
      <c r="FE16" s="131"/>
      <c r="FF16" s="131"/>
      <c r="FG16" s="131"/>
      <c r="FH16" s="131"/>
    </row>
    <row r="17" spans="1:164" s="134" customFormat="1" x14ac:dyDescent="0.25">
      <c r="A17" s="127" t="str">
        <f>IF(Produits!A17="","",Produits!A17)</f>
        <v>Rail R à ailettes</v>
      </c>
      <c r="B17" s="127" t="str">
        <f>IF(Produits!B17="","",Produits!B17)</f>
        <v>RAL 9003</v>
      </c>
      <c r="C17" s="127" t="str">
        <f>IF(Produits!C17="","",Produits!C17)</f>
        <v>1000,00,0014</v>
      </c>
      <c r="D17" s="127" t="str">
        <f>IF(Produits!D17="","",Produits!D17)</f>
        <v>AA138</v>
      </c>
      <c r="E17" s="127" t="str">
        <f>IF(Produits!E17="","",Produits!E17)</f>
        <v/>
      </c>
      <c r="F17" s="128" t="str">
        <f>IF(Produits!F17="","",Produits!F17)</f>
        <v>1 pcs</v>
      </c>
      <c r="G17" s="133"/>
      <c r="H17" s="133"/>
      <c r="I17" s="133"/>
      <c r="J17" s="135" t="str">
        <f>IF($J$1="","",HLOOKUP($J$1,$M$1:$AAV$1000,17,0))</f>
        <v/>
      </c>
      <c r="K17" s="131"/>
      <c r="L17" s="131"/>
      <c r="M17" s="144"/>
      <c r="N17" s="144"/>
      <c r="O17" s="144"/>
      <c r="P17" s="144"/>
      <c r="Q17" s="144"/>
      <c r="R17" s="144"/>
      <c r="S17" s="144"/>
      <c r="T17" s="144"/>
      <c r="U17" s="144"/>
      <c r="V17" s="144"/>
      <c r="W17" s="144"/>
      <c r="X17" s="144"/>
      <c r="Y17" s="144"/>
      <c r="Z17" s="144"/>
      <c r="AA17" s="144"/>
      <c r="AB17" s="144"/>
      <c r="AC17" s="144"/>
      <c r="AD17" s="144"/>
      <c r="AE17" s="144"/>
      <c r="AF17" s="144"/>
      <c r="AG17" s="144"/>
      <c r="AH17" s="144"/>
      <c r="AI17" s="144"/>
      <c r="AJ17" s="144"/>
      <c r="AK17" s="144"/>
      <c r="AL17" s="144"/>
      <c r="AM17" s="144"/>
      <c r="AN17" s="144"/>
      <c r="AO17" s="144"/>
      <c r="AP17" s="144"/>
      <c r="AQ17" s="131"/>
      <c r="AR17" s="131"/>
      <c r="AS17" s="131"/>
      <c r="AT17" s="131"/>
      <c r="AU17" s="131"/>
      <c r="AV17" s="131"/>
      <c r="AW17" s="131"/>
      <c r="AX17" s="131"/>
      <c r="AY17" s="131"/>
      <c r="AZ17" s="131"/>
      <c r="BA17" s="131"/>
      <c r="BB17" s="131"/>
      <c r="BC17" s="131"/>
      <c r="BD17" s="131"/>
      <c r="BE17" s="131"/>
      <c r="BF17" s="131"/>
      <c r="BG17" s="131"/>
      <c r="BH17" s="131"/>
      <c r="BI17" s="131"/>
      <c r="BJ17" s="131"/>
      <c r="BK17" s="131"/>
      <c r="BL17" s="131"/>
      <c r="BM17" s="131"/>
      <c r="BN17" s="131"/>
      <c r="BO17" s="131"/>
      <c r="BP17" s="131"/>
      <c r="BQ17" s="131"/>
      <c r="BR17" s="131"/>
      <c r="BS17" s="131"/>
      <c r="BT17" s="131"/>
      <c r="BU17" s="131"/>
      <c r="BV17" s="131"/>
      <c r="BW17" s="131"/>
      <c r="BX17" s="131"/>
      <c r="BY17" s="131"/>
      <c r="BZ17" s="131"/>
      <c r="CA17" s="131"/>
      <c r="CB17" s="131"/>
      <c r="CC17" s="131"/>
      <c r="CD17" s="131"/>
      <c r="CE17" s="131"/>
      <c r="CF17" s="131"/>
      <c r="CG17" s="131"/>
      <c r="CH17" s="131"/>
      <c r="CI17" s="131"/>
      <c r="CJ17" s="131"/>
      <c r="CK17" s="131"/>
      <c r="CL17" s="131"/>
      <c r="CM17" s="131"/>
      <c r="CN17" s="131"/>
      <c r="CO17" s="131"/>
      <c r="CP17" s="131"/>
      <c r="CQ17" s="131"/>
      <c r="CR17" s="131"/>
      <c r="CS17" s="131"/>
      <c r="CT17" s="131"/>
      <c r="CU17" s="131"/>
      <c r="CV17" s="131"/>
      <c r="CW17" s="131"/>
      <c r="CX17" s="131"/>
      <c r="CY17" s="131"/>
      <c r="CZ17" s="131"/>
      <c r="DA17" s="131"/>
      <c r="DB17" s="131"/>
      <c r="DC17" s="131"/>
      <c r="DD17" s="131"/>
      <c r="DE17" s="131"/>
      <c r="DF17" s="131"/>
      <c r="DG17" s="131"/>
      <c r="DH17" s="131"/>
      <c r="DI17" s="131"/>
      <c r="DJ17" s="131"/>
      <c r="DK17" s="131"/>
      <c r="DL17" s="131"/>
      <c r="DM17" s="131"/>
      <c r="DN17" s="131"/>
      <c r="DO17" s="131"/>
      <c r="DP17" s="131"/>
      <c r="DQ17" s="131"/>
      <c r="DR17" s="131"/>
      <c r="DS17" s="131"/>
      <c r="DT17" s="131"/>
      <c r="DU17" s="131"/>
      <c r="DV17" s="131"/>
      <c r="DW17" s="131"/>
      <c r="DX17" s="131"/>
      <c r="DY17" s="131"/>
      <c r="DZ17" s="131"/>
      <c r="EA17" s="131"/>
      <c r="EB17" s="131"/>
      <c r="EC17" s="131"/>
      <c r="ED17" s="131"/>
      <c r="EE17" s="131"/>
      <c r="EF17" s="131"/>
      <c r="EG17" s="131"/>
      <c r="EH17" s="131"/>
      <c r="EI17" s="131"/>
      <c r="EJ17" s="131"/>
      <c r="EK17" s="131"/>
      <c r="EL17" s="131"/>
      <c r="EM17" s="131"/>
      <c r="EN17" s="131"/>
      <c r="EO17" s="131"/>
      <c r="EP17" s="131"/>
      <c r="EQ17" s="131"/>
      <c r="ER17" s="131"/>
      <c r="ES17" s="131"/>
      <c r="ET17" s="131"/>
      <c r="EU17" s="131"/>
      <c r="EV17" s="131"/>
      <c r="EW17" s="131"/>
      <c r="EX17" s="131"/>
      <c r="EY17" s="131"/>
      <c r="EZ17" s="131"/>
      <c r="FA17" s="131"/>
      <c r="FB17" s="131"/>
      <c r="FC17" s="131"/>
      <c r="FD17" s="131"/>
      <c r="FE17" s="131"/>
      <c r="FF17" s="131"/>
      <c r="FG17" s="131"/>
      <c r="FH17" s="131"/>
    </row>
    <row r="18" spans="1:164" s="134" customFormat="1" x14ac:dyDescent="0.25">
      <c r="A18" s="127" t="str">
        <f>IF(Produits!A18="","",Produits!A18)</f>
        <v>Rail R à ailettes</v>
      </c>
      <c r="B18" s="127" t="str">
        <f>IF(Produits!B18="","",Produits!B18)</f>
        <v>RAL 9003</v>
      </c>
      <c r="C18" s="127" t="str">
        <f>IF(Produits!C18="","",Produits!C18)</f>
        <v>1000,00,0015</v>
      </c>
      <c r="D18" s="127" t="str">
        <f>IF(Produits!D18="","",Produits!D18)</f>
        <v>AA139</v>
      </c>
      <c r="E18" s="127" t="str">
        <f>IF(Produits!E18="","",Produits!E18)</f>
        <v/>
      </c>
      <c r="F18" s="128" t="str">
        <f>IF(Produits!F18="","",Produits!F18)</f>
        <v>1 pcs</v>
      </c>
      <c r="G18" s="133"/>
      <c r="H18" s="133"/>
      <c r="I18" s="133"/>
      <c r="J18" s="135" t="str">
        <f>IF($J$1="","",HLOOKUP($J$1,$M$1:$AAV$1000,18,0))</f>
        <v/>
      </c>
      <c r="K18" s="131"/>
      <c r="L18" s="131"/>
      <c r="M18" s="144"/>
      <c r="N18" s="144"/>
      <c r="O18" s="144"/>
      <c r="P18" s="144"/>
      <c r="Q18" s="144"/>
      <c r="R18" s="144"/>
      <c r="S18" s="144"/>
      <c r="T18" s="144"/>
      <c r="U18" s="144"/>
      <c r="V18" s="144"/>
      <c r="W18" s="144"/>
      <c r="X18" s="144"/>
      <c r="Y18" s="144"/>
      <c r="Z18" s="144"/>
      <c r="AA18" s="144"/>
      <c r="AB18" s="144"/>
      <c r="AC18" s="144"/>
      <c r="AD18" s="144"/>
      <c r="AE18" s="144"/>
      <c r="AF18" s="144"/>
      <c r="AG18" s="144"/>
      <c r="AH18" s="144"/>
      <c r="AI18" s="144"/>
      <c r="AJ18" s="144"/>
      <c r="AK18" s="144"/>
      <c r="AL18" s="144"/>
      <c r="AM18" s="144"/>
      <c r="AN18" s="144"/>
      <c r="AO18" s="144"/>
      <c r="AP18" s="144"/>
      <c r="AQ18" s="131"/>
      <c r="AR18" s="131"/>
      <c r="AS18" s="131"/>
      <c r="AT18" s="131"/>
      <c r="AU18" s="131"/>
      <c r="AV18" s="131"/>
      <c r="AW18" s="131"/>
      <c r="AX18" s="131"/>
      <c r="AY18" s="131"/>
      <c r="AZ18" s="131"/>
      <c r="BA18" s="131"/>
      <c r="BB18" s="131"/>
      <c r="BC18" s="131"/>
      <c r="BD18" s="131"/>
      <c r="BE18" s="131"/>
      <c r="BF18" s="131"/>
      <c r="BG18" s="131"/>
      <c r="BH18" s="131"/>
      <c r="BI18" s="131"/>
      <c r="BJ18" s="131"/>
      <c r="BK18" s="131"/>
      <c r="BL18" s="131"/>
      <c r="BM18" s="131"/>
      <c r="BN18" s="131"/>
      <c r="BO18" s="131"/>
      <c r="BP18" s="131"/>
      <c r="BQ18" s="131"/>
      <c r="BR18" s="131"/>
      <c r="BS18" s="131"/>
      <c r="BT18" s="131"/>
      <c r="BU18" s="131"/>
      <c r="BV18" s="131"/>
      <c r="BW18" s="131"/>
      <c r="BX18" s="131"/>
      <c r="BY18" s="131"/>
      <c r="BZ18" s="131"/>
      <c r="CA18" s="131"/>
      <c r="CB18" s="131"/>
      <c r="CC18" s="131"/>
      <c r="CD18" s="131"/>
      <c r="CE18" s="131"/>
      <c r="CF18" s="131"/>
      <c r="CG18" s="131"/>
      <c r="CH18" s="131"/>
      <c r="CI18" s="131"/>
      <c r="CJ18" s="131"/>
      <c r="CK18" s="131"/>
      <c r="CL18" s="131"/>
      <c r="CM18" s="131"/>
      <c r="CN18" s="131"/>
      <c r="CO18" s="131"/>
      <c r="CP18" s="131"/>
      <c r="CQ18" s="131"/>
      <c r="CR18" s="131"/>
      <c r="CS18" s="131"/>
      <c r="CT18" s="131"/>
      <c r="CU18" s="131"/>
      <c r="CV18" s="131"/>
      <c r="CW18" s="131"/>
      <c r="CX18" s="131"/>
      <c r="CY18" s="131"/>
      <c r="CZ18" s="131"/>
      <c r="DA18" s="131"/>
      <c r="DB18" s="131"/>
      <c r="DC18" s="131"/>
      <c r="DD18" s="131"/>
      <c r="DE18" s="131"/>
      <c r="DF18" s="131"/>
      <c r="DG18" s="131"/>
      <c r="DH18" s="131"/>
      <c r="DI18" s="131"/>
      <c r="DJ18" s="131"/>
      <c r="DK18" s="131"/>
      <c r="DL18" s="131"/>
      <c r="DM18" s="131"/>
      <c r="DN18" s="131"/>
      <c r="DO18" s="131"/>
      <c r="DP18" s="131"/>
      <c r="DQ18" s="131"/>
      <c r="DR18" s="131"/>
      <c r="DS18" s="131"/>
      <c r="DT18" s="131"/>
      <c r="DU18" s="131"/>
      <c r="DV18" s="131"/>
      <c r="DW18" s="131"/>
      <c r="DX18" s="131"/>
      <c r="DY18" s="131"/>
      <c r="DZ18" s="131"/>
      <c r="EA18" s="131"/>
      <c r="EB18" s="131"/>
      <c r="EC18" s="131"/>
      <c r="ED18" s="131"/>
      <c r="EE18" s="131"/>
      <c r="EF18" s="131"/>
      <c r="EG18" s="131"/>
      <c r="EH18" s="131"/>
      <c r="EI18" s="131"/>
      <c r="EJ18" s="131"/>
      <c r="EK18" s="131"/>
      <c r="EL18" s="131"/>
      <c r="EM18" s="131"/>
      <c r="EN18" s="131"/>
      <c r="EO18" s="131"/>
      <c r="EP18" s="131"/>
      <c r="EQ18" s="131"/>
      <c r="ER18" s="131"/>
      <c r="ES18" s="131"/>
      <c r="ET18" s="131"/>
      <c r="EU18" s="131"/>
      <c r="EV18" s="131"/>
      <c r="EW18" s="131"/>
      <c r="EX18" s="131"/>
      <c r="EY18" s="131"/>
      <c r="EZ18" s="131"/>
      <c r="FA18" s="131"/>
      <c r="FB18" s="131"/>
      <c r="FC18" s="131"/>
      <c r="FD18" s="131"/>
      <c r="FE18" s="131"/>
      <c r="FF18" s="131"/>
      <c r="FG18" s="131"/>
      <c r="FH18" s="131"/>
    </row>
    <row r="19" spans="1:164" s="134" customFormat="1" x14ac:dyDescent="0.25">
      <c r="A19" s="127" t="str">
        <f>IF(Produits!A19="","",Produits!A19)</f>
        <v>Rail R à ailettes</v>
      </c>
      <c r="B19" s="127" t="str">
        <f>IF(Produits!B19="","",Produits!B19)</f>
        <v>RAL 9003</v>
      </c>
      <c r="C19" s="127" t="str">
        <f>IF(Produits!C19="","",Produits!C19)</f>
        <v>1000,00,0016</v>
      </c>
      <c r="D19" s="127" t="str">
        <f>IF(Produits!D19="","",Produits!D19)</f>
        <v>AA140</v>
      </c>
      <c r="E19" s="127" t="str">
        <f>IF(Produits!E19="","",Produits!E19)</f>
        <v/>
      </c>
      <c r="F19" s="128" t="str">
        <f>IF(Produits!F19="","",Produits!F19)</f>
        <v>1 pcs</v>
      </c>
      <c r="G19" s="133"/>
      <c r="H19" s="133"/>
      <c r="I19" s="133"/>
      <c r="J19" s="135" t="str">
        <f>IF($J$1="","",HLOOKUP($J$1,$M$1:$AAV$1000,19,0))</f>
        <v/>
      </c>
      <c r="K19" s="131"/>
      <c r="L19" s="131"/>
      <c r="M19" s="144"/>
      <c r="N19" s="144"/>
      <c r="O19" s="144"/>
      <c r="P19" s="144"/>
      <c r="Q19" s="144"/>
      <c r="R19" s="144"/>
      <c r="S19" s="144"/>
      <c r="T19" s="144"/>
      <c r="U19" s="144"/>
      <c r="V19" s="144"/>
      <c r="W19" s="144"/>
      <c r="X19" s="144"/>
      <c r="Y19" s="144"/>
      <c r="Z19" s="144"/>
      <c r="AA19" s="144"/>
      <c r="AB19" s="144"/>
      <c r="AC19" s="144"/>
      <c r="AD19" s="144"/>
      <c r="AE19" s="144"/>
      <c r="AF19" s="144"/>
      <c r="AG19" s="144"/>
      <c r="AH19" s="144"/>
      <c r="AI19" s="144"/>
      <c r="AJ19" s="144"/>
      <c r="AK19" s="144"/>
      <c r="AL19" s="144"/>
      <c r="AM19" s="144"/>
      <c r="AN19" s="144"/>
      <c r="AO19" s="144"/>
      <c r="AP19" s="144"/>
      <c r="AQ19" s="131"/>
      <c r="AR19" s="131"/>
      <c r="AS19" s="131"/>
      <c r="AT19" s="131"/>
      <c r="AU19" s="131"/>
      <c r="AV19" s="131"/>
      <c r="AW19" s="131"/>
      <c r="AX19" s="131"/>
      <c r="AY19" s="131"/>
      <c r="AZ19" s="131"/>
      <c r="BA19" s="131"/>
      <c r="BB19" s="131"/>
      <c r="BC19" s="131"/>
      <c r="BD19" s="131"/>
      <c r="BE19" s="131"/>
      <c r="BF19" s="131"/>
      <c r="BG19" s="131"/>
      <c r="BH19" s="131"/>
      <c r="BI19" s="131"/>
      <c r="BJ19" s="131"/>
      <c r="BK19" s="131"/>
      <c r="BL19" s="131"/>
      <c r="BM19" s="131"/>
      <c r="BN19" s="131"/>
      <c r="BO19" s="131"/>
      <c r="BP19" s="131"/>
      <c r="BQ19" s="131"/>
      <c r="BR19" s="131"/>
      <c r="BS19" s="131"/>
      <c r="BT19" s="131"/>
      <c r="BU19" s="131"/>
      <c r="BV19" s="131"/>
      <c r="BW19" s="131"/>
      <c r="BX19" s="131"/>
      <c r="BY19" s="131"/>
      <c r="BZ19" s="131"/>
      <c r="CA19" s="131"/>
      <c r="CB19" s="131"/>
      <c r="CC19" s="131"/>
      <c r="CD19" s="131"/>
      <c r="CE19" s="131"/>
      <c r="CF19" s="131"/>
      <c r="CG19" s="131"/>
      <c r="CH19" s="131"/>
      <c r="CI19" s="131"/>
      <c r="CJ19" s="131"/>
      <c r="CK19" s="131"/>
      <c r="CL19" s="131"/>
      <c r="CM19" s="131"/>
      <c r="CN19" s="131"/>
      <c r="CO19" s="131"/>
      <c r="CP19" s="131"/>
      <c r="CQ19" s="131"/>
      <c r="CR19" s="131"/>
      <c r="CS19" s="131"/>
      <c r="CT19" s="131"/>
      <c r="CU19" s="131"/>
      <c r="CV19" s="131"/>
      <c r="CW19" s="131"/>
      <c r="CX19" s="131"/>
      <c r="CY19" s="131"/>
      <c r="CZ19" s="131"/>
      <c r="DA19" s="131"/>
      <c r="DB19" s="131"/>
      <c r="DC19" s="131"/>
      <c r="DD19" s="131"/>
      <c r="DE19" s="131"/>
      <c r="DF19" s="131"/>
      <c r="DG19" s="131"/>
      <c r="DH19" s="131"/>
      <c r="DI19" s="131"/>
      <c r="DJ19" s="131"/>
      <c r="DK19" s="131"/>
      <c r="DL19" s="131"/>
      <c r="DM19" s="131"/>
      <c r="DN19" s="131"/>
      <c r="DO19" s="131"/>
      <c r="DP19" s="131"/>
      <c r="DQ19" s="131"/>
      <c r="DR19" s="131"/>
      <c r="DS19" s="131"/>
      <c r="DT19" s="131"/>
      <c r="DU19" s="131"/>
      <c r="DV19" s="131"/>
      <c r="DW19" s="131"/>
      <c r="DX19" s="131"/>
      <c r="DY19" s="131"/>
      <c r="DZ19" s="131"/>
      <c r="EA19" s="131"/>
      <c r="EB19" s="131"/>
      <c r="EC19" s="131"/>
      <c r="ED19" s="131"/>
      <c r="EE19" s="131"/>
      <c r="EF19" s="131"/>
      <c r="EG19" s="131"/>
      <c r="EH19" s="131"/>
      <c r="EI19" s="131"/>
      <c r="EJ19" s="131"/>
      <c r="EK19" s="131"/>
      <c r="EL19" s="131"/>
      <c r="EM19" s="131"/>
      <c r="EN19" s="131"/>
      <c r="EO19" s="131"/>
      <c r="EP19" s="131"/>
      <c r="EQ19" s="131"/>
      <c r="ER19" s="131"/>
      <c r="ES19" s="131"/>
      <c r="ET19" s="131"/>
      <c r="EU19" s="131"/>
      <c r="EV19" s="131"/>
      <c r="EW19" s="131"/>
      <c r="EX19" s="131"/>
      <c r="EY19" s="131"/>
      <c r="EZ19" s="131"/>
      <c r="FA19" s="131"/>
      <c r="FB19" s="131"/>
      <c r="FC19" s="131"/>
      <c r="FD19" s="131"/>
      <c r="FE19" s="131"/>
      <c r="FF19" s="131"/>
      <c r="FG19" s="131"/>
      <c r="FH19" s="131"/>
    </row>
    <row r="20" spans="1:164" s="134" customFormat="1" x14ac:dyDescent="0.25">
      <c r="A20" s="127" t="str">
        <f>IF(Produits!A20="","",Produits!A20)</f>
        <v>Rail R à ailettes</v>
      </c>
      <c r="B20" s="127" t="str">
        <f>IF(Produits!B20="","",Produits!B20)</f>
        <v>RAL 9003</v>
      </c>
      <c r="C20" s="127" t="str">
        <f>IF(Produits!C20="","",Produits!C20)</f>
        <v>1000,00,0017</v>
      </c>
      <c r="D20" s="127" t="str">
        <f>IF(Produits!D20="","",Produits!D20)</f>
        <v>AA141</v>
      </c>
      <c r="E20" s="127" t="str">
        <f>IF(Produits!E20="","",Produits!E20)</f>
        <v/>
      </c>
      <c r="F20" s="128" t="str">
        <f>IF(Produits!F20="","",Produits!F20)</f>
        <v>1 pcs</v>
      </c>
      <c r="G20" s="133"/>
      <c r="H20" s="133"/>
      <c r="I20" s="133"/>
      <c r="J20" s="135" t="str">
        <f>IF($J$1="","",HLOOKUP($J$1,$M$1:$AAV$1000,20,0))</f>
        <v/>
      </c>
      <c r="K20" s="131"/>
      <c r="L20" s="131"/>
      <c r="M20" s="144"/>
      <c r="N20" s="144"/>
      <c r="O20" s="144"/>
      <c r="P20" s="144"/>
      <c r="Q20" s="144"/>
      <c r="R20" s="144"/>
      <c r="S20" s="144"/>
      <c r="T20" s="144"/>
      <c r="U20" s="144"/>
      <c r="V20" s="144"/>
      <c r="W20" s="144"/>
      <c r="X20" s="144"/>
      <c r="Y20" s="144"/>
      <c r="Z20" s="144"/>
      <c r="AA20" s="144"/>
      <c r="AB20" s="144"/>
      <c r="AC20" s="144"/>
      <c r="AD20" s="144"/>
      <c r="AE20" s="144"/>
      <c r="AF20" s="144"/>
      <c r="AG20" s="144"/>
      <c r="AH20" s="144"/>
      <c r="AI20" s="144"/>
      <c r="AJ20" s="144"/>
      <c r="AK20" s="144"/>
      <c r="AL20" s="144"/>
      <c r="AM20" s="144"/>
      <c r="AN20" s="144"/>
      <c r="AO20" s="144"/>
      <c r="AP20" s="144"/>
      <c r="AQ20" s="131"/>
      <c r="AR20" s="131"/>
      <c r="AS20" s="131"/>
      <c r="AT20" s="131"/>
      <c r="AU20" s="131"/>
      <c r="AV20" s="131"/>
      <c r="AW20" s="131"/>
      <c r="AX20" s="131"/>
      <c r="AY20" s="131"/>
      <c r="AZ20" s="131"/>
      <c r="BA20" s="131"/>
      <c r="BB20" s="131"/>
      <c r="BC20" s="131"/>
      <c r="BD20" s="131"/>
      <c r="BE20" s="131"/>
      <c r="BF20" s="131"/>
      <c r="BG20" s="131"/>
      <c r="BH20" s="131"/>
      <c r="BI20" s="131"/>
      <c r="BJ20" s="131"/>
      <c r="BK20" s="131"/>
      <c r="BL20" s="131"/>
      <c r="BM20" s="131"/>
      <c r="BN20" s="131"/>
      <c r="BO20" s="131"/>
      <c r="BP20" s="131"/>
      <c r="BQ20" s="131"/>
      <c r="BR20" s="131"/>
      <c r="BS20" s="131"/>
      <c r="BT20" s="131"/>
      <c r="BU20" s="131"/>
      <c r="BV20" s="131"/>
      <c r="BW20" s="131"/>
      <c r="BX20" s="131"/>
      <c r="BY20" s="131"/>
      <c r="BZ20" s="131"/>
      <c r="CA20" s="131"/>
      <c r="CB20" s="131"/>
      <c r="CC20" s="131"/>
      <c r="CD20" s="131"/>
      <c r="CE20" s="131"/>
      <c r="CF20" s="131"/>
      <c r="CG20" s="131"/>
      <c r="CH20" s="131"/>
      <c r="CI20" s="131"/>
      <c r="CJ20" s="131"/>
      <c r="CK20" s="131"/>
      <c r="CL20" s="131"/>
      <c r="CM20" s="131"/>
      <c r="CN20" s="131"/>
      <c r="CO20" s="131"/>
      <c r="CP20" s="131"/>
      <c r="CQ20" s="131"/>
      <c r="CR20" s="131"/>
      <c r="CS20" s="131"/>
      <c r="CT20" s="131"/>
      <c r="CU20" s="131"/>
      <c r="CV20" s="131"/>
      <c r="CW20" s="131"/>
      <c r="CX20" s="131"/>
      <c r="CY20" s="131"/>
      <c r="CZ20" s="131"/>
      <c r="DA20" s="131"/>
      <c r="DB20" s="131"/>
      <c r="DC20" s="131"/>
      <c r="DD20" s="131"/>
      <c r="DE20" s="131"/>
      <c r="DF20" s="131"/>
      <c r="DG20" s="131"/>
      <c r="DH20" s="131"/>
      <c r="DI20" s="131"/>
      <c r="DJ20" s="131"/>
      <c r="DK20" s="131"/>
      <c r="DL20" s="131"/>
      <c r="DM20" s="131"/>
      <c r="DN20" s="131"/>
      <c r="DO20" s="131"/>
      <c r="DP20" s="131"/>
      <c r="DQ20" s="131"/>
      <c r="DR20" s="131"/>
      <c r="DS20" s="131"/>
      <c r="DT20" s="131"/>
      <c r="DU20" s="131"/>
      <c r="DV20" s="131"/>
      <c r="DW20" s="131"/>
      <c r="DX20" s="131"/>
      <c r="DY20" s="131"/>
      <c r="DZ20" s="131"/>
      <c r="EA20" s="131"/>
      <c r="EB20" s="131"/>
      <c r="EC20" s="131"/>
      <c r="ED20" s="131"/>
      <c r="EE20" s="131"/>
      <c r="EF20" s="131"/>
      <c r="EG20" s="131"/>
      <c r="EH20" s="131"/>
      <c r="EI20" s="131"/>
      <c r="EJ20" s="131"/>
      <c r="EK20" s="131"/>
      <c r="EL20" s="131"/>
      <c r="EM20" s="131"/>
      <c r="EN20" s="131"/>
      <c r="EO20" s="131"/>
      <c r="EP20" s="131"/>
      <c r="EQ20" s="131"/>
      <c r="ER20" s="131"/>
      <c r="ES20" s="131"/>
      <c r="ET20" s="131"/>
      <c r="EU20" s="131"/>
      <c r="EV20" s="131"/>
      <c r="EW20" s="131"/>
      <c r="EX20" s="131"/>
      <c r="EY20" s="131"/>
      <c r="EZ20" s="131"/>
      <c r="FA20" s="131"/>
      <c r="FB20" s="131"/>
      <c r="FC20" s="131"/>
      <c r="FD20" s="131"/>
      <c r="FE20" s="131"/>
      <c r="FF20" s="131"/>
      <c r="FG20" s="131"/>
      <c r="FH20" s="131"/>
    </row>
    <row r="21" spans="1:164" s="134" customFormat="1" x14ac:dyDescent="0.25">
      <c r="A21" s="127" t="str">
        <f>IF(Produits!A21="","",Produits!A21)</f>
        <v>Rail R à ailettes</v>
      </c>
      <c r="B21" s="127" t="str">
        <f>IF(Produits!B21="","",Produits!B21)</f>
        <v>RAL 9003</v>
      </c>
      <c r="C21" s="127" t="str">
        <f>IF(Produits!C21="","",Produits!C21)</f>
        <v>1000,00,0018</v>
      </c>
      <c r="D21" s="127" t="str">
        <f>IF(Produits!D21="","",Produits!D21)</f>
        <v>AA142</v>
      </c>
      <c r="E21" s="127" t="str">
        <f>IF(Produits!E21="","",Produits!E21)</f>
        <v/>
      </c>
      <c r="F21" s="128" t="str">
        <f>IF(Produits!F21="","",Produits!F21)</f>
        <v>1 pcs</v>
      </c>
      <c r="G21" s="133"/>
      <c r="H21" s="133"/>
      <c r="I21" s="133"/>
      <c r="J21" s="135" t="str">
        <f>IF($J$1="","",HLOOKUP($J$1,$M$1:$AAV$1000,21,0))</f>
        <v/>
      </c>
      <c r="K21" s="131"/>
      <c r="L21" s="131"/>
      <c r="M21" s="144"/>
      <c r="N21" s="144"/>
      <c r="O21" s="144"/>
      <c r="P21" s="144"/>
      <c r="Q21" s="144"/>
      <c r="R21" s="144"/>
      <c r="S21" s="144"/>
      <c r="T21" s="144"/>
      <c r="U21" s="144"/>
      <c r="V21" s="144"/>
      <c r="W21" s="144"/>
      <c r="X21" s="144"/>
      <c r="Y21" s="144"/>
      <c r="Z21" s="144"/>
      <c r="AA21" s="144"/>
      <c r="AB21" s="144"/>
      <c r="AC21" s="144"/>
      <c r="AD21" s="144"/>
      <c r="AE21" s="144"/>
      <c r="AF21" s="144"/>
      <c r="AG21" s="144"/>
      <c r="AH21" s="144"/>
      <c r="AI21" s="144"/>
      <c r="AJ21" s="144"/>
      <c r="AK21" s="144"/>
      <c r="AL21" s="144"/>
      <c r="AM21" s="144"/>
      <c r="AN21" s="144"/>
      <c r="AO21" s="144"/>
      <c r="AP21" s="144"/>
      <c r="AQ21" s="131"/>
      <c r="AR21" s="131"/>
      <c r="AS21" s="131"/>
      <c r="AT21" s="131"/>
      <c r="AU21" s="131"/>
      <c r="AV21" s="131"/>
      <c r="AW21" s="131"/>
      <c r="AX21" s="131"/>
      <c r="AY21" s="131"/>
      <c r="AZ21" s="131"/>
      <c r="BA21" s="131"/>
      <c r="BB21" s="131"/>
      <c r="BC21" s="131"/>
      <c r="BD21" s="131"/>
      <c r="BE21" s="131"/>
      <c r="BF21" s="131"/>
      <c r="BG21" s="131"/>
      <c r="BH21" s="131"/>
      <c r="BI21" s="131"/>
      <c r="BJ21" s="131"/>
      <c r="BK21" s="131"/>
      <c r="BL21" s="131"/>
      <c r="BM21" s="131"/>
      <c r="BN21" s="131"/>
      <c r="BO21" s="131"/>
      <c r="BP21" s="131"/>
      <c r="BQ21" s="131"/>
      <c r="BR21" s="131"/>
      <c r="BS21" s="131"/>
      <c r="BT21" s="131"/>
      <c r="BU21" s="131"/>
      <c r="BV21" s="131"/>
      <c r="BW21" s="131"/>
      <c r="BX21" s="131"/>
      <c r="BY21" s="131"/>
      <c r="BZ21" s="131"/>
      <c r="CA21" s="131"/>
      <c r="CB21" s="131"/>
      <c r="CC21" s="131"/>
      <c r="CD21" s="131"/>
      <c r="CE21" s="131"/>
      <c r="CF21" s="131"/>
      <c r="CG21" s="131"/>
      <c r="CH21" s="131"/>
      <c r="CI21" s="131"/>
      <c r="CJ21" s="131"/>
      <c r="CK21" s="131"/>
      <c r="CL21" s="131"/>
      <c r="CM21" s="131"/>
      <c r="CN21" s="131"/>
      <c r="CO21" s="131"/>
      <c r="CP21" s="131"/>
      <c r="CQ21" s="131"/>
      <c r="CR21" s="131"/>
      <c r="CS21" s="131"/>
      <c r="CT21" s="131"/>
      <c r="CU21" s="131"/>
      <c r="CV21" s="131"/>
      <c r="CW21" s="131"/>
      <c r="CX21" s="131"/>
      <c r="CY21" s="131"/>
      <c r="CZ21" s="131"/>
      <c r="DA21" s="131"/>
      <c r="DB21" s="131"/>
      <c r="DC21" s="131"/>
      <c r="DD21" s="131"/>
      <c r="DE21" s="131"/>
      <c r="DF21" s="131"/>
      <c r="DG21" s="131"/>
      <c r="DH21" s="131"/>
      <c r="DI21" s="131"/>
      <c r="DJ21" s="131"/>
      <c r="DK21" s="131"/>
      <c r="DL21" s="131"/>
      <c r="DM21" s="131"/>
      <c r="DN21" s="131"/>
      <c r="DO21" s="131"/>
      <c r="DP21" s="131"/>
      <c r="DQ21" s="131"/>
      <c r="DR21" s="131"/>
      <c r="DS21" s="131"/>
      <c r="DT21" s="131"/>
      <c r="DU21" s="131"/>
      <c r="DV21" s="131"/>
      <c r="DW21" s="131"/>
      <c r="DX21" s="131"/>
      <c r="DY21" s="131"/>
      <c r="DZ21" s="131"/>
      <c r="EA21" s="131"/>
      <c r="EB21" s="131"/>
      <c r="EC21" s="131"/>
      <c r="ED21" s="131"/>
      <c r="EE21" s="131"/>
      <c r="EF21" s="131"/>
      <c r="EG21" s="131"/>
      <c r="EH21" s="131"/>
      <c r="EI21" s="131"/>
      <c r="EJ21" s="131"/>
      <c r="EK21" s="131"/>
      <c r="EL21" s="131"/>
      <c r="EM21" s="131"/>
      <c r="EN21" s="131"/>
      <c r="EO21" s="131"/>
      <c r="EP21" s="131"/>
      <c r="EQ21" s="131"/>
      <c r="ER21" s="131"/>
      <c r="ES21" s="131"/>
      <c r="ET21" s="131"/>
      <c r="EU21" s="131"/>
      <c r="EV21" s="131"/>
      <c r="EW21" s="131"/>
      <c r="EX21" s="131"/>
      <c r="EY21" s="131"/>
      <c r="EZ21" s="131"/>
      <c r="FA21" s="131"/>
      <c r="FB21" s="131"/>
      <c r="FC21" s="131"/>
      <c r="FD21" s="131"/>
      <c r="FE21" s="131"/>
      <c r="FF21" s="131"/>
      <c r="FG21" s="131"/>
      <c r="FH21" s="131"/>
    </row>
    <row r="22" spans="1:164" s="134" customFormat="1" x14ac:dyDescent="0.25">
      <c r="A22" s="127" t="str">
        <f>IF(Produits!A22="","",Produits!A22)</f>
        <v>Rail R à ailettes</v>
      </c>
      <c r="B22" s="127" t="str">
        <f>IF(Produits!B22="","",Produits!B22)</f>
        <v>RAL XXXX</v>
      </c>
      <c r="C22" s="127" t="str">
        <f>IF(Produits!C22="","",Produits!C22)</f>
        <v>1000,00,0019</v>
      </c>
      <c r="D22" s="127" t="str">
        <f>IF(Produits!D22="","",Produits!D22)</f>
        <v>AA143</v>
      </c>
      <c r="E22" s="127" t="str">
        <f>IF(Produits!E22="","",Produits!E22)</f>
        <v/>
      </c>
      <c r="F22" s="128" t="str">
        <f>IF(Produits!F22="","",Produits!F22)</f>
        <v>3 m</v>
      </c>
      <c r="G22" s="133"/>
      <c r="H22" s="133"/>
      <c r="I22" s="133"/>
      <c r="J22" s="135" t="str">
        <f>IF($J$1="","",HLOOKUP($J$1,$M$1:$AAV$1000,22,0))</f>
        <v/>
      </c>
      <c r="K22" s="131"/>
      <c r="L22" s="137"/>
      <c r="M22" s="145"/>
      <c r="N22" s="145"/>
      <c r="O22" s="145"/>
      <c r="P22" s="145"/>
      <c r="Q22" s="145"/>
      <c r="R22" s="145"/>
      <c r="S22" s="145"/>
      <c r="T22" s="145"/>
      <c r="U22" s="145"/>
      <c r="V22" s="145"/>
      <c r="W22" s="145"/>
      <c r="X22" s="145"/>
      <c r="Y22" s="145"/>
      <c r="Z22" s="145"/>
      <c r="AA22" s="145"/>
      <c r="AB22" s="145"/>
      <c r="AC22" s="145"/>
      <c r="AD22" s="145"/>
      <c r="AE22" s="145"/>
      <c r="AF22" s="145"/>
      <c r="AG22" s="145"/>
      <c r="AH22" s="145"/>
      <c r="AI22" s="145"/>
      <c r="AJ22" s="145"/>
      <c r="AK22" s="145"/>
      <c r="AL22" s="145"/>
      <c r="AM22" s="145"/>
      <c r="AN22" s="145"/>
      <c r="AO22" s="145"/>
      <c r="AP22" s="145"/>
      <c r="AQ22" s="137"/>
      <c r="AR22" s="137"/>
      <c r="AS22" s="137"/>
      <c r="AT22" s="137"/>
      <c r="AU22" s="137"/>
      <c r="AV22" s="137"/>
      <c r="AW22" s="137"/>
      <c r="AX22" s="137"/>
      <c r="AY22" s="137"/>
      <c r="AZ22" s="137"/>
      <c r="BA22" s="137"/>
      <c r="BB22" s="137"/>
      <c r="BC22" s="137"/>
      <c r="BD22" s="137"/>
      <c r="BE22" s="137"/>
      <c r="BF22" s="137"/>
      <c r="BG22" s="137"/>
      <c r="BH22" s="137"/>
      <c r="BI22" s="137"/>
      <c r="BJ22" s="137"/>
      <c r="BK22" s="137"/>
      <c r="BL22" s="137"/>
      <c r="BM22" s="137"/>
      <c r="BN22" s="137"/>
      <c r="BO22" s="137"/>
      <c r="BP22" s="137"/>
      <c r="BQ22" s="137"/>
      <c r="BR22" s="137"/>
      <c r="BS22" s="137"/>
      <c r="BT22" s="137"/>
      <c r="BU22" s="137"/>
      <c r="BV22" s="137"/>
      <c r="BW22" s="137"/>
      <c r="BX22" s="137"/>
      <c r="BY22" s="137"/>
      <c r="BZ22" s="137"/>
      <c r="CA22" s="137"/>
      <c r="CB22" s="137"/>
      <c r="CC22" s="137"/>
      <c r="CD22" s="137"/>
      <c r="CE22" s="137"/>
      <c r="CF22" s="137"/>
      <c r="CG22" s="137"/>
      <c r="CH22" s="137"/>
      <c r="CI22" s="137"/>
      <c r="CJ22" s="137"/>
      <c r="CK22" s="137"/>
      <c r="CL22" s="137"/>
      <c r="CM22" s="137"/>
      <c r="CN22" s="137"/>
      <c r="CO22" s="137"/>
      <c r="CP22" s="137"/>
      <c r="CQ22" s="137"/>
      <c r="CR22" s="137"/>
      <c r="CS22" s="137"/>
      <c r="CT22" s="137"/>
      <c r="CU22" s="137"/>
      <c r="CV22" s="137"/>
      <c r="CW22" s="137"/>
      <c r="CX22" s="137"/>
      <c r="CY22" s="137"/>
      <c r="CZ22" s="137"/>
      <c r="DA22" s="137"/>
      <c r="DB22" s="137"/>
      <c r="DC22" s="137"/>
      <c r="DD22" s="137"/>
      <c r="DE22" s="137"/>
      <c r="DF22" s="137"/>
      <c r="DG22" s="137"/>
      <c r="DH22" s="137"/>
      <c r="DI22" s="137"/>
      <c r="DJ22" s="137"/>
      <c r="DK22" s="137"/>
      <c r="DL22" s="137"/>
      <c r="DM22" s="137"/>
      <c r="DN22" s="137"/>
      <c r="DO22" s="137"/>
      <c r="DP22" s="137"/>
      <c r="DQ22" s="137"/>
      <c r="DR22" s="137"/>
      <c r="DS22" s="137"/>
      <c r="DT22" s="137"/>
      <c r="DU22" s="137"/>
      <c r="DV22" s="137"/>
      <c r="DW22" s="137"/>
      <c r="DX22" s="137"/>
      <c r="DY22" s="137"/>
      <c r="DZ22" s="137"/>
      <c r="EA22" s="137"/>
      <c r="EB22" s="137"/>
      <c r="EC22" s="137"/>
      <c r="ED22" s="137"/>
      <c r="EE22" s="137"/>
      <c r="EF22" s="137"/>
      <c r="EG22" s="137"/>
      <c r="EH22" s="137"/>
      <c r="EI22" s="137"/>
      <c r="EJ22" s="137"/>
      <c r="EK22" s="137"/>
      <c r="EL22" s="137"/>
      <c r="EM22" s="137"/>
      <c r="EN22" s="137"/>
      <c r="EO22" s="137"/>
      <c r="EP22" s="137"/>
      <c r="EQ22" s="137"/>
      <c r="ER22" s="137"/>
      <c r="ES22" s="137"/>
      <c r="ET22" s="137"/>
      <c r="EU22" s="137"/>
      <c r="EV22" s="137"/>
      <c r="EW22" s="137"/>
      <c r="EX22" s="137"/>
      <c r="EY22" s="137"/>
      <c r="EZ22" s="137"/>
      <c r="FA22" s="137"/>
      <c r="FB22" s="137"/>
      <c r="FC22" s="137"/>
      <c r="FD22" s="137"/>
      <c r="FE22" s="137"/>
      <c r="FF22" s="137"/>
      <c r="FG22" s="137"/>
      <c r="FH22" s="137"/>
    </row>
    <row r="23" spans="1:164" x14ac:dyDescent="0.25">
      <c r="A23" s="127" t="str">
        <f>IF(Produits!A23="","",Produits!A23)</f>
        <v>Rail R à ailettes</v>
      </c>
      <c r="B23" s="127" t="str">
        <f>IF(Produits!B23="","",Produits!B23)</f>
        <v>RAL XXXX</v>
      </c>
      <c r="C23" s="127" t="str">
        <f>IF(Produits!C23="","",Produits!C23)</f>
        <v>1000,00,0020</v>
      </c>
      <c r="D23" s="127" t="str">
        <f>IF(Produits!D23="","",Produits!D23)</f>
        <v>AA144</v>
      </c>
      <c r="E23" s="127" t="str">
        <f>IF(Produits!E23="","",Produits!E23)</f>
        <v/>
      </c>
      <c r="F23" s="128" t="str">
        <f>IF(Produits!F23="","",Produits!F23)</f>
        <v>1 pcs</v>
      </c>
      <c r="J23" s="135" t="str">
        <f>IF($J$1="","",HLOOKUP($J$1,$M$1:$AAV$1000,23,0))</f>
        <v/>
      </c>
    </row>
    <row r="24" spans="1:164" x14ac:dyDescent="0.25">
      <c r="A24" s="127" t="str">
        <f>IF(Produits!A24="","",Produits!A24)</f>
        <v>Rail R à ailettes</v>
      </c>
      <c r="B24" s="127" t="str">
        <f>IF(Produits!B24="","",Produits!B24)</f>
        <v>RAL XXXX</v>
      </c>
      <c r="C24" s="127" t="str">
        <f>IF(Produits!C24="","",Produits!C24)</f>
        <v>1000,00,0021</v>
      </c>
      <c r="D24" s="127" t="str">
        <f>IF(Produits!D24="","",Produits!D24)</f>
        <v>AA145</v>
      </c>
      <c r="E24" s="127" t="str">
        <f>IF(Produits!E24="","",Produits!E24)</f>
        <v/>
      </c>
      <c r="F24" s="128" t="str">
        <f>IF(Produits!F24="","",Produits!F24)</f>
        <v>1 pcs</v>
      </c>
      <c r="J24" s="135" t="str">
        <f>IF($J$1="","",HLOOKUP($J$1,$M$1:$AAV$1000,24,0))</f>
        <v/>
      </c>
    </row>
    <row r="25" spans="1:164" x14ac:dyDescent="0.25">
      <c r="A25" s="127" t="str">
        <f>IF(Produits!A25="","",Produits!A25)</f>
        <v>Rail R à ailettes</v>
      </c>
      <c r="B25" s="127" t="str">
        <f>IF(Produits!B25="","",Produits!B25)</f>
        <v>RAL XXXX</v>
      </c>
      <c r="C25" s="127" t="str">
        <f>IF(Produits!C25="","",Produits!C25)</f>
        <v>1000,00,0022</v>
      </c>
      <c r="D25" s="127" t="str">
        <f>IF(Produits!D25="","",Produits!D25)</f>
        <v>AA146</v>
      </c>
      <c r="E25" s="127" t="str">
        <f>IF(Produits!E25="","",Produits!E25)</f>
        <v/>
      </c>
      <c r="F25" s="128" t="str">
        <f>IF(Produits!F25="","",Produits!F25)</f>
        <v>1 pcs</v>
      </c>
      <c r="J25" s="135" t="str">
        <f>IF($J$1="","",HLOOKUP($J$1,$M$1:$AAV$1000,25,0))</f>
        <v/>
      </c>
    </row>
    <row r="26" spans="1:164" x14ac:dyDescent="0.25">
      <c r="A26" s="127" t="str">
        <f>IF(Produits!A26="","",Produits!A26)</f>
        <v>Rail R à ailettes</v>
      </c>
      <c r="B26" s="127" t="str">
        <f>IF(Produits!B26="","",Produits!B26)</f>
        <v>RAL XXXX</v>
      </c>
      <c r="C26" s="127" t="str">
        <f>IF(Produits!C26="","",Produits!C26)</f>
        <v>1000,00,0023</v>
      </c>
      <c r="D26" s="127" t="str">
        <f>IF(Produits!D26="","",Produits!D26)</f>
        <v>AA147</v>
      </c>
      <c r="E26" s="127" t="str">
        <f>IF(Produits!E26="","",Produits!E26)</f>
        <v/>
      </c>
      <c r="F26" s="128" t="str">
        <f>IF(Produits!F26="","",Produits!F26)</f>
        <v>1 pcs</v>
      </c>
      <c r="J26" s="135" t="str">
        <f>IF($J$1="","",HLOOKUP($J$1,$M$1:$AAV$1000,26,0))</f>
        <v/>
      </c>
    </row>
    <row r="27" spans="1:164" x14ac:dyDescent="0.25">
      <c r="A27" s="127" t="str">
        <f>IF(Produits!A27="","",Produits!A27)</f>
        <v>Rail R à ailettes</v>
      </c>
      <c r="B27" s="127" t="str">
        <f>IF(Produits!B27="","",Produits!B27)</f>
        <v>RAL XXXX</v>
      </c>
      <c r="C27" s="127" t="str">
        <f>IF(Produits!C27="","",Produits!C27)</f>
        <v>1000,00,0024</v>
      </c>
      <c r="D27" s="127" t="str">
        <f>IF(Produits!D27="","",Produits!D27)</f>
        <v>AA148</v>
      </c>
      <c r="E27" s="127" t="str">
        <f>IF(Produits!E27="","",Produits!E27)</f>
        <v/>
      </c>
      <c r="F27" s="128" t="str">
        <f>IF(Produits!F27="","",Produits!F27)</f>
        <v>1 pcs</v>
      </c>
      <c r="J27" s="135" t="str">
        <f>IF($J$1="","",HLOOKUP($J$1,$M$1:$AAV$1000,27,0))</f>
        <v/>
      </c>
    </row>
    <row r="28" spans="1:164" x14ac:dyDescent="0.25">
      <c r="A28" s="127" t="str">
        <f>IF(Produits!A28="","",Produits!A28)</f>
        <v>Rail R à ailettes</v>
      </c>
      <c r="B28" s="127" t="str">
        <f>IF(Produits!B28="","",Produits!B28)</f>
        <v>RAL XXXX</v>
      </c>
      <c r="C28" s="127" t="str">
        <f>IF(Produits!C28="","",Produits!C28)</f>
        <v>1000,00,0025</v>
      </c>
      <c r="D28" s="127" t="str">
        <f>IF(Produits!D28="","",Produits!D28)</f>
        <v>AA149</v>
      </c>
      <c r="E28" s="127" t="str">
        <f>IF(Produits!E28="","",Produits!E28)</f>
        <v/>
      </c>
      <c r="F28" s="128" t="str">
        <f>IF(Produits!F28="","",Produits!F28)</f>
        <v>1 pcs</v>
      </c>
      <c r="J28" s="135" t="str">
        <f>IF($J$1="","",HLOOKUP($J$1,$M$1:$AAV$1000,28,0))</f>
        <v/>
      </c>
    </row>
    <row r="29" spans="1:164" x14ac:dyDescent="0.25">
      <c r="A29" s="127" t="str">
        <f>IF(Produits!A29="","",Produits!A29)</f>
        <v>Rail R à ailettes</v>
      </c>
      <c r="B29" s="127" t="str">
        <f>IF(Produits!B29="","",Produits!B29)</f>
        <v>RAL XXXX</v>
      </c>
      <c r="C29" s="127" t="str">
        <f>IF(Produits!C29="","",Produits!C29)</f>
        <v>1000,00,0026</v>
      </c>
      <c r="D29" s="127" t="str">
        <f>IF(Produits!D29="","",Produits!D29)</f>
        <v>AA150</v>
      </c>
      <c r="E29" s="127" t="str">
        <f>IF(Produits!E29="","",Produits!E29)</f>
        <v/>
      </c>
      <c r="F29" s="128" t="str">
        <f>IF(Produits!F29="","",Produits!F29)</f>
        <v>1 pcs</v>
      </c>
      <c r="J29" s="135" t="str">
        <f>IF($J$1="","",HLOOKUP($J$1,$M$1:$AAV$1000,29,0))</f>
        <v/>
      </c>
    </row>
    <row r="30" spans="1:164" x14ac:dyDescent="0.25">
      <c r="A30" s="127" t="str">
        <f>IF(Produits!A30="","",Produits!A30)</f>
        <v>Rail R à ailettes</v>
      </c>
      <c r="B30" s="127" t="str">
        <f>IF(Produits!B30="","",Produits!B30)</f>
        <v>RAL XXXX</v>
      </c>
      <c r="C30" s="127" t="str">
        <f>IF(Produits!C30="","",Produits!C30)</f>
        <v>1000,00,0027</v>
      </c>
      <c r="D30" s="127" t="str">
        <f>IF(Produits!D30="","",Produits!D30)</f>
        <v>AA151</v>
      </c>
      <c r="E30" s="127" t="str">
        <f>IF(Produits!E30="","",Produits!E30)</f>
        <v/>
      </c>
      <c r="F30" s="128" t="str">
        <f>IF(Produits!F30="","",Produits!F30)</f>
        <v>1 pcs</v>
      </c>
      <c r="J30" s="135" t="str">
        <f>IF($J$1="","",HLOOKUP($J$1,$M$1:$AAV$1000,30,0))</f>
        <v/>
      </c>
    </row>
    <row r="31" spans="1:164" x14ac:dyDescent="0.25">
      <c r="A31" s="127" t="str">
        <f>IF(Produits!A31="","",Produits!A31)</f>
        <v>Rail R à ailettes</v>
      </c>
      <c r="B31" s="127" t="str">
        <f>IF(Produits!B31="","",Produits!B31)</f>
        <v>BRUT</v>
      </c>
      <c r="C31" s="127" t="str">
        <f>IF(Produits!C31="","",Produits!C31)</f>
        <v>1000,00,0028</v>
      </c>
      <c r="D31" s="127" t="str">
        <f>IF(Produits!D31="","",Produits!D31)</f>
        <v>AA152</v>
      </c>
      <c r="E31" s="127" t="str">
        <f>IF(Produits!E31="","",Produits!E31)</f>
        <v/>
      </c>
      <c r="F31" s="128" t="str">
        <f>IF(Produits!F31="","",Produits!F31)</f>
        <v>3 m</v>
      </c>
      <c r="J31" s="135" t="str">
        <f>IF($J$1="","",HLOOKUP($J$1,$M$1:$AAV$1000,31,0))</f>
        <v/>
      </c>
    </row>
    <row r="32" spans="1:164" x14ac:dyDescent="0.25">
      <c r="A32" s="127" t="str">
        <f>IF(Produits!A32="","",Produits!A32)</f>
        <v>Rail R à ailettes</v>
      </c>
      <c r="B32" s="127" t="str">
        <f>IF(Produits!B32="","",Produits!B32)</f>
        <v>BRUT</v>
      </c>
      <c r="C32" s="127" t="str">
        <f>IF(Produits!C32="","",Produits!C32)</f>
        <v>1000,00,0029</v>
      </c>
      <c r="D32" s="127" t="str">
        <f>IF(Produits!D32="","",Produits!D32)</f>
        <v>AA153</v>
      </c>
      <c r="E32" s="127" t="str">
        <f>IF(Produits!E32="","",Produits!E32)</f>
        <v/>
      </c>
      <c r="F32" s="128" t="str">
        <f>IF(Produits!F32="","",Produits!F32)</f>
        <v>1 pcs</v>
      </c>
      <c r="J32" s="135" t="str">
        <f>IF($J$1="","",HLOOKUP($J$1,$M$1:$AAV$1000,32,0))</f>
        <v/>
      </c>
    </row>
    <row r="33" spans="1:10" x14ac:dyDescent="0.25">
      <c r="A33" s="127" t="str">
        <f>IF(Produits!A33="","",Produits!A33)</f>
        <v>Rail R à ailettes</v>
      </c>
      <c r="B33" s="127" t="str">
        <f>IF(Produits!B33="","",Produits!B33)</f>
        <v>BRUT</v>
      </c>
      <c r="C33" s="127" t="str">
        <f>IF(Produits!C33="","",Produits!C33)</f>
        <v>1000,00,0030</v>
      </c>
      <c r="D33" s="127" t="str">
        <f>IF(Produits!D33="","",Produits!D33)</f>
        <v>AA154</v>
      </c>
      <c r="E33" s="127" t="str">
        <f>IF(Produits!E33="","",Produits!E33)</f>
        <v/>
      </c>
      <c r="F33" s="128" t="str">
        <f>IF(Produits!F33="","",Produits!F33)</f>
        <v>1 pcs</v>
      </c>
      <c r="J33" s="135" t="str">
        <f>IF($J$1="","",HLOOKUP($J$1,$M$1:$AAV$1000,33,0))</f>
        <v/>
      </c>
    </row>
    <row r="34" spans="1:10" x14ac:dyDescent="0.25">
      <c r="A34" s="127" t="str">
        <f>IF(Produits!A34="","",Produits!A34)</f>
        <v>Rail R à ailettes</v>
      </c>
      <c r="B34" s="127" t="str">
        <f>IF(Produits!B34="","",Produits!B34)</f>
        <v>BRUT</v>
      </c>
      <c r="C34" s="127" t="str">
        <f>IF(Produits!C34="","",Produits!C34)</f>
        <v>1000,00,0031</v>
      </c>
      <c r="D34" s="127" t="str">
        <f>IF(Produits!D34="","",Produits!D34)</f>
        <v>AA155</v>
      </c>
      <c r="E34" s="127" t="str">
        <f>IF(Produits!E34="","",Produits!E34)</f>
        <v/>
      </c>
      <c r="F34" s="128" t="str">
        <f>IF(Produits!F34="","",Produits!F34)</f>
        <v>1 pcs</v>
      </c>
      <c r="J34" s="135" t="str">
        <f>IF($J$1="","",HLOOKUP($J$1,$M$1:$AAV$1000,34,0))</f>
        <v/>
      </c>
    </row>
    <row r="35" spans="1:10" x14ac:dyDescent="0.25">
      <c r="A35" s="127" t="str">
        <f>IF(Produits!A35="","",Produits!A35)</f>
        <v>Rail R à ailettes</v>
      </c>
      <c r="B35" s="127" t="str">
        <f>IF(Produits!B35="","",Produits!B35)</f>
        <v>BRUT</v>
      </c>
      <c r="C35" s="127" t="str">
        <f>IF(Produits!C35="","",Produits!C35)</f>
        <v>1000,00,0032</v>
      </c>
      <c r="D35" s="127" t="str">
        <f>IF(Produits!D35="","",Produits!D35)</f>
        <v>AA156</v>
      </c>
      <c r="E35" s="127" t="str">
        <f>IF(Produits!E35="","",Produits!E35)</f>
        <v/>
      </c>
      <c r="F35" s="128" t="str">
        <f>IF(Produits!F35="","",Produits!F35)</f>
        <v>1 pcs</v>
      </c>
      <c r="J35" s="135" t="str">
        <f>IF($J$1="","",HLOOKUP($J$1,$M$1:$AAV$1000,35,0))</f>
        <v/>
      </c>
    </row>
    <row r="36" spans="1:10" x14ac:dyDescent="0.25">
      <c r="A36" s="127" t="str">
        <f>IF(Produits!A36="","",Produits!A36)</f>
        <v>Rail R à ailettes</v>
      </c>
      <c r="B36" s="127" t="str">
        <f>IF(Produits!B36="","",Produits!B36)</f>
        <v>BRUT</v>
      </c>
      <c r="C36" s="127" t="str">
        <f>IF(Produits!C36="","",Produits!C36)</f>
        <v>1000,00,0033</v>
      </c>
      <c r="D36" s="127" t="str">
        <f>IF(Produits!D36="","",Produits!D36)</f>
        <v>AA157</v>
      </c>
      <c r="E36" s="127" t="str">
        <f>IF(Produits!E36="","",Produits!E36)</f>
        <v/>
      </c>
      <c r="F36" s="128" t="str">
        <f>IF(Produits!F36="","",Produits!F36)</f>
        <v>1 pcs</v>
      </c>
      <c r="J36" s="135" t="str">
        <f>IF($J$1="","",HLOOKUP($J$1,$M$1:$AAV$1000,36,0))</f>
        <v/>
      </c>
    </row>
    <row r="37" spans="1:10" x14ac:dyDescent="0.25">
      <c r="A37" s="127" t="str">
        <f>IF(Produits!A37="","",Produits!A37)</f>
        <v>Rail R à ailettes</v>
      </c>
      <c r="B37" s="127" t="str">
        <f>IF(Produits!B37="","",Produits!B37)</f>
        <v>BRUT</v>
      </c>
      <c r="C37" s="127" t="str">
        <f>IF(Produits!C37="","",Produits!C37)</f>
        <v>1000,00,0034</v>
      </c>
      <c r="D37" s="127" t="str">
        <f>IF(Produits!D37="","",Produits!D37)</f>
        <v>AA158</v>
      </c>
      <c r="E37" s="127" t="str">
        <f>IF(Produits!E37="","",Produits!E37)</f>
        <v/>
      </c>
      <c r="F37" s="128" t="str">
        <f>IF(Produits!F37="","",Produits!F37)</f>
        <v>1 pcs</v>
      </c>
      <c r="J37" s="135" t="str">
        <f>IF($J$1="","",HLOOKUP($J$1,$M$1:$AAV$1000,37,0))</f>
        <v/>
      </c>
    </row>
    <row r="38" spans="1:10" x14ac:dyDescent="0.25">
      <c r="A38" s="127" t="str">
        <f>IF(Produits!A38="","",Produits!A38)</f>
        <v>Rail R à ailettes</v>
      </c>
      <c r="B38" s="127" t="str">
        <f>IF(Produits!B38="","",Produits!B38)</f>
        <v>BRUT</v>
      </c>
      <c r="C38" s="127" t="str">
        <f>IF(Produits!C38="","",Produits!C38)</f>
        <v>1000,00,0035</v>
      </c>
      <c r="D38" s="127" t="str">
        <f>IF(Produits!D38="","",Produits!D38)</f>
        <v>AA159</v>
      </c>
      <c r="E38" s="127" t="str">
        <f>IF(Produits!E38="","",Produits!E38)</f>
        <v/>
      </c>
      <c r="F38" s="128" t="str">
        <f>IF(Produits!F38="","",Produits!F38)</f>
        <v>1 pcs</v>
      </c>
      <c r="J38" s="135" t="str">
        <f>IF($J$1="","",HLOOKUP($J$1,$M$1:$AAV$1000,38,0))</f>
        <v/>
      </c>
    </row>
    <row r="39" spans="1:10" x14ac:dyDescent="0.25">
      <c r="A39" s="127" t="str">
        <f>IF(Produits!A39="","",Produits!A39)</f>
        <v>Rail R à ailettes</v>
      </c>
      <c r="B39" s="127" t="str">
        <f>IF(Produits!B39="","",Produits!B39)</f>
        <v>BRUT</v>
      </c>
      <c r="C39" s="127" t="str">
        <f>IF(Produits!C39="","",Produits!C39)</f>
        <v>1000,00,0036</v>
      </c>
      <c r="D39" s="127" t="str">
        <f>IF(Produits!D39="","",Produits!D39)</f>
        <v>AA160</v>
      </c>
      <c r="E39" s="127" t="str">
        <f>IF(Produits!E39="","",Produits!E39)</f>
        <v/>
      </c>
      <c r="F39" s="128" t="str">
        <f>IF(Produits!F39="","",Produits!F39)</f>
        <v>1 pcs</v>
      </c>
      <c r="J39" s="135" t="str">
        <f>IF($J$1="","",HLOOKUP($J$1,$M$1:$AAV$1000,39,0))</f>
        <v/>
      </c>
    </row>
    <row r="40" spans="1:10" x14ac:dyDescent="0.25">
      <c r="A40" s="127" t="str">
        <f>IF(Produits!A40="","",Produits!A40)</f>
        <v xml:space="preserve">Rail R </v>
      </c>
      <c r="B40" s="127" t="str">
        <f>IF(Produits!B40="","",Produits!B40)</f>
        <v>RAL 9010</v>
      </c>
      <c r="C40" s="127" t="str">
        <f>IF(Produits!C40="","",Produits!C40)</f>
        <v>1000,00,0037</v>
      </c>
      <c r="D40" s="127" t="str">
        <f>IF(Produits!D40="","",Produits!D40)</f>
        <v>AA161</v>
      </c>
      <c r="E40" s="127" t="str">
        <f>IF(Produits!E40="","",Produits!E40)</f>
        <v/>
      </c>
      <c r="F40" s="128" t="str">
        <f>IF(Produits!F40="","",Produits!F40)</f>
        <v>3 m</v>
      </c>
      <c r="J40" s="135" t="str">
        <f>IF($J$1="","",HLOOKUP($J$1,$M$1:$AAV$1000,40,0))</f>
        <v/>
      </c>
    </row>
    <row r="41" spans="1:10" x14ac:dyDescent="0.25">
      <c r="A41" s="127" t="str">
        <f>IF(Produits!A41="","",Produits!A41)</f>
        <v xml:space="preserve">Rail R </v>
      </c>
      <c r="B41" s="127" t="str">
        <f>IF(Produits!B41="","",Produits!B41)</f>
        <v>RAL 9010</v>
      </c>
      <c r="C41" s="127" t="str">
        <f>IF(Produits!C41="","",Produits!C41)</f>
        <v>1000,00,0038</v>
      </c>
      <c r="D41" s="127" t="str">
        <f>IF(Produits!D41="","",Produits!D41)</f>
        <v>AA162</v>
      </c>
      <c r="E41" s="127" t="str">
        <f>IF(Produits!E41="","",Produits!E41)</f>
        <v/>
      </c>
      <c r="F41" s="128" t="str">
        <f>IF(Produits!F41="","",Produits!F41)</f>
        <v>1 pcs</v>
      </c>
      <c r="J41" s="135" t="str">
        <f>IF($J$1="","",HLOOKUP($J$1,$M$1:$AAV$1000,41,0))</f>
        <v/>
      </c>
    </row>
    <row r="42" spans="1:10" x14ac:dyDescent="0.25">
      <c r="A42" s="127" t="str">
        <f>IF(Produits!A42="","",Produits!A42)</f>
        <v xml:space="preserve">Rail R </v>
      </c>
      <c r="B42" s="127" t="str">
        <f>IF(Produits!B42="","",Produits!B42)</f>
        <v>RAL 9010</v>
      </c>
      <c r="C42" s="127" t="str">
        <f>IF(Produits!C42="","",Produits!C42)</f>
        <v>1000,00,0039</v>
      </c>
      <c r="D42" s="127" t="str">
        <f>IF(Produits!D42="","",Produits!D42)</f>
        <v>AA163</v>
      </c>
      <c r="E42" s="127" t="str">
        <f>IF(Produits!E42="","",Produits!E42)</f>
        <v/>
      </c>
      <c r="F42" s="128" t="str">
        <f>IF(Produits!F42="","",Produits!F42)</f>
        <v>1 pcs</v>
      </c>
      <c r="J42" s="135" t="str">
        <f>IF($J$1="","",HLOOKUP($J$1,$M$1:$AAV$1000,42,0))</f>
        <v/>
      </c>
    </row>
    <row r="43" spans="1:10" x14ac:dyDescent="0.25">
      <c r="A43" s="127" t="str">
        <f>IF(Produits!A43="","",Produits!A43)</f>
        <v xml:space="preserve">Rail R </v>
      </c>
      <c r="B43" s="127" t="str">
        <f>IF(Produits!B43="","",Produits!B43)</f>
        <v>RAL 9010</v>
      </c>
      <c r="C43" s="127" t="str">
        <f>IF(Produits!C43="","",Produits!C43)</f>
        <v>1000,00,0040</v>
      </c>
      <c r="D43" s="127" t="str">
        <f>IF(Produits!D43="","",Produits!D43)</f>
        <v>AA164</v>
      </c>
      <c r="E43" s="127" t="str">
        <f>IF(Produits!E43="","",Produits!E43)</f>
        <v/>
      </c>
      <c r="F43" s="128" t="str">
        <f>IF(Produits!F43="","",Produits!F43)</f>
        <v>1 pcs</v>
      </c>
      <c r="J43" s="135" t="str">
        <f>IF($J$1="","",HLOOKUP($J$1,$M$1:$AAV$1000,43,0))</f>
        <v/>
      </c>
    </row>
    <row r="44" spans="1:10" x14ac:dyDescent="0.25">
      <c r="A44" s="127" t="str">
        <f>IF(Produits!A44="","",Produits!A44)</f>
        <v xml:space="preserve">Rail R </v>
      </c>
      <c r="B44" s="127" t="str">
        <f>IF(Produits!B44="","",Produits!B44)</f>
        <v>RAL 9010</v>
      </c>
      <c r="C44" s="127" t="str">
        <f>IF(Produits!C44="","",Produits!C44)</f>
        <v>1000,00,0041</v>
      </c>
      <c r="D44" s="127" t="str">
        <f>IF(Produits!D44="","",Produits!D44)</f>
        <v>AA165</v>
      </c>
      <c r="E44" s="127" t="str">
        <f>IF(Produits!E44="","",Produits!E44)</f>
        <v/>
      </c>
      <c r="F44" s="128" t="str">
        <f>IF(Produits!F44="","",Produits!F44)</f>
        <v>1 pcs</v>
      </c>
      <c r="J44" s="135" t="str">
        <f>IF($J$1="","",HLOOKUP($J$1,$M$1:$AAV$1000,44,0))</f>
        <v/>
      </c>
    </row>
    <row r="45" spans="1:10" x14ac:dyDescent="0.25">
      <c r="A45" s="127" t="str">
        <f>IF(Produits!A45="","",Produits!A45)</f>
        <v xml:space="preserve">Rail R </v>
      </c>
      <c r="B45" s="127" t="str">
        <f>IF(Produits!B45="","",Produits!B45)</f>
        <v>RAL 9010</v>
      </c>
      <c r="C45" s="127" t="str">
        <f>IF(Produits!C45="","",Produits!C45)</f>
        <v>1000,00,0042</v>
      </c>
      <c r="D45" s="127" t="str">
        <f>IF(Produits!D45="","",Produits!D45)</f>
        <v>AA166</v>
      </c>
      <c r="E45" s="127" t="str">
        <f>IF(Produits!E45="","",Produits!E45)</f>
        <v/>
      </c>
      <c r="F45" s="128" t="str">
        <f>IF(Produits!F45="","",Produits!F45)</f>
        <v>1 pcs</v>
      </c>
      <c r="J45" s="135" t="str">
        <f>IF($J$1="","",HLOOKUP($J$1,$M$1:$AAV$1000,45,0))</f>
        <v/>
      </c>
    </row>
    <row r="46" spans="1:10" x14ac:dyDescent="0.25">
      <c r="A46" s="127" t="str">
        <f>IF(Produits!A46="","",Produits!A46)</f>
        <v xml:space="preserve">Rail R </v>
      </c>
      <c r="B46" s="127" t="str">
        <f>IF(Produits!B46="","",Produits!B46)</f>
        <v>RAL 9010</v>
      </c>
      <c r="C46" s="127" t="str">
        <f>IF(Produits!C46="","",Produits!C46)</f>
        <v>1000,00,0043</v>
      </c>
      <c r="D46" s="127" t="str">
        <f>IF(Produits!D46="","",Produits!D46)</f>
        <v>AA167</v>
      </c>
      <c r="E46" s="127" t="str">
        <f>IF(Produits!E46="","",Produits!E46)</f>
        <v/>
      </c>
      <c r="F46" s="128" t="str">
        <f>IF(Produits!F46="","",Produits!F46)</f>
        <v>1 pcs</v>
      </c>
      <c r="J46" s="135" t="str">
        <f>IF($J$1="","",HLOOKUP($J$1,$M$1:$AAV$1000,46,0))</f>
        <v/>
      </c>
    </row>
    <row r="47" spans="1:10" x14ac:dyDescent="0.25">
      <c r="A47" s="127" t="str">
        <f>IF(Produits!A47="","",Produits!A47)</f>
        <v xml:space="preserve">Rail R </v>
      </c>
      <c r="B47" s="127" t="str">
        <f>IF(Produits!B47="","",Produits!B47)</f>
        <v>RAL 9010</v>
      </c>
      <c r="C47" s="127" t="str">
        <f>IF(Produits!C47="","",Produits!C47)</f>
        <v>1000,00,0044</v>
      </c>
      <c r="D47" s="127" t="str">
        <f>IF(Produits!D47="","",Produits!D47)</f>
        <v>AA168</v>
      </c>
      <c r="E47" s="127" t="str">
        <f>IF(Produits!E47="","",Produits!E47)</f>
        <v/>
      </c>
      <c r="F47" s="128" t="str">
        <f>IF(Produits!F47="","",Produits!F47)</f>
        <v>1 pcs</v>
      </c>
      <c r="J47" s="135" t="str">
        <f>IF($J$1="","",HLOOKUP($J$1,$M$1:$AAV$1000,47,0))</f>
        <v/>
      </c>
    </row>
    <row r="48" spans="1:10" x14ac:dyDescent="0.25">
      <c r="A48" s="127" t="str">
        <f>IF(Produits!A48="","",Produits!A48)</f>
        <v xml:space="preserve">Rail R </v>
      </c>
      <c r="B48" s="127" t="str">
        <f>IF(Produits!B48="","",Produits!B48)</f>
        <v>RAL 9010</v>
      </c>
      <c r="C48" s="127" t="str">
        <f>IF(Produits!C48="","",Produits!C48)</f>
        <v>1000,00,0045</v>
      </c>
      <c r="D48" s="127" t="str">
        <f>IF(Produits!D48="","",Produits!D48)</f>
        <v>AA169</v>
      </c>
      <c r="E48" s="127" t="str">
        <f>IF(Produits!E48="","",Produits!E48)</f>
        <v/>
      </c>
      <c r="F48" s="128" t="str">
        <f>IF(Produits!F48="","",Produits!F48)</f>
        <v>1 pcs</v>
      </c>
      <c r="J48" s="135" t="str">
        <f>IF($J$1="","",HLOOKUP($J$1,$M$1:$AAV$1000,48,0))</f>
        <v/>
      </c>
    </row>
    <row r="49" spans="1:10" x14ac:dyDescent="0.25">
      <c r="A49" s="127" t="str">
        <f>IF(Produits!A49="","",Produits!A49)</f>
        <v xml:space="preserve">Rail R </v>
      </c>
      <c r="B49" s="127" t="str">
        <f>IF(Produits!B49="","",Produits!B49)</f>
        <v>RAL 9003</v>
      </c>
      <c r="C49" s="127" t="str">
        <f>IF(Produits!C49="","",Produits!C49)</f>
        <v>1000,00,0046</v>
      </c>
      <c r="D49" s="127" t="str">
        <f>IF(Produits!D49="","",Produits!D49)</f>
        <v>AA170</v>
      </c>
      <c r="E49" s="127" t="str">
        <f>IF(Produits!E49="","",Produits!E49)</f>
        <v/>
      </c>
      <c r="F49" s="128" t="str">
        <f>IF(Produits!F49="","",Produits!F49)</f>
        <v>3 m</v>
      </c>
      <c r="J49" s="135" t="str">
        <f>IF($J$1="","",HLOOKUP($J$1,$M$1:$AAV$1000,49,0))</f>
        <v/>
      </c>
    </row>
    <row r="50" spans="1:10" x14ac:dyDescent="0.25">
      <c r="A50" s="127" t="str">
        <f>IF(Produits!A50="","",Produits!A50)</f>
        <v xml:space="preserve">Rail R </v>
      </c>
      <c r="B50" s="127" t="str">
        <f>IF(Produits!B50="","",Produits!B50)</f>
        <v>RAL 9003</v>
      </c>
      <c r="C50" s="127" t="str">
        <f>IF(Produits!C50="","",Produits!C50)</f>
        <v>1000,00,0047</v>
      </c>
      <c r="D50" s="127" t="str">
        <f>IF(Produits!D50="","",Produits!D50)</f>
        <v>AA171</v>
      </c>
      <c r="E50" s="127" t="str">
        <f>IF(Produits!E50="","",Produits!E50)</f>
        <v/>
      </c>
      <c r="F50" s="128" t="str">
        <f>IF(Produits!F50="","",Produits!F50)</f>
        <v>1 pcs</v>
      </c>
      <c r="J50" s="135" t="str">
        <f>IF($J$1="","",HLOOKUP($J$1,$M$1:$AAV$1000,50,0))</f>
        <v/>
      </c>
    </row>
    <row r="51" spans="1:10" x14ac:dyDescent="0.25">
      <c r="A51" s="127" t="str">
        <f>IF(Produits!A51="","",Produits!A51)</f>
        <v xml:space="preserve">Rail R </v>
      </c>
      <c r="B51" s="127" t="str">
        <f>IF(Produits!B51="","",Produits!B51)</f>
        <v>RAL 9003</v>
      </c>
      <c r="C51" s="127" t="str">
        <f>IF(Produits!C51="","",Produits!C51)</f>
        <v>1000,00,0048</v>
      </c>
      <c r="D51" s="127" t="str">
        <f>IF(Produits!D51="","",Produits!D51)</f>
        <v>AA172</v>
      </c>
      <c r="E51" s="127" t="str">
        <f>IF(Produits!E51="","",Produits!E51)</f>
        <v/>
      </c>
      <c r="F51" s="128" t="str">
        <f>IF(Produits!F51="","",Produits!F51)</f>
        <v>1 pcs</v>
      </c>
      <c r="J51" s="135" t="str">
        <f>IF($J$1="","",HLOOKUP($J$1,$M$1:$AAV$1000,51,0))</f>
        <v/>
      </c>
    </row>
    <row r="52" spans="1:10" x14ac:dyDescent="0.25">
      <c r="A52" s="127" t="str">
        <f>IF(Produits!A52="","",Produits!A52)</f>
        <v xml:space="preserve">Rail R </v>
      </c>
      <c r="B52" s="127" t="str">
        <f>IF(Produits!B52="","",Produits!B52)</f>
        <v>RAL 9003</v>
      </c>
      <c r="C52" s="127" t="str">
        <f>IF(Produits!C52="","",Produits!C52)</f>
        <v>1000,00,0049</v>
      </c>
      <c r="D52" s="127" t="str">
        <f>IF(Produits!D52="","",Produits!D52)</f>
        <v>AA173</v>
      </c>
      <c r="E52" s="127" t="str">
        <f>IF(Produits!E52="","",Produits!E52)</f>
        <v/>
      </c>
      <c r="F52" s="128" t="str">
        <f>IF(Produits!F52="","",Produits!F52)</f>
        <v>1 pcs</v>
      </c>
      <c r="J52" s="135" t="str">
        <f>IF($J$1="","",HLOOKUP($J$1,$M$1:$AAV$1000,52,0))</f>
        <v/>
      </c>
    </row>
    <row r="53" spans="1:10" x14ac:dyDescent="0.25">
      <c r="A53" s="127" t="str">
        <f>IF(Produits!A53="","",Produits!A53)</f>
        <v xml:space="preserve">Rail R </v>
      </c>
      <c r="B53" s="127" t="str">
        <f>IF(Produits!B53="","",Produits!B53)</f>
        <v>RAL 9003</v>
      </c>
      <c r="C53" s="127" t="str">
        <f>IF(Produits!C53="","",Produits!C53)</f>
        <v>1000,00,0050</v>
      </c>
      <c r="D53" s="127" t="str">
        <f>IF(Produits!D53="","",Produits!D53)</f>
        <v>AA174</v>
      </c>
      <c r="E53" s="127" t="str">
        <f>IF(Produits!E53="","",Produits!E53)</f>
        <v/>
      </c>
      <c r="F53" s="128" t="str">
        <f>IF(Produits!F53="","",Produits!F53)</f>
        <v>1 pcs</v>
      </c>
      <c r="J53" s="135" t="str">
        <f>IF($J$1="","",HLOOKUP($J$1,$M$1:$AAV$1000,53,0))</f>
        <v/>
      </c>
    </row>
    <row r="54" spans="1:10" x14ac:dyDescent="0.25">
      <c r="A54" s="127" t="str">
        <f>IF(Produits!A54="","",Produits!A54)</f>
        <v xml:space="preserve">Rail R </v>
      </c>
      <c r="B54" s="127" t="str">
        <f>IF(Produits!B54="","",Produits!B54)</f>
        <v>RAL 9003</v>
      </c>
      <c r="C54" s="127" t="str">
        <f>IF(Produits!C54="","",Produits!C54)</f>
        <v>1000,00,0051</v>
      </c>
      <c r="D54" s="127" t="str">
        <f>IF(Produits!D54="","",Produits!D54)</f>
        <v>AA175</v>
      </c>
      <c r="E54" s="127" t="str">
        <f>IF(Produits!E54="","",Produits!E54)</f>
        <v/>
      </c>
      <c r="F54" s="128" t="str">
        <f>IF(Produits!F54="","",Produits!F54)</f>
        <v>1 pcs</v>
      </c>
      <c r="J54" s="135" t="str">
        <f>IF($J$1="","",HLOOKUP($J$1,$M$1:$AAV$1000,54,0))</f>
        <v/>
      </c>
    </row>
    <row r="55" spans="1:10" x14ac:dyDescent="0.25">
      <c r="A55" s="127" t="str">
        <f>IF(Produits!A55="","",Produits!A55)</f>
        <v xml:space="preserve">Rail R </v>
      </c>
      <c r="B55" s="127" t="str">
        <f>IF(Produits!B55="","",Produits!B55)</f>
        <v>RAL 9003</v>
      </c>
      <c r="C55" s="127" t="str">
        <f>IF(Produits!C55="","",Produits!C55)</f>
        <v>1000,00,0052</v>
      </c>
      <c r="D55" s="127" t="str">
        <f>IF(Produits!D55="","",Produits!D55)</f>
        <v>AA176</v>
      </c>
      <c r="E55" s="127" t="str">
        <f>IF(Produits!E55="","",Produits!E55)</f>
        <v/>
      </c>
      <c r="F55" s="128" t="str">
        <f>IF(Produits!F55="","",Produits!F55)</f>
        <v>1 pcs</v>
      </c>
      <c r="J55" s="135" t="str">
        <f>IF($J$1="","",HLOOKUP($J$1,$M$1:$AAV$1000,55,0))</f>
        <v/>
      </c>
    </row>
    <row r="56" spans="1:10" x14ac:dyDescent="0.25">
      <c r="A56" s="127" t="str">
        <f>IF(Produits!A56="","",Produits!A56)</f>
        <v xml:space="preserve">Rail R </v>
      </c>
      <c r="B56" s="127" t="str">
        <f>IF(Produits!B56="","",Produits!B56)</f>
        <v>RAL 9003</v>
      </c>
      <c r="C56" s="127" t="str">
        <f>IF(Produits!C56="","",Produits!C56)</f>
        <v>1000,00,0053</v>
      </c>
      <c r="D56" s="127" t="str">
        <f>IF(Produits!D56="","",Produits!D56)</f>
        <v>AA177</v>
      </c>
      <c r="E56" s="127" t="str">
        <f>IF(Produits!E56="","",Produits!E56)</f>
        <v/>
      </c>
      <c r="F56" s="128" t="str">
        <f>IF(Produits!F56="","",Produits!F56)</f>
        <v>1 pcs</v>
      </c>
      <c r="J56" s="135" t="str">
        <f>IF($J$1="","",HLOOKUP($J$1,$M$1:$AAV$1000,56,0))</f>
        <v/>
      </c>
    </row>
    <row r="57" spans="1:10" x14ac:dyDescent="0.25">
      <c r="A57" s="127" t="str">
        <f>IF(Produits!A57="","",Produits!A57)</f>
        <v xml:space="preserve">Rail R </v>
      </c>
      <c r="B57" s="127" t="str">
        <f>IF(Produits!B57="","",Produits!B57)</f>
        <v>RAL 9003</v>
      </c>
      <c r="C57" s="127" t="str">
        <f>IF(Produits!C57="","",Produits!C57)</f>
        <v>1000,00,0054</v>
      </c>
      <c r="D57" s="127" t="str">
        <f>IF(Produits!D57="","",Produits!D57)</f>
        <v>AA178</v>
      </c>
      <c r="E57" s="127" t="str">
        <f>IF(Produits!E57="","",Produits!E57)</f>
        <v/>
      </c>
      <c r="F57" s="128" t="str">
        <f>IF(Produits!F57="","",Produits!F57)</f>
        <v>1 pcs</v>
      </c>
      <c r="J57" s="135" t="str">
        <f>IF($J$1="","",HLOOKUP($J$1,$M$1:$AAV$1000,57,0))</f>
        <v/>
      </c>
    </row>
    <row r="58" spans="1:10" x14ac:dyDescent="0.25">
      <c r="A58" s="127" t="str">
        <f>IF(Produits!A58="","",Produits!A58)</f>
        <v xml:space="preserve">Rail R </v>
      </c>
      <c r="B58" s="127" t="str">
        <f>IF(Produits!B58="","",Produits!B58)</f>
        <v>RAL XXXX</v>
      </c>
      <c r="C58" s="127" t="str">
        <f>IF(Produits!C58="","",Produits!C58)</f>
        <v>1000,00,0055</v>
      </c>
      <c r="D58" s="127" t="str">
        <f>IF(Produits!D58="","",Produits!D58)</f>
        <v>AA179</v>
      </c>
      <c r="E58" s="127" t="str">
        <f>IF(Produits!E58="","",Produits!E58)</f>
        <v/>
      </c>
      <c r="F58" s="128" t="str">
        <f>IF(Produits!F58="","",Produits!F58)</f>
        <v>3 m</v>
      </c>
      <c r="J58" s="135" t="str">
        <f>IF($J$1="","",HLOOKUP($J$1,$M$1:$AAV$1000,58,0))</f>
        <v/>
      </c>
    </row>
    <row r="59" spans="1:10" x14ac:dyDescent="0.25">
      <c r="A59" s="127" t="str">
        <f>IF(Produits!A59="","",Produits!A59)</f>
        <v xml:space="preserve">Rail R </v>
      </c>
      <c r="B59" s="127" t="str">
        <f>IF(Produits!B59="","",Produits!B59)</f>
        <v>RAL XXXX</v>
      </c>
      <c r="C59" s="127" t="str">
        <f>IF(Produits!C59="","",Produits!C59)</f>
        <v>1000,00,0056</v>
      </c>
      <c r="D59" s="127" t="str">
        <f>IF(Produits!D59="","",Produits!D59)</f>
        <v>AA180</v>
      </c>
      <c r="E59" s="127" t="str">
        <f>IF(Produits!E59="","",Produits!E59)</f>
        <v/>
      </c>
      <c r="F59" s="128" t="str">
        <f>IF(Produits!F59="","",Produits!F59)</f>
        <v>1 pcs</v>
      </c>
      <c r="J59" s="135" t="str">
        <f>IF($J$1="","",HLOOKUP($J$1,$M$1:$AAV$1000,59,0))</f>
        <v/>
      </c>
    </row>
    <row r="60" spans="1:10" x14ac:dyDescent="0.25">
      <c r="A60" s="127" t="str">
        <f>IF(Produits!A60="","",Produits!A60)</f>
        <v xml:space="preserve">Rail R </v>
      </c>
      <c r="B60" s="127" t="str">
        <f>IF(Produits!B60="","",Produits!B60)</f>
        <v>RAL XXXX</v>
      </c>
      <c r="C60" s="127" t="str">
        <f>IF(Produits!C60="","",Produits!C60)</f>
        <v>1000,00,0057</v>
      </c>
      <c r="D60" s="127" t="str">
        <f>IF(Produits!D60="","",Produits!D60)</f>
        <v>AA181</v>
      </c>
      <c r="E60" s="127" t="str">
        <f>IF(Produits!E60="","",Produits!E60)</f>
        <v/>
      </c>
      <c r="F60" s="128" t="str">
        <f>IF(Produits!F60="","",Produits!F60)</f>
        <v>1 pcs</v>
      </c>
      <c r="J60" s="135" t="str">
        <f>IF($J$1="","",HLOOKUP($J$1,$M$1:$AAV$1000,60,0))</f>
        <v/>
      </c>
    </row>
    <row r="61" spans="1:10" x14ac:dyDescent="0.25">
      <c r="A61" s="127" t="str">
        <f>IF(Produits!A61="","",Produits!A61)</f>
        <v xml:space="preserve">Rail R </v>
      </c>
      <c r="B61" s="127" t="str">
        <f>IF(Produits!B61="","",Produits!B61)</f>
        <v>RAL XXXX</v>
      </c>
      <c r="C61" s="127" t="str">
        <f>IF(Produits!C61="","",Produits!C61)</f>
        <v>1000,00,0058</v>
      </c>
      <c r="D61" s="127" t="str">
        <f>IF(Produits!D61="","",Produits!D61)</f>
        <v>AA182</v>
      </c>
      <c r="E61" s="127" t="str">
        <f>IF(Produits!E61="","",Produits!E61)</f>
        <v/>
      </c>
      <c r="F61" s="128" t="str">
        <f>IF(Produits!F61="","",Produits!F61)</f>
        <v>1 pcs</v>
      </c>
      <c r="J61" s="135" t="str">
        <f>IF($J$1="","",HLOOKUP($J$1,$M$1:$AAV$1000,61,0))</f>
        <v/>
      </c>
    </row>
    <row r="62" spans="1:10" x14ac:dyDescent="0.25">
      <c r="A62" s="127" t="str">
        <f>IF(Produits!A62="","",Produits!A62)</f>
        <v xml:space="preserve">Rail R </v>
      </c>
      <c r="B62" s="127" t="str">
        <f>IF(Produits!B62="","",Produits!B62)</f>
        <v>RAL XXXX</v>
      </c>
      <c r="C62" s="127" t="str">
        <f>IF(Produits!C62="","",Produits!C62)</f>
        <v>1000,00,0059</v>
      </c>
      <c r="D62" s="127" t="str">
        <f>IF(Produits!D62="","",Produits!D62)</f>
        <v>AA183</v>
      </c>
      <c r="E62" s="127" t="str">
        <f>IF(Produits!E62="","",Produits!E62)</f>
        <v/>
      </c>
      <c r="F62" s="128" t="str">
        <f>IF(Produits!F62="","",Produits!F62)</f>
        <v>1 pcs</v>
      </c>
      <c r="J62" s="135" t="str">
        <f>IF($J$1="","",HLOOKUP($J$1,$M$1:$AAV$1000,62,0))</f>
        <v/>
      </c>
    </row>
    <row r="63" spans="1:10" x14ac:dyDescent="0.25">
      <c r="A63" s="127" t="str">
        <f>IF(Produits!A63="","",Produits!A63)</f>
        <v xml:space="preserve">Rail R </v>
      </c>
      <c r="B63" s="127" t="str">
        <f>IF(Produits!B63="","",Produits!B63)</f>
        <v>RAL XXXX</v>
      </c>
      <c r="C63" s="127" t="str">
        <f>IF(Produits!C63="","",Produits!C63)</f>
        <v>1000,00,0060</v>
      </c>
      <c r="D63" s="127" t="str">
        <f>IF(Produits!D63="","",Produits!D63)</f>
        <v>AA184</v>
      </c>
      <c r="E63" s="127" t="str">
        <f>IF(Produits!E63="","",Produits!E63)</f>
        <v/>
      </c>
      <c r="F63" s="128" t="str">
        <f>IF(Produits!F63="","",Produits!F63)</f>
        <v>1 pcs</v>
      </c>
      <c r="J63" s="135" t="str">
        <f>IF($J$1="","",HLOOKUP($J$1,$M$1:$AAV$1000,63,0))</f>
        <v/>
      </c>
    </row>
    <row r="64" spans="1:10" x14ac:dyDescent="0.25">
      <c r="A64" s="127" t="str">
        <f>IF(Produits!A64="","",Produits!A64)</f>
        <v xml:space="preserve">Rail R </v>
      </c>
      <c r="B64" s="127" t="str">
        <f>IF(Produits!B64="","",Produits!B64)</f>
        <v>RAL XXXX</v>
      </c>
      <c r="C64" s="127" t="str">
        <f>IF(Produits!C64="","",Produits!C64)</f>
        <v>1000,00,0061</v>
      </c>
      <c r="D64" s="127" t="str">
        <f>IF(Produits!D64="","",Produits!D64)</f>
        <v>AA185</v>
      </c>
      <c r="E64" s="127" t="str">
        <f>IF(Produits!E64="","",Produits!E64)</f>
        <v/>
      </c>
      <c r="F64" s="128" t="str">
        <f>IF(Produits!F64="","",Produits!F64)</f>
        <v>1 pcs</v>
      </c>
      <c r="J64" s="135" t="str">
        <f>IF($J$1="","",HLOOKUP($J$1,$M$1:$AAV$1000,64,0))</f>
        <v/>
      </c>
    </row>
    <row r="65" spans="1:10" x14ac:dyDescent="0.25">
      <c r="A65" s="127" t="str">
        <f>IF(Produits!A65="","",Produits!A65)</f>
        <v xml:space="preserve">Rail R </v>
      </c>
      <c r="B65" s="127" t="str">
        <f>IF(Produits!B65="","",Produits!B65)</f>
        <v>RAL XXXX</v>
      </c>
      <c r="C65" s="127" t="str">
        <f>IF(Produits!C65="","",Produits!C65)</f>
        <v>1000,00,0062</v>
      </c>
      <c r="D65" s="127" t="str">
        <f>IF(Produits!D65="","",Produits!D65)</f>
        <v>AA186</v>
      </c>
      <c r="E65" s="127" t="str">
        <f>IF(Produits!E65="","",Produits!E65)</f>
        <v/>
      </c>
      <c r="F65" s="128" t="str">
        <f>IF(Produits!F65="","",Produits!F65)</f>
        <v>1 pcs</v>
      </c>
      <c r="J65" s="135" t="str">
        <f>IF($J$1="","",HLOOKUP($J$1,$M$1:$AAV$1000,65,0))</f>
        <v/>
      </c>
    </row>
    <row r="66" spans="1:10" x14ac:dyDescent="0.25">
      <c r="A66" s="127" t="str">
        <f>IF(Produits!A66="","",Produits!A66)</f>
        <v xml:space="preserve">Rail R </v>
      </c>
      <c r="B66" s="127" t="str">
        <f>IF(Produits!B66="","",Produits!B66)</f>
        <v>RAL XXXX</v>
      </c>
      <c r="C66" s="127" t="str">
        <f>IF(Produits!C66="","",Produits!C66)</f>
        <v>1000,00,0063</v>
      </c>
      <c r="D66" s="127" t="str">
        <f>IF(Produits!D66="","",Produits!D66)</f>
        <v>AA187</v>
      </c>
      <c r="E66" s="127" t="str">
        <f>IF(Produits!E66="","",Produits!E66)</f>
        <v/>
      </c>
      <c r="F66" s="128" t="str">
        <f>IF(Produits!F66="","",Produits!F66)</f>
        <v>1 pcs</v>
      </c>
      <c r="J66" s="135" t="str">
        <f>IF($J$1="","",HLOOKUP($J$1,$M$1:$AAV$1000,66,0))</f>
        <v/>
      </c>
    </row>
    <row r="67" spans="1:10" x14ac:dyDescent="0.25">
      <c r="A67" s="127" t="str">
        <f>IF(Produits!A67="","",Produits!A67)</f>
        <v xml:space="preserve">Rail R </v>
      </c>
      <c r="B67" s="127" t="str">
        <f>IF(Produits!B67="","",Produits!B67)</f>
        <v>BRUT</v>
      </c>
      <c r="C67" s="127" t="str">
        <f>IF(Produits!C67="","",Produits!C67)</f>
        <v>1000,00,0064</v>
      </c>
      <c r="D67" s="127" t="str">
        <f>IF(Produits!D67="","",Produits!D67)</f>
        <v>AA188</v>
      </c>
      <c r="E67" s="127" t="str">
        <f>IF(Produits!E67="","",Produits!E67)</f>
        <v/>
      </c>
      <c r="F67" s="128" t="str">
        <f>IF(Produits!F67="","",Produits!F67)</f>
        <v>3 m</v>
      </c>
      <c r="J67" s="135" t="str">
        <f>IF($J$1="","",HLOOKUP($J$1,$M$1:$AAV$1000,67,0))</f>
        <v/>
      </c>
    </row>
    <row r="68" spans="1:10" x14ac:dyDescent="0.25">
      <c r="A68" s="127" t="str">
        <f>IF(Produits!A68="","",Produits!A68)</f>
        <v xml:space="preserve">Rail R </v>
      </c>
      <c r="B68" s="127" t="str">
        <f>IF(Produits!B68="","",Produits!B68)</f>
        <v>BRUT</v>
      </c>
      <c r="C68" s="127" t="str">
        <f>IF(Produits!C68="","",Produits!C68)</f>
        <v>1000,00,0065</v>
      </c>
      <c r="D68" s="127" t="str">
        <f>IF(Produits!D68="","",Produits!D68)</f>
        <v>AA189</v>
      </c>
      <c r="E68" s="127" t="str">
        <f>IF(Produits!E68="","",Produits!E68)</f>
        <v/>
      </c>
      <c r="F68" s="128" t="str">
        <f>IF(Produits!F68="","",Produits!F68)</f>
        <v>1 pcs</v>
      </c>
      <c r="J68" s="135" t="str">
        <f>IF($J$1="","",HLOOKUP($J$1,$M$1:$AAV$1000,68,0))</f>
        <v/>
      </c>
    </row>
    <row r="69" spans="1:10" x14ac:dyDescent="0.25">
      <c r="A69" s="127" t="str">
        <f>IF(Produits!A69="","",Produits!A69)</f>
        <v xml:space="preserve">Rail R </v>
      </c>
      <c r="B69" s="127" t="str">
        <f>IF(Produits!B69="","",Produits!B69)</f>
        <v>BRUT</v>
      </c>
      <c r="C69" s="127" t="str">
        <f>IF(Produits!C69="","",Produits!C69)</f>
        <v>1000,00,0066</v>
      </c>
      <c r="D69" s="127" t="str">
        <f>IF(Produits!D69="","",Produits!D69)</f>
        <v>AA190</v>
      </c>
      <c r="E69" s="127" t="str">
        <f>IF(Produits!E69="","",Produits!E69)</f>
        <v/>
      </c>
      <c r="F69" s="128" t="str">
        <f>IF(Produits!F69="","",Produits!F69)</f>
        <v>1 pcs</v>
      </c>
      <c r="J69" s="135" t="str">
        <f>IF($J$1="","",HLOOKUP($J$1,$M$1:$AAV$1000,69,0))</f>
        <v/>
      </c>
    </row>
    <row r="70" spans="1:10" x14ac:dyDescent="0.25">
      <c r="A70" s="127" t="str">
        <f>IF(Produits!A70="","",Produits!A70)</f>
        <v xml:space="preserve">Rail R </v>
      </c>
      <c r="B70" s="127" t="str">
        <f>IF(Produits!B70="","",Produits!B70)</f>
        <v>BRUT</v>
      </c>
      <c r="C70" s="127" t="str">
        <f>IF(Produits!C70="","",Produits!C70)</f>
        <v>1000,00,0067</v>
      </c>
      <c r="D70" s="127" t="str">
        <f>IF(Produits!D70="","",Produits!D70)</f>
        <v>AA191</v>
      </c>
      <c r="E70" s="127" t="str">
        <f>IF(Produits!E70="","",Produits!E70)</f>
        <v/>
      </c>
      <c r="F70" s="128" t="str">
        <f>IF(Produits!F70="","",Produits!F70)</f>
        <v>1 pcs</v>
      </c>
      <c r="J70" s="135" t="str">
        <f>IF($J$1="","",HLOOKUP($J$1,$M$1:$AAV$1000,70,0))</f>
        <v/>
      </c>
    </row>
    <row r="71" spans="1:10" x14ac:dyDescent="0.25">
      <c r="A71" s="127" t="str">
        <f>IF(Produits!A71="","",Produits!A71)</f>
        <v xml:space="preserve">Rail R </v>
      </c>
      <c r="B71" s="127" t="str">
        <f>IF(Produits!B71="","",Produits!B71)</f>
        <v>BRUT</v>
      </c>
      <c r="C71" s="127" t="str">
        <f>IF(Produits!C71="","",Produits!C71)</f>
        <v>1000,00,0068</v>
      </c>
      <c r="D71" s="127" t="str">
        <f>IF(Produits!D71="","",Produits!D71)</f>
        <v>AA192</v>
      </c>
      <c r="E71" s="127" t="str">
        <f>IF(Produits!E71="","",Produits!E71)</f>
        <v/>
      </c>
      <c r="F71" s="128" t="str">
        <f>IF(Produits!F71="","",Produits!F71)</f>
        <v>1 pcs</v>
      </c>
      <c r="J71" s="135" t="str">
        <f>IF($J$1="","",HLOOKUP($J$1,$M$1:$AAV$1000,71,0))</f>
        <v/>
      </c>
    </row>
    <row r="72" spans="1:10" x14ac:dyDescent="0.25">
      <c r="A72" s="127" t="str">
        <f>IF(Produits!A72="","",Produits!A72)</f>
        <v xml:space="preserve">Rail R </v>
      </c>
      <c r="B72" s="127" t="str">
        <f>IF(Produits!B72="","",Produits!B72)</f>
        <v>BRUT</v>
      </c>
      <c r="C72" s="127" t="str">
        <f>IF(Produits!C72="","",Produits!C72)</f>
        <v>1000,00,0069</v>
      </c>
      <c r="D72" s="127" t="str">
        <f>IF(Produits!D72="","",Produits!D72)</f>
        <v>AA193</v>
      </c>
      <c r="E72" s="127" t="str">
        <f>IF(Produits!E72="","",Produits!E72)</f>
        <v/>
      </c>
      <c r="F72" s="128" t="str">
        <f>IF(Produits!F72="","",Produits!F72)</f>
        <v>1 pcs</v>
      </c>
      <c r="J72" s="135" t="str">
        <f>IF($J$1="","",HLOOKUP($J$1,$M$1:$AAV$1000,72,0))</f>
        <v/>
      </c>
    </row>
    <row r="73" spans="1:10" x14ac:dyDescent="0.25">
      <c r="A73" s="127" t="str">
        <f>IF(Produits!A73="","",Produits!A73)</f>
        <v xml:space="preserve">Rail R </v>
      </c>
      <c r="B73" s="127" t="str">
        <f>IF(Produits!B73="","",Produits!B73)</f>
        <v>BRUT</v>
      </c>
      <c r="C73" s="127" t="str">
        <f>IF(Produits!C73="","",Produits!C73)</f>
        <v>1000,00,0070</v>
      </c>
      <c r="D73" s="127" t="str">
        <f>IF(Produits!D73="","",Produits!D73)</f>
        <v>AA194</v>
      </c>
      <c r="E73" s="127" t="str">
        <f>IF(Produits!E73="","",Produits!E73)</f>
        <v/>
      </c>
      <c r="F73" s="128" t="str">
        <f>IF(Produits!F73="","",Produits!F73)</f>
        <v>1 pcs</v>
      </c>
      <c r="J73" s="135" t="str">
        <f>IF($J$1="","",HLOOKUP($J$1,$M$1:$AAV$1000,73,0))</f>
        <v/>
      </c>
    </row>
    <row r="74" spans="1:10" x14ac:dyDescent="0.25">
      <c r="A74" s="127" t="str">
        <f>IF(Produits!A74="","",Produits!A74)</f>
        <v xml:space="preserve">Rail R </v>
      </c>
      <c r="B74" s="127" t="str">
        <f>IF(Produits!B74="","",Produits!B74)</f>
        <v>BRUT</v>
      </c>
      <c r="C74" s="127" t="str">
        <f>IF(Produits!C74="","",Produits!C74)</f>
        <v>1000,00,0071</v>
      </c>
      <c r="D74" s="127" t="str">
        <f>IF(Produits!D74="","",Produits!D74)</f>
        <v>AA195</v>
      </c>
      <c r="E74" s="127" t="str">
        <f>IF(Produits!E74="","",Produits!E74)</f>
        <v/>
      </c>
      <c r="F74" s="128" t="str">
        <f>IF(Produits!F74="","",Produits!F74)</f>
        <v>1 pcs</v>
      </c>
      <c r="J74" s="135" t="str">
        <f>IF($J$1="","",HLOOKUP($J$1,$M$1:$AAV$1000,74,0))</f>
        <v/>
      </c>
    </row>
    <row r="75" spans="1:10" x14ac:dyDescent="0.25">
      <c r="A75" s="127" t="str">
        <f>IF(Produits!A75="","",Produits!A75)</f>
        <v xml:space="preserve">Rail R </v>
      </c>
      <c r="B75" s="127" t="str">
        <f>IF(Produits!B75="","",Produits!B75)</f>
        <v>BRUT</v>
      </c>
      <c r="C75" s="127" t="str">
        <f>IF(Produits!C75="","",Produits!C75)</f>
        <v>1000,00,0072</v>
      </c>
      <c r="D75" s="127" t="str">
        <f>IF(Produits!D75="","",Produits!D75)</f>
        <v>AA196</v>
      </c>
      <c r="E75" s="127" t="str">
        <f>IF(Produits!E75="","",Produits!E75)</f>
        <v/>
      </c>
      <c r="F75" s="128" t="str">
        <f>IF(Produits!F75="","",Produits!F75)</f>
        <v>1 pcs</v>
      </c>
      <c r="J75" s="135" t="str">
        <f>IF($J$1="","",HLOOKUP($J$1,$M$1:$AAV$1000,75,0))</f>
        <v/>
      </c>
    </row>
    <row r="76" spans="1:10" x14ac:dyDescent="0.25">
      <c r="A76" s="127" t="str">
        <f>IF(Produits!A76="","",Produits!A76)</f>
        <v>Rail K</v>
      </c>
      <c r="B76" s="127" t="str">
        <f>IF(Produits!B76="","",Produits!B76)</f>
        <v>RAL 9010</v>
      </c>
      <c r="C76" s="127" t="str">
        <f>IF(Produits!C76="","",Produits!C76)</f>
        <v>1000,00,0073</v>
      </c>
      <c r="D76" s="127" t="str">
        <f>IF(Produits!D76="","",Produits!D76)</f>
        <v>AA197</v>
      </c>
      <c r="E76" s="127" t="str">
        <f>IF(Produits!E76="","",Produits!E76)</f>
        <v/>
      </c>
      <c r="F76" s="128" t="str">
        <f>IF(Produits!F76="","",Produits!F76)</f>
        <v>3 m</v>
      </c>
      <c r="J76" s="135" t="str">
        <f>IF($J$1="","",HLOOKUP($J$1,$M$1:$AAV$1000,76,0))</f>
        <v/>
      </c>
    </row>
    <row r="77" spans="1:10" x14ac:dyDescent="0.25">
      <c r="A77" s="127" t="str">
        <f>IF(Produits!A77="","",Produits!A77)</f>
        <v>Rail K</v>
      </c>
      <c r="B77" s="127" t="str">
        <f>IF(Produits!B77="","",Produits!B77)</f>
        <v>RAL 9010</v>
      </c>
      <c r="C77" s="127" t="str">
        <f>IF(Produits!C77="","",Produits!C77)</f>
        <v>1000,00,0074</v>
      </c>
      <c r="D77" s="127" t="str">
        <f>IF(Produits!D77="","",Produits!D77)</f>
        <v>AA198</v>
      </c>
      <c r="E77" s="127" t="str">
        <f>IF(Produits!E77="","",Produits!E77)</f>
        <v/>
      </c>
      <c r="F77" s="128" t="str">
        <f>IF(Produits!F77="","",Produits!F77)</f>
        <v>1 pcs</v>
      </c>
      <c r="J77" s="135" t="str">
        <f>IF($J$1="","",HLOOKUP($J$1,$M$1:$AAV$1000,77,0))</f>
        <v/>
      </c>
    </row>
    <row r="78" spans="1:10" x14ac:dyDescent="0.25">
      <c r="A78" s="127" t="str">
        <f>IF(Produits!A78="","",Produits!A78)</f>
        <v>Rail K</v>
      </c>
      <c r="B78" s="127" t="str">
        <f>IF(Produits!B78="","",Produits!B78)</f>
        <v>RAL 9010</v>
      </c>
      <c r="C78" s="127" t="str">
        <f>IF(Produits!C78="","",Produits!C78)</f>
        <v>1000,00,0075</v>
      </c>
      <c r="D78" s="127" t="str">
        <f>IF(Produits!D78="","",Produits!D78)</f>
        <v>AA199</v>
      </c>
      <c r="E78" s="127" t="str">
        <f>IF(Produits!E78="","",Produits!E78)</f>
        <v/>
      </c>
      <c r="F78" s="128" t="str">
        <f>IF(Produits!F78="","",Produits!F78)</f>
        <v>1 pcs</v>
      </c>
      <c r="J78" s="135" t="str">
        <f>IF($J$1="","",HLOOKUP($J$1,$M$1:$AAV$1000,78,0))</f>
        <v/>
      </c>
    </row>
    <row r="79" spans="1:10" x14ac:dyDescent="0.25">
      <c r="A79" s="127" t="str">
        <f>IF(Produits!A79="","",Produits!A79)</f>
        <v>Rail K</v>
      </c>
      <c r="B79" s="127" t="str">
        <f>IF(Produits!B79="","",Produits!B79)</f>
        <v>RAL 9010</v>
      </c>
      <c r="C79" s="127" t="str">
        <f>IF(Produits!C79="","",Produits!C79)</f>
        <v>1000,00,0076</v>
      </c>
      <c r="D79" s="127" t="str">
        <f>IF(Produits!D79="","",Produits!D79)</f>
        <v>AA200</v>
      </c>
      <c r="E79" s="127" t="str">
        <f>IF(Produits!E79="","",Produits!E79)</f>
        <v/>
      </c>
      <c r="F79" s="128" t="str">
        <f>IF(Produits!F79="","",Produits!F79)</f>
        <v>1 pcs</v>
      </c>
      <c r="J79" s="135" t="str">
        <f>IF($J$1="","",HLOOKUP($J$1,$M$1:$AAV$1000,79,0))</f>
        <v/>
      </c>
    </row>
    <row r="80" spans="1:10" x14ac:dyDescent="0.25">
      <c r="A80" s="127" t="str">
        <f>IF(Produits!A80="","",Produits!A80)</f>
        <v>Rail K</v>
      </c>
      <c r="B80" s="127" t="str">
        <f>IF(Produits!B80="","",Produits!B80)</f>
        <v>RAL 9010</v>
      </c>
      <c r="C80" s="127" t="str">
        <f>IF(Produits!C80="","",Produits!C80)</f>
        <v>1000,00,0077</v>
      </c>
      <c r="D80" s="127" t="str">
        <f>IF(Produits!D80="","",Produits!D80)</f>
        <v>AA201</v>
      </c>
      <c r="E80" s="127" t="str">
        <f>IF(Produits!E80="","",Produits!E80)</f>
        <v/>
      </c>
      <c r="F80" s="128" t="str">
        <f>IF(Produits!F80="","",Produits!F80)</f>
        <v>1 pcs</v>
      </c>
      <c r="J80" s="135" t="str">
        <f>IF($J$1="","",HLOOKUP($J$1,$M$1:$AAV$1000,80,0))</f>
        <v/>
      </c>
    </row>
    <row r="81" spans="1:10" x14ac:dyDescent="0.25">
      <c r="A81" s="127" t="str">
        <f>IF(Produits!A81="","",Produits!A81)</f>
        <v>Rail K</v>
      </c>
      <c r="B81" s="127" t="str">
        <f>IF(Produits!B81="","",Produits!B81)</f>
        <v>RAL 9010</v>
      </c>
      <c r="C81" s="127" t="str">
        <f>IF(Produits!C81="","",Produits!C81)</f>
        <v>1000,00,0078</v>
      </c>
      <c r="D81" s="127" t="str">
        <f>IF(Produits!D81="","",Produits!D81)</f>
        <v>AA202</v>
      </c>
      <c r="E81" s="127" t="str">
        <f>IF(Produits!E81="","",Produits!E81)</f>
        <v/>
      </c>
      <c r="F81" s="128" t="str">
        <f>IF(Produits!F81="","",Produits!F81)</f>
        <v>1 pcs</v>
      </c>
      <c r="J81" s="135" t="str">
        <f>IF($J$1="","",HLOOKUP($J$1,$M$1:$AAV$1000,81,0))</f>
        <v/>
      </c>
    </row>
    <row r="82" spans="1:10" x14ac:dyDescent="0.25">
      <c r="A82" s="127" t="str">
        <f>IF(Produits!A82="","",Produits!A82)</f>
        <v>Rail K</v>
      </c>
      <c r="B82" s="127" t="str">
        <f>IF(Produits!B82="","",Produits!B82)</f>
        <v>RAL 9010</v>
      </c>
      <c r="C82" s="127" t="str">
        <f>IF(Produits!C82="","",Produits!C82)</f>
        <v>1000,00,0079</v>
      </c>
      <c r="D82" s="127" t="str">
        <f>IF(Produits!D82="","",Produits!D82)</f>
        <v>AA203</v>
      </c>
      <c r="E82" s="127" t="str">
        <f>IF(Produits!E82="","",Produits!E82)</f>
        <v/>
      </c>
      <c r="F82" s="128" t="str">
        <f>IF(Produits!F82="","",Produits!F82)</f>
        <v>1 pcs</v>
      </c>
      <c r="J82" s="135" t="str">
        <f>IF($J$1="","",HLOOKUP($J$1,$M$1:$AAV$1000,82,0))</f>
        <v/>
      </c>
    </row>
    <row r="83" spans="1:10" x14ac:dyDescent="0.25">
      <c r="A83" s="127" t="str">
        <f>IF(Produits!A83="","",Produits!A83)</f>
        <v>Rail K</v>
      </c>
      <c r="B83" s="127" t="str">
        <f>IF(Produits!B83="","",Produits!B83)</f>
        <v>RAL 9010</v>
      </c>
      <c r="C83" s="127" t="str">
        <f>IF(Produits!C83="","",Produits!C83)</f>
        <v>1000,00,0080</v>
      </c>
      <c r="D83" s="127" t="str">
        <f>IF(Produits!D83="","",Produits!D83)</f>
        <v>AA204</v>
      </c>
      <c r="E83" s="127" t="str">
        <f>IF(Produits!E83="","",Produits!E83)</f>
        <v/>
      </c>
      <c r="F83" s="128" t="str">
        <f>IF(Produits!F83="","",Produits!F83)</f>
        <v>1 pcs</v>
      </c>
      <c r="J83" s="135" t="str">
        <f>IF($J$1="","",HLOOKUP($J$1,$M$1:$AAV$1000,83,0))</f>
        <v/>
      </c>
    </row>
    <row r="84" spans="1:10" x14ac:dyDescent="0.25">
      <c r="A84" s="127" t="str">
        <f>IF(Produits!A84="","",Produits!A84)</f>
        <v>Rail K</v>
      </c>
      <c r="B84" s="127" t="str">
        <f>IF(Produits!B84="","",Produits!B84)</f>
        <v>RAL 9010</v>
      </c>
      <c r="C84" s="127" t="str">
        <f>IF(Produits!C84="","",Produits!C84)</f>
        <v>1000,00,0081</v>
      </c>
      <c r="D84" s="127" t="str">
        <f>IF(Produits!D84="","",Produits!D84)</f>
        <v>AA205</v>
      </c>
      <c r="E84" s="127" t="str">
        <f>IF(Produits!E84="","",Produits!E84)</f>
        <v/>
      </c>
      <c r="F84" s="128" t="str">
        <f>IF(Produits!F84="","",Produits!F84)</f>
        <v>1 pcs</v>
      </c>
      <c r="J84" s="135" t="str">
        <f>IF($J$1="","",HLOOKUP($J$1,$M$1:$AAV$1000,84,0))</f>
        <v/>
      </c>
    </row>
    <row r="85" spans="1:10" x14ac:dyDescent="0.25">
      <c r="A85" s="127" t="str">
        <f>IF(Produits!A85="","",Produits!A85)</f>
        <v>Rail K</v>
      </c>
      <c r="B85" s="127" t="str">
        <f>IF(Produits!B85="","",Produits!B85)</f>
        <v>RAL 9010</v>
      </c>
      <c r="C85" s="127" t="str">
        <f>IF(Produits!C85="","",Produits!C85)</f>
        <v>1000,00,0082</v>
      </c>
      <c r="D85" s="127" t="str">
        <f>IF(Produits!D85="","",Produits!D85)</f>
        <v>AA206</v>
      </c>
      <c r="E85" s="127" t="str">
        <f>IF(Produits!E85="","",Produits!E85)</f>
        <v/>
      </c>
      <c r="F85" s="128" t="str">
        <f>IF(Produits!F85="","",Produits!F85)</f>
        <v>1 pcs</v>
      </c>
      <c r="J85" s="135" t="str">
        <f>IF($J$1="","",HLOOKUP($J$1,$M$1:$AAV$1000,85,0))</f>
        <v/>
      </c>
    </row>
    <row r="86" spans="1:10" x14ac:dyDescent="0.25">
      <c r="A86" s="127" t="str">
        <f>IF(Produits!A86="","",Produits!A86)</f>
        <v>Rail K</v>
      </c>
      <c r="B86" s="127" t="str">
        <f>IF(Produits!B86="","",Produits!B86)</f>
        <v>RAL 9010</v>
      </c>
      <c r="C86" s="127" t="str">
        <f>IF(Produits!C86="","",Produits!C86)</f>
        <v>1000,00,0083</v>
      </c>
      <c r="D86" s="127" t="str">
        <f>IF(Produits!D86="","",Produits!D86)</f>
        <v>AA207</v>
      </c>
      <c r="E86" s="127" t="str">
        <f>IF(Produits!E86="","",Produits!E86)</f>
        <v/>
      </c>
      <c r="F86" s="128" t="str">
        <f>IF(Produits!F86="","",Produits!F86)</f>
        <v>1 pcs</v>
      </c>
      <c r="J86" s="135" t="str">
        <f>IF($J$1="","",HLOOKUP($J$1,$M$1:$AAV$1000,86,0))</f>
        <v/>
      </c>
    </row>
    <row r="87" spans="1:10" x14ac:dyDescent="0.25">
      <c r="A87" s="127" t="str">
        <f>IF(Produits!A87="","",Produits!A87)</f>
        <v>Rail K</v>
      </c>
      <c r="B87" s="127" t="str">
        <f>IF(Produits!B87="","",Produits!B87)</f>
        <v>RAL 9010</v>
      </c>
      <c r="C87" s="127" t="str">
        <f>IF(Produits!C87="","",Produits!C87)</f>
        <v>1000,00,0084</v>
      </c>
      <c r="D87" s="127" t="str">
        <f>IF(Produits!D87="","",Produits!D87)</f>
        <v>AA208</v>
      </c>
      <c r="E87" s="127" t="str">
        <f>IF(Produits!E87="","",Produits!E87)</f>
        <v/>
      </c>
      <c r="F87" s="128" t="str">
        <f>IF(Produits!F87="","",Produits!F87)</f>
        <v>1 pcs</v>
      </c>
      <c r="J87" s="135" t="str">
        <f>IF($J$1="","",HLOOKUP($J$1,$M$1:$AAV$1000,87,0))</f>
        <v/>
      </c>
    </row>
    <row r="88" spans="1:10" x14ac:dyDescent="0.25">
      <c r="A88" s="127" t="str">
        <f>IF(Produits!A88="","",Produits!A88)</f>
        <v>Rail K</v>
      </c>
      <c r="B88" s="127" t="str">
        <f>IF(Produits!B88="","",Produits!B88)</f>
        <v>RAL 9010</v>
      </c>
      <c r="C88" s="127" t="str">
        <f>IF(Produits!C88="","",Produits!C88)</f>
        <v>1000,00,0085</v>
      </c>
      <c r="D88" s="127" t="str">
        <f>IF(Produits!D88="","",Produits!D88)</f>
        <v>AA209</v>
      </c>
      <c r="E88" s="127" t="str">
        <f>IF(Produits!E88="","",Produits!E88)</f>
        <v/>
      </c>
      <c r="F88" s="128" t="str">
        <f>IF(Produits!F88="","",Produits!F88)</f>
        <v>1 pcs</v>
      </c>
      <c r="J88" s="135" t="str">
        <f>IF($J$1="","",HLOOKUP($J$1,$M$1:$AAV$1000,88,0))</f>
        <v/>
      </c>
    </row>
    <row r="89" spans="1:10" x14ac:dyDescent="0.25">
      <c r="A89" s="127" t="str">
        <f>IF(Produits!A89="","",Produits!A89)</f>
        <v>Rail K</v>
      </c>
      <c r="B89" s="127" t="str">
        <f>IF(Produits!B89="","",Produits!B89)</f>
        <v>RAL 9003</v>
      </c>
      <c r="C89" s="127" t="str">
        <f>IF(Produits!C89="","",Produits!C89)</f>
        <v>1000,00,0086</v>
      </c>
      <c r="D89" s="127" t="str">
        <f>IF(Produits!D89="","",Produits!D89)</f>
        <v>AA210</v>
      </c>
      <c r="E89" s="127" t="str">
        <f>IF(Produits!E89="","",Produits!E89)</f>
        <v/>
      </c>
      <c r="F89" s="128" t="str">
        <f>IF(Produits!F89="","",Produits!F89)</f>
        <v>3 m</v>
      </c>
      <c r="J89" s="135" t="str">
        <f>IF($J$1="","",HLOOKUP($J$1,$M$1:$AAV$1000,89,0))</f>
        <v/>
      </c>
    </row>
    <row r="90" spans="1:10" x14ac:dyDescent="0.25">
      <c r="A90" s="127" t="str">
        <f>IF(Produits!A90="","",Produits!A90)</f>
        <v>Rail K</v>
      </c>
      <c r="B90" s="127" t="str">
        <f>IF(Produits!B90="","",Produits!B90)</f>
        <v>RAL 9003</v>
      </c>
      <c r="C90" s="127" t="str">
        <f>IF(Produits!C90="","",Produits!C90)</f>
        <v>1000,00,0087</v>
      </c>
      <c r="D90" s="127" t="str">
        <f>IF(Produits!D90="","",Produits!D90)</f>
        <v>AA211</v>
      </c>
      <c r="E90" s="127" t="str">
        <f>IF(Produits!E90="","",Produits!E90)</f>
        <v/>
      </c>
      <c r="F90" s="128" t="str">
        <f>IF(Produits!F90="","",Produits!F90)</f>
        <v>1 pcs</v>
      </c>
      <c r="J90" s="135" t="str">
        <f>IF($J$1="","",HLOOKUP($J$1,$M$1:$AAV$1000,90,0))</f>
        <v/>
      </c>
    </row>
    <row r="91" spans="1:10" x14ac:dyDescent="0.25">
      <c r="A91" s="127" t="str">
        <f>IF(Produits!A91="","",Produits!A91)</f>
        <v>Rail K</v>
      </c>
      <c r="B91" s="127" t="str">
        <f>IF(Produits!B91="","",Produits!B91)</f>
        <v>RAL 9003</v>
      </c>
      <c r="C91" s="127" t="str">
        <f>IF(Produits!C91="","",Produits!C91)</f>
        <v>1000,00,0088</v>
      </c>
      <c r="D91" s="127" t="str">
        <f>IF(Produits!D91="","",Produits!D91)</f>
        <v>AA212</v>
      </c>
      <c r="E91" s="127" t="str">
        <f>IF(Produits!E91="","",Produits!E91)</f>
        <v/>
      </c>
      <c r="F91" s="128" t="str">
        <f>IF(Produits!F91="","",Produits!F91)</f>
        <v>1 pcs</v>
      </c>
      <c r="J91" s="135" t="str">
        <f>IF($J$1="","",HLOOKUP($J$1,$M$1:$AAV$1000,91,0))</f>
        <v/>
      </c>
    </row>
    <row r="92" spans="1:10" x14ac:dyDescent="0.25">
      <c r="A92" s="127" t="str">
        <f>IF(Produits!A92="","",Produits!A92)</f>
        <v>Rail K</v>
      </c>
      <c r="B92" s="127" t="str">
        <f>IF(Produits!B92="","",Produits!B92)</f>
        <v>RAL 9003</v>
      </c>
      <c r="C92" s="127" t="str">
        <f>IF(Produits!C92="","",Produits!C92)</f>
        <v>1000,00,0089</v>
      </c>
      <c r="D92" s="127" t="str">
        <f>IF(Produits!D92="","",Produits!D92)</f>
        <v>AA213</v>
      </c>
      <c r="E92" s="127" t="str">
        <f>IF(Produits!E92="","",Produits!E92)</f>
        <v/>
      </c>
      <c r="F92" s="128" t="str">
        <f>IF(Produits!F92="","",Produits!F92)</f>
        <v>1 pcs</v>
      </c>
      <c r="J92" s="135" t="str">
        <f>IF($J$1="","",HLOOKUP($J$1,$M$1:$AAV$1000,92,0))</f>
        <v/>
      </c>
    </row>
    <row r="93" spans="1:10" x14ac:dyDescent="0.25">
      <c r="A93" s="127" t="str">
        <f>IF(Produits!A93="","",Produits!A93)</f>
        <v>Rail K</v>
      </c>
      <c r="B93" s="127" t="str">
        <f>IF(Produits!B93="","",Produits!B93)</f>
        <v>RAL 9003</v>
      </c>
      <c r="C93" s="127" t="str">
        <f>IF(Produits!C93="","",Produits!C93)</f>
        <v>1000,00,0090</v>
      </c>
      <c r="D93" s="127" t="str">
        <f>IF(Produits!D93="","",Produits!D93)</f>
        <v>AA214</v>
      </c>
      <c r="E93" s="127" t="str">
        <f>IF(Produits!E93="","",Produits!E93)</f>
        <v/>
      </c>
      <c r="F93" s="128" t="str">
        <f>IF(Produits!F93="","",Produits!F93)</f>
        <v>1 pcs</v>
      </c>
      <c r="J93" s="135" t="str">
        <f>IF($J$1="","",HLOOKUP($J$1,$M$1:$AAV$1000,93,0))</f>
        <v/>
      </c>
    </row>
    <row r="94" spans="1:10" x14ac:dyDescent="0.25">
      <c r="A94" s="127" t="str">
        <f>IF(Produits!A94="","",Produits!A94)</f>
        <v>Rail K</v>
      </c>
      <c r="B94" s="127" t="str">
        <f>IF(Produits!B94="","",Produits!B94)</f>
        <v>RAL 9003</v>
      </c>
      <c r="C94" s="127" t="str">
        <f>IF(Produits!C94="","",Produits!C94)</f>
        <v>1000,00,0091</v>
      </c>
      <c r="D94" s="127" t="str">
        <f>IF(Produits!D94="","",Produits!D94)</f>
        <v>AA215</v>
      </c>
      <c r="E94" s="127" t="str">
        <f>IF(Produits!E94="","",Produits!E94)</f>
        <v/>
      </c>
      <c r="F94" s="128" t="str">
        <f>IF(Produits!F94="","",Produits!F94)</f>
        <v>1 pcs</v>
      </c>
      <c r="J94" s="135" t="str">
        <f>IF($J$1="","",HLOOKUP($J$1,$M$1:$AAV$1000,94,0))</f>
        <v/>
      </c>
    </row>
    <row r="95" spans="1:10" x14ac:dyDescent="0.25">
      <c r="A95" s="127" t="str">
        <f>IF(Produits!A95="","",Produits!A95)</f>
        <v>Rail K</v>
      </c>
      <c r="B95" s="127" t="str">
        <f>IF(Produits!B95="","",Produits!B95)</f>
        <v>RAL 9003</v>
      </c>
      <c r="C95" s="127" t="str">
        <f>IF(Produits!C95="","",Produits!C95)</f>
        <v>1000,00,0092</v>
      </c>
      <c r="D95" s="127" t="str">
        <f>IF(Produits!D95="","",Produits!D95)</f>
        <v>AA216</v>
      </c>
      <c r="E95" s="127" t="str">
        <f>IF(Produits!E95="","",Produits!E95)</f>
        <v/>
      </c>
      <c r="F95" s="128" t="str">
        <f>IF(Produits!F95="","",Produits!F95)</f>
        <v>1 pcs</v>
      </c>
      <c r="J95" s="135" t="str">
        <f>IF($J$1="","",HLOOKUP($J$1,$M$1:$AAV$1000,95,0))</f>
        <v/>
      </c>
    </row>
    <row r="96" spans="1:10" x14ac:dyDescent="0.25">
      <c r="A96" s="127" t="str">
        <f>IF(Produits!A96="","",Produits!A96)</f>
        <v>Rail K</v>
      </c>
      <c r="B96" s="127" t="str">
        <f>IF(Produits!B96="","",Produits!B96)</f>
        <v>RAL 9003</v>
      </c>
      <c r="C96" s="127" t="str">
        <f>IF(Produits!C96="","",Produits!C96)</f>
        <v>1000,00,0093</v>
      </c>
      <c r="D96" s="127" t="str">
        <f>IF(Produits!D96="","",Produits!D96)</f>
        <v>AA217</v>
      </c>
      <c r="E96" s="127" t="str">
        <f>IF(Produits!E96="","",Produits!E96)</f>
        <v/>
      </c>
      <c r="F96" s="128" t="str">
        <f>IF(Produits!F96="","",Produits!F96)</f>
        <v>1 pcs</v>
      </c>
      <c r="J96" s="135" t="str">
        <f>IF($J$1="","",HLOOKUP($J$1,$M$1:$AAV$1000,96,0))</f>
        <v/>
      </c>
    </row>
    <row r="97" spans="1:10" x14ac:dyDescent="0.25">
      <c r="A97" s="127" t="str">
        <f>IF(Produits!A97="","",Produits!A97)</f>
        <v>Rail K</v>
      </c>
      <c r="B97" s="127" t="str">
        <f>IF(Produits!B97="","",Produits!B97)</f>
        <v>RAL 9003</v>
      </c>
      <c r="C97" s="127" t="str">
        <f>IF(Produits!C97="","",Produits!C97)</f>
        <v>1000,00,0094</v>
      </c>
      <c r="D97" s="127" t="str">
        <f>IF(Produits!D97="","",Produits!D97)</f>
        <v>AA218</v>
      </c>
      <c r="E97" s="127" t="str">
        <f>IF(Produits!E97="","",Produits!E97)</f>
        <v/>
      </c>
      <c r="F97" s="128" t="str">
        <f>IF(Produits!F97="","",Produits!F97)</f>
        <v>1 pcs</v>
      </c>
      <c r="J97" s="135" t="str">
        <f>IF($J$1="","",HLOOKUP($J$1,$M$1:$AAV$1000,97,0))</f>
        <v/>
      </c>
    </row>
    <row r="98" spans="1:10" x14ac:dyDescent="0.25">
      <c r="A98" s="127" t="str">
        <f>IF(Produits!A98="","",Produits!A98)</f>
        <v>Rail K</v>
      </c>
      <c r="B98" s="127" t="str">
        <f>IF(Produits!B98="","",Produits!B98)</f>
        <v>RAL 9003</v>
      </c>
      <c r="C98" s="127" t="str">
        <f>IF(Produits!C98="","",Produits!C98)</f>
        <v>1000,00,0095</v>
      </c>
      <c r="D98" s="127" t="str">
        <f>IF(Produits!D98="","",Produits!D98)</f>
        <v>AA219</v>
      </c>
      <c r="E98" s="127" t="str">
        <f>IF(Produits!E98="","",Produits!E98)</f>
        <v/>
      </c>
      <c r="F98" s="128" t="str">
        <f>IF(Produits!F98="","",Produits!F98)</f>
        <v>1 pcs</v>
      </c>
      <c r="J98" s="135" t="str">
        <f>IF($J$1="","",HLOOKUP($J$1,$M$1:$AAV$1000,98,0))</f>
        <v/>
      </c>
    </row>
    <row r="99" spans="1:10" x14ac:dyDescent="0.25">
      <c r="A99" s="127" t="str">
        <f>IF(Produits!A99="","",Produits!A99)</f>
        <v>Rail K</v>
      </c>
      <c r="B99" s="127" t="str">
        <f>IF(Produits!B99="","",Produits!B99)</f>
        <v>RAL 9003</v>
      </c>
      <c r="C99" s="127" t="str">
        <f>IF(Produits!C99="","",Produits!C99)</f>
        <v>1000,00,0096</v>
      </c>
      <c r="D99" s="127" t="str">
        <f>IF(Produits!D99="","",Produits!D99)</f>
        <v>AA220</v>
      </c>
      <c r="E99" s="127" t="str">
        <f>IF(Produits!E99="","",Produits!E99)</f>
        <v/>
      </c>
      <c r="F99" s="128" t="str">
        <f>IF(Produits!F99="","",Produits!F99)</f>
        <v>1 pcs</v>
      </c>
      <c r="J99" s="135" t="str">
        <f>IF($J$1="","",HLOOKUP($J$1,$M$1:$AAV$1000,99,0))</f>
        <v/>
      </c>
    </row>
    <row r="100" spans="1:10" x14ac:dyDescent="0.25">
      <c r="A100" s="127" t="str">
        <f>IF(Produits!A100="","",Produits!A100)</f>
        <v>Rail K</v>
      </c>
      <c r="B100" s="127" t="str">
        <f>IF(Produits!B100="","",Produits!B100)</f>
        <v>RAL 9003</v>
      </c>
      <c r="C100" s="127" t="str">
        <f>IF(Produits!C100="","",Produits!C100)</f>
        <v>1000,00,0097</v>
      </c>
      <c r="D100" s="127" t="str">
        <f>IF(Produits!D100="","",Produits!D100)</f>
        <v>AA221</v>
      </c>
      <c r="E100" s="127" t="str">
        <f>IF(Produits!E100="","",Produits!E100)</f>
        <v/>
      </c>
      <c r="F100" s="128" t="str">
        <f>IF(Produits!F100="","",Produits!F100)</f>
        <v>1 pcs</v>
      </c>
      <c r="J100" s="135" t="str">
        <f>IF($J$1="","",HLOOKUP($J$1,$M$1:$AAV$1000,100,0))</f>
        <v/>
      </c>
    </row>
    <row r="101" spans="1:10" x14ac:dyDescent="0.25">
      <c r="A101" s="127" t="str">
        <f>IF(Produits!A101="","",Produits!A101)</f>
        <v>Rail K</v>
      </c>
      <c r="B101" s="127" t="str">
        <f>IF(Produits!B101="","",Produits!B101)</f>
        <v>RAL 9003</v>
      </c>
      <c r="C101" s="127" t="str">
        <f>IF(Produits!C101="","",Produits!C101)</f>
        <v>1000,00,0098</v>
      </c>
      <c r="D101" s="127" t="str">
        <f>IF(Produits!D101="","",Produits!D101)</f>
        <v>AA222</v>
      </c>
      <c r="E101" s="127" t="str">
        <f>IF(Produits!E101="","",Produits!E101)</f>
        <v/>
      </c>
      <c r="F101" s="128" t="str">
        <f>IF(Produits!F101="","",Produits!F101)</f>
        <v>1 pcs</v>
      </c>
      <c r="J101" s="135" t="str">
        <f>IF($J$1="","",HLOOKUP($J$1,$M$1:$AAV$1000,101,0))</f>
        <v/>
      </c>
    </row>
    <row r="102" spans="1:10" x14ac:dyDescent="0.25">
      <c r="A102" s="127" t="str">
        <f>IF(Produits!A102="","",Produits!A102)</f>
        <v>Rail K</v>
      </c>
      <c r="B102" s="127" t="str">
        <f>IF(Produits!B102="","",Produits!B102)</f>
        <v>BRUT</v>
      </c>
      <c r="C102" s="127" t="str">
        <f>IF(Produits!C102="","",Produits!C102)</f>
        <v>1000,00,0099</v>
      </c>
      <c r="D102" s="127" t="str">
        <f>IF(Produits!D102="","",Produits!D102)</f>
        <v>AA223</v>
      </c>
      <c r="E102" s="127" t="str">
        <f>IF(Produits!E102="","",Produits!E102)</f>
        <v/>
      </c>
      <c r="F102" s="128" t="str">
        <f>IF(Produits!F102="","",Produits!F102)</f>
        <v>3 m</v>
      </c>
      <c r="J102" s="135" t="str">
        <f>IF($J$1="","",HLOOKUP($J$1,$M$1:$AAV$1000,102,0))</f>
        <v/>
      </c>
    </row>
    <row r="103" spans="1:10" x14ac:dyDescent="0.25">
      <c r="A103" s="127" t="str">
        <f>IF(Produits!A103="","",Produits!A103)</f>
        <v>Rail K</v>
      </c>
      <c r="B103" s="127" t="str">
        <f>IF(Produits!B103="","",Produits!B103)</f>
        <v>BRUT</v>
      </c>
      <c r="C103" s="127" t="str">
        <f>IF(Produits!C103="","",Produits!C103)</f>
        <v>1000,00,0100</v>
      </c>
      <c r="D103" s="127" t="str">
        <f>IF(Produits!D103="","",Produits!D103)</f>
        <v>AA224</v>
      </c>
      <c r="E103" s="127" t="str">
        <f>IF(Produits!E103="","",Produits!E103)</f>
        <v/>
      </c>
      <c r="F103" s="128" t="str">
        <f>IF(Produits!F103="","",Produits!F103)</f>
        <v>1 pcs</v>
      </c>
      <c r="J103" s="135" t="str">
        <f>IF($J$1="","",HLOOKUP($J$1,$M$1:$AAV$1000,103,0))</f>
        <v/>
      </c>
    </row>
    <row r="104" spans="1:10" x14ac:dyDescent="0.25">
      <c r="A104" s="127" t="str">
        <f>IF(Produits!A104="","",Produits!A104)</f>
        <v>Rail K</v>
      </c>
      <c r="B104" s="127" t="str">
        <f>IF(Produits!B104="","",Produits!B104)</f>
        <v>BRUT</v>
      </c>
      <c r="C104" s="127" t="str">
        <f>IF(Produits!C104="","",Produits!C104)</f>
        <v>1000,00,0101</v>
      </c>
      <c r="D104" s="127" t="str">
        <f>IF(Produits!D104="","",Produits!D104)</f>
        <v>AA225</v>
      </c>
      <c r="E104" s="127" t="str">
        <f>IF(Produits!E104="","",Produits!E104)</f>
        <v/>
      </c>
      <c r="F104" s="128" t="str">
        <f>IF(Produits!F104="","",Produits!F104)</f>
        <v>1 pcs</v>
      </c>
      <c r="J104" s="135" t="str">
        <f>IF($J$1="","",HLOOKUP($J$1,$M$1:$AAV$1000,104,0))</f>
        <v/>
      </c>
    </row>
    <row r="105" spans="1:10" x14ac:dyDescent="0.25">
      <c r="A105" s="127" t="str">
        <f>IF(Produits!A105="","",Produits!A105)</f>
        <v>Rail K</v>
      </c>
      <c r="B105" s="127" t="str">
        <f>IF(Produits!B105="","",Produits!B105)</f>
        <v>BRUT</v>
      </c>
      <c r="C105" s="127" t="str">
        <f>IF(Produits!C105="","",Produits!C105)</f>
        <v>1000,00,0102</v>
      </c>
      <c r="D105" s="127" t="str">
        <f>IF(Produits!D105="","",Produits!D105)</f>
        <v>AA226</v>
      </c>
      <c r="E105" s="127" t="str">
        <f>IF(Produits!E105="","",Produits!E105)</f>
        <v/>
      </c>
      <c r="F105" s="128" t="str">
        <f>IF(Produits!F105="","",Produits!F105)</f>
        <v>1 pcs</v>
      </c>
      <c r="J105" s="135" t="str">
        <f>IF($J$1="","",HLOOKUP($J$1,$M$1:$AAV$1000,105,0))</f>
        <v/>
      </c>
    </row>
    <row r="106" spans="1:10" x14ac:dyDescent="0.25">
      <c r="A106" s="127" t="str">
        <f>IF(Produits!A106="","",Produits!A106)</f>
        <v>Rail K</v>
      </c>
      <c r="B106" s="127" t="str">
        <f>IF(Produits!B106="","",Produits!B106)</f>
        <v>BRUT</v>
      </c>
      <c r="C106" s="127" t="str">
        <f>IF(Produits!C106="","",Produits!C106)</f>
        <v>1000,00,0103</v>
      </c>
      <c r="D106" s="127" t="str">
        <f>IF(Produits!D106="","",Produits!D106)</f>
        <v>AA227</v>
      </c>
      <c r="E106" s="127" t="str">
        <f>IF(Produits!E106="","",Produits!E106)</f>
        <v/>
      </c>
      <c r="F106" s="128" t="str">
        <f>IF(Produits!F106="","",Produits!F106)</f>
        <v>1 pcs</v>
      </c>
      <c r="J106" s="135" t="str">
        <f>IF($J$1="","",HLOOKUP($J$1,$M$1:$AAV$1000,106,0))</f>
        <v/>
      </c>
    </row>
    <row r="107" spans="1:10" x14ac:dyDescent="0.25">
      <c r="A107" s="127" t="str">
        <f>IF(Produits!A107="","",Produits!A107)</f>
        <v>Rail K</v>
      </c>
      <c r="B107" s="127" t="str">
        <f>IF(Produits!B107="","",Produits!B107)</f>
        <v>BRUT</v>
      </c>
      <c r="C107" s="127" t="str">
        <f>IF(Produits!C107="","",Produits!C107)</f>
        <v>1000,00,0104</v>
      </c>
      <c r="D107" s="127" t="str">
        <f>IF(Produits!D107="","",Produits!D107)</f>
        <v>AA228</v>
      </c>
      <c r="E107" s="127" t="str">
        <f>IF(Produits!E107="","",Produits!E107)</f>
        <v/>
      </c>
      <c r="F107" s="128" t="str">
        <f>IF(Produits!F107="","",Produits!F107)</f>
        <v>1 pcs</v>
      </c>
      <c r="J107" s="135" t="str">
        <f>IF($J$1="","",HLOOKUP($J$1,$M$1:$AAV$1000,107,0))</f>
        <v/>
      </c>
    </row>
    <row r="108" spans="1:10" x14ac:dyDescent="0.25">
      <c r="A108" s="127" t="str">
        <f>IF(Produits!A108="","",Produits!A108)</f>
        <v>Rail K</v>
      </c>
      <c r="B108" s="127" t="str">
        <f>IF(Produits!B108="","",Produits!B108)</f>
        <v>BRUT</v>
      </c>
      <c r="C108" s="127" t="str">
        <f>IF(Produits!C108="","",Produits!C108)</f>
        <v>1000,00,0105</v>
      </c>
      <c r="D108" s="127" t="str">
        <f>IF(Produits!D108="","",Produits!D108)</f>
        <v>AA229</v>
      </c>
      <c r="E108" s="127" t="str">
        <f>IF(Produits!E108="","",Produits!E108)</f>
        <v/>
      </c>
      <c r="F108" s="128" t="str">
        <f>IF(Produits!F108="","",Produits!F108)</f>
        <v>1 pcs</v>
      </c>
      <c r="J108" s="135" t="str">
        <f>IF($J$1="","",HLOOKUP($J$1,$M$1:$AAV$1000,108,0))</f>
        <v/>
      </c>
    </row>
    <row r="109" spans="1:10" x14ac:dyDescent="0.25">
      <c r="A109" s="127" t="str">
        <f>IF(Produits!A109="","",Produits!A109)</f>
        <v>Rail K</v>
      </c>
      <c r="B109" s="127" t="str">
        <f>IF(Produits!B109="","",Produits!B109)</f>
        <v>BRUT</v>
      </c>
      <c r="C109" s="127" t="str">
        <f>IF(Produits!C109="","",Produits!C109)</f>
        <v>1000,00,0106</v>
      </c>
      <c r="D109" s="127" t="str">
        <f>IF(Produits!D109="","",Produits!D109)</f>
        <v>AA230</v>
      </c>
      <c r="E109" s="127" t="str">
        <f>IF(Produits!E109="","",Produits!E109)</f>
        <v/>
      </c>
      <c r="F109" s="128" t="str">
        <f>IF(Produits!F109="","",Produits!F109)</f>
        <v>1 pcs</v>
      </c>
      <c r="J109" s="135" t="str">
        <f>IF($J$1="","",HLOOKUP($J$1,$M$1:$AAV$1000,109,0))</f>
        <v/>
      </c>
    </row>
    <row r="110" spans="1:10" x14ac:dyDescent="0.25">
      <c r="A110" s="127" t="str">
        <f>IF(Produits!A110="","",Produits!A110)</f>
        <v>Rail K</v>
      </c>
      <c r="B110" s="127" t="str">
        <f>IF(Produits!B110="","",Produits!B110)</f>
        <v>BRUT</v>
      </c>
      <c r="C110" s="127" t="str">
        <f>IF(Produits!C110="","",Produits!C110)</f>
        <v>1000,00,0107</v>
      </c>
      <c r="D110" s="127" t="str">
        <f>IF(Produits!D110="","",Produits!D110)</f>
        <v>AA231</v>
      </c>
      <c r="E110" s="127" t="str">
        <f>IF(Produits!E110="","",Produits!E110)</f>
        <v/>
      </c>
      <c r="F110" s="128" t="str">
        <f>IF(Produits!F110="","",Produits!F110)</f>
        <v>1 pcs</v>
      </c>
      <c r="J110" s="135" t="str">
        <f>IF($J$1="","",HLOOKUP($J$1,$M$1:$AAV$1000,110,0))</f>
        <v/>
      </c>
    </row>
    <row r="111" spans="1:10" x14ac:dyDescent="0.25">
      <c r="A111" s="127" t="str">
        <f>IF(Produits!A111="","",Produits!A111)</f>
        <v>Rail K</v>
      </c>
      <c r="B111" s="127" t="str">
        <f>IF(Produits!B111="","",Produits!B111)</f>
        <v>BRUT</v>
      </c>
      <c r="C111" s="127" t="str">
        <f>IF(Produits!C111="","",Produits!C111)</f>
        <v>1000,00,0108</v>
      </c>
      <c r="D111" s="127" t="str">
        <f>IF(Produits!D111="","",Produits!D111)</f>
        <v>AA232</v>
      </c>
      <c r="E111" s="127" t="str">
        <f>IF(Produits!E111="","",Produits!E111)</f>
        <v/>
      </c>
      <c r="F111" s="128" t="str">
        <f>IF(Produits!F111="","",Produits!F111)</f>
        <v>1 pcs</v>
      </c>
      <c r="J111" s="135" t="str">
        <f>IF($J$1="","",HLOOKUP($J$1,$M$1:$AAV$1000,111,0))</f>
        <v/>
      </c>
    </row>
    <row r="112" spans="1:10" x14ac:dyDescent="0.25">
      <c r="A112" s="127" t="str">
        <f>IF(Produits!A112="","",Produits!A112)</f>
        <v>Rail K</v>
      </c>
      <c r="B112" s="127" t="str">
        <f>IF(Produits!B112="","",Produits!B112)</f>
        <v>BRUT</v>
      </c>
      <c r="C112" s="127" t="str">
        <f>IF(Produits!C112="","",Produits!C112)</f>
        <v>1000,00,0109</v>
      </c>
      <c r="D112" s="127" t="str">
        <f>IF(Produits!D112="","",Produits!D112)</f>
        <v>AA233</v>
      </c>
      <c r="E112" s="127" t="str">
        <f>IF(Produits!E112="","",Produits!E112)</f>
        <v/>
      </c>
      <c r="F112" s="128" t="str">
        <f>IF(Produits!F112="","",Produits!F112)</f>
        <v>1 pcs</v>
      </c>
      <c r="J112" s="135" t="str">
        <f>IF($J$1="","",HLOOKUP($J$1,$M$1:$AAV$1000,112,0))</f>
        <v/>
      </c>
    </row>
    <row r="113" spans="1:10" x14ac:dyDescent="0.25">
      <c r="A113" s="127" t="str">
        <f>IF(Produits!A113="","",Produits!A113)</f>
        <v>Rail K</v>
      </c>
      <c r="B113" s="127" t="str">
        <f>IF(Produits!B113="","",Produits!B113)</f>
        <v>BRUT</v>
      </c>
      <c r="C113" s="127" t="str">
        <f>IF(Produits!C113="","",Produits!C113)</f>
        <v>1000,00,0110</v>
      </c>
      <c r="D113" s="127" t="str">
        <f>IF(Produits!D113="","",Produits!D113)</f>
        <v>AA234</v>
      </c>
      <c r="E113" s="127" t="str">
        <f>IF(Produits!E113="","",Produits!E113)</f>
        <v/>
      </c>
      <c r="F113" s="128" t="str">
        <f>IF(Produits!F113="","",Produits!F113)</f>
        <v>1 pcs</v>
      </c>
      <c r="J113" s="135" t="str">
        <f>IF($J$1="","",HLOOKUP($J$1,$M$1:$AAV$1000,113,0))</f>
        <v/>
      </c>
    </row>
    <row r="114" spans="1:10" x14ac:dyDescent="0.25">
      <c r="A114" s="127" t="str">
        <f>IF(Produits!A114="","",Produits!A114)</f>
        <v>Rail K</v>
      </c>
      <c r="B114" s="127" t="str">
        <f>IF(Produits!B114="","",Produits!B114)</f>
        <v>BRUT</v>
      </c>
      <c r="C114" s="127" t="str">
        <f>IF(Produits!C114="","",Produits!C114)</f>
        <v>1000,00,0111</v>
      </c>
      <c r="D114" s="127" t="str">
        <f>IF(Produits!D114="","",Produits!D114)</f>
        <v>AA235</v>
      </c>
      <c r="E114" s="127" t="str">
        <f>IF(Produits!E114="","",Produits!E114)</f>
        <v/>
      </c>
      <c r="F114" s="128" t="str">
        <f>IF(Produits!F114="","",Produits!F114)</f>
        <v>1 pcs</v>
      </c>
      <c r="J114" s="135" t="str">
        <f>IF($J$1="","",HLOOKUP($J$1,$M$1:$AAV$1000,114,0))</f>
        <v/>
      </c>
    </row>
    <row r="115" spans="1:10" x14ac:dyDescent="0.25">
      <c r="A115" s="127" t="str">
        <f>IF(Produits!A115="","",Produits!A115)</f>
        <v>Fixation Dorma</v>
      </c>
      <c r="B115" s="127" t="str">
        <f>IF(Produits!B115="","",Produits!B115)</f>
        <v/>
      </c>
      <c r="C115" s="127" t="str">
        <f>IF(Produits!C115="","",Produits!C115)</f>
        <v>1000,00,0112</v>
      </c>
      <c r="D115" s="127" t="str">
        <f>IF(Produits!D115="","",Produits!D115)</f>
        <v>AA236</v>
      </c>
      <c r="E115" s="127" t="str">
        <f>IF(Produits!E115="","",Produits!E115)</f>
        <v/>
      </c>
      <c r="F115" s="128" t="str">
        <f>IF(Produits!F115="","",Produits!F115)</f>
        <v>1 pcs</v>
      </c>
      <c r="J115" s="135" t="str">
        <f>IF($J$1="","",HLOOKUP($J$1,$M$1:$AAV$1000,115,0))</f>
        <v/>
      </c>
    </row>
    <row r="116" spans="1:10" x14ac:dyDescent="0.25">
      <c r="A116" s="127" t="str">
        <f>IF(Produits!A116="","",Produits!A116)</f>
        <v>Fixation Dorma</v>
      </c>
      <c r="B116" s="127" t="str">
        <f>IF(Produits!B116="","",Produits!B116)</f>
        <v/>
      </c>
      <c r="C116" s="127" t="str">
        <f>IF(Produits!C116="","",Produits!C116)</f>
        <v>1000,00,0113</v>
      </c>
      <c r="D116" s="127" t="str">
        <f>IF(Produits!D116="","",Produits!D116)</f>
        <v>AA237</v>
      </c>
      <c r="E116" s="127" t="str">
        <f>IF(Produits!E116="","",Produits!E116)</f>
        <v/>
      </c>
      <c r="F116" s="128" t="str">
        <f>IF(Produits!F116="","",Produits!F116)</f>
        <v>1 pcs</v>
      </c>
      <c r="J116" s="135" t="str">
        <f>IF($J$1="","",HLOOKUP($J$1,$M$1:$AAV$1000,116,0))</f>
        <v/>
      </c>
    </row>
    <row r="117" spans="1:10" x14ac:dyDescent="0.25">
      <c r="A117" s="127" t="str">
        <f>IF(Produits!A117="","",Produits!A117)</f>
        <v>Fixation Dorma</v>
      </c>
      <c r="B117" s="127" t="str">
        <f>IF(Produits!B117="","",Produits!B117)</f>
        <v/>
      </c>
      <c r="C117" s="127" t="str">
        <f>IF(Produits!C117="","",Produits!C117)</f>
        <v>1000,00,0114</v>
      </c>
      <c r="D117" s="127" t="str">
        <f>IF(Produits!D117="","",Produits!D117)</f>
        <v>AA238</v>
      </c>
      <c r="E117" s="127" t="str">
        <f>IF(Produits!E117="","",Produits!E117)</f>
        <v/>
      </c>
      <c r="F117" s="128" t="str">
        <f>IF(Produits!F117="","",Produits!F117)</f>
        <v>1 pcs</v>
      </c>
      <c r="J117" s="135" t="str">
        <f>IF($J$1="","",HLOOKUP($J$1,$M$1:$AAV$1000,117,0))</f>
        <v/>
      </c>
    </row>
    <row r="118" spans="1:10" x14ac:dyDescent="0.25">
      <c r="A118" s="127" t="str">
        <f>IF(Produits!A118="","",Produits!A118)</f>
        <v>Fixation Dorma</v>
      </c>
      <c r="B118" s="127" t="str">
        <f>IF(Produits!B118="","",Produits!B118)</f>
        <v/>
      </c>
      <c r="C118" s="127" t="str">
        <f>IF(Produits!C118="","",Produits!C118)</f>
        <v>1000,00,0115</v>
      </c>
      <c r="D118" s="127" t="str">
        <f>IF(Produits!D118="","",Produits!D118)</f>
        <v>AA239</v>
      </c>
      <c r="E118" s="127" t="str">
        <f>IF(Produits!E118="","",Produits!E118)</f>
        <v/>
      </c>
      <c r="F118" s="128" t="str">
        <f>IF(Produits!F118="","",Produits!F118)</f>
        <v>1 pcs</v>
      </c>
      <c r="J118" s="135" t="str">
        <f>IF($J$1="","",HLOOKUP($J$1,$M$1:$AAV$1000,118,0))</f>
        <v/>
      </c>
    </row>
    <row r="119" spans="1:10" x14ac:dyDescent="0.25">
      <c r="A119" s="127" t="str">
        <f>IF(Produits!A119="","",Produits!A119)</f>
        <v>Fixation Dorma</v>
      </c>
      <c r="B119" s="127" t="str">
        <f>IF(Produits!B119="","",Produits!B119)</f>
        <v/>
      </c>
      <c r="C119" s="127" t="str">
        <f>IF(Produits!C119="","",Produits!C119)</f>
        <v>1000,00,0116</v>
      </c>
      <c r="D119" s="127" t="str">
        <f>IF(Produits!D119="","",Produits!D119)</f>
        <v>AA240</v>
      </c>
      <c r="E119" s="127" t="str">
        <f>IF(Produits!E119="","",Produits!E119)</f>
        <v/>
      </c>
      <c r="F119" s="128" t="str">
        <f>IF(Produits!F119="","",Produits!F119)</f>
        <v>1 pcs</v>
      </c>
      <c r="J119" s="135" t="str">
        <f>IF($J$1="","",HLOOKUP($J$1,$M$1:$AAV$1000,119,0))</f>
        <v/>
      </c>
    </row>
    <row r="120" spans="1:10" x14ac:dyDescent="0.25">
      <c r="A120" s="127" t="str">
        <f>IF(Produits!A120="","",Produits!A120)</f>
        <v>Fixation Dorma</v>
      </c>
      <c r="B120" s="127" t="str">
        <f>IF(Produits!B120="","",Produits!B120)</f>
        <v/>
      </c>
      <c r="C120" s="127" t="str">
        <f>IF(Produits!C120="","",Produits!C120)</f>
        <v>1000,00,0117</v>
      </c>
      <c r="D120" s="127" t="str">
        <f>IF(Produits!D120="","",Produits!D120)</f>
        <v>AA241</v>
      </c>
      <c r="E120" s="127" t="str">
        <f>IF(Produits!E120="","",Produits!E120)</f>
        <v/>
      </c>
      <c r="F120" s="128" t="str">
        <f>IF(Produits!F120="","",Produits!F120)</f>
        <v>1 pcs</v>
      </c>
      <c r="J120" s="135" t="str">
        <f>IF($J$1="","",HLOOKUP($J$1,$M$1:$AAV$1000,120,0))</f>
        <v/>
      </c>
    </row>
    <row r="121" spans="1:10" x14ac:dyDescent="0.25">
      <c r="A121" s="127" t="str">
        <f>IF(Produits!A121="","",Produits!A121)</f>
        <v>Fixation Dorma</v>
      </c>
      <c r="B121" s="127" t="str">
        <f>IF(Produits!B121="","",Produits!B121)</f>
        <v/>
      </c>
      <c r="C121" s="127" t="str">
        <f>IF(Produits!C121="","",Produits!C121)</f>
        <v>1000,00,0118</v>
      </c>
      <c r="D121" s="127" t="str">
        <f>IF(Produits!D121="","",Produits!D121)</f>
        <v>AA242</v>
      </c>
      <c r="E121" s="127" t="str">
        <f>IF(Produits!E121="","",Produits!E121)</f>
        <v/>
      </c>
      <c r="F121" s="128" t="str">
        <f>IF(Produits!F121="","",Produits!F121)</f>
        <v>1 pcs</v>
      </c>
      <c r="J121" s="135" t="str">
        <f>IF($J$1="","",HLOOKUP($J$1,$M$1:$AAV$1000,121,0))</f>
        <v/>
      </c>
    </row>
    <row r="122" spans="1:10" x14ac:dyDescent="0.25">
      <c r="A122" s="127" t="str">
        <f>IF(Produits!A122="","",Produits!A122)</f>
        <v>Fixation Dorma</v>
      </c>
      <c r="B122" s="127" t="str">
        <f>IF(Produits!B122="","",Produits!B122)</f>
        <v/>
      </c>
      <c r="C122" s="127" t="str">
        <f>IF(Produits!C122="","",Produits!C122)</f>
        <v>1000,00,0119</v>
      </c>
      <c r="D122" s="127" t="str">
        <f>IF(Produits!D122="","",Produits!D122)</f>
        <v>AA243</v>
      </c>
      <c r="E122" s="127" t="str">
        <f>IF(Produits!E122="","",Produits!E122)</f>
        <v/>
      </c>
      <c r="F122" s="128" t="str">
        <f>IF(Produits!F122="","",Produits!F122)</f>
        <v>3 m</v>
      </c>
      <c r="J122" s="135" t="str">
        <f>IF($J$1="","",HLOOKUP($J$1,$M$1:$AAV$1000,122,0))</f>
        <v/>
      </c>
    </row>
    <row r="123" spans="1:10" x14ac:dyDescent="0.25">
      <c r="A123" s="127" t="str">
        <f>IF(Produits!A123="","",Produits!A123)</f>
        <v>Fixation Dorma</v>
      </c>
      <c r="B123" s="127" t="str">
        <f>IF(Produits!B123="","",Produits!B123)</f>
        <v/>
      </c>
      <c r="C123" s="127" t="str">
        <f>IF(Produits!C123="","",Produits!C123)</f>
        <v>1000,00,0120</v>
      </c>
      <c r="D123" s="127" t="str">
        <f>IF(Produits!D123="","",Produits!D123)</f>
        <v>AA244</v>
      </c>
      <c r="E123" s="127" t="str">
        <f>IF(Produits!E123="","",Produits!E123)</f>
        <v/>
      </c>
      <c r="F123" s="128" t="str">
        <f>IF(Produits!F123="","",Produits!F123)</f>
        <v>3 m</v>
      </c>
      <c r="J123" s="135" t="str">
        <f>IF($J$1="","",HLOOKUP($J$1,$M$1:$AAV$1000,123,0))</f>
        <v/>
      </c>
    </row>
    <row r="124" spans="1:10" x14ac:dyDescent="0.25">
      <c r="A124" s="127" t="str">
        <f>IF(Produits!A124="","",Produits!A124)</f>
        <v>Fixation Dorma</v>
      </c>
      <c r="B124" s="127" t="str">
        <f>IF(Produits!B124="","",Produits!B124)</f>
        <v/>
      </c>
      <c r="C124" s="127" t="str">
        <f>IF(Produits!C124="","",Produits!C124)</f>
        <v>1000,00,0121</v>
      </c>
      <c r="D124" s="127" t="str">
        <f>IF(Produits!D124="","",Produits!D124)</f>
        <v>AA245</v>
      </c>
      <c r="E124" s="127" t="str">
        <f>IF(Produits!E124="","",Produits!E124)</f>
        <v/>
      </c>
      <c r="F124" s="128" t="str">
        <f>IF(Produits!F124="","",Produits!F124)</f>
        <v>1 pcs</v>
      </c>
      <c r="J124" s="135" t="str">
        <f>IF($J$1="","",HLOOKUP($J$1,$M$1:$AAV$1000,124,0))</f>
        <v/>
      </c>
    </row>
    <row r="125" spans="1:10" x14ac:dyDescent="0.25">
      <c r="A125" s="127" t="str">
        <f>IF(Produits!A125="","",Produits!A125)</f>
        <v>Fixation Dorma</v>
      </c>
      <c r="B125" s="127" t="str">
        <f>IF(Produits!B125="","",Produits!B125)</f>
        <v/>
      </c>
      <c r="C125" s="127" t="str">
        <f>IF(Produits!C125="","",Produits!C125)</f>
        <v>1000,00,0122</v>
      </c>
      <c r="D125" s="127" t="str">
        <f>IF(Produits!D125="","",Produits!D125)</f>
        <v>AA246</v>
      </c>
      <c r="E125" s="127" t="str">
        <f>IF(Produits!E125="","",Produits!E125)</f>
        <v/>
      </c>
      <c r="F125" s="128" t="str">
        <f>IF(Produits!F125="","",Produits!F125)</f>
        <v>1 pcs</v>
      </c>
      <c r="J125" s="135" t="str">
        <f>IF($J$1="","",HLOOKUP($J$1,$M$1:$AAV$1000,125,0))</f>
        <v/>
      </c>
    </row>
    <row r="126" spans="1:10" x14ac:dyDescent="0.25">
      <c r="A126" s="127" t="str">
        <f>IF(Produits!A126="","",Produits!A126)</f>
        <v>Fixation Dorma</v>
      </c>
      <c r="B126" s="127" t="str">
        <f>IF(Produits!B126="","",Produits!B126)</f>
        <v/>
      </c>
      <c r="C126" s="127" t="str">
        <f>IF(Produits!C126="","",Produits!C126)</f>
        <v>1000,00,0123</v>
      </c>
      <c r="D126" s="127" t="str">
        <f>IF(Produits!D126="","",Produits!D126)</f>
        <v>AA247</v>
      </c>
      <c r="E126" s="127" t="str">
        <f>IF(Produits!E126="","",Produits!E126)</f>
        <v/>
      </c>
      <c r="F126" s="128" t="str">
        <f>IF(Produits!F126="","",Produits!F126)</f>
        <v>1 pcs</v>
      </c>
      <c r="J126" s="135" t="str">
        <f>IF($J$1="","",HLOOKUP($J$1,$M$1:$AAV$1000,126,0))</f>
        <v/>
      </c>
    </row>
    <row r="127" spans="1:10" x14ac:dyDescent="0.25">
      <c r="A127" s="127" t="str">
        <f>IF(Produits!A127="","",Produits!A127)</f>
        <v>Fixation Dorma</v>
      </c>
      <c r="B127" s="127" t="str">
        <f>IF(Produits!B127="","",Produits!B127)</f>
        <v/>
      </c>
      <c r="C127" s="127" t="str">
        <f>IF(Produits!C127="","",Produits!C127)</f>
        <v>1000,00,0124</v>
      </c>
      <c r="D127" s="127" t="str">
        <f>IF(Produits!D127="","",Produits!D127)</f>
        <v>AA248</v>
      </c>
      <c r="E127" s="127" t="str">
        <f>IF(Produits!E127="","",Produits!E127)</f>
        <v/>
      </c>
      <c r="F127" s="128" t="str">
        <f>IF(Produits!F127="","",Produits!F127)</f>
        <v>1 pcs</v>
      </c>
      <c r="J127" s="135" t="str">
        <f>IF($J$1="","",HLOOKUP($J$1,$M$1:$AAV$1000,127,0))</f>
        <v/>
      </c>
    </row>
    <row r="128" spans="1:10" x14ac:dyDescent="0.25">
      <c r="A128" s="127" t="str">
        <f>IF(Produits!A128="","",Produits!A128)</f>
        <v>Fixation Dorma</v>
      </c>
      <c r="B128" s="127" t="str">
        <f>IF(Produits!B128="","",Produits!B128)</f>
        <v/>
      </c>
      <c r="C128" s="127" t="str">
        <f>IF(Produits!C128="","",Produits!C128)</f>
        <v>1000,00,0125</v>
      </c>
      <c r="D128" s="127" t="str">
        <f>IF(Produits!D128="","",Produits!D128)</f>
        <v>AA249</v>
      </c>
      <c r="E128" s="127" t="str">
        <f>IF(Produits!E128="","",Produits!E128)</f>
        <v/>
      </c>
      <c r="F128" s="128" t="str">
        <f>IF(Produits!F128="","",Produits!F128)</f>
        <v>1 pcs</v>
      </c>
      <c r="J128" s="135" t="str">
        <f>IF($J$1="","",HLOOKUP($J$1,$M$1:$AAV$1000,128,0))</f>
        <v/>
      </c>
    </row>
    <row r="129" spans="1:10" x14ac:dyDescent="0.25">
      <c r="A129" s="127" t="str">
        <f>IF(Produits!A129="","",Produits!A129)</f>
        <v>Fixation Dorma</v>
      </c>
      <c r="B129" s="127" t="str">
        <f>IF(Produits!B129="","",Produits!B129)</f>
        <v/>
      </c>
      <c r="C129" s="127" t="str">
        <f>IF(Produits!C129="","",Produits!C129)</f>
        <v>1000,00,0126</v>
      </c>
      <c r="D129" s="127" t="str">
        <f>IF(Produits!D129="","",Produits!D129)</f>
        <v>AA250</v>
      </c>
      <c r="E129" s="127" t="str">
        <f>IF(Produits!E129="","",Produits!E129)</f>
        <v/>
      </c>
      <c r="F129" s="128" t="str">
        <f>IF(Produits!F129="","",Produits!F129)</f>
        <v>1 pcs</v>
      </c>
      <c r="J129" s="135" t="str">
        <f>IF($J$1="","",HLOOKUP($J$1,$M$1:$AAV$1000,129,0))</f>
        <v/>
      </c>
    </row>
    <row r="130" spans="1:10" x14ac:dyDescent="0.25">
      <c r="A130" s="127" t="str">
        <f>IF(Produits!A130="","",Produits!A130)</f>
        <v>Fixation Dorma</v>
      </c>
      <c r="B130" s="127" t="str">
        <f>IF(Produits!B130="","",Produits!B130)</f>
        <v/>
      </c>
      <c r="C130" s="127" t="str">
        <f>IF(Produits!C130="","",Produits!C130)</f>
        <v>1000,00,0127</v>
      </c>
      <c r="D130" s="127" t="str">
        <f>IF(Produits!D130="","",Produits!D130)</f>
        <v>AA251</v>
      </c>
      <c r="E130" s="127" t="str">
        <f>IF(Produits!E130="","",Produits!E130)</f>
        <v/>
      </c>
      <c r="F130" s="128" t="str">
        <f>IF(Produits!F130="","",Produits!F130)</f>
        <v>1 pcs</v>
      </c>
      <c r="J130" s="135" t="str">
        <f>IF($J$1="","",HLOOKUP($J$1,$M$1:$AAV$1000,130,0))</f>
        <v/>
      </c>
    </row>
    <row r="131" spans="1:10" x14ac:dyDescent="0.25">
      <c r="A131" s="127" t="str">
        <f>IF(Produits!A131="","",Produits!A131)</f>
        <v>Fixation Dorma</v>
      </c>
      <c r="B131" s="127" t="str">
        <f>IF(Produits!B131="","",Produits!B131)</f>
        <v/>
      </c>
      <c r="C131" s="127" t="str">
        <f>IF(Produits!C131="","",Produits!C131)</f>
        <v>1000,00,0128</v>
      </c>
      <c r="D131" s="127" t="str">
        <f>IF(Produits!D131="","",Produits!D131)</f>
        <v>AA252</v>
      </c>
      <c r="E131" s="127" t="str">
        <f>IF(Produits!E131="","",Produits!E131)</f>
        <v/>
      </c>
      <c r="F131" s="128" t="str">
        <f>IF(Produits!F131="","",Produits!F131)</f>
        <v>1 pcs</v>
      </c>
      <c r="J131" s="135" t="str">
        <f>IF($J$1="","",HLOOKUP($J$1,$M$1:$AAV$1000,131,0))</f>
        <v/>
      </c>
    </row>
    <row r="132" spans="1:10" x14ac:dyDescent="0.25">
      <c r="A132" s="127" t="str">
        <f>IF(Produits!A132="","",Produits!A132)</f>
        <v>Fixation Dorma</v>
      </c>
      <c r="B132" s="127" t="str">
        <f>IF(Produits!B132="","",Produits!B132)</f>
        <v/>
      </c>
      <c r="C132" s="127" t="str">
        <f>IF(Produits!C132="","",Produits!C132)</f>
        <v>1000,00,0129</v>
      </c>
      <c r="D132" s="127" t="str">
        <f>IF(Produits!D132="","",Produits!D132)</f>
        <v>AA253</v>
      </c>
      <c r="E132" s="127" t="str">
        <f>IF(Produits!E132="","",Produits!E132)</f>
        <v/>
      </c>
      <c r="F132" s="128" t="str">
        <f>IF(Produits!F132="","",Produits!F132)</f>
        <v>1 pcs</v>
      </c>
      <c r="J132" s="135" t="str">
        <f>IF($J$1="","",HLOOKUP($J$1,$M$1:$AAV$1000,132,0))</f>
        <v/>
      </c>
    </row>
    <row r="133" spans="1:10" x14ac:dyDescent="0.25">
      <c r="A133" s="127" t="str">
        <f>IF(Produits!A133="","",Produits!A133)</f>
        <v>Fixation Dorma</v>
      </c>
      <c r="B133" s="127" t="str">
        <f>IF(Produits!B133="","",Produits!B133)</f>
        <v/>
      </c>
      <c r="C133" s="127" t="str">
        <f>IF(Produits!C133="","",Produits!C133)</f>
        <v>1000,00,0130</v>
      </c>
      <c r="D133" s="127" t="str">
        <f>IF(Produits!D133="","",Produits!D133)</f>
        <v>AA254</v>
      </c>
      <c r="E133" s="127" t="str">
        <f>IF(Produits!E133="","",Produits!E133)</f>
        <v/>
      </c>
      <c r="F133" s="128" t="str">
        <f>IF(Produits!F133="","",Produits!F133)</f>
        <v>1 pcs</v>
      </c>
      <c r="J133" s="135" t="str">
        <f>IF($J$1="","",HLOOKUP($J$1,$M$1:$AAV$1000,133,0))</f>
        <v/>
      </c>
    </row>
    <row r="134" spans="1:10" x14ac:dyDescent="0.25">
      <c r="A134" s="127" t="str">
        <f>IF(Produits!A134="","",Produits!A134)</f>
        <v>Fixation Dorma</v>
      </c>
      <c r="B134" s="127" t="str">
        <f>IF(Produits!B134="","",Produits!B134)</f>
        <v/>
      </c>
      <c r="C134" s="127" t="str">
        <f>IF(Produits!C134="","",Produits!C134)</f>
        <v>1000,00,0131</v>
      </c>
      <c r="D134" s="127" t="str">
        <f>IF(Produits!D134="","",Produits!D134)</f>
        <v>AA255</v>
      </c>
      <c r="E134" s="127" t="str">
        <f>IF(Produits!E134="","",Produits!E134)</f>
        <v/>
      </c>
      <c r="F134" s="128" t="str">
        <f>IF(Produits!F134="","",Produits!F134)</f>
        <v>1 pcs</v>
      </c>
      <c r="J134" s="135" t="str">
        <f>IF($J$1="","",HLOOKUP($J$1,$M$1:$AAV$1000,134,0))</f>
        <v/>
      </c>
    </row>
    <row r="135" spans="1:10" x14ac:dyDescent="0.25">
      <c r="A135" s="127" t="str">
        <f>IF(Produits!A135="","",Produits!A135)</f>
        <v>Fixation Dorma</v>
      </c>
      <c r="B135" s="127" t="str">
        <f>IF(Produits!B135="","",Produits!B135)</f>
        <v/>
      </c>
      <c r="C135" s="127" t="str">
        <f>IF(Produits!C135="","",Produits!C135)</f>
        <v>1000,00,0132</v>
      </c>
      <c r="D135" s="127" t="str">
        <f>IF(Produits!D135="","",Produits!D135)</f>
        <v>AA256</v>
      </c>
      <c r="E135" s="127" t="str">
        <f>IF(Produits!E135="","",Produits!E135)</f>
        <v/>
      </c>
      <c r="F135" s="128" t="str">
        <f>IF(Produits!F135="","",Produits!F135)</f>
        <v>1 pcs</v>
      </c>
      <c r="J135" s="135" t="str">
        <f>IF($J$1="","",HLOOKUP($J$1,$M$1:$AAV$1000,135,0))</f>
        <v/>
      </c>
    </row>
    <row r="136" spans="1:10" x14ac:dyDescent="0.25">
      <c r="A136" s="127" t="str">
        <f>IF(Produits!A136="","",Produits!A136)</f>
        <v>Fixation Dorma</v>
      </c>
      <c r="B136" s="127" t="str">
        <f>IF(Produits!B136="","",Produits!B136)</f>
        <v/>
      </c>
      <c r="C136" s="127" t="str">
        <f>IF(Produits!C136="","",Produits!C136)</f>
        <v>1000,00,0133</v>
      </c>
      <c r="D136" s="127" t="str">
        <f>IF(Produits!D136="","",Produits!D136)</f>
        <v>AA257</v>
      </c>
      <c r="E136" s="127" t="str">
        <f>IF(Produits!E136="","",Produits!E136)</f>
        <v/>
      </c>
      <c r="F136" s="128" t="str">
        <f>IF(Produits!F136="","",Produits!F136)</f>
        <v>1 pcs</v>
      </c>
      <c r="J136" s="135" t="str">
        <f>IF($J$1="","",HLOOKUP($J$1,$M$1:$AAV$1000,136,0))</f>
        <v/>
      </c>
    </row>
    <row r="137" spans="1:10" x14ac:dyDescent="0.25">
      <c r="A137" s="127" t="str">
        <f>IF(Produits!A137="","",Produits!A137)</f>
        <v>Fixation Dorma</v>
      </c>
      <c r="B137" s="127" t="str">
        <f>IF(Produits!B137="","",Produits!B137)</f>
        <v/>
      </c>
      <c r="C137" s="127" t="str">
        <f>IF(Produits!C137="","",Produits!C137)</f>
        <v>1000,00,0134</v>
      </c>
      <c r="D137" s="127" t="str">
        <f>IF(Produits!D137="","",Produits!D137)</f>
        <v>AA258</v>
      </c>
      <c r="E137" s="127" t="str">
        <f>IF(Produits!E137="","",Produits!E137)</f>
        <v/>
      </c>
      <c r="F137" s="128" t="str">
        <f>IF(Produits!F137="","",Produits!F137)</f>
        <v>1 pcs</v>
      </c>
      <c r="J137" s="135" t="str">
        <f>IF($J$1="","",HLOOKUP($J$1,$M$1:$AAV$1000,137,0))</f>
        <v/>
      </c>
    </row>
    <row r="138" spans="1:10" x14ac:dyDescent="0.25">
      <c r="A138" s="127" t="str">
        <f>IF(Produits!A138="","",Produits!A138)</f>
        <v>Fixation Dorma</v>
      </c>
      <c r="B138" s="127" t="str">
        <f>IF(Produits!B138="","",Produits!B138)</f>
        <v/>
      </c>
      <c r="C138" s="127" t="str">
        <f>IF(Produits!C138="","",Produits!C138)</f>
        <v>1000,00,0135</v>
      </c>
      <c r="D138" s="127" t="str">
        <f>IF(Produits!D138="","",Produits!D138)</f>
        <v>AA259</v>
      </c>
      <c r="E138" s="127" t="str">
        <f>IF(Produits!E138="","",Produits!E138)</f>
        <v/>
      </c>
      <c r="F138" s="128" t="str">
        <f>IF(Produits!F138="","",Produits!F138)</f>
        <v>1 pcs</v>
      </c>
      <c r="J138" s="135" t="str">
        <f>IF($J$1="","",HLOOKUP($J$1,$M$1:$AAV$1000,138,0))</f>
        <v/>
      </c>
    </row>
    <row r="139" spans="1:10" x14ac:dyDescent="0.25">
      <c r="A139" s="127" t="str">
        <f>IF(Produits!A139="","",Produits!A139)</f>
        <v>Fixation Dorma</v>
      </c>
      <c r="B139" s="127" t="str">
        <f>IF(Produits!B139="","",Produits!B139)</f>
        <v/>
      </c>
      <c r="C139" s="127" t="str">
        <f>IF(Produits!C139="","",Produits!C139)</f>
        <v>1000,00,0136</v>
      </c>
      <c r="D139" s="127" t="str">
        <f>IF(Produits!D139="","",Produits!D139)</f>
        <v>AA260</v>
      </c>
      <c r="E139" s="127" t="str">
        <f>IF(Produits!E139="","",Produits!E139)</f>
        <v/>
      </c>
      <c r="F139" s="128" t="str">
        <f>IF(Produits!F139="","",Produits!F139)</f>
        <v>1 pcs</v>
      </c>
      <c r="J139" s="135" t="str">
        <f>IF($J$1="","",HLOOKUP($J$1,$M$1:$AAV$1000,139,0))</f>
        <v/>
      </c>
    </row>
    <row r="140" spans="1:10" x14ac:dyDescent="0.25">
      <c r="A140" s="127" t="str">
        <f>IF(Produits!A140="","",Produits!A140)</f>
        <v>Fixation Dorma</v>
      </c>
      <c r="B140" s="127" t="str">
        <f>IF(Produits!B140="","",Produits!B140)</f>
        <v/>
      </c>
      <c r="C140" s="127" t="str">
        <f>IF(Produits!C140="","",Produits!C140)</f>
        <v>1000,00,0137</v>
      </c>
      <c r="D140" s="127" t="str">
        <f>IF(Produits!D140="","",Produits!D140)</f>
        <v>AA261</v>
      </c>
      <c r="E140" s="127" t="str">
        <f>IF(Produits!E140="","",Produits!E140)</f>
        <v/>
      </c>
      <c r="F140" s="128" t="str">
        <f>IF(Produits!F140="","",Produits!F140)</f>
        <v>1 pcs</v>
      </c>
      <c r="J140" s="135" t="str">
        <f>IF($J$1="","",HLOOKUP($J$1,$M$1:$AAV$1000,140,0))</f>
        <v/>
      </c>
    </row>
    <row r="141" spans="1:10" x14ac:dyDescent="0.25">
      <c r="A141" s="127" t="str">
        <f>IF(Produits!A141="","",Produits!A141)</f>
        <v>Fixation Dorma</v>
      </c>
      <c r="B141" s="127" t="str">
        <f>IF(Produits!B141="","",Produits!B141)</f>
        <v/>
      </c>
      <c r="C141" s="127" t="str">
        <f>IF(Produits!C141="","",Produits!C141)</f>
        <v>1000,00,0138</v>
      </c>
      <c r="D141" s="127" t="str">
        <f>IF(Produits!D141="","",Produits!D141)</f>
        <v>AA262</v>
      </c>
      <c r="E141" s="127" t="str">
        <f>IF(Produits!E141="","",Produits!E141)</f>
        <v/>
      </c>
      <c r="F141" s="128" t="str">
        <f>IF(Produits!F141="","",Produits!F141)</f>
        <v>1 pcs</v>
      </c>
      <c r="J141" s="135" t="str">
        <f>IF($J$1="","",HLOOKUP($J$1,$M$1:$AAV$1000,141,0))</f>
        <v/>
      </c>
    </row>
    <row r="142" spans="1:10" x14ac:dyDescent="0.25">
      <c r="A142" s="127" t="str">
        <f>IF(Produits!A142="","",Produits!A142)</f>
        <v>Fixation Dorma</v>
      </c>
      <c r="B142" s="127" t="str">
        <f>IF(Produits!B142="","",Produits!B142)</f>
        <v/>
      </c>
      <c r="C142" s="127" t="str">
        <f>IF(Produits!C142="","",Produits!C142)</f>
        <v>1000,00,0139</v>
      </c>
      <c r="D142" s="127" t="str">
        <f>IF(Produits!D142="","",Produits!D142)</f>
        <v>AA263</v>
      </c>
      <c r="E142" s="127" t="str">
        <f>IF(Produits!E142="","",Produits!E142)</f>
        <v/>
      </c>
      <c r="F142" s="128" t="str">
        <f>IF(Produits!F142="","",Produits!F142)</f>
        <v>1 pcs</v>
      </c>
      <c r="J142" s="135" t="str">
        <f>IF($J$1="","",HLOOKUP($J$1,$M$1:$AAV$1000,142,0))</f>
        <v/>
      </c>
    </row>
    <row r="143" spans="1:10" x14ac:dyDescent="0.25">
      <c r="A143" s="127" t="str">
        <f>IF(Produits!A143="","",Produits!A143)</f>
        <v>Fixation Dorma</v>
      </c>
      <c r="B143" s="127" t="str">
        <f>IF(Produits!B143="","",Produits!B143)</f>
        <v/>
      </c>
      <c r="C143" s="127" t="str">
        <f>IF(Produits!C143="","",Produits!C143)</f>
        <v>1000,00,0140</v>
      </c>
      <c r="D143" s="127" t="str">
        <f>IF(Produits!D143="","",Produits!D143)</f>
        <v>AA264</v>
      </c>
      <c r="E143" s="127" t="str">
        <f>IF(Produits!E143="","",Produits!E143)</f>
        <v/>
      </c>
      <c r="F143" s="128" t="str">
        <f>IF(Produits!F143="","",Produits!F143)</f>
        <v>1 pcs</v>
      </c>
      <c r="J143" s="135" t="str">
        <f>IF($J$1="","",HLOOKUP($J$1,$M$1:$AAV$1000,143,0))</f>
        <v/>
      </c>
    </row>
    <row r="144" spans="1:10" x14ac:dyDescent="0.25">
      <c r="A144" s="127" t="str">
        <f>IF(Produits!A144="","",Produits!A144)</f>
        <v>Fixation Dorma</v>
      </c>
      <c r="B144" s="127" t="str">
        <f>IF(Produits!B144="","",Produits!B144)</f>
        <v/>
      </c>
      <c r="C144" s="127" t="str">
        <f>IF(Produits!C144="","",Produits!C144)</f>
        <v>1000,00,0141</v>
      </c>
      <c r="D144" s="127" t="str">
        <f>IF(Produits!D144="","",Produits!D144)</f>
        <v>AA265</v>
      </c>
      <c r="E144" s="127" t="str">
        <f>IF(Produits!E144="","",Produits!E144)</f>
        <v/>
      </c>
      <c r="F144" s="128" t="str">
        <f>IF(Produits!F144="","",Produits!F144)</f>
        <v>1 pcs</v>
      </c>
      <c r="J144" s="135" t="str">
        <f>IF($J$1="","",HLOOKUP($J$1,$M$1:$AAV$1000,144,0))</f>
        <v/>
      </c>
    </row>
    <row r="145" spans="1:10" x14ac:dyDescent="0.25">
      <c r="A145" s="127" t="str">
        <f>IF(Produits!A145="","",Produits!A145)</f>
        <v>Fixation Dorma</v>
      </c>
      <c r="B145" s="127" t="str">
        <f>IF(Produits!B145="","",Produits!B145)</f>
        <v/>
      </c>
      <c r="C145" s="127" t="str">
        <f>IF(Produits!C145="","",Produits!C145)</f>
        <v>1000,00,0142</v>
      </c>
      <c r="D145" s="127" t="str">
        <f>IF(Produits!D145="","",Produits!D145)</f>
        <v>AA266</v>
      </c>
      <c r="E145" s="127" t="str">
        <f>IF(Produits!E145="","",Produits!E145)</f>
        <v/>
      </c>
      <c r="F145" s="128" t="str">
        <f>IF(Produits!F145="","",Produits!F145)</f>
        <v>1 pcs</v>
      </c>
      <c r="J145" s="135" t="str">
        <f>IF($J$1="","",HLOOKUP($J$1,$M$1:$AAV$1000,145,0))</f>
        <v/>
      </c>
    </row>
    <row r="146" spans="1:10" x14ac:dyDescent="0.25">
      <c r="A146" s="127" t="str">
        <f>IF(Produits!A146="","",Produits!A146)</f>
        <v>Fixation Dorma</v>
      </c>
      <c r="B146" s="127" t="str">
        <f>IF(Produits!B146="","",Produits!B146)</f>
        <v/>
      </c>
      <c r="C146" s="127" t="str">
        <f>IF(Produits!C146="","",Produits!C146)</f>
        <v>1000,00,0143</v>
      </c>
      <c r="D146" s="127" t="str">
        <f>IF(Produits!D146="","",Produits!D146)</f>
        <v>AA267</v>
      </c>
      <c r="E146" s="127" t="str">
        <f>IF(Produits!E146="","",Produits!E146)</f>
        <v/>
      </c>
      <c r="F146" s="128" t="str">
        <f>IF(Produits!F146="","",Produits!F146)</f>
        <v>1 pcs</v>
      </c>
      <c r="J146" s="135" t="str">
        <f>IF($J$1="","",HLOOKUP($J$1,$M$1:$AAV$1000,146,0))</f>
        <v/>
      </c>
    </row>
    <row r="147" spans="1:10" x14ac:dyDescent="0.25">
      <c r="A147" s="127" t="str">
        <f>IF(Produits!A147="","",Produits!A147)</f>
        <v>Fixation Dorma</v>
      </c>
      <c r="B147" s="127" t="str">
        <f>IF(Produits!B147="","",Produits!B147)</f>
        <v/>
      </c>
      <c r="C147" s="127" t="str">
        <f>IF(Produits!C147="","",Produits!C147)</f>
        <v>1000,00,0144</v>
      </c>
      <c r="D147" s="127" t="str">
        <f>IF(Produits!D147="","",Produits!D147)</f>
        <v>AA268</v>
      </c>
      <c r="E147" s="127" t="str">
        <f>IF(Produits!E147="","",Produits!E147)</f>
        <v/>
      </c>
      <c r="F147" s="128" t="str">
        <f>IF(Produits!F147="","",Produits!F147)</f>
        <v>1 pcs</v>
      </c>
      <c r="J147" s="135" t="str">
        <f>IF($J$1="","",HLOOKUP($J$1,$M$1:$AAV$1000,147,0))</f>
        <v/>
      </c>
    </row>
    <row r="148" spans="1:10" x14ac:dyDescent="0.25">
      <c r="A148" s="127" t="str">
        <f>IF(Produits!A148="","",Produits!A148)</f>
        <v>Galets</v>
      </c>
      <c r="B148" s="127" t="str">
        <f>IF(Produits!B148="","",Produits!B148)</f>
        <v>Général</v>
      </c>
      <c r="C148" s="127" t="str">
        <f>IF(Produits!C148="","",Produits!C148)</f>
        <v>1000,00,0145</v>
      </c>
      <c r="D148" s="127" t="str">
        <f>IF(Produits!D148="","",Produits!D148)</f>
        <v>AA269</v>
      </c>
      <c r="E148" s="127" t="str">
        <f>IF(Produits!E148="","",Produits!E148)</f>
        <v/>
      </c>
      <c r="F148" s="128" t="str">
        <f>IF(Produits!F148="","",Produits!F148)</f>
        <v>1 pcs</v>
      </c>
      <c r="J148" s="135" t="str">
        <f>IF($J$1="","",HLOOKUP($J$1,$M$1:$AAV$1000,148,0))</f>
        <v/>
      </c>
    </row>
    <row r="149" spans="1:10" x14ac:dyDescent="0.25">
      <c r="A149" s="127" t="str">
        <f>IF(Produits!A149="","",Produits!A149)</f>
        <v>Galets</v>
      </c>
      <c r="B149" s="127" t="str">
        <f>IF(Produits!B149="","",Produits!B149)</f>
        <v>Général</v>
      </c>
      <c r="C149" s="127" t="str">
        <f>IF(Produits!C149="","",Produits!C149)</f>
        <v>1000,00,0146</v>
      </c>
      <c r="D149" s="127" t="str">
        <f>IF(Produits!D149="","",Produits!D149)</f>
        <v>AA270</v>
      </c>
      <c r="E149" s="127" t="str">
        <f>IF(Produits!E149="","",Produits!E149)</f>
        <v/>
      </c>
      <c r="F149" s="128" t="str">
        <f>IF(Produits!F149="","",Produits!F149)</f>
        <v>1 pcs</v>
      </c>
      <c r="J149" s="135" t="str">
        <f>IF($J$1="","",HLOOKUP($J$1,$M$1:$AAV$1000,149,0))</f>
        <v/>
      </c>
    </row>
    <row r="150" spans="1:10" x14ac:dyDescent="0.25">
      <c r="A150" s="127" t="str">
        <f>IF(Produits!A150="","",Produits!A150)</f>
        <v>Galets</v>
      </c>
      <c r="B150" s="127" t="str">
        <f>IF(Produits!B150="","",Produits!B150)</f>
        <v>Général</v>
      </c>
      <c r="C150" s="127" t="str">
        <f>IF(Produits!C150="","",Produits!C150)</f>
        <v>1000,00,0147</v>
      </c>
      <c r="D150" s="127" t="str">
        <f>IF(Produits!D150="","",Produits!D150)</f>
        <v>AA271</v>
      </c>
      <c r="E150" s="127" t="str">
        <f>IF(Produits!E150="","",Produits!E150)</f>
        <v/>
      </c>
      <c r="F150" s="128" t="str">
        <f>IF(Produits!F150="","",Produits!F150)</f>
        <v>1 pcs</v>
      </c>
      <c r="J150" s="135" t="str">
        <f>IF($J$1="","",HLOOKUP($J$1,$M$1:$AAV$1000,150,0))</f>
        <v/>
      </c>
    </row>
    <row r="151" spans="1:10" x14ac:dyDescent="0.25">
      <c r="A151" s="127" t="str">
        <f>IF(Produits!A151="","",Produits!A151)</f>
        <v>Galets</v>
      </c>
      <c r="B151" s="127" t="str">
        <f>IF(Produits!B151="","",Produits!B151)</f>
        <v>Général</v>
      </c>
      <c r="C151" s="127" t="str">
        <f>IF(Produits!C151="","",Produits!C151)</f>
        <v>1000,00,0148</v>
      </c>
      <c r="D151" s="127" t="str">
        <f>IF(Produits!D151="","",Produits!D151)</f>
        <v>AA272</v>
      </c>
      <c r="E151" s="127" t="str">
        <f>IF(Produits!E151="","",Produits!E151)</f>
        <v/>
      </c>
      <c r="F151" s="128" t="str">
        <f>IF(Produits!F151="","",Produits!F151)</f>
        <v>1 pcs</v>
      </c>
      <c r="J151" s="135" t="str">
        <f>IF($J$1="","",HLOOKUP($J$1,$M$1:$AAV$1000,151,0))</f>
        <v/>
      </c>
    </row>
    <row r="152" spans="1:10" x14ac:dyDescent="0.25">
      <c r="A152" s="127" t="str">
        <f>IF(Produits!A152="","",Produits!A152)</f>
        <v>Galets</v>
      </c>
      <c r="B152" s="127" t="str">
        <f>IF(Produits!B152="","",Produits!B152)</f>
        <v>Général</v>
      </c>
      <c r="C152" s="127" t="str">
        <f>IF(Produits!C152="","",Produits!C152)</f>
        <v>1000,00,0149</v>
      </c>
      <c r="D152" s="127" t="str">
        <f>IF(Produits!D152="","",Produits!D152)</f>
        <v>AA273</v>
      </c>
      <c r="E152" s="127" t="str">
        <f>IF(Produits!E152="","",Produits!E152)</f>
        <v/>
      </c>
      <c r="F152" s="128" t="str">
        <f>IF(Produits!F152="","",Produits!F152)</f>
        <v>1 pcs</v>
      </c>
      <c r="J152" s="135" t="str">
        <f>IF($J$1="","",HLOOKUP($J$1,$M$1:$AAV$1000,152,0))</f>
        <v/>
      </c>
    </row>
    <row r="153" spans="1:10" x14ac:dyDescent="0.25">
      <c r="A153" s="127" t="str">
        <f>IF(Produits!A153="","",Produits!A153)</f>
        <v>Galets</v>
      </c>
      <c r="B153" s="127" t="str">
        <f>IF(Produits!B153="","",Produits!B153)</f>
        <v>Général</v>
      </c>
      <c r="C153" s="127" t="str">
        <f>IF(Produits!C153="","",Produits!C153)</f>
        <v>1000,00,0150</v>
      </c>
      <c r="D153" s="127" t="str">
        <f>IF(Produits!D153="","",Produits!D153)</f>
        <v>AA274</v>
      </c>
      <c r="E153" s="127" t="str">
        <f>IF(Produits!E153="","",Produits!E153)</f>
        <v/>
      </c>
      <c r="F153" s="128" t="str">
        <f>IF(Produits!F153="","",Produits!F153)</f>
        <v>1 pcs</v>
      </c>
      <c r="J153" s="135" t="str">
        <f>IF($J$1="","",HLOOKUP($J$1,$M$1:$AAV$1000,153,0))</f>
        <v/>
      </c>
    </row>
    <row r="154" spans="1:10" x14ac:dyDescent="0.25">
      <c r="A154" s="127" t="str">
        <f>IF(Produits!A154="","",Produits!A154)</f>
        <v>Galets</v>
      </c>
      <c r="B154" s="127" t="str">
        <f>IF(Produits!B154="","",Produits!B154)</f>
        <v>Général</v>
      </c>
      <c r="C154" s="127" t="str">
        <f>IF(Produits!C154="","",Produits!C154)</f>
        <v>1000,00,0151</v>
      </c>
      <c r="D154" s="127" t="str">
        <f>IF(Produits!D154="","",Produits!D154)</f>
        <v>AA275</v>
      </c>
      <c r="E154" s="127" t="str">
        <f>IF(Produits!E154="","",Produits!E154)</f>
        <v/>
      </c>
      <c r="F154" s="128" t="str">
        <f>IF(Produits!F154="","",Produits!F154)</f>
        <v>1 pcs</v>
      </c>
      <c r="J154" s="135" t="str">
        <f>IF($J$1="","",HLOOKUP($J$1,$M$1:$AAV$1000,154,0))</f>
        <v/>
      </c>
    </row>
    <row r="155" spans="1:10" x14ac:dyDescent="0.25">
      <c r="A155" s="127" t="str">
        <f>IF(Produits!A155="","",Produits!A155)</f>
        <v>Galets</v>
      </c>
      <c r="B155" s="127" t="str">
        <f>IF(Produits!B155="","",Produits!B155)</f>
        <v>Moveo</v>
      </c>
      <c r="C155" s="127" t="str">
        <f>IF(Produits!C155="","",Produits!C155)</f>
        <v>1000,00,0152</v>
      </c>
      <c r="D155" s="127" t="str">
        <f>IF(Produits!D155="","",Produits!D155)</f>
        <v>AA276</v>
      </c>
      <c r="E155" s="127" t="str">
        <f>IF(Produits!E155="","",Produits!E155)</f>
        <v/>
      </c>
      <c r="F155" s="128" t="str">
        <f>IF(Produits!F155="","",Produits!F155)</f>
        <v>1 pcs</v>
      </c>
      <c r="J155" s="135" t="str">
        <f>IF($J$1="","",HLOOKUP($J$1,$M$1:$AAV$1000,155,0))</f>
        <v/>
      </c>
    </row>
    <row r="156" spans="1:10" x14ac:dyDescent="0.25">
      <c r="A156" s="127" t="str">
        <f>IF(Produits!A156="","",Produits!A156)</f>
        <v>Galets</v>
      </c>
      <c r="B156" s="127" t="str">
        <f>IF(Produits!B156="","",Produits!B156)</f>
        <v>Moveo</v>
      </c>
      <c r="C156" s="127" t="str">
        <f>IF(Produits!C156="","",Produits!C156)</f>
        <v>1000,00,0153</v>
      </c>
      <c r="D156" s="127" t="str">
        <f>IF(Produits!D156="","",Produits!D156)</f>
        <v>AA277</v>
      </c>
      <c r="E156" s="127" t="str">
        <f>IF(Produits!E156="","",Produits!E156)</f>
        <v/>
      </c>
      <c r="F156" s="128" t="str">
        <f>IF(Produits!F156="","",Produits!F156)</f>
        <v>1 pcs</v>
      </c>
      <c r="J156" s="135" t="str">
        <f>IF($J$1="","",HLOOKUP($J$1,$M$1:$AAV$1000,156,0))</f>
        <v/>
      </c>
    </row>
    <row r="157" spans="1:10" x14ac:dyDescent="0.25">
      <c r="A157" s="127" t="str">
        <f>IF(Produits!A157="","",Produits!A157)</f>
        <v>Galets</v>
      </c>
      <c r="B157" s="127" t="str">
        <f>IF(Produits!B157="","",Produits!B157)</f>
        <v>Moveo</v>
      </c>
      <c r="C157" s="127" t="str">
        <f>IF(Produits!C157="","",Produits!C157)</f>
        <v>1000,00,0154</v>
      </c>
      <c r="D157" s="127" t="str">
        <f>IF(Produits!D157="","",Produits!D157)</f>
        <v>AA278</v>
      </c>
      <c r="E157" s="127" t="str">
        <f>IF(Produits!E157="","",Produits!E157)</f>
        <v/>
      </c>
      <c r="F157" s="128" t="str">
        <f>IF(Produits!F157="","",Produits!F157)</f>
        <v>1 pcs</v>
      </c>
      <c r="J157" s="135" t="str">
        <f>IF($J$1="","",HLOOKUP($J$1,$M$1:$AAV$1000,157,0))</f>
        <v/>
      </c>
    </row>
    <row r="158" spans="1:10" x14ac:dyDescent="0.25">
      <c r="A158" s="127" t="str">
        <f>IF(Produits!A158="","",Produits!A158)</f>
        <v>Galets</v>
      </c>
      <c r="B158" s="127" t="str">
        <f>IF(Produits!B158="","",Produits!B158)</f>
        <v>Moveo</v>
      </c>
      <c r="C158" s="127" t="str">
        <f>IF(Produits!C158="","",Produits!C158)</f>
        <v>1000,00,0155</v>
      </c>
      <c r="D158" s="127" t="str">
        <f>IF(Produits!D158="","",Produits!D158)</f>
        <v>AA279</v>
      </c>
      <c r="E158" s="127" t="str">
        <f>IF(Produits!E158="","",Produits!E158)</f>
        <v/>
      </c>
      <c r="F158" s="128" t="str">
        <f>IF(Produits!F158="","",Produits!F158)</f>
        <v>1 pcs</v>
      </c>
      <c r="J158" s="135" t="str">
        <f>IF($J$1="","",HLOOKUP($J$1,$M$1:$AAV$1000,158,0))</f>
        <v/>
      </c>
    </row>
    <row r="159" spans="1:10" x14ac:dyDescent="0.25">
      <c r="A159" s="127" t="str">
        <f>IF(Produits!A159="","",Produits!A159)</f>
        <v>Galets</v>
      </c>
      <c r="B159" s="127" t="str">
        <f>IF(Produits!B159="","",Produits!B159)</f>
        <v>Moveo</v>
      </c>
      <c r="C159" s="127" t="str">
        <f>IF(Produits!C159="","",Produits!C159)</f>
        <v>1000,00,0156</v>
      </c>
      <c r="D159" s="127" t="str">
        <f>IF(Produits!D159="","",Produits!D159)</f>
        <v>AA280</v>
      </c>
      <c r="E159" s="127" t="str">
        <f>IF(Produits!E159="","",Produits!E159)</f>
        <v/>
      </c>
      <c r="F159" s="128" t="str">
        <f>IF(Produits!F159="","",Produits!F159)</f>
        <v>1 pcs</v>
      </c>
      <c r="J159" s="135" t="str">
        <f>IF($J$1="","",HLOOKUP($J$1,$M$1:$AAV$1000,159,0))</f>
        <v/>
      </c>
    </row>
    <row r="160" spans="1:10" x14ac:dyDescent="0.25">
      <c r="A160" s="127" t="str">
        <f>IF(Produits!A160="","",Produits!A160)</f>
        <v>Galets</v>
      </c>
      <c r="B160" s="127" t="str">
        <f>IF(Produits!B160="","",Produits!B160)</f>
        <v>ComfortDrive</v>
      </c>
      <c r="C160" s="127" t="str">
        <f>IF(Produits!C160="","",Produits!C160)</f>
        <v>1000,00,0157</v>
      </c>
      <c r="D160" s="127" t="str">
        <f>IF(Produits!D160="","",Produits!D160)</f>
        <v>AA281</v>
      </c>
      <c r="E160" s="127" t="str">
        <f>IF(Produits!E160="","",Produits!E160)</f>
        <v/>
      </c>
      <c r="F160" s="128" t="str">
        <f>IF(Produits!F160="","",Produits!F160)</f>
        <v>1 pcs</v>
      </c>
      <c r="J160" s="135" t="str">
        <f>IF($J$1="","",HLOOKUP($J$1,$M$1:$AAV$1000,160,0))</f>
        <v/>
      </c>
    </row>
    <row r="161" spans="1:10" x14ac:dyDescent="0.25">
      <c r="A161" s="127" t="str">
        <f>IF(Produits!A161="","",Produits!A161)</f>
        <v>Galets</v>
      </c>
      <c r="B161" s="127" t="str">
        <f>IF(Produits!B161="","",Produits!B161)</f>
        <v>ComfortDrive</v>
      </c>
      <c r="C161" s="127" t="str">
        <f>IF(Produits!C161="","",Produits!C161)</f>
        <v>1000,00,0158</v>
      </c>
      <c r="D161" s="127" t="str">
        <f>IF(Produits!D161="","",Produits!D161)</f>
        <v>AA282</v>
      </c>
      <c r="E161" s="127" t="str">
        <f>IF(Produits!E161="","",Produits!E161)</f>
        <v/>
      </c>
      <c r="F161" s="128" t="str">
        <f>IF(Produits!F161="","",Produits!F161)</f>
        <v>1 pcs</v>
      </c>
      <c r="J161" s="135" t="str">
        <f>IF($J$1="","",HLOOKUP($J$1,$M$1:$AAV$1000,161,0))</f>
        <v/>
      </c>
    </row>
    <row r="162" spans="1:10" x14ac:dyDescent="0.25">
      <c r="A162" s="127" t="str">
        <f>IF(Produits!A162="","",Produits!A162)</f>
        <v>Galets</v>
      </c>
      <c r="B162" s="127" t="str">
        <f>IF(Produits!B162="","",Produits!B162)</f>
        <v>ComfortDrive</v>
      </c>
      <c r="C162" s="127" t="str">
        <f>IF(Produits!C162="","",Produits!C162)</f>
        <v>1000,00,0159</v>
      </c>
      <c r="D162" s="127" t="str">
        <f>IF(Produits!D162="","",Produits!D162)</f>
        <v>AA283</v>
      </c>
      <c r="E162" s="127" t="str">
        <f>IF(Produits!E162="","",Produits!E162)</f>
        <v/>
      </c>
      <c r="F162" s="128" t="str">
        <f>IF(Produits!F162="","",Produits!F162)</f>
        <v>1 pcs</v>
      </c>
      <c r="J162" s="135" t="str">
        <f>IF($J$1="","",HLOOKUP($J$1,$M$1:$AAV$1000,162,0))</f>
        <v/>
      </c>
    </row>
    <row r="163" spans="1:10" x14ac:dyDescent="0.25">
      <c r="A163" s="127" t="str">
        <f>IF(Produits!A163="","",Produits!A163)</f>
        <v>Galets</v>
      </c>
      <c r="B163" s="127" t="str">
        <f>IF(Produits!B163="","",Produits!B163)</f>
        <v>ComfortDrive</v>
      </c>
      <c r="C163" s="127" t="str">
        <f>IF(Produits!C163="","",Produits!C163)</f>
        <v>1000,00,0160</v>
      </c>
      <c r="D163" s="127" t="str">
        <f>IF(Produits!D163="","",Produits!D163)</f>
        <v>AA284</v>
      </c>
      <c r="E163" s="127" t="str">
        <f>IF(Produits!E163="","",Produits!E163)</f>
        <v/>
      </c>
      <c r="F163" s="128" t="str">
        <f>IF(Produits!F163="","",Produits!F163)</f>
        <v>1 pcs</v>
      </c>
      <c r="J163" s="135" t="str">
        <f>IF($J$1="","",HLOOKUP($J$1,$M$1:$AAV$1000,163,0))</f>
        <v/>
      </c>
    </row>
    <row r="164" spans="1:10" x14ac:dyDescent="0.25">
      <c r="A164" s="127" t="str">
        <f>IF(Produits!A164="","",Produits!A164)</f>
        <v>Galets</v>
      </c>
      <c r="B164" s="127" t="str">
        <f>IF(Produits!B164="","",Produits!B164)</f>
        <v>ComfortDrive</v>
      </c>
      <c r="C164" s="127" t="str">
        <f>IF(Produits!C164="","",Produits!C164)</f>
        <v>1000,00,0161</v>
      </c>
      <c r="D164" s="127" t="str">
        <f>IF(Produits!D164="","",Produits!D164)</f>
        <v>AA285</v>
      </c>
      <c r="E164" s="127" t="str">
        <f>IF(Produits!E164="","",Produits!E164)</f>
        <v/>
      </c>
      <c r="F164" s="128" t="str">
        <f>IF(Produits!F164="","",Produits!F164)</f>
        <v>1 pcs</v>
      </c>
      <c r="J164" s="135" t="str">
        <f>IF($J$1="","",HLOOKUP($J$1,$M$1:$AAV$1000,164,0))</f>
        <v/>
      </c>
    </row>
    <row r="165" spans="1:10" x14ac:dyDescent="0.25">
      <c r="A165" s="127" t="str">
        <f>IF(Produits!A165="","",Produits!A165)</f>
        <v>Galets</v>
      </c>
      <c r="B165" s="127" t="str">
        <f>IF(Produits!B165="","",Produits!B165)</f>
        <v>ComfortDrive</v>
      </c>
      <c r="C165" s="127" t="str">
        <f>IF(Produits!C165="","",Produits!C165)</f>
        <v>1000,00,0162</v>
      </c>
      <c r="D165" s="127" t="str">
        <f>IF(Produits!D165="","",Produits!D165)</f>
        <v>AA286</v>
      </c>
      <c r="E165" s="127" t="str">
        <f>IF(Produits!E165="","",Produits!E165)</f>
        <v/>
      </c>
      <c r="F165" s="128" t="str">
        <f>IF(Produits!F165="","",Produits!F165)</f>
        <v>1 pcs</v>
      </c>
      <c r="J165" s="135" t="str">
        <f>IF($J$1="","",HLOOKUP($J$1,$M$1:$AAV$1000,165,0))</f>
        <v/>
      </c>
    </row>
    <row r="166" spans="1:10" x14ac:dyDescent="0.25">
      <c r="A166" s="127" t="str">
        <f>IF(Produits!A166="","",Produits!A166)</f>
        <v>Galets</v>
      </c>
      <c r="B166" s="127" t="str">
        <f>IF(Produits!B166="","",Produits!B166)</f>
        <v>ComfortDrive</v>
      </c>
      <c r="C166" s="127" t="str">
        <f>IF(Produits!C166="","",Produits!C166)</f>
        <v>1000,00,0163</v>
      </c>
      <c r="D166" s="127" t="str">
        <f>IF(Produits!D166="","",Produits!D166)</f>
        <v>AA287</v>
      </c>
      <c r="E166" s="127" t="str">
        <f>IF(Produits!E166="","",Produits!E166)</f>
        <v/>
      </c>
      <c r="F166" s="128" t="str">
        <f>IF(Produits!F166="","",Produits!F166)</f>
        <v>1 pcs</v>
      </c>
      <c r="J166" s="135" t="str">
        <f>IF($J$1="","",HLOOKUP($J$1,$M$1:$AAV$1000,166,0))</f>
        <v/>
      </c>
    </row>
    <row r="167" spans="1:10" x14ac:dyDescent="0.25">
      <c r="A167" s="127" t="str">
        <f>IF(Produits!A167="","",Produits!A167)</f>
        <v>Galets</v>
      </c>
      <c r="B167" s="127" t="str">
        <f>IF(Produits!B167="","",Produits!B167)</f>
        <v>ComfortDrive</v>
      </c>
      <c r="C167" s="127" t="str">
        <f>IF(Produits!C167="","",Produits!C167)</f>
        <v>1000,00,0164</v>
      </c>
      <c r="D167" s="127" t="str">
        <f>IF(Produits!D167="","",Produits!D167)</f>
        <v>AA288</v>
      </c>
      <c r="E167" s="127" t="str">
        <f>IF(Produits!E167="","",Produits!E167)</f>
        <v/>
      </c>
      <c r="F167" s="128" t="str">
        <f>IF(Produits!F167="","",Produits!F167)</f>
        <v>1 pcs</v>
      </c>
      <c r="J167" s="135" t="str">
        <f>IF($J$1="","",HLOOKUP($J$1,$M$1:$AAV$1000,167,0))</f>
        <v/>
      </c>
    </row>
    <row r="168" spans="1:10" x14ac:dyDescent="0.25">
      <c r="A168" s="127" t="str">
        <f>IF(Produits!A168="","",Produits!A168)</f>
        <v>Galets</v>
      </c>
      <c r="B168" s="127" t="str">
        <f>IF(Produits!B168="","",Produits!B168)</f>
        <v>ComfortDrive</v>
      </c>
      <c r="C168" s="127" t="str">
        <f>IF(Produits!C168="","",Produits!C168)</f>
        <v>1000,00,0165</v>
      </c>
      <c r="D168" s="127" t="str">
        <f>IF(Produits!D168="","",Produits!D168)</f>
        <v>AA289</v>
      </c>
      <c r="E168" s="127" t="str">
        <f>IF(Produits!E168="","",Produits!E168)</f>
        <v/>
      </c>
      <c r="F168" s="128" t="str">
        <f>IF(Produits!F168="","",Produits!F168)</f>
        <v>1 pcs</v>
      </c>
      <c r="J168" s="135" t="str">
        <f>IF($J$1="","",HLOOKUP($J$1,$M$1:$AAV$1000,168,0))</f>
        <v/>
      </c>
    </row>
    <row r="169" spans="1:10" x14ac:dyDescent="0.25">
      <c r="A169" s="127" t="str">
        <f>IF(Produits!A169="","",Produits!A169)</f>
        <v>Galets</v>
      </c>
      <c r="B169" s="127" t="str">
        <f>IF(Produits!B169="","",Produits!B169)</f>
        <v>ComfortDrive</v>
      </c>
      <c r="C169" s="127" t="str">
        <f>IF(Produits!C169="","",Produits!C169)</f>
        <v>1000,00,0166</v>
      </c>
      <c r="D169" s="127" t="str">
        <f>IF(Produits!D169="","",Produits!D169)</f>
        <v>AA290</v>
      </c>
      <c r="E169" s="127" t="str">
        <f>IF(Produits!E169="","",Produits!E169)</f>
        <v/>
      </c>
      <c r="F169" s="128" t="str">
        <f>IF(Produits!F169="","",Produits!F169)</f>
        <v>1 pcs</v>
      </c>
      <c r="J169" s="135" t="str">
        <f>IF($J$1="","",HLOOKUP($J$1,$M$1:$AAV$1000,169,0))</f>
        <v/>
      </c>
    </row>
    <row r="170" spans="1:10" x14ac:dyDescent="0.25">
      <c r="A170" s="127" t="str">
        <f>IF(Produits!A170="","",Produits!A170)</f>
        <v>Galets</v>
      </c>
      <c r="B170" s="127" t="str">
        <f>IF(Produits!B170="","",Produits!B170)</f>
        <v>ComfortDrive</v>
      </c>
      <c r="C170" s="127" t="str">
        <f>IF(Produits!C170="","",Produits!C170)</f>
        <v>1000,00,0167</v>
      </c>
      <c r="D170" s="127" t="str">
        <f>IF(Produits!D170="","",Produits!D170)</f>
        <v>AA291</v>
      </c>
      <c r="E170" s="127" t="str">
        <f>IF(Produits!E170="","",Produits!E170)</f>
        <v/>
      </c>
      <c r="F170" s="128" t="str">
        <f>IF(Produits!F170="","",Produits!F170)</f>
        <v>1 pcs</v>
      </c>
      <c r="J170" s="135" t="str">
        <f>IF($J$1="","",HLOOKUP($J$1,$M$1:$AAV$1000,170,0))</f>
        <v/>
      </c>
    </row>
    <row r="171" spans="1:10" x14ac:dyDescent="0.25">
      <c r="A171" s="127" t="str">
        <f>IF(Produits!A171="","",Produits!A171)</f>
        <v>Galets</v>
      </c>
      <c r="B171" s="127" t="str">
        <f>IF(Produits!B171="","",Produits!B171)</f>
        <v>ComfortDrive</v>
      </c>
      <c r="C171" s="127" t="str">
        <f>IF(Produits!C171="","",Produits!C171)</f>
        <v>1000,00,0168</v>
      </c>
      <c r="D171" s="127" t="str">
        <f>IF(Produits!D171="","",Produits!D171)</f>
        <v>AA292</v>
      </c>
      <c r="E171" s="127" t="str">
        <f>IF(Produits!E171="","",Produits!E171)</f>
        <v/>
      </c>
      <c r="F171" s="128" t="str">
        <f>IF(Produits!F171="","",Produits!F171)</f>
        <v>1 pcs</v>
      </c>
      <c r="J171" s="135" t="str">
        <f>IF($J$1="","",HLOOKUP($J$1,$M$1:$AAV$1000,171,0))</f>
        <v/>
      </c>
    </row>
    <row r="172" spans="1:10" x14ac:dyDescent="0.25">
      <c r="A172" s="127" t="str">
        <f>IF(Produits!A172="","",Produits!A172)</f>
        <v>Galets</v>
      </c>
      <c r="B172" s="127" t="str">
        <f>IF(Produits!B172="","",Produits!B172)</f>
        <v>ComfortDrive</v>
      </c>
      <c r="C172" s="127" t="str">
        <f>IF(Produits!C172="","",Produits!C172)</f>
        <v>1000,00,0169</v>
      </c>
      <c r="D172" s="127" t="str">
        <f>IF(Produits!D172="","",Produits!D172)</f>
        <v>AA293</v>
      </c>
      <c r="E172" s="127" t="str">
        <f>IF(Produits!E172="","",Produits!E172)</f>
        <v/>
      </c>
      <c r="F172" s="128" t="str">
        <f>IF(Produits!F172="","",Produits!F172)</f>
        <v>1 pcs</v>
      </c>
      <c r="J172" s="135" t="str">
        <f>IF($J$1="","",HLOOKUP($J$1,$M$1:$AAV$1000,172,0))</f>
        <v/>
      </c>
    </row>
    <row r="173" spans="1:10" x14ac:dyDescent="0.25">
      <c r="A173" s="127" t="str">
        <f>IF(Produits!A173="","",Produits!A173)</f>
        <v>Galets</v>
      </c>
      <c r="B173" s="127" t="str">
        <f>IF(Produits!B173="","",Produits!B173)</f>
        <v>ComfortDrive</v>
      </c>
      <c r="C173" s="127" t="str">
        <f>IF(Produits!C173="","",Produits!C173)</f>
        <v>1000,00,0170</v>
      </c>
      <c r="D173" s="127" t="str">
        <f>IF(Produits!D173="","",Produits!D173)</f>
        <v>AA294</v>
      </c>
      <c r="E173" s="127" t="str">
        <f>IF(Produits!E173="","",Produits!E173)</f>
        <v/>
      </c>
      <c r="F173" s="128" t="str">
        <f>IF(Produits!F173="","",Produits!F173)</f>
        <v>1 pcs</v>
      </c>
      <c r="J173" s="135" t="str">
        <f>IF($J$1="","",HLOOKUP($J$1,$M$1:$AAV$1000,173,0))</f>
        <v/>
      </c>
    </row>
    <row r="174" spans="1:10" x14ac:dyDescent="0.25">
      <c r="A174" s="127" t="str">
        <f>IF(Produits!A174="","",Produits!A174)</f>
        <v>Galets</v>
      </c>
      <c r="B174" s="127" t="str">
        <f>IF(Produits!B174="","",Produits!B174)</f>
        <v>ComfortDrive</v>
      </c>
      <c r="C174" s="127" t="str">
        <f>IF(Produits!C174="","",Produits!C174)</f>
        <v>1000,00,0171</v>
      </c>
      <c r="D174" s="127" t="str">
        <f>IF(Produits!D174="","",Produits!D174)</f>
        <v>AA295</v>
      </c>
      <c r="E174" s="127" t="str">
        <f>IF(Produits!E174="","",Produits!E174)</f>
        <v/>
      </c>
      <c r="F174" s="128" t="str">
        <f>IF(Produits!F174="","",Produits!F174)</f>
        <v>1 pcs</v>
      </c>
      <c r="J174" s="135" t="str">
        <f>IF($J$1="","",HLOOKUP($J$1,$M$1:$AAV$1000,174,0))</f>
        <v/>
      </c>
    </row>
    <row r="175" spans="1:10" x14ac:dyDescent="0.25">
      <c r="A175" s="127" t="str">
        <f>IF(Produits!A175="","",Produits!A175)</f>
        <v>Galets</v>
      </c>
      <c r="B175" s="127" t="str">
        <f>IF(Produits!B175="","",Produits!B175)</f>
        <v>ComfortDrive</v>
      </c>
      <c r="C175" s="127" t="str">
        <f>IF(Produits!C175="","",Produits!C175)</f>
        <v>1000,00,0172</v>
      </c>
      <c r="D175" s="127" t="str">
        <f>IF(Produits!D175="","",Produits!D175)</f>
        <v>AA296</v>
      </c>
      <c r="E175" s="127" t="str">
        <f>IF(Produits!E175="","",Produits!E175)</f>
        <v/>
      </c>
      <c r="F175" s="128" t="str">
        <f>IF(Produits!F175="","",Produits!F175)</f>
        <v>1 pcs</v>
      </c>
      <c r="J175" s="135" t="str">
        <f>IF($J$1="","",HLOOKUP($J$1,$M$1:$AAV$1000,175,0))</f>
        <v/>
      </c>
    </row>
    <row r="176" spans="1:10" x14ac:dyDescent="0.25">
      <c r="A176" s="127" t="str">
        <f>IF(Produits!A176="","",Produits!A176)</f>
        <v>Galets</v>
      </c>
      <c r="B176" s="127" t="str">
        <f>IF(Produits!B176="","",Produits!B176)</f>
        <v>ComfortDrive</v>
      </c>
      <c r="C176" s="127" t="str">
        <f>IF(Produits!C176="","",Produits!C176)</f>
        <v>1000,00,0173</v>
      </c>
      <c r="D176" s="127" t="str">
        <f>IF(Produits!D176="","",Produits!D176)</f>
        <v>AA297</v>
      </c>
      <c r="E176" s="127" t="str">
        <f>IF(Produits!E176="","",Produits!E176)</f>
        <v/>
      </c>
      <c r="F176" s="128" t="str">
        <f>IF(Produits!F176="","",Produits!F176)</f>
        <v>1 pcs</v>
      </c>
      <c r="J176" s="135" t="str">
        <f>IF($J$1="","",HLOOKUP($J$1,$M$1:$AAV$1000,176,0))</f>
        <v/>
      </c>
    </row>
    <row r="177" spans="1:10" x14ac:dyDescent="0.25">
      <c r="A177" s="127" t="str">
        <f>IF(Produits!A177="","",Produits!A177)</f>
        <v>Galets</v>
      </c>
      <c r="B177" s="127" t="str">
        <f>IF(Produits!B177="","",Produits!B177)</f>
        <v>Varitrans</v>
      </c>
      <c r="C177" s="127" t="str">
        <f>IF(Produits!C177="","",Produits!C177)</f>
        <v>1000,00,0174</v>
      </c>
      <c r="D177" s="127" t="str">
        <f>IF(Produits!D177="","",Produits!D177)</f>
        <v>AA298</v>
      </c>
      <c r="E177" s="127" t="str">
        <f>IF(Produits!E177="","",Produits!E177)</f>
        <v/>
      </c>
      <c r="F177" s="128" t="str">
        <f>IF(Produits!F177="","",Produits!F177)</f>
        <v>1 pcs</v>
      </c>
      <c r="J177" s="135" t="str">
        <f>IF($J$1="","",HLOOKUP($J$1,$M$1:$AAV$1000,177,0))</f>
        <v/>
      </c>
    </row>
    <row r="178" spans="1:10" x14ac:dyDescent="0.25">
      <c r="A178" s="127" t="str">
        <f>IF(Produits!A178="","",Produits!A178)</f>
        <v>Galets</v>
      </c>
      <c r="B178" s="127" t="str">
        <f>IF(Produits!B178="","",Produits!B178)</f>
        <v>Varitrans</v>
      </c>
      <c r="C178" s="127" t="str">
        <f>IF(Produits!C178="","",Produits!C178)</f>
        <v>1000,00,0175</v>
      </c>
      <c r="D178" s="127" t="str">
        <f>IF(Produits!D178="","",Produits!D178)</f>
        <v>AA299</v>
      </c>
      <c r="E178" s="127" t="str">
        <f>IF(Produits!E178="","",Produits!E178)</f>
        <v/>
      </c>
      <c r="F178" s="128" t="str">
        <f>IF(Produits!F178="","",Produits!F178)</f>
        <v>1 pcs</v>
      </c>
      <c r="J178" s="135" t="str">
        <f>IF($J$1="","",HLOOKUP($J$1,$M$1:$AAV$1000,178,0))</f>
        <v/>
      </c>
    </row>
    <row r="179" spans="1:10" x14ac:dyDescent="0.25">
      <c r="A179" s="127" t="str">
        <f>IF(Produits!A179="","",Produits!A179)</f>
        <v>Galets</v>
      </c>
      <c r="B179" s="127" t="str">
        <f>IF(Produits!B179="","",Produits!B179)</f>
        <v>Varitrans</v>
      </c>
      <c r="C179" s="127" t="str">
        <f>IF(Produits!C179="","",Produits!C179)</f>
        <v>1000,00,0176</v>
      </c>
      <c r="D179" s="127" t="str">
        <f>IF(Produits!D179="","",Produits!D179)</f>
        <v>AA300</v>
      </c>
      <c r="E179" s="127" t="str">
        <f>IF(Produits!E179="","",Produits!E179)</f>
        <v/>
      </c>
      <c r="F179" s="128" t="str">
        <f>IF(Produits!F179="","",Produits!F179)</f>
        <v>1 pcs</v>
      </c>
      <c r="J179" s="135" t="str">
        <f>IF($J$1="","",HLOOKUP($J$1,$M$1:$AAV$1000,179,0))</f>
        <v/>
      </c>
    </row>
    <row r="180" spans="1:10" x14ac:dyDescent="0.25">
      <c r="A180" s="127" t="str">
        <f>IF(Produits!A180="","",Produits!A180)</f>
        <v>Galets</v>
      </c>
      <c r="B180" s="127" t="str">
        <f>IF(Produits!B180="","",Produits!B180)</f>
        <v>Varitrans</v>
      </c>
      <c r="C180" s="127" t="str">
        <f>IF(Produits!C180="","",Produits!C180)</f>
        <v>1000,00,0177</v>
      </c>
      <c r="D180" s="127" t="str">
        <f>IF(Produits!D180="","",Produits!D180)</f>
        <v>AA301</v>
      </c>
      <c r="E180" s="127" t="str">
        <f>IF(Produits!E180="","",Produits!E180)</f>
        <v/>
      </c>
      <c r="F180" s="128" t="str">
        <f>IF(Produits!F180="","",Produits!F180)</f>
        <v>1 pcs</v>
      </c>
      <c r="J180" s="135" t="str">
        <f>IF($J$1="","",HLOOKUP($J$1,$M$1:$AAV$1000,180,0))</f>
        <v/>
      </c>
    </row>
    <row r="181" spans="1:10" x14ac:dyDescent="0.25">
      <c r="A181" s="127" t="str">
        <f>IF(Produits!A181="","",Produits!A181)</f>
        <v>Galets</v>
      </c>
      <c r="B181" s="127" t="str">
        <f>IF(Produits!B181="","",Produits!B181)</f>
        <v>Varitrans</v>
      </c>
      <c r="C181" s="127" t="str">
        <f>IF(Produits!C181="","",Produits!C181)</f>
        <v>1000,00,0178</v>
      </c>
      <c r="D181" s="127" t="str">
        <f>IF(Produits!D181="","",Produits!D181)</f>
        <v>AA302</v>
      </c>
      <c r="E181" s="127" t="str">
        <f>IF(Produits!E181="","",Produits!E181)</f>
        <v/>
      </c>
      <c r="F181" s="128" t="str">
        <f>IF(Produits!F181="","",Produits!F181)</f>
        <v>1 pcs</v>
      </c>
      <c r="J181" s="135" t="str">
        <f>IF($J$1="","",HLOOKUP($J$1,$M$1:$AAV$1000,181,0))</f>
        <v/>
      </c>
    </row>
    <row r="182" spans="1:10" x14ac:dyDescent="0.25">
      <c r="A182" s="127" t="str">
        <f>IF(Produits!A182="","",Produits!A182)</f>
        <v>Galets</v>
      </c>
      <c r="B182" s="127" t="str">
        <f>IF(Produits!B182="","",Produits!B182)</f>
        <v>Varitrans</v>
      </c>
      <c r="C182" s="127" t="str">
        <f>IF(Produits!C182="","",Produits!C182)</f>
        <v>1000,00,0179</v>
      </c>
      <c r="D182" s="127" t="str">
        <f>IF(Produits!D182="","",Produits!D182)</f>
        <v>AA303</v>
      </c>
      <c r="E182" s="127" t="str">
        <f>IF(Produits!E182="","",Produits!E182)</f>
        <v/>
      </c>
      <c r="F182" s="128" t="str">
        <f>IF(Produits!F182="","",Produits!F182)</f>
        <v>1 pcs</v>
      </c>
      <c r="J182" s="135" t="str">
        <f>IF($J$1="","",HLOOKUP($J$1,$M$1:$AAV$1000,182,0))</f>
        <v/>
      </c>
    </row>
    <row r="183" spans="1:10" x14ac:dyDescent="0.25">
      <c r="A183" s="127" t="str">
        <f>IF(Produits!A183="","",Produits!A183)</f>
        <v>Galets</v>
      </c>
      <c r="B183" s="127" t="str">
        <f>IF(Produits!B183="","",Produits!B183)</f>
        <v>Varitrans</v>
      </c>
      <c r="C183" s="127" t="str">
        <f>IF(Produits!C183="","",Produits!C183)</f>
        <v>1000,00,0180</v>
      </c>
      <c r="D183" s="127" t="str">
        <f>IF(Produits!D183="","",Produits!D183)</f>
        <v>AA304</v>
      </c>
      <c r="E183" s="127" t="str">
        <f>IF(Produits!E183="","",Produits!E183)</f>
        <v/>
      </c>
      <c r="F183" s="128" t="str">
        <f>IF(Produits!F183="","",Produits!F183)</f>
        <v>1 pcs</v>
      </c>
      <c r="J183" s="135" t="str">
        <f>IF($J$1="","",HLOOKUP($J$1,$M$1:$AAV$1000,183,0))</f>
        <v/>
      </c>
    </row>
    <row r="184" spans="1:10" x14ac:dyDescent="0.25">
      <c r="A184" s="127" t="str">
        <f>IF(Produits!A184="","",Produits!A184)</f>
        <v>Galets</v>
      </c>
      <c r="B184" s="127" t="str">
        <f>IF(Produits!B184="","",Produits!B184)</f>
        <v>Varitrans</v>
      </c>
      <c r="C184" s="127" t="str">
        <f>IF(Produits!C184="","",Produits!C184)</f>
        <v>1000,00,0181</v>
      </c>
      <c r="D184" s="127" t="str">
        <f>IF(Produits!D184="","",Produits!D184)</f>
        <v>AA305</v>
      </c>
      <c r="E184" s="127" t="str">
        <f>IF(Produits!E184="","",Produits!E184)</f>
        <v/>
      </c>
      <c r="F184" s="128" t="str">
        <f>IF(Produits!F184="","",Produits!F184)</f>
        <v>1 pcs</v>
      </c>
      <c r="J184" s="135" t="str">
        <f>IF($J$1="","",HLOOKUP($J$1,$M$1:$AAV$1000,184,0))</f>
        <v/>
      </c>
    </row>
    <row r="185" spans="1:10" x14ac:dyDescent="0.25">
      <c r="A185" s="127" t="str">
        <f>IF(Produits!A185="","",Produits!A185)</f>
        <v>Galets</v>
      </c>
      <c r="B185" s="127" t="str">
        <f>IF(Produits!B185="","",Produits!B185)</f>
        <v>Varitrans</v>
      </c>
      <c r="C185" s="127" t="str">
        <f>IF(Produits!C185="","",Produits!C185)</f>
        <v>1000,00,0182</v>
      </c>
      <c r="D185" s="127" t="str">
        <f>IF(Produits!D185="","",Produits!D185)</f>
        <v>AA306</v>
      </c>
      <c r="E185" s="127" t="str">
        <f>IF(Produits!E185="","",Produits!E185)</f>
        <v/>
      </c>
      <c r="F185" s="128" t="str">
        <f>IF(Produits!F185="","",Produits!F185)</f>
        <v>1 pcs</v>
      </c>
      <c r="J185" s="135" t="str">
        <f>IF($J$1="","",HLOOKUP($J$1,$M$1:$AAV$1000,185,0))</f>
        <v/>
      </c>
    </row>
    <row r="186" spans="1:10" x14ac:dyDescent="0.25">
      <c r="A186" s="127" t="str">
        <f>IF(Produits!A186="","",Produits!A186)</f>
        <v>Moveo</v>
      </c>
      <c r="B186" s="127" t="str">
        <f>IF(Produits!B186="","",Produits!B186)</f>
        <v>Contacts / Circuits</v>
      </c>
      <c r="C186" s="127" t="str">
        <f>IF(Produits!C186="","",Produits!C186)</f>
        <v>1000,00,0183</v>
      </c>
      <c r="D186" s="127" t="str">
        <f>IF(Produits!D186="","",Produits!D186)</f>
        <v>AA307</v>
      </c>
      <c r="E186" s="127" t="str">
        <f>IF(Produits!E186="","",Produits!E186)</f>
        <v/>
      </c>
      <c r="F186" s="128" t="str">
        <f>IF(Produits!F186="","",Produits!F186)</f>
        <v>1 pcs</v>
      </c>
      <c r="J186" s="135" t="str">
        <f>IF($J$1="","",HLOOKUP($J$1,$M$1:$AAV$1000,186,0))</f>
        <v/>
      </c>
    </row>
    <row r="187" spans="1:10" x14ac:dyDescent="0.25">
      <c r="A187" s="127" t="str">
        <f>IF(Produits!A187="","",Produits!A187)</f>
        <v>Moveo</v>
      </c>
      <c r="B187" s="127" t="str">
        <f>IF(Produits!B187="","",Produits!B187)</f>
        <v>Contacts / Circuits</v>
      </c>
      <c r="C187" s="127" t="str">
        <f>IF(Produits!C187="","",Produits!C187)</f>
        <v>1000,00,0184</v>
      </c>
      <c r="D187" s="127" t="str">
        <f>IF(Produits!D187="","",Produits!D187)</f>
        <v>AA308</v>
      </c>
      <c r="E187" s="127" t="str">
        <f>IF(Produits!E187="","",Produits!E187)</f>
        <v/>
      </c>
      <c r="F187" s="128" t="str">
        <f>IF(Produits!F187="","",Produits!F187)</f>
        <v>1 pcs</v>
      </c>
      <c r="J187" s="135" t="str">
        <f>IF($J$1="","",HLOOKUP($J$1,$M$1:$AAV$1000,187,0))</f>
        <v/>
      </c>
    </row>
    <row r="188" spans="1:10" x14ac:dyDescent="0.25">
      <c r="A188" s="127" t="str">
        <f>IF(Produits!A188="","",Produits!A188)</f>
        <v>Moveo</v>
      </c>
      <c r="B188" s="127" t="str">
        <f>IF(Produits!B188="","",Produits!B188)</f>
        <v>Contacts / Circuits</v>
      </c>
      <c r="C188" s="127" t="str">
        <f>IF(Produits!C188="","",Produits!C188)</f>
        <v>1000,00,0185</v>
      </c>
      <c r="D188" s="127" t="str">
        <f>IF(Produits!D188="","",Produits!D188)</f>
        <v>AA309</v>
      </c>
      <c r="E188" s="127" t="str">
        <f>IF(Produits!E188="","",Produits!E188)</f>
        <v/>
      </c>
      <c r="F188" s="128" t="str">
        <f>IF(Produits!F188="","",Produits!F188)</f>
        <v>1 pcs</v>
      </c>
      <c r="J188" s="135" t="str">
        <f>IF($J$1="","",HLOOKUP($J$1,$M$1:$AAV$1000,188,0))</f>
        <v/>
      </c>
    </row>
    <row r="189" spans="1:10" x14ac:dyDescent="0.25">
      <c r="A189" s="127" t="str">
        <f>IF(Produits!A189="","",Produits!A189)</f>
        <v>Moveo</v>
      </c>
      <c r="B189" s="127" t="str">
        <f>IF(Produits!B189="","",Produits!B189)</f>
        <v>Contacts / Circuits</v>
      </c>
      <c r="C189" s="127" t="str">
        <f>IF(Produits!C189="","",Produits!C189)</f>
        <v>1000,00,0186</v>
      </c>
      <c r="D189" s="127" t="str">
        <f>IF(Produits!D189="","",Produits!D189)</f>
        <v>AA310</v>
      </c>
      <c r="E189" s="127" t="str">
        <f>IF(Produits!E189="","",Produits!E189)</f>
        <v/>
      </c>
      <c r="F189" s="128" t="str">
        <f>IF(Produits!F189="","",Produits!F189)</f>
        <v>1 pcs</v>
      </c>
      <c r="J189" s="135" t="str">
        <f>IF($J$1="","",HLOOKUP($J$1,$M$1:$AAV$1000,189,0))</f>
        <v/>
      </c>
    </row>
    <row r="190" spans="1:10" x14ac:dyDescent="0.25">
      <c r="A190" s="127" t="str">
        <f>IF(Produits!A190="","",Produits!A190)</f>
        <v>Moveo</v>
      </c>
      <c r="B190" s="127" t="str">
        <f>IF(Produits!B190="","",Produits!B190)</f>
        <v>Contacts / Circuits</v>
      </c>
      <c r="C190" s="127" t="str">
        <f>IF(Produits!C190="","",Produits!C190)</f>
        <v>1000,00,0187</v>
      </c>
      <c r="D190" s="127" t="str">
        <f>IF(Produits!D190="","",Produits!D190)</f>
        <v>AA311</v>
      </c>
      <c r="E190" s="127" t="str">
        <f>IF(Produits!E190="","",Produits!E190)</f>
        <v/>
      </c>
      <c r="F190" s="128" t="str">
        <f>IF(Produits!F190="","",Produits!F190)</f>
        <v>1 pcs</v>
      </c>
      <c r="J190" s="135" t="str">
        <f>IF($J$1="","",HLOOKUP($J$1,$M$1:$AAV$1000,190,0))</f>
        <v/>
      </c>
    </row>
    <row r="191" spans="1:10" x14ac:dyDescent="0.25">
      <c r="A191" s="127" t="str">
        <f>IF(Produits!A191="","",Produits!A191)</f>
        <v>Moveo</v>
      </c>
      <c r="B191" s="127" t="str">
        <f>IF(Produits!B191="","",Produits!B191)</f>
        <v>Contacts / Circuits</v>
      </c>
      <c r="C191" s="127" t="str">
        <f>IF(Produits!C191="","",Produits!C191)</f>
        <v>1000,00,0188</v>
      </c>
      <c r="D191" s="127" t="str">
        <f>IF(Produits!D191="","",Produits!D191)</f>
        <v>AA312</v>
      </c>
      <c r="E191" s="127" t="str">
        <f>IF(Produits!E191="","",Produits!E191)</f>
        <v/>
      </c>
      <c r="F191" s="128" t="str">
        <f>IF(Produits!F191="","",Produits!F191)</f>
        <v>1 pcs</v>
      </c>
      <c r="J191" s="135" t="str">
        <f>IF($J$1="","",HLOOKUP($J$1,$M$1:$AAV$1000,191,0))</f>
        <v/>
      </c>
    </row>
    <row r="192" spans="1:10" x14ac:dyDescent="0.25">
      <c r="A192" s="127" t="str">
        <f>IF(Produits!A192="","",Produits!A192)</f>
        <v>Moveo</v>
      </c>
      <c r="B192" s="127" t="str">
        <f>IF(Produits!B192="","",Produits!B192)</f>
        <v>Contacts / Circuits</v>
      </c>
      <c r="C192" s="127" t="str">
        <f>IF(Produits!C192="","",Produits!C192)</f>
        <v>1000,00,0189</v>
      </c>
      <c r="D192" s="127" t="str">
        <f>IF(Produits!D192="","",Produits!D192)</f>
        <v>AA313</v>
      </c>
      <c r="E192" s="127" t="str">
        <f>IF(Produits!E192="","",Produits!E192)</f>
        <v/>
      </c>
      <c r="F192" s="128" t="str">
        <f>IF(Produits!F192="","",Produits!F192)</f>
        <v>1 pcs</v>
      </c>
      <c r="J192" s="135" t="str">
        <f>IF($J$1="","",HLOOKUP($J$1,$M$1:$AAV$1000,192,0))</f>
        <v/>
      </c>
    </row>
    <row r="193" spans="1:10" x14ac:dyDescent="0.25">
      <c r="A193" s="127" t="str">
        <f>IF(Produits!A193="","",Produits!A193)</f>
        <v>Moveo</v>
      </c>
      <c r="B193" s="127" t="str">
        <f>IF(Produits!B193="","",Produits!B193)</f>
        <v>Contacts / Circuits</v>
      </c>
      <c r="C193" s="127" t="str">
        <f>IF(Produits!C193="","",Produits!C193)</f>
        <v>1000,00,0190</v>
      </c>
      <c r="D193" s="127" t="str">
        <f>IF(Produits!D193="","",Produits!D193)</f>
        <v>AA314</v>
      </c>
      <c r="E193" s="127" t="str">
        <f>IF(Produits!E193="","",Produits!E193)</f>
        <v/>
      </c>
      <c r="F193" s="128" t="str">
        <f>IF(Produits!F193="","",Produits!F193)</f>
        <v>1 pcs</v>
      </c>
      <c r="J193" s="135" t="str">
        <f>IF($J$1="","",HLOOKUP($J$1,$M$1:$AAV$1000,193,0))</f>
        <v/>
      </c>
    </row>
    <row r="194" spans="1:10" x14ac:dyDescent="0.25">
      <c r="A194" s="127" t="str">
        <f>IF(Produits!A194="","",Produits!A194)</f>
        <v>Moveo</v>
      </c>
      <c r="B194" s="127" t="str">
        <f>IF(Produits!B194="","",Produits!B194)</f>
        <v>Contacts / Circuits</v>
      </c>
      <c r="C194" s="127" t="str">
        <f>IF(Produits!C194="","",Produits!C194)</f>
        <v>1000,00,0191</v>
      </c>
      <c r="D194" s="127" t="str">
        <f>IF(Produits!D194="","",Produits!D194)</f>
        <v>AA315</v>
      </c>
      <c r="E194" s="127" t="str">
        <f>IF(Produits!E194="","",Produits!E194)</f>
        <v/>
      </c>
      <c r="F194" s="128" t="str">
        <f>IF(Produits!F194="","",Produits!F194)</f>
        <v>1 pcs</v>
      </c>
      <c r="J194" s="135" t="str">
        <f>IF($J$1="","",HLOOKUP($J$1,$M$1:$AAV$1000,194,0))</f>
        <v/>
      </c>
    </row>
    <row r="195" spans="1:10" x14ac:dyDescent="0.25">
      <c r="A195" s="127" t="str">
        <f>IF(Produits!A195="","",Produits!A195)</f>
        <v>Moveo</v>
      </c>
      <c r="B195" s="127" t="str">
        <f>IF(Produits!B195="","",Produits!B195)</f>
        <v>Contacts / Circuits</v>
      </c>
      <c r="C195" s="127" t="str">
        <f>IF(Produits!C195="","",Produits!C195)</f>
        <v>1000,00,0192</v>
      </c>
      <c r="D195" s="127" t="str">
        <f>IF(Produits!D195="","",Produits!D195)</f>
        <v>AA316</v>
      </c>
      <c r="E195" s="127" t="str">
        <f>IF(Produits!E195="","",Produits!E195)</f>
        <v/>
      </c>
      <c r="F195" s="128" t="str">
        <f>IF(Produits!F195="","",Produits!F195)</f>
        <v>1 pcs</v>
      </c>
      <c r="J195" s="135" t="str">
        <f>IF($J$1="","",HLOOKUP($J$1,$M$1:$AAV$1000,195,0))</f>
        <v/>
      </c>
    </row>
    <row r="196" spans="1:10" x14ac:dyDescent="0.25">
      <c r="A196" s="127" t="str">
        <f>IF(Produits!A196="","",Produits!A196)</f>
        <v>Moveo</v>
      </c>
      <c r="B196" s="127" t="str">
        <f>IF(Produits!B196="","",Produits!B196)</f>
        <v>Contacts / Circuits</v>
      </c>
      <c r="C196" s="127" t="str">
        <f>IF(Produits!C196="","",Produits!C196)</f>
        <v>1000,00,0193</v>
      </c>
      <c r="D196" s="127" t="str">
        <f>IF(Produits!D196="","",Produits!D196)</f>
        <v>AA317</v>
      </c>
      <c r="E196" s="127" t="str">
        <f>IF(Produits!E196="","",Produits!E196)</f>
        <v/>
      </c>
      <c r="F196" s="128" t="str">
        <f>IF(Produits!F196="","",Produits!F196)</f>
        <v>1 pcs</v>
      </c>
      <c r="J196" s="135" t="str">
        <f>IF($J$1="","",HLOOKUP($J$1,$M$1:$AAV$1000,196,0))</f>
        <v/>
      </c>
    </row>
    <row r="197" spans="1:10" x14ac:dyDescent="0.25">
      <c r="A197" s="127" t="str">
        <f>IF(Produits!A197="","",Produits!A197)</f>
        <v>Moveo</v>
      </c>
      <c r="B197" s="127" t="str">
        <f>IF(Produits!B197="","",Produits!B197)</f>
        <v>Contacts / Circuits</v>
      </c>
      <c r="C197" s="127" t="str">
        <f>IF(Produits!C197="","",Produits!C197)</f>
        <v>1000,00,0194</v>
      </c>
      <c r="D197" s="127" t="str">
        <f>IF(Produits!D197="","",Produits!D197)</f>
        <v>AA318</v>
      </c>
      <c r="E197" s="127" t="str">
        <f>IF(Produits!E197="","",Produits!E197)</f>
        <v/>
      </c>
      <c r="F197" s="128" t="str">
        <f>IF(Produits!F197="","",Produits!F197)</f>
        <v>1 pcs</v>
      </c>
      <c r="J197" s="135" t="str">
        <f>IF($J$1="","",HLOOKUP($J$1,$M$1:$AAV$1000,197,0))</f>
        <v/>
      </c>
    </row>
    <row r="198" spans="1:10" x14ac:dyDescent="0.25">
      <c r="A198" s="127" t="str">
        <f>IF(Produits!A198="","",Produits!A198)</f>
        <v>Moveo</v>
      </c>
      <c r="B198" s="127" t="str">
        <f>IF(Produits!B198="","",Produits!B198)</f>
        <v>Contacts / Circuits</v>
      </c>
      <c r="C198" s="127" t="str">
        <f>IF(Produits!C198="","",Produits!C198)</f>
        <v>1000,00,0195</v>
      </c>
      <c r="D198" s="127" t="str">
        <f>IF(Produits!D198="","",Produits!D198)</f>
        <v>AA319</v>
      </c>
      <c r="E198" s="127" t="str">
        <f>IF(Produits!E198="","",Produits!E198)</f>
        <v/>
      </c>
      <c r="F198" s="128" t="str">
        <f>IF(Produits!F198="","",Produits!F198)</f>
        <v>1 pcs</v>
      </c>
      <c r="J198" s="135" t="str">
        <f>IF($J$1="","",HLOOKUP($J$1,$M$1:$AAV$1000,198,0))</f>
        <v/>
      </c>
    </row>
    <row r="199" spans="1:10" x14ac:dyDescent="0.25">
      <c r="A199" s="127" t="str">
        <f>IF(Produits!A199="","",Produits!A199)</f>
        <v>Moveo</v>
      </c>
      <c r="B199" s="127" t="str">
        <f>IF(Produits!B199="","",Produits!B199)</f>
        <v>ComforTronic</v>
      </c>
      <c r="C199" s="127" t="str">
        <f>IF(Produits!C199="","",Produits!C199)</f>
        <v>1000,00,0196</v>
      </c>
      <c r="D199" s="127" t="str">
        <f>IF(Produits!D199="","",Produits!D199)</f>
        <v>AA320</v>
      </c>
      <c r="E199" s="127" t="str">
        <f>IF(Produits!E199="","",Produits!E199)</f>
        <v/>
      </c>
      <c r="F199" s="128" t="str">
        <f>IF(Produits!F199="","",Produits!F199)</f>
        <v>1 pcs</v>
      </c>
      <c r="J199" s="135" t="str">
        <f>IF($J$1="","",HLOOKUP($J$1,$M$1:$AAV$1000,199,0))</f>
        <v/>
      </c>
    </row>
    <row r="200" spans="1:10" x14ac:dyDescent="0.25">
      <c r="A200" s="127" t="str">
        <f>IF(Produits!A200="","",Produits!A200)</f>
        <v>Moveo</v>
      </c>
      <c r="B200" s="127" t="str">
        <f>IF(Produits!B200="","",Produits!B200)</f>
        <v>ComforTronic</v>
      </c>
      <c r="C200" s="127" t="str">
        <f>IF(Produits!C200="","",Produits!C200)</f>
        <v>1000,00,0197</v>
      </c>
      <c r="D200" s="127" t="str">
        <f>IF(Produits!D200="","",Produits!D200)</f>
        <v>AA321</v>
      </c>
      <c r="E200" s="127" t="str">
        <f>IF(Produits!E200="","",Produits!E200)</f>
        <v/>
      </c>
      <c r="F200" s="128" t="str">
        <f>IF(Produits!F200="","",Produits!F200)</f>
        <v>1 pcs</v>
      </c>
      <c r="J200" s="135" t="str">
        <f>IF($J$1="","",HLOOKUP($J$1,$M$1:$AAV$1000,200,0))</f>
        <v/>
      </c>
    </row>
    <row r="201" spans="1:10" x14ac:dyDescent="0.25">
      <c r="A201" s="127" t="str">
        <f>IF(Produits!A201="","",Produits!A201)</f>
        <v>Moveo</v>
      </c>
      <c r="B201" s="127" t="str">
        <f>IF(Produits!B201="","",Produits!B201)</f>
        <v>ComforTronic</v>
      </c>
      <c r="C201" s="127" t="str">
        <f>IF(Produits!C201="","",Produits!C201)</f>
        <v>1000,00,0198</v>
      </c>
      <c r="D201" s="127" t="str">
        <f>IF(Produits!D201="","",Produits!D201)</f>
        <v>AA322</v>
      </c>
      <c r="E201" s="127" t="str">
        <f>IF(Produits!E201="","",Produits!E201)</f>
        <v/>
      </c>
      <c r="F201" s="128" t="str">
        <f>IF(Produits!F201="","",Produits!F201)</f>
        <v>1 pcs</v>
      </c>
      <c r="J201" s="135" t="str">
        <f>IF($J$1="","",HLOOKUP($J$1,$M$1:$AAV$1000,201,0))</f>
        <v/>
      </c>
    </row>
    <row r="202" spans="1:10" x14ac:dyDescent="0.25">
      <c r="A202" s="127" t="str">
        <f>IF(Produits!A202="","",Produits!A202)</f>
        <v>Moveo</v>
      </c>
      <c r="B202" s="127" t="str">
        <f>IF(Produits!B202="","",Produits!B202)</f>
        <v>ComforTronic</v>
      </c>
      <c r="C202" s="127" t="str">
        <f>IF(Produits!C202="","",Produits!C202)</f>
        <v>1000,00,0199</v>
      </c>
      <c r="D202" s="127" t="str">
        <f>IF(Produits!D202="","",Produits!D202)</f>
        <v>AA323</v>
      </c>
      <c r="E202" s="127" t="str">
        <f>IF(Produits!E202="","",Produits!E202)</f>
        <v/>
      </c>
      <c r="F202" s="128" t="str">
        <f>IF(Produits!F202="","",Produits!F202)</f>
        <v>1 pcs</v>
      </c>
      <c r="J202" s="135" t="str">
        <f>IF($J$1="","",HLOOKUP($J$1,$M$1:$AAV$1000,202,0))</f>
        <v/>
      </c>
    </row>
    <row r="203" spans="1:10" x14ac:dyDescent="0.25">
      <c r="A203" s="127" t="str">
        <f>IF(Produits!A203="","",Produits!A203)</f>
        <v>Moveo</v>
      </c>
      <c r="B203" s="127" t="str">
        <f>IF(Produits!B203="","",Produits!B203)</f>
        <v>ComforTronic</v>
      </c>
      <c r="C203" s="127" t="str">
        <f>IF(Produits!C203="","",Produits!C203)</f>
        <v>1000,00,0200</v>
      </c>
      <c r="D203" s="127" t="str">
        <f>IF(Produits!D203="","",Produits!D203)</f>
        <v>AA324</v>
      </c>
      <c r="E203" s="127" t="str">
        <f>IF(Produits!E203="","",Produits!E203)</f>
        <v/>
      </c>
      <c r="F203" s="128" t="str">
        <f>IF(Produits!F203="","",Produits!F203)</f>
        <v>1 pcs</v>
      </c>
      <c r="J203" s="135" t="str">
        <f>IF($J$1="","",HLOOKUP($J$1,$M$1:$AAV$1000,203,0))</f>
        <v/>
      </c>
    </row>
    <row r="204" spans="1:10" x14ac:dyDescent="0.25">
      <c r="A204" s="127" t="str">
        <f>IF(Produits!A204="","",Produits!A204)</f>
        <v>Moveo</v>
      </c>
      <c r="B204" s="127" t="str">
        <f>IF(Produits!B204="","",Produits!B204)</f>
        <v>ComforTronic</v>
      </c>
      <c r="C204" s="127" t="str">
        <f>IF(Produits!C204="","",Produits!C204)</f>
        <v>1000,00,0201</v>
      </c>
      <c r="D204" s="127" t="str">
        <f>IF(Produits!D204="","",Produits!D204)</f>
        <v>AA325</v>
      </c>
      <c r="E204" s="127" t="str">
        <f>IF(Produits!E204="","",Produits!E204)</f>
        <v/>
      </c>
      <c r="F204" s="128" t="str">
        <f>IF(Produits!F204="","",Produits!F204)</f>
        <v>1 pcs</v>
      </c>
      <c r="J204" s="135" t="str">
        <f>IF($J$1="","",HLOOKUP($J$1,$M$1:$AAV$1000,204,0))</f>
        <v/>
      </c>
    </row>
    <row r="205" spans="1:10" x14ac:dyDescent="0.25">
      <c r="A205" s="127" t="str">
        <f>IF(Produits!A205="","",Produits!A205)</f>
        <v>Moveo</v>
      </c>
      <c r="B205" s="127" t="str">
        <f>IF(Produits!B205="","",Produits!B205)</f>
        <v>ComforTronic</v>
      </c>
      <c r="C205" s="127" t="str">
        <f>IF(Produits!C205="","",Produits!C205)</f>
        <v>1000,00,0202</v>
      </c>
      <c r="D205" s="127" t="str">
        <f>IF(Produits!D205="","",Produits!D205)</f>
        <v>AA326</v>
      </c>
      <c r="E205" s="127" t="str">
        <f>IF(Produits!E205="","",Produits!E205)</f>
        <v/>
      </c>
      <c r="F205" s="128" t="str">
        <f>IF(Produits!F205="","",Produits!F205)</f>
        <v>1 pcs</v>
      </c>
      <c r="J205" s="135" t="str">
        <f>IF($J$1="","",HLOOKUP($J$1,$M$1:$AAV$1000,205,0))</f>
        <v/>
      </c>
    </row>
    <row r="206" spans="1:10" x14ac:dyDescent="0.25">
      <c r="A206" s="127" t="str">
        <f>IF(Produits!A206="","",Produits!A206)</f>
        <v>Moveo</v>
      </c>
      <c r="B206" s="127" t="str">
        <f>IF(Produits!B206="","",Produits!B206)</f>
        <v>ComforTronic</v>
      </c>
      <c r="C206" s="127" t="str">
        <f>IF(Produits!C206="","",Produits!C206)</f>
        <v>1000,00,0203</v>
      </c>
      <c r="D206" s="127" t="str">
        <f>IF(Produits!D206="","",Produits!D206)</f>
        <v>AA327</v>
      </c>
      <c r="E206" s="127" t="str">
        <f>IF(Produits!E206="","",Produits!E206)</f>
        <v/>
      </c>
      <c r="F206" s="128" t="str">
        <f>IF(Produits!F206="","",Produits!F206)</f>
        <v>1 pcs</v>
      </c>
      <c r="J206" s="135" t="str">
        <f>IF($J$1="","",HLOOKUP($J$1,$M$1:$AAV$1000,206,0))</f>
        <v/>
      </c>
    </row>
    <row r="207" spans="1:10" x14ac:dyDescent="0.25">
      <c r="A207" s="127" t="str">
        <f>IF(Produits!A207="","",Produits!A207)</f>
        <v>Moveo</v>
      </c>
      <c r="B207" s="127" t="str">
        <f>IF(Produits!B207="","",Produits!B207)</f>
        <v>ComforTronic</v>
      </c>
      <c r="C207" s="127" t="str">
        <f>IF(Produits!C207="","",Produits!C207)</f>
        <v>1000,00,0204</v>
      </c>
      <c r="D207" s="127" t="str">
        <f>IF(Produits!D207="","",Produits!D207)</f>
        <v>AA328</v>
      </c>
      <c r="E207" s="127" t="str">
        <f>IF(Produits!E207="","",Produits!E207)</f>
        <v/>
      </c>
      <c r="F207" s="128" t="str">
        <f>IF(Produits!F207="","",Produits!F207)</f>
        <v>1 pcs</v>
      </c>
      <c r="J207" s="135" t="str">
        <f>IF($J$1="","",HLOOKUP($J$1,$M$1:$AAV$1000,207,0))</f>
        <v/>
      </c>
    </row>
    <row r="208" spans="1:10" x14ac:dyDescent="0.25">
      <c r="A208" s="127" t="str">
        <f>IF(Produits!A208="","",Produits!A208)</f>
        <v>Moveo</v>
      </c>
      <c r="B208" s="127" t="str">
        <f>IF(Produits!B208="","",Produits!B208)</f>
        <v>ComforTronic</v>
      </c>
      <c r="C208" s="127" t="str">
        <f>IF(Produits!C208="","",Produits!C208)</f>
        <v>1000,00,0205</v>
      </c>
      <c r="D208" s="127" t="str">
        <f>IF(Produits!D208="","",Produits!D208)</f>
        <v>AA329</v>
      </c>
      <c r="E208" s="127" t="str">
        <f>IF(Produits!E208="","",Produits!E208)</f>
        <v/>
      </c>
      <c r="F208" s="128" t="str">
        <f>IF(Produits!F208="","",Produits!F208)</f>
        <v>1 pcs</v>
      </c>
      <c r="J208" s="135" t="str">
        <f>IF($J$1="","",HLOOKUP($J$1,$M$1:$AAV$1000,208,0))</f>
        <v/>
      </c>
    </row>
    <row r="209" spans="1:10" x14ac:dyDescent="0.25">
      <c r="A209" s="127" t="str">
        <f>IF(Produits!A209="","",Produits!A209)</f>
        <v>Moveo</v>
      </c>
      <c r="B209" s="127" t="str">
        <f>IF(Produits!B209="","",Produits!B209)</f>
        <v>Contrôle</v>
      </c>
      <c r="C209" s="127" t="str">
        <f>IF(Produits!C209="","",Produits!C209)</f>
        <v>1000,00,0206</v>
      </c>
      <c r="D209" s="127" t="str">
        <f>IF(Produits!D209="","",Produits!D209)</f>
        <v>AA330</v>
      </c>
      <c r="E209" s="127" t="str">
        <f>IF(Produits!E209="","",Produits!E209)</f>
        <v/>
      </c>
      <c r="F209" s="128" t="str">
        <f>IF(Produits!F209="","",Produits!F209)</f>
        <v>1 pcs</v>
      </c>
      <c r="J209" s="135" t="str">
        <f>IF($J$1="","",HLOOKUP($J$1,$M$1:$AAV$1000,209,0))</f>
        <v/>
      </c>
    </row>
    <row r="210" spans="1:10" x14ac:dyDescent="0.25">
      <c r="A210" s="127" t="str">
        <f>IF(Produits!A210="","",Produits!A210)</f>
        <v>Moveo</v>
      </c>
      <c r="B210" s="127" t="str">
        <f>IF(Produits!B210="","",Produits!B210)</f>
        <v>Contrôle</v>
      </c>
      <c r="C210" s="127" t="str">
        <f>IF(Produits!C210="","",Produits!C210)</f>
        <v>1000,00,0207</v>
      </c>
      <c r="D210" s="127" t="str">
        <f>IF(Produits!D210="","",Produits!D210)</f>
        <v>AA331</v>
      </c>
      <c r="E210" s="127" t="str">
        <f>IF(Produits!E210="","",Produits!E210)</f>
        <v/>
      </c>
      <c r="F210" s="128" t="str">
        <f>IF(Produits!F210="","",Produits!F210)</f>
        <v>1 pcs</v>
      </c>
      <c r="J210" s="135" t="str">
        <f>IF($J$1="","",HLOOKUP($J$1,$M$1:$AAV$1000,210,0))</f>
        <v/>
      </c>
    </row>
    <row r="211" spans="1:10" x14ac:dyDescent="0.25">
      <c r="A211" s="127" t="str">
        <f>IF(Produits!A211="","",Produits!A211)</f>
        <v>Moveo</v>
      </c>
      <c r="B211" s="127" t="str">
        <f>IF(Produits!B211="","",Produits!B211)</f>
        <v>Contrôle</v>
      </c>
      <c r="C211" s="127" t="str">
        <f>IF(Produits!C211="","",Produits!C211)</f>
        <v>1000,00,0208</v>
      </c>
      <c r="D211" s="127" t="str">
        <f>IF(Produits!D211="","",Produits!D211)</f>
        <v>AA332</v>
      </c>
      <c r="E211" s="127" t="str">
        <f>IF(Produits!E211="","",Produits!E211)</f>
        <v/>
      </c>
      <c r="F211" s="128" t="str">
        <f>IF(Produits!F211="","",Produits!F211)</f>
        <v>1 pcs</v>
      </c>
      <c r="J211" s="135" t="str">
        <f>IF($J$1="","",HLOOKUP($J$1,$M$1:$AAV$1000,211,0))</f>
        <v/>
      </c>
    </row>
    <row r="212" spans="1:10" x14ac:dyDescent="0.25">
      <c r="A212" s="127" t="str">
        <f>IF(Produits!A212="","",Produits!A212)</f>
        <v>Moveo</v>
      </c>
      <c r="B212" s="127" t="str">
        <f>IF(Produits!B212="","",Produits!B212)</f>
        <v>Contrôle</v>
      </c>
      <c r="C212" s="127" t="str">
        <f>IF(Produits!C212="","",Produits!C212)</f>
        <v>1000,00,0209</v>
      </c>
      <c r="D212" s="127" t="str">
        <f>IF(Produits!D212="","",Produits!D212)</f>
        <v>AA333</v>
      </c>
      <c r="E212" s="127" t="str">
        <f>IF(Produits!E212="","",Produits!E212)</f>
        <v/>
      </c>
      <c r="F212" s="128" t="str">
        <f>IF(Produits!F212="","",Produits!F212)</f>
        <v>1 pcs</v>
      </c>
      <c r="J212" s="135" t="str">
        <f>IF($J$1="","",HLOOKUP($J$1,$M$1:$AAV$1000,212,0))</f>
        <v/>
      </c>
    </row>
    <row r="213" spans="1:10" x14ac:dyDescent="0.25">
      <c r="A213" s="127" t="str">
        <f>IF(Produits!A213="","",Produits!A213)</f>
        <v>Moveo</v>
      </c>
      <c r="B213" s="127" t="str">
        <f>IF(Produits!B213="","",Produits!B213)</f>
        <v>Contrôle</v>
      </c>
      <c r="C213" s="127" t="str">
        <f>IF(Produits!C213="","",Produits!C213)</f>
        <v>1000,00,0210</v>
      </c>
      <c r="D213" s="127" t="str">
        <f>IF(Produits!D213="","",Produits!D213)</f>
        <v>AA334</v>
      </c>
      <c r="E213" s="127" t="str">
        <f>IF(Produits!E213="","",Produits!E213)</f>
        <v/>
      </c>
      <c r="F213" s="128" t="str">
        <f>IF(Produits!F213="","",Produits!F213)</f>
        <v>1 pcs</v>
      </c>
      <c r="J213" s="135" t="str">
        <f>IF($J$1="","",HLOOKUP($J$1,$M$1:$AAV$1000,213,0))</f>
        <v/>
      </c>
    </row>
    <row r="214" spans="1:10" x14ac:dyDescent="0.25">
      <c r="A214" s="127" t="str">
        <f>IF(Produits!A214="","",Produits!A214)</f>
        <v>Moveo</v>
      </c>
      <c r="B214" s="127" t="str">
        <f>IF(Produits!B214="","",Produits!B214)</f>
        <v>Contrôle</v>
      </c>
      <c r="C214" s="127" t="str">
        <f>IF(Produits!C214="","",Produits!C214)</f>
        <v>1000,00,0211</v>
      </c>
      <c r="D214" s="127" t="str">
        <f>IF(Produits!D214="","",Produits!D214)</f>
        <v>AA335</v>
      </c>
      <c r="E214" s="127" t="str">
        <f>IF(Produits!E214="","",Produits!E214)</f>
        <v/>
      </c>
      <c r="F214" s="128" t="str">
        <f>IF(Produits!F214="","",Produits!F214)</f>
        <v>1 pcs</v>
      </c>
      <c r="J214" s="135" t="str">
        <f>IF($J$1="","",HLOOKUP($J$1,$M$1:$AAV$1000,214,0))</f>
        <v/>
      </c>
    </row>
    <row r="215" spans="1:10" x14ac:dyDescent="0.25">
      <c r="A215" s="127" t="str">
        <f>IF(Produits!A215="","",Produits!A215)</f>
        <v>Moveo</v>
      </c>
      <c r="B215" s="127" t="str">
        <f>IF(Produits!B215="","",Produits!B215)</f>
        <v>Contrôle</v>
      </c>
      <c r="C215" s="127" t="str">
        <f>IF(Produits!C215="","",Produits!C215)</f>
        <v>1000,00,0212</v>
      </c>
      <c r="D215" s="127" t="str">
        <f>IF(Produits!D215="","",Produits!D215)</f>
        <v>AA336</v>
      </c>
      <c r="E215" s="127" t="str">
        <f>IF(Produits!E215="","",Produits!E215)</f>
        <v/>
      </c>
      <c r="F215" s="128" t="str">
        <f>IF(Produits!F215="","",Produits!F215)</f>
        <v>1 pcs</v>
      </c>
      <c r="J215" s="135" t="str">
        <f>IF($J$1="","",HLOOKUP($J$1,$M$1:$AAV$1000,215,0))</f>
        <v/>
      </c>
    </row>
    <row r="216" spans="1:10" x14ac:dyDescent="0.25">
      <c r="A216" s="127" t="str">
        <f>IF(Produits!A216="","",Produits!A216)</f>
        <v>Moveo</v>
      </c>
      <c r="B216" s="127" t="str">
        <f>IF(Produits!B216="","",Produits!B216)</f>
        <v>Contrôle</v>
      </c>
      <c r="C216" s="127" t="str">
        <f>IF(Produits!C216="","",Produits!C216)</f>
        <v>1000,00,0213</v>
      </c>
      <c r="D216" s="127" t="str">
        <f>IF(Produits!D216="","",Produits!D216)</f>
        <v>AA337</v>
      </c>
      <c r="E216" s="127" t="str">
        <f>IF(Produits!E216="","",Produits!E216)</f>
        <v/>
      </c>
      <c r="F216" s="128" t="str">
        <f>IF(Produits!F216="","",Produits!F216)</f>
        <v>1 pcs</v>
      </c>
      <c r="J216" s="135" t="str">
        <f>IF($J$1="","",HLOOKUP($J$1,$M$1:$AAV$1000,216,0))</f>
        <v/>
      </c>
    </row>
    <row r="217" spans="1:10" x14ac:dyDescent="0.25">
      <c r="A217" s="127" t="str">
        <f>IF(Produits!A217="","",Produits!A217)</f>
        <v>Moveo</v>
      </c>
      <c r="B217" s="127" t="str">
        <f>IF(Produits!B217="","",Produits!B217)</f>
        <v>Contrôle</v>
      </c>
      <c r="C217" s="127" t="str">
        <f>IF(Produits!C217="","",Produits!C217)</f>
        <v>1000,00,0214</v>
      </c>
      <c r="D217" s="127" t="str">
        <f>IF(Produits!D217="","",Produits!D217)</f>
        <v>AA338</v>
      </c>
      <c r="E217" s="127" t="str">
        <f>IF(Produits!E217="","",Produits!E217)</f>
        <v/>
      </c>
      <c r="F217" s="128" t="str">
        <f>IF(Produits!F217="","",Produits!F217)</f>
        <v>1 pcs</v>
      </c>
      <c r="J217" s="135" t="str">
        <f>IF($J$1="","",HLOOKUP($J$1,$M$1:$AAV$1000,217,0))</f>
        <v/>
      </c>
    </row>
    <row r="218" spans="1:10" x14ac:dyDescent="0.25">
      <c r="A218" s="127" t="str">
        <f>IF(Produits!A218="","",Produits!A218)</f>
        <v>Moveo</v>
      </c>
      <c r="B218" s="127" t="str">
        <f>IF(Produits!B218="","",Produits!B218)</f>
        <v>Contrôle</v>
      </c>
      <c r="C218" s="127" t="str">
        <f>IF(Produits!C218="","",Produits!C218)</f>
        <v>1000,00,0215</v>
      </c>
      <c r="D218" s="127" t="str">
        <f>IF(Produits!D218="","",Produits!D218)</f>
        <v>AA339</v>
      </c>
      <c r="E218" s="127" t="str">
        <f>IF(Produits!E218="","",Produits!E218)</f>
        <v/>
      </c>
      <c r="F218" s="128" t="str">
        <f>IF(Produits!F218="","",Produits!F218)</f>
        <v>1 pcs</v>
      </c>
      <c r="J218" s="135" t="str">
        <f>IF($J$1="","",HLOOKUP($J$1,$M$1:$AAV$1000,218,0))</f>
        <v/>
      </c>
    </row>
    <row r="219" spans="1:10" x14ac:dyDescent="0.25">
      <c r="A219" s="127" t="str">
        <f>IF(Produits!A219="","",Produits!A219)</f>
        <v>Moveo</v>
      </c>
      <c r="B219" s="127" t="str">
        <f>IF(Produits!B219="","",Produits!B219)</f>
        <v>Contrôle</v>
      </c>
      <c r="C219" s="127" t="str">
        <f>IF(Produits!C219="","",Produits!C219)</f>
        <v>1000,00,0216</v>
      </c>
      <c r="D219" s="127" t="str">
        <f>IF(Produits!D219="","",Produits!D219)</f>
        <v>AA340</v>
      </c>
      <c r="E219" s="127" t="str">
        <f>IF(Produits!E219="","",Produits!E219)</f>
        <v/>
      </c>
      <c r="F219" s="128" t="str">
        <f>IF(Produits!F219="","",Produits!F219)</f>
        <v>1 pcs</v>
      </c>
      <c r="J219" s="135" t="str">
        <f>IF($J$1="","",HLOOKUP($J$1,$M$1:$AAV$1000,219,0))</f>
        <v/>
      </c>
    </row>
    <row r="220" spans="1:10" x14ac:dyDescent="0.25">
      <c r="A220" s="127" t="str">
        <f>IF(Produits!A220="","",Produits!A220)</f>
        <v>Moveo</v>
      </c>
      <c r="B220" s="127" t="str">
        <f>IF(Produits!B220="","",Produits!B220)</f>
        <v>Contrôle</v>
      </c>
      <c r="C220" s="127" t="str">
        <f>IF(Produits!C220="","",Produits!C220)</f>
        <v>1000,00,0217</v>
      </c>
      <c r="D220" s="127" t="str">
        <f>IF(Produits!D220="","",Produits!D220)</f>
        <v>AA341</v>
      </c>
      <c r="E220" s="127" t="str">
        <f>IF(Produits!E220="","",Produits!E220)</f>
        <v/>
      </c>
      <c r="F220" s="128" t="str">
        <f>IF(Produits!F220="","",Produits!F220)</f>
        <v>1 pcs</v>
      </c>
      <c r="J220" s="135" t="str">
        <f>IF($J$1="","",HLOOKUP($J$1,$M$1:$AAV$1000,220,0))</f>
        <v/>
      </c>
    </row>
    <row r="221" spans="1:10" x14ac:dyDescent="0.25">
      <c r="A221" s="127" t="str">
        <f>IF(Produits!A221="","",Produits!A221)</f>
        <v>Moveo</v>
      </c>
      <c r="B221" s="127" t="str">
        <f>IF(Produits!B221="","",Produits!B221)</f>
        <v>Contrôle</v>
      </c>
      <c r="C221" s="127" t="str">
        <f>IF(Produits!C221="","",Produits!C221)</f>
        <v>1000,00,0218</v>
      </c>
      <c r="D221" s="127" t="str">
        <f>IF(Produits!D221="","",Produits!D221)</f>
        <v>AA342</v>
      </c>
      <c r="E221" s="127" t="str">
        <f>IF(Produits!E221="","",Produits!E221)</f>
        <v/>
      </c>
      <c r="F221" s="128" t="str">
        <f>IF(Produits!F221="","",Produits!F221)</f>
        <v>1 pcs</v>
      </c>
      <c r="J221" s="135" t="str">
        <f>IF($J$1="","",HLOOKUP($J$1,$M$1:$AAV$1000,221,0))</f>
        <v/>
      </c>
    </row>
    <row r="222" spans="1:10" x14ac:dyDescent="0.25">
      <c r="A222" s="127" t="str">
        <f>IF(Produits!A222="","",Produits!A222)</f>
        <v>Moveo</v>
      </c>
      <c r="B222" s="127" t="str">
        <f>IF(Produits!B222="","",Produits!B222)</f>
        <v>Contrôle</v>
      </c>
      <c r="C222" s="127" t="str">
        <f>IF(Produits!C222="","",Produits!C222)</f>
        <v>1000,00,0219</v>
      </c>
      <c r="D222" s="127" t="str">
        <f>IF(Produits!D222="","",Produits!D222)</f>
        <v>AA343</v>
      </c>
      <c r="E222" s="127" t="str">
        <f>IF(Produits!E222="","",Produits!E222)</f>
        <v/>
      </c>
      <c r="F222" s="128" t="str">
        <f>IF(Produits!F222="","",Produits!F222)</f>
        <v>1 pcs</v>
      </c>
      <c r="J222" s="135" t="str">
        <f>IF($J$1="","",HLOOKUP($J$1,$M$1:$AAV$1000,222,0))</f>
        <v/>
      </c>
    </row>
    <row r="223" spans="1:10" x14ac:dyDescent="0.25">
      <c r="A223" s="127" t="str">
        <f>IF(Produits!A223="","",Produits!A223)</f>
        <v>Moveo</v>
      </c>
      <c r="B223" s="127" t="str">
        <f>IF(Produits!B223="","",Produits!B223)</f>
        <v>Contrôle</v>
      </c>
      <c r="C223" s="127" t="str">
        <f>IF(Produits!C223="","",Produits!C223)</f>
        <v>1000,00,0220</v>
      </c>
      <c r="D223" s="127" t="str">
        <f>IF(Produits!D223="","",Produits!D223)</f>
        <v>AA344</v>
      </c>
      <c r="E223" s="127" t="str">
        <f>IF(Produits!E223="","",Produits!E223)</f>
        <v/>
      </c>
      <c r="F223" s="128" t="str">
        <f>IF(Produits!F223="","",Produits!F223)</f>
        <v>1 pcs</v>
      </c>
      <c r="J223" s="135" t="str">
        <f>IF($J$1="","",HLOOKUP($J$1,$M$1:$AAV$1000,223,0))</f>
        <v/>
      </c>
    </row>
    <row r="224" spans="1:10" x14ac:dyDescent="0.25">
      <c r="A224" s="127" t="str">
        <f>IF(Produits!A224="","",Produits!A224)</f>
        <v>Moveo</v>
      </c>
      <c r="B224" s="127" t="str">
        <f>IF(Produits!B224="","",Produits!B224)</f>
        <v>Contrôle</v>
      </c>
      <c r="C224" s="127" t="str">
        <f>IF(Produits!C224="","",Produits!C224)</f>
        <v>1000,00,0221</v>
      </c>
      <c r="D224" s="127" t="str">
        <f>IF(Produits!D224="","",Produits!D224)</f>
        <v>AA345</v>
      </c>
      <c r="E224" s="127" t="str">
        <f>IF(Produits!E224="","",Produits!E224)</f>
        <v/>
      </c>
      <c r="F224" s="128" t="str">
        <f>IF(Produits!F224="","",Produits!F224)</f>
        <v>1 pcs</v>
      </c>
      <c r="J224" s="135" t="str">
        <f>IF($J$1="","",HLOOKUP($J$1,$M$1:$AAV$1000,224,0))</f>
        <v/>
      </c>
    </row>
    <row r="225" spans="1:10" x14ac:dyDescent="0.25">
      <c r="A225" s="127" t="str">
        <f>IF(Produits!A225="","",Produits!A225)</f>
        <v>Moveo</v>
      </c>
      <c r="B225" s="127" t="str">
        <f>IF(Produits!B225="","",Produits!B225)</f>
        <v>Contrôle</v>
      </c>
      <c r="C225" s="127" t="str">
        <f>IF(Produits!C225="","",Produits!C225)</f>
        <v>1000,00,0222</v>
      </c>
      <c r="D225" s="127" t="str">
        <f>IF(Produits!D225="","",Produits!D225)</f>
        <v>AA346</v>
      </c>
      <c r="E225" s="127" t="str">
        <f>IF(Produits!E225="","",Produits!E225)</f>
        <v/>
      </c>
      <c r="F225" s="128" t="str">
        <f>IF(Produits!F225="","",Produits!F225)</f>
        <v>1 pcs</v>
      </c>
      <c r="J225" s="135" t="str">
        <f>IF($J$1="","",HLOOKUP($J$1,$M$1:$AAV$1000,225,0))</f>
        <v/>
      </c>
    </row>
    <row r="226" spans="1:10" x14ac:dyDescent="0.25">
      <c r="A226" s="127" t="str">
        <f>IF(Produits!A226="","",Produits!A226)</f>
        <v>Moveo</v>
      </c>
      <c r="B226" s="127" t="str">
        <f>IF(Produits!B226="","",Produits!B226)</f>
        <v>Contrôle</v>
      </c>
      <c r="C226" s="127" t="str">
        <f>IF(Produits!C226="","",Produits!C226)</f>
        <v>1000,00,0223</v>
      </c>
      <c r="D226" s="127" t="str">
        <f>IF(Produits!D226="","",Produits!D226)</f>
        <v>AA347</v>
      </c>
      <c r="E226" s="127" t="str">
        <f>IF(Produits!E226="","",Produits!E226)</f>
        <v/>
      </c>
      <c r="F226" s="128" t="str">
        <f>IF(Produits!F226="","",Produits!F226)</f>
        <v>1 pcs</v>
      </c>
      <c r="J226" s="135" t="str">
        <f>IF($J$1="","",HLOOKUP($J$1,$M$1:$AAV$1000,226,0))</f>
        <v/>
      </c>
    </row>
    <row r="227" spans="1:10" x14ac:dyDescent="0.25">
      <c r="A227" s="127" t="str">
        <f>IF(Produits!A227="","",Produits!A227)</f>
        <v>Moveo</v>
      </c>
      <c r="B227" s="127" t="str">
        <f>IF(Produits!B227="","",Produits!B227)</f>
        <v>Contrôle</v>
      </c>
      <c r="C227" s="127" t="str">
        <f>IF(Produits!C227="","",Produits!C227)</f>
        <v>1000,00,0224</v>
      </c>
      <c r="D227" s="127" t="str">
        <f>IF(Produits!D227="","",Produits!D227)</f>
        <v>AA348</v>
      </c>
      <c r="E227" s="127" t="str">
        <f>IF(Produits!E227="","",Produits!E227)</f>
        <v/>
      </c>
      <c r="F227" s="128" t="str">
        <f>IF(Produits!F227="","",Produits!F227)</f>
        <v>1 pcs</v>
      </c>
      <c r="J227" s="135" t="str">
        <f>IF($J$1="","",HLOOKUP($J$1,$M$1:$AAV$1000,227,0))</f>
        <v/>
      </c>
    </row>
    <row r="228" spans="1:10" x14ac:dyDescent="0.25">
      <c r="A228" s="127" t="str">
        <f>IF(Produits!A228="","",Produits!A228)</f>
        <v>Moveo</v>
      </c>
      <c r="B228" s="127" t="str">
        <f>IF(Produits!B228="","",Produits!B228)</f>
        <v>Contrôle</v>
      </c>
      <c r="C228" s="127" t="str">
        <f>IF(Produits!C228="","",Produits!C228)</f>
        <v>1000,00,0225</v>
      </c>
      <c r="D228" s="127" t="str">
        <f>IF(Produits!D228="","",Produits!D228)</f>
        <v>AA349</v>
      </c>
      <c r="E228" s="127" t="str">
        <f>IF(Produits!E228="","",Produits!E228)</f>
        <v/>
      </c>
      <c r="F228" s="128" t="str">
        <f>IF(Produits!F228="","",Produits!F228)</f>
        <v>1 pcs</v>
      </c>
      <c r="J228" s="135" t="str">
        <f>IF($J$1="","",HLOOKUP($J$1,$M$1:$AAV$1000,228,0))</f>
        <v/>
      </c>
    </row>
    <row r="229" spans="1:10" x14ac:dyDescent="0.25">
      <c r="A229" s="127" t="str">
        <f>IF(Produits!A229="","",Produits!A229)</f>
        <v>Moveo</v>
      </c>
      <c r="B229" s="127" t="str">
        <f>IF(Produits!B229="","",Produits!B229)</f>
        <v>Contrôle</v>
      </c>
      <c r="C229" s="127" t="str">
        <f>IF(Produits!C229="","",Produits!C229)</f>
        <v>1000,00,0226</v>
      </c>
      <c r="D229" s="127" t="str">
        <f>IF(Produits!D229="","",Produits!D229)</f>
        <v>AA350</v>
      </c>
      <c r="E229" s="127" t="str">
        <f>IF(Produits!E229="","",Produits!E229)</f>
        <v/>
      </c>
      <c r="F229" s="128" t="str">
        <f>IF(Produits!F229="","",Produits!F229)</f>
        <v>1 pcs</v>
      </c>
      <c r="J229" s="135" t="str">
        <f>IF($J$1="","",HLOOKUP($J$1,$M$1:$AAV$1000,229,0))</f>
        <v/>
      </c>
    </row>
    <row r="230" spans="1:10" x14ac:dyDescent="0.25">
      <c r="A230" s="127" t="str">
        <f>IF(Produits!A230="","",Produits!A230)</f>
        <v>Moveo</v>
      </c>
      <c r="B230" s="127" t="str">
        <f>IF(Produits!B230="","",Produits!B230)</f>
        <v>Accessoires</v>
      </c>
      <c r="C230" s="127" t="str">
        <f>IF(Produits!C230="","",Produits!C230)</f>
        <v>1000,00,0227</v>
      </c>
      <c r="D230" s="127" t="str">
        <f>IF(Produits!D230="","",Produits!D230)</f>
        <v>AA351</v>
      </c>
      <c r="E230" s="127" t="str">
        <f>IF(Produits!E230="","",Produits!E230)</f>
        <v/>
      </c>
      <c r="F230" s="128" t="str">
        <f>IF(Produits!F230="","",Produits!F230)</f>
        <v>1 pcs</v>
      </c>
      <c r="J230" s="135" t="str">
        <f>IF($J$1="","",HLOOKUP($J$1,$M$1:$AAV$1000,230,0))</f>
        <v/>
      </c>
    </row>
    <row r="231" spans="1:10" x14ac:dyDescent="0.25">
      <c r="A231" s="127" t="str">
        <f>IF(Produits!A231="","",Produits!A231)</f>
        <v>Moveo</v>
      </c>
      <c r="B231" s="127" t="str">
        <f>IF(Produits!B231="","",Produits!B231)</f>
        <v>Accessoires</v>
      </c>
      <c r="C231" s="127" t="str">
        <f>IF(Produits!C231="","",Produits!C231)</f>
        <v>1000,00,0228</v>
      </c>
      <c r="D231" s="127" t="str">
        <f>IF(Produits!D231="","",Produits!D231)</f>
        <v>AA352</v>
      </c>
      <c r="E231" s="127" t="str">
        <f>IF(Produits!E231="","",Produits!E231)</f>
        <v/>
      </c>
      <c r="F231" s="128" t="str">
        <f>IF(Produits!F231="","",Produits!F231)</f>
        <v>1 pcs</v>
      </c>
      <c r="J231" s="135" t="str">
        <f>IF($J$1="","",HLOOKUP($J$1,$M$1:$AAV$1000,231,0))</f>
        <v/>
      </c>
    </row>
    <row r="232" spans="1:10" x14ac:dyDescent="0.25">
      <c r="A232" s="127" t="str">
        <f>IF(Produits!A232="","",Produits!A232)</f>
        <v>Moveo</v>
      </c>
      <c r="B232" s="127" t="str">
        <f>IF(Produits!B232="","",Produits!B232)</f>
        <v>Accessoires</v>
      </c>
      <c r="C232" s="127" t="str">
        <f>IF(Produits!C232="","",Produits!C232)</f>
        <v>1000,00,0229</v>
      </c>
      <c r="D232" s="127" t="str">
        <f>IF(Produits!D232="","",Produits!D232)</f>
        <v>AA353</v>
      </c>
      <c r="E232" s="127" t="str">
        <f>IF(Produits!E232="","",Produits!E232)</f>
        <v/>
      </c>
      <c r="F232" s="128" t="str">
        <f>IF(Produits!F232="","",Produits!F232)</f>
        <v>1 pcs</v>
      </c>
      <c r="J232" s="135" t="str">
        <f>IF($J$1="","",HLOOKUP($J$1,$M$1:$AAV$1000,232,0))</f>
        <v/>
      </c>
    </row>
    <row r="233" spans="1:10" x14ac:dyDescent="0.25">
      <c r="A233" s="127" t="str">
        <f>IF(Produits!A233="","",Produits!A233)</f>
        <v>Moveo</v>
      </c>
      <c r="B233" s="127" t="str">
        <f>IF(Produits!B233="","",Produits!B233)</f>
        <v>Accessoires</v>
      </c>
      <c r="C233" s="127" t="str">
        <f>IF(Produits!C233="","",Produits!C233)</f>
        <v>1000,00,0230</v>
      </c>
      <c r="D233" s="127" t="str">
        <f>IF(Produits!D233="","",Produits!D233)</f>
        <v>AA354</v>
      </c>
      <c r="E233" s="127" t="str">
        <f>IF(Produits!E233="","",Produits!E233)</f>
        <v/>
      </c>
      <c r="F233" s="128" t="str">
        <f>IF(Produits!F233="","",Produits!F233)</f>
        <v>1 pcs</v>
      </c>
      <c r="J233" s="135" t="str">
        <f>IF($J$1="","",HLOOKUP($J$1,$M$1:$AAV$1000,233,0))</f>
        <v/>
      </c>
    </row>
    <row r="234" spans="1:10" x14ac:dyDescent="0.25">
      <c r="A234" s="127" t="str">
        <f>IF(Produits!A234="","",Produits!A234)</f>
        <v>Moveo</v>
      </c>
      <c r="B234" s="127" t="str">
        <f>IF(Produits!B234="","",Produits!B234)</f>
        <v>Accessoires</v>
      </c>
      <c r="C234" s="127" t="str">
        <f>IF(Produits!C234="","",Produits!C234)</f>
        <v>1000,00,0231</v>
      </c>
      <c r="D234" s="127" t="str">
        <f>IF(Produits!D234="","",Produits!D234)</f>
        <v>AA355</v>
      </c>
      <c r="E234" s="127" t="str">
        <f>IF(Produits!E234="","",Produits!E234)</f>
        <v/>
      </c>
      <c r="F234" s="128" t="str">
        <f>IF(Produits!F234="","",Produits!F234)</f>
        <v>1 pcs</v>
      </c>
      <c r="J234" s="135" t="str">
        <f>IF($J$1="","",HLOOKUP($J$1,$M$1:$AAV$1000,234,0))</f>
        <v/>
      </c>
    </row>
    <row r="235" spans="1:10" x14ac:dyDescent="0.25">
      <c r="A235" s="127" t="str">
        <f>IF(Produits!A235="","",Produits!A235)</f>
        <v>Moveo</v>
      </c>
      <c r="B235" s="127" t="str">
        <f>IF(Produits!B235="","",Produits!B235)</f>
        <v>Accessoires</v>
      </c>
      <c r="C235" s="127" t="str">
        <f>IF(Produits!C235="","",Produits!C235)</f>
        <v>1000,00,0232</v>
      </c>
      <c r="D235" s="127" t="str">
        <f>IF(Produits!D235="","",Produits!D235)</f>
        <v>AA356</v>
      </c>
      <c r="E235" s="127" t="str">
        <f>IF(Produits!E235="","",Produits!E235)</f>
        <v/>
      </c>
      <c r="F235" s="128" t="str">
        <f>IF(Produits!F235="","",Produits!F235)</f>
        <v>1 pcs</v>
      </c>
      <c r="J235" s="135" t="str">
        <f>IF($J$1="","",HLOOKUP($J$1,$M$1:$AAV$1000,235,0))</f>
        <v/>
      </c>
    </row>
    <row r="236" spans="1:10" x14ac:dyDescent="0.25">
      <c r="A236" s="127" t="str">
        <f>IF(Produits!A236="","",Produits!A236)</f>
        <v>Moveo</v>
      </c>
      <c r="B236" s="127" t="str">
        <f>IF(Produits!B236="","",Produits!B236)</f>
        <v>Accessoires</v>
      </c>
      <c r="C236" s="127" t="str">
        <f>IF(Produits!C236="","",Produits!C236)</f>
        <v>1000,00,0233</v>
      </c>
      <c r="D236" s="127" t="str">
        <f>IF(Produits!D236="","",Produits!D236)</f>
        <v>AA357</v>
      </c>
      <c r="E236" s="127" t="str">
        <f>IF(Produits!E236="","",Produits!E236)</f>
        <v/>
      </c>
      <c r="F236" s="128" t="str">
        <f>IF(Produits!F236="","",Produits!F236)</f>
        <v>1 pcs</v>
      </c>
      <c r="J236" s="135" t="str">
        <f>IF($J$1="","",HLOOKUP($J$1,$M$1:$AAV$1000,236,0))</f>
        <v/>
      </c>
    </row>
    <row r="237" spans="1:10" x14ac:dyDescent="0.25">
      <c r="A237" s="127" t="str">
        <f>IF(Produits!A237="","",Produits!A237)</f>
        <v>Moveo</v>
      </c>
      <c r="B237" s="127" t="str">
        <f>IF(Produits!B237="","",Produits!B237)</f>
        <v>Accessoires</v>
      </c>
      <c r="C237" s="127" t="str">
        <f>IF(Produits!C237="","",Produits!C237)</f>
        <v>1000,00,0234</v>
      </c>
      <c r="D237" s="127" t="str">
        <f>IF(Produits!D237="","",Produits!D237)</f>
        <v>AA358</v>
      </c>
      <c r="E237" s="127" t="str">
        <f>IF(Produits!E237="","",Produits!E237)</f>
        <v/>
      </c>
      <c r="F237" s="128" t="str">
        <f>IF(Produits!F237="","",Produits!F237)</f>
        <v>1 pcs</v>
      </c>
      <c r="J237" s="135" t="str">
        <f>IF($J$1="","",HLOOKUP($J$1,$M$1:$AAV$1000,237,0))</f>
        <v/>
      </c>
    </row>
    <row r="238" spans="1:10" x14ac:dyDescent="0.25">
      <c r="A238" s="127" t="str">
        <f>IF(Produits!A238="","",Produits!A238)</f>
        <v>Moveo</v>
      </c>
      <c r="B238" s="127" t="str">
        <f>IF(Produits!B238="","",Produits!B238)</f>
        <v>Accessoires</v>
      </c>
      <c r="C238" s="127" t="str">
        <f>IF(Produits!C238="","",Produits!C238)</f>
        <v>1000,00,0235</v>
      </c>
      <c r="D238" s="127" t="str">
        <f>IF(Produits!D238="","",Produits!D238)</f>
        <v>AA359</v>
      </c>
      <c r="E238" s="127" t="str">
        <f>IF(Produits!E238="","",Produits!E238)</f>
        <v/>
      </c>
      <c r="F238" s="128" t="str">
        <f>IF(Produits!F238="","",Produits!F238)</f>
        <v>1 pcs</v>
      </c>
      <c r="J238" s="135" t="str">
        <f>IF($J$1="","",HLOOKUP($J$1,$M$1:$AAV$1000,238,0))</f>
        <v/>
      </c>
    </row>
    <row r="239" spans="1:10" x14ac:dyDescent="0.25">
      <c r="A239" s="127" t="str">
        <f>IF(Produits!A239="","",Produits!A239)</f>
        <v>Moveo</v>
      </c>
      <c r="B239" s="127" t="str">
        <f>IF(Produits!B239="","",Produits!B239)</f>
        <v>Accessoires</v>
      </c>
      <c r="C239" s="127" t="str">
        <f>IF(Produits!C239="","",Produits!C239)</f>
        <v>1000,00,0236</v>
      </c>
      <c r="D239" s="127" t="str">
        <f>IF(Produits!D239="","",Produits!D239)</f>
        <v>AA360</v>
      </c>
      <c r="E239" s="127" t="str">
        <f>IF(Produits!E239="","",Produits!E239)</f>
        <v/>
      </c>
      <c r="F239" s="128" t="str">
        <f>IF(Produits!F239="","",Produits!F239)</f>
        <v>1 pcs</v>
      </c>
      <c r="J239" s="135" t="str">
        <f>IF($J$1="","",HLOOKUP($J$1,$M$1:$AAV$1000,239,0))</f>
        <v/>
      </c>
    </row>
    <row r="240" spans="1:10" x14ac:dyDescent="0.25">
      <c r="A240" s="127" t="str">
        <f>IF(Produits!A240="","",Produits!A240)</f>
        <v>Moveo</v>
      </c>
      <c r="B240" s="127" t="str">
        <f>IF(Produits!B240="","",Produits!B240)</f>
        <v>Accessoires</v>
      </c>
      <c r="C240" s="127" t="str">
        <f>IF(Produits!C240="","",Produits!C240)</f>
        <v>1000,00,0237</v>
      </c>
      <c r="D240" s="127" t="str">
        <f>IF(Produits!D240="","",Produits!D240)</f>
        <v>AA361</v>
      </c>
      <c r="E240" s="127" t="str">
        <f>IF(Produits!E240="","",Produits!E240)</f>
        <v/>
      </c>
      <c r="F240" s="128" t="str">
        <f>IF(Produits!F240="","",Produits!F240)</f>
        <v>1 pcs</v>
      </c>
      <c r="J240" s="135" t="str">
        <f>IF($J$1="","",HLOOKUP($J$1,$M$1:$AAV$1000,240,0))</f>
        <v/>
      </c>
    </row>
    <row r="241" spans="1:10" x14ac:dyDescent="0.25">
      <c r="A241" s="127" t="str">
        <f>IF(Produits!A241="","",Produits!A241)</f>
        <v>Moveo</v>
      </c>
      <c r="B241" s="127" t="str">
        <f>IF(Produits!B241="","",Produits!B241)</f>
        <v>Accessoires</v>
      </c>
      <c r="C241" s="127" t="str">
        <f>IF(Produits!C241="","",Produits!C241)</f>
        <v>1000,00,0238</v>
      </c>
      <c r="D241" s="127" t="str">
        <f>IF(Produits!D241="","",Produits!D241)</f>
        <v>AA362</v>
      </c>
      <c r="E241" s="127" t="str">
        <f>IF(Produits!E241="","",Produits!E241)</f>
        <v/>
      </c>
      <c r="F241" s="128" t="str">
        <f>IF(Produits!F241="","",Produits!F241)</f>
        <v>1 pcs</v>
      </c>
      <c r="J241" s="135" t="str">
        <f>IF($J$1="","",HLOOKUP($J$1,$M$1:$AAV$1000,241,0))</f>
        <v/>
      </c>
    </row>
    <row r="242" spans="1:10" x14ac:dyDescent="0.25">
      <c r="A242" s="127" t="str">
        <f>IF(Produits!A242="","",Produits!A242)</f>
        <v>Moveo</v>
      </c>
      <c r="B242" s="127" t="str">
        <f>IF(Produits!B242="","",Produits!B242)</f>
        <v>Accessoires</v>
      </c>
      <c r="C242" s="127" t="str">
        <f>IF(Produits!C242="","",Produits!C242)</f>
        <v>1000,00,0239</v>
      </c>
      <c r="D242" s="127" t="str">
        <f>IF(Produits!D242="","",Produits!D242)</f>
        <v>AA363</v>
      </c>
      <c r="E242" s="127" t="str">
        <f>IF(Produits!E242="","",Produits!E242)</f>
        <v/>
      </c>
      <c r="F242" s="128" t="str">
        <f>IF(Produits!F242="","",Produits!F242)</f>
        <v>1 pcs</v>
      </c>
      <c r="J242" s="135" t="str">
        <f>IF($J$1="","",HLOOKUP($J$1,$M$1:$AAV$1000,242,0))</f>
        <v/>
      </c>
    </row>
    <row r="243" spans="1:10" x14ac:dyDescent="0.25">
      <c r="A243" s="127" t="str">
        <f>IF(Produits!A243="","",Produits!A243)</f>
        <v>Moveo</v>
      </c>
      <c r="B243" s="127" t="str">
        <f>IF(Produits!B243="","",Produits!B243)</f>
        <v>Accessoires</v>
      </c>
      <c r="C243" s="127" t="str">
        <f>IF(Produits!C243="","",Produits!C243)</f>
        <v>1000,00,0240</v>
      </c>
      <c r="D243" s="127" t="str">
        <f>IF(Produits!D243="","",Produits!D243)</f>
        <v>AA364</v>
      </c>
      <c r="E243" s="127" t="str">
        <f>IF(Produits!E243="","",Produits!E243)</f>
        <v/>
      </c>
      <c r="F243" s="128" t="str">
        <f>IF(Produits!F243="","",Produits!F243)</f>
        <v>1 pcs</v>
      </c>
      <c r="J243" s="135" t="str">
        <f>IF($J$1="","",HLOOKUP($J$1,$M$1:$AAV$1000,243,0))</f>
        <v/>
      </c>
    </row>
    <row r="244" spans="1:10" x14ac:dyDescent="0.25">
      <c r="A244" s="127" t="str">
        <f>IF(Produits!A244="","",Produits!A244)</f>
        <v>Moveo</v>
      </c>
      <c r="B244" s="127" t="str">
        <f>IF(Produits!B244="","",Produits!B244)</f>
        <v>Accessoires</v>
      </c>
      <c r="C244" s="127" t="str">
        <f>IF(Produits!C244="","",Produits!C244)</f>
        <v>1000,00,0241</v>
      </c>
      <c r="D244" s="127" t="str">
        <f>IF(Produits!D244="","",Produits!D244)</f>
        <v>AA365</v>
      </c>
      <c r="E244" s="127" t="str">
        <f>IF(Produits!E244="","",Produits!E244)</f>
        <v/>
      </c>
      <c r="F244" s="128" t="str">
        <f>IF(Produits!F244="","",Produits!F244)</f>
        <v>1 pcs</v>
      </c>
      <c r="J244" s="135" t="str">
        <f>IF($J$1="","",HLOOKUP($J$1,$M$1:$AAV$1000,244,0))</f>
        <v/>
      </c>
    </row>
    <row r="245" spans="1:10" x14ac:dyDescent="0.25">
      <c r="A245" s="127" t="str">
        <f>IF(Produits!A245="","",Produits!A245)</f>
        <v>Moveo</v>
      </c>
      <c r="B245" s="127" t="str">
        <f>IF(Produits!B245="","",Produits!B245)</f>
        <v>Accessoires</v>
      </c>
      <c r="C245" s="127" t="str">
        <f>IF(Produits!C245="","",Produits!C245)</f>
        <v>1000,00,0242</v>
      </c>
      <c r="D245" s="127" t="str">
        <f>IF(Produits!D245="","",Produits!D245)</f>
        <v>AA366</v>
      </c>
      <c r="E245" s="127" t="str">
        <f>IF(Produits!E245="","",Produits!E245)</f>
        <v/>
      </c>
      <c r="F245" s="128" t="str">
        <f>IF(Produits!F245="","",Produits!F245)</f>
        <v>1 pcs</v>
      </c>
      <c r="J245" s="135" t="str">
        <f>IF($J$1="","",HLOOKUP($J$1,$M$1:$AAV$1000,245,0))</f>
        <v/>
      </c>
    </row>
    <row r="246" spans="1:10" x14ac:dyDescent="0.25">
      <c r="A246" s="127" t="str">
        <f>IF(Produits!A246="","",Produits!A246)</f>
        <v>Moveo</v>
      </c>
      <c r="B246" s="127" t="str">
        <f>IF(Produits!B246="","",Produits!B246)</f>
        <v>Accessoires</v>
      </c>
      <c r="C246" s="127" t="str">
        <f>IF(Produits!C246="","",Produits!C246)</f>
        <v>1000,00,0243</v>
      </c>
      <c r="D246" s="127" t="str">
        <f>IF(Produits!D246="","",Produits!D246)</f>
        <v>AA367</v>
      </c>
      <c r="E246" s="127" t="str">
        <f>IF(Produits!E246="","",Produits!E246)</f>
        <v/>
      </c>
      <c r="F246" s="128" t="str">
        <f>IF(Produits!F246="","",Produits!F246)</f>
        <v>1 pcs</v>
      </c>
      <c r="J246" s="135" t="str">
        <f>IF($J$1="","",HLOOKUP($J$1,$M$1:$AAV$1000,246,0))</f>
        <v/>
      </c>
    </row>
    <row r="247" spans="1:10" x14ac:dyDescent="0.25">
      <c r="A247" s="127" t="str">
        <f>IF(Produits!A247="","",Produits!A247)</f>
        <v>Moveo</v>
      </c>
      <c r="B247" s="127" t="str">
        <f>IF(Produits!B247="","",Produits!B247)</f>
        <v>Accessoires</v>
      </c>
      <c r="C247" s="127" t="str">
        <f>IF(Produits!C247="","",Produits!C247)</f>
        <v>1000,00,0244</v>
      </c>
      <c r="D247" s="127" t="str">
        <f>IF(Produits!D247="","",Produits!D247)</f>
        <v>AA368</v>
      </c>
      <c r="E247" s="127" t="str">
        <f>IF(Produits!E247="","",Produits!E247)</f>
        <v/>
      </c>
      <c r="F247" s="128" t="str">
        <f>IF(Produits!F247="","",Produits!F247)</f>
        <v>1 pcs</v>
      </c>
      <c r="J247" s="135" t="str">
        <f>IF($J$1="","",HLOOKUP($J$1,$M$1:$AAV$1000,247,0))</f>
        <v/>
      </c>
    </row>
    <row r="248" spans="1:10" x14ac:dyDescent="0.25">
      <c r="A248" s="127" t="str">
        <f>IF(Produits!A248="","",Produits!A248)</f>
        <v>Moveo</v>
      </c>
      <c r="B248" s="127" t="str">
        <f>IF(Produits!B248="","",Produits!B248)</f>
        <v>Accessoires</v>
      </c>
      <c r="C248" s="127" t="str">
        <f>IF(Produits!C248="","",Produits!C248)</f>
        <v>1000,00,0245</v>
      </c>
      <c r="D248" s="127" t="str">
        <f>IF(Produits!D248="","",Produits!D248)</f>
        <v>AA369</v>
      </c>
      <c r="E248" s="127" t="str">
        <f>IF(Produits!E248="","",Produits!E248)</f>
        <v/>
      </c>
      <c r="F248" s="128" t="str">
        <f>IF(Produits!F248="","",Produits!F248)</f>
        <v>1 pcs</v>
      </c>
      <c r="J248" s="135" t="str">
        <f>IF($J$1="","",HLOOKUP($J$1,$M$1:$AAV$1000,248,0))</f>
        <v/>
      </c>
    </row>
    <row r="249" spans="1:10" x14ac:dyDescent="0.25">
      <c r="A249" s="127" t="str">
        <f>IF(Produits!A249="","",Produits!A249)</f>
        <v>Moveo</v>
      </c>
      <c r="B249" s="127" t="str">
        <f>IF(Produits!B249="","",Produits!B249)</f>
        <v>Accessoires</v>
      </c>
      <c r="C249" s="127" t="str">
        <f>IF(Produits!C249="","",Produits!C249)</f>
        <v>1000,00,0246</v>
      </c>
      <c r="D249" s="127" t="str">
        <f>IF(Produits!D249="","",Produits!D249)</f>
        <v>AA370</v>
      </c>
      <c r="E249" s="127" t="str">
        <f>IF(Produits!E249="","",Produits!E249)</f>
        <v/>
      </c>
      <c r="F249" s="128" t="str">
        <f>IF(Produits!F249="","",Produits!F249)</f>
        <v>1 pcs</v>
      </c>
      <c r="J249" s="135" t="str">
        <f>IF($J$1="","",HLOOKUP($J$1,$M$1:$AAV$1000,249,0))</f>
        <v/>
      </c>
    </row>
    <row r="250" spans="1:10" x14ac:dyDescent="0.25">
      <c r="A250" s="127" t="str">
        <f>IF(Produits!A250="","",Produits!A250)</f>
        <v>Moveo</v>
      </c>
      <c r="B250" s="127" t="str">
        <f>IF(Produits!B250="","",Produits!B250)</f>
        <v>Cache vis</v>
      </c>
      <c r="C250" s="127" t="str">
        <f>IF(Produits!C250="","",Produits!C250)</f>
        <v>1000,00,0247</v>
      </c>
      <c r="D250" s="127" t="str">
        <f>IF(Produits!D250="","",Produits!D250)</f>
        <v>AA371</v>
      </c>
      <c r="E250" s="127" t="str">
        <f>IF(Produits!E250="","",Produits!E250)</f>
        <v/>
      </c>
      <c r="F250" s="128" t="str">
        <f>IF(Produits!F250="","",Produits!F250)</f>
        <v>12 pcs</v>
      </c>
      <c r="J250" s="135" t="str">
        <f>IF($J$1="","",HLOOKUP($J$1,$M$1:$AAV$1000,250,0))</f>
        <v/>
      </c>
    </row>
    <row r="251" spans="1:10" x14ac:dyDescent="0.25">
      <c r="A251" s="127" t="str">
        <f>IF(Produits!A251="","",Produits!A251)</f>
        <v>Moveo</v>
      </c>
      <c r="B251" s="127" t="str">
        <f>IF(Produits!B251="","",Produits!B251)</f>
        <v>Cache vis</v>
      </c>
      <c r="C251" s="127" t="str">
        <f>IF(Produits!C251="","",Produits!C251)</f>
        <v>1000,00,0248</v>
      </c>
      <c r="D251" s="127" t="str">
        <f>IF(Produits!D251="","",Produits!D251)</f>
        <v>AA372</v>
      </c>
      <c r="E251" s="127" t="str">
        <f>IF(Produits!E251="","",Produits!E251)</f>
        <v/>
      </c>
      <c r="F251" s="128" t="str">
        <f>IF(Produits!F251="","",Produits!F251)</f>
        <v>12 pcs</v>
      </c>
      <c r="J251" s="135" t="str">
        <f>IF($J$1="","",HLOOKUP($J$1,$M$1:$AAV$1000,251,0))</f>
        <v/>
      </c>
    </row>
    <row r="252" spans="1:10" x14ac:dyDescent="0.25">
      <c r="A252" s="127" t="str">
        <f>IF(Produits!A252="","",Produits!A252)</f>
        <v>Moveo</v>
      </c>
      <c r="B252" s="127" t="str">
        <f>IF(Produits!B252="","",Produits!B252)</f>
        <v>Cache vis</v>
      </c>
      <c r="C252" s="127" t="str">
        <f>IF(Produits!C252="","",Produits!C252)</f>
        <v>1000,00,0249</v>
      </c>
      <c r="D252" s="127" t="str">
        <f>IF(Produits!D252="","",Produits!D252)</f>
        <v>AA373</v>
      </c>
      <c r="E252" s="127" t="str">
        <f>IF(Produits!E252="","",Produits!E252)</f>
        <v/>
      </c>
      <c r="F252" s="128" t="str">
        <f>IF(Produits!F252="","",Produits!F252)</f>
        <v>12 pcs</v>
      </c>
      <c r="J252" s="135" t="str">
        <f>IF($J$1="","",HLOOKUP($J$1,$M$1:$AAV$1000,252,0))</f>
        <v/>
      </c>
    </row>
    <row r="253" spans="1:10" x14ac:dyDescent="0.25">
      <c r="A253" s="127" t="str">
        <f>IF(Produits!A253="","",Produits!A253)</f>
        <v>Moveo</v>
      </c>
      <c r="B253" s="127" t="str">
        <f>IF(Produits!B253="","",Produits!B253)</f>
        <v>Cache vis</v>
      </c>
      <c r="C253" s="127" t="str">
        <f>IF(Produits!C253="","",Produits!C253)</f>
        <v>1000,00,0250</v>
      </c>
      <c r="D253" s="127" t="str">
        <f>IF(Produits!D253="","",Produits!D253)</f>
        <v>AA374</v>
      </c>
      <c r="E253" s="127" t="str">
        <f>IF(Produits!E253="","",Produits!E253)</f>
        <v/>
      </c>
      <c r="F253" s="128" t="str">
        <f>IF(Produits!F253="","",Produits!F253)</f>
        <v>12 pcs</v>
      </c>
      <c r="J253" s="135" t="str">
        <f>IF($J$1="","",HLOOKUP($J$1,$M$1:$AAV$1000,253,0))</f>
        <v/>
      </c>
    </row>
    <row r="254" spans="1:10" x14ac:dyDescent="0.25">
      <c r="A254" s="127" t="str">
        <f>IF(Produits!A254="","",Produits!A254)</f>
        <v>Moveo</v>
      </c>
      <c r="B254" s="127" t="str">
        <f>IF(Produits!B254="","",Produits!B254)</f>
        <v>Cache vis</v>
      </c>
      <c r="C254" s="127" t="str">
        <f>IF(Produits!C254="","",Produits!C254)</f>
        <v>1000,00,0251</v>
      </c>
      <c r="D254" s="127" t="str">
        <f>IF(Produits!D254="","",Produits!D254)</f>
        <v>AA375</v>
      </c>
      <c r="E254" s="127" t="str">
        <f>IF(Produits!E254="","",Produits!E254)</f>
        <v/>
      </c>
      <c r="F254" s="128" t="str">
        <f>IF(Produits!F254="","",Produits!F254)</f>
        <v>12 pcs</v>
      </c>
      <c r="J254" s="135" t="str">
        <f>IF($J$1="","",HLOOKUP($J$1,$M$1:$AAV$1000,254,0))</f>
        <v/>
      </c>
    </row>
    <row r="255" spans="1:10" x14ac:dyDescent="0.25">
      <c r="A255" s="127" t="str">
        <f>IF(Produits!A255="","",Produits!A255)</f>
        <v>Moveo</v>
      </c>
      <c r="B255" s="127" t="str">
        <f>IF(Produits!B255="","",Produits!B255)</f>
        <v>Cache vis</v>
      </c>
      <c r="C255" s="127" t="str">
        <f>IF(Produits!C255="","",Produits!C255)</f>
        <v>1000,00,0252</v>
      </c>
      <c r="D255" s="127" t="str">
        <f>IF(Produits!D255="","",Produits!D255)</f>
        <v>AA376</v>
      </c>
      <c r="E255" s="127" t="str">
        <f>IF(Produits!E255="","",Produits!E255)</f>
        <v/>
      </c>
      <c r="F255" s="128" t="str">
        <f>IF(Produits!F255="","",Produits!F255)</f>
        <v>12 pcs</v>
      </c>
      <c r="J255" s="135" t="str">
        <f>IF($J$1="","",HLOOKUP($J$1,$M$1:$AAV$1000,255,0))</f>
        <v/>
      </c>
    </row>
    <row r="256" spans="1:10" x14ac:dyDescent="0.25">
      <c r="A256" s="127" t="str">
        <f>IF(Produits!A256="","",Produits!A256)</f>
        <v>Moveo</v>
      </c>
      <c r="B256" s="127" t="str">
        <f>IF(Produits!B256="","",Produits!B256)</f>
        <v>Cache vis</v>
      </c>
      <c r="C256" s="127" t="str">
        <f>IF(Produits!C256="","",Produits!C256)</f>
        <v>1000,00,0253</v>
      </c>
      <c r="D256" s="127" t="str">
        <f>IF(Produits!D256="","",Produits!D256)</f>
        <v>AA377</v>
      </c>
      <c r="E256" s="127" t="str">
        <f>IF(Produits!E256="","",Produits!E256)</f>
        <v/>
      </c>
      <c r="F256" s="128" t="str">
        <f>IF(Produits!F256="","",Produits!F256)</f>
        <v>12 pcs</v>
      </c>
      <c r="J256" s="135" t="str">
        <f>IF($J$1="","",HLOOKUP($J$1,$M$1:$AAV$1000,256,0))</f>
        <v/>
      </c>
    </row>
    <row r="257" spans="1:10" x14ac:dyDescent="0.25">
      <c r="A257" s="127" t="str">
        <f>IF(Produits!A257="","",Produits!A257)</f>
        <v>Moveo</v>
      </c>
      <c r="B257" s="127" t="str">
        <f>IF(Produits!B257="","",Produits!B257)</f>
        <v>Cache vis</v>
      </c>
      <c r="C257" s="127" t="str">
        <f>IF(Produits!C257="","",Produits!C257)</f>
        <v>1000,00,0254</v>
      </c>
      <c r="D257" s="127" t="str">
        <f>IF(Produits!D257="","",Produits!D257)</f>
        <v>AA378</v>
      </c>
      <c r="E257" s="127" t="str">
        <f>IF(Produits!E257="","",Produits!E257)</f>
        <v/>
      </c>
      <c r="F257" s="128" t="str">
        <f>IF(Produits!F257="","",Produits!F257)</f>
        <v>12 pcs</v>
      </c>
      <c r="J257" s="135" t="str">
        <f>IF($J$1="","",HLOOKUP($J$1,$M$1:$AAV$1000,257,0))</f>
        <v/>
      </c>
    </row>
    <row r="258" spans="1:10" x14ac:dyDescent="0.25">
      <c r="A258" s="127" t="str">
        <f>IF(Produits!A258="","",Produits!A258)</f>
        <v>Moveo</v>
      </c>
      <c r="B258" s="127" t="str">
        <f>IF(Produits!B258="","",Produits!B258)</f>
        <v>Cache vis</v>
      </c>
      <c r="C258" s="127" t="str">
        <f>IF(Produits!C258="","",Produits!C258)</f>
        <v>1000,00,0255</v>
      </c>
      <c r="D258" s="127" t="str">
        <f>IF(Produits!D258="","",Produits!D258)</f>
        <v>AA379</v>
      </c>
      <c r="E258" s="127" t="str">
        <f>IF(Produits!E258="","",Produits!E258)</f>
        <v/>
      </c>
      <c r="F258" s="128" t="str">
        <f>IF(Produits!F258="","",Produits!F258)</f>
        <v>12 pcs</v>
      </c>
      <c r="J258" s="135" t="str">
        <f>IF($J$1="","",HLOOKUP($J$1,$M$1:$AAV$1000,258,0))</f>
        <v/>
      </c>
    </row>
    <row r="259" spans="1:10" x14ac:dyDescent="0.25">
      <c r="A259" s="127" t="str">
        <f>IF(Produits!A259="","",Produits!A259)</f>
        <v>Moveo</v>
      </c>
      <c r="B259" s="127" t="str">
        <f>IF(Produits!B259="","",Produits!B259)</f>
        <v>Cache vis</v>
      </c>
      <c r="C259" s="127" t="str">
        <f>IF(Produits!C259="","",Produits!C259)</f>
        <v>1000,00,0256</v>
      </c>
      <c r="D259" s="127" t="str">
        <f>IF(Produits!D259="","",Produits!D259)</f>
        <v>AA380</v>
      </c>
      <c r="E259" s="127" t="str">
        <f>IF(Produits!E259="","",Produits!E259)</f>
        <v/>
      </c>
      <c r="F259" s="128" t="str">
        <f>IF(Produits!F259="","",Produits!F259)</f>
        <v>12 pcs</v>
      </c>
      <c r="J259" s="135" t="str">
        <f>IF($J$1="","",HLOOKUP($J$1,$M$1:$AAV$1000,259,0))</f>
        <v/>
      </c>
    </row>
    <row r="260" spans="1:10" x14ac:dyDescent="0.25">
      <c r="A260" s="127" t="str">
        <f>IF(Produits!A260="","",Produits!A260)</f>
        <v>Moveo</v>
      </c>
      <c r="B260" s="127" t="str">
        <f>IF(Produits!B260="","",Produits!B260)</f>
        <v>Cache vis</v>
      </c>
      <c r="C260" s="127" t="str">
        <f>IF(Produits!C260="","",Produits!C260)</f>
        <v>1000,00,0257</v>
      </c>
      <c r="D260" s="127" t="str">
        <f>IF(Produits!D260="","",Produits!D260)</f>
        <v>AA381</v>
      </c>
      <c r="E260" s="127" t="str">
        <f>IF(Produits!E260="","",Produits!E260)</f>
        <v/>
      </c>
      <c r="F260" s="128" t="str">
        <f>IF(Produits!F260="","",Produits!F260)</f>
        <v>12 pcs</v>
      </c>
      <c r="J260" s="135" t="str">
        <f>IF($J$1="","",HLOOKUP($J$1,$M$1:$AAV$1000,260,0))</f>
        <v/>
      </c>
    </row>
    <row r="261" spans="1:10" x14ac:dyDescent="0.25">
      <c r="A261" s="127" t="str">
        <f>IF(Produits!A261="","",Produits!A261)</f>
        <v>Moveo</v>
      </c>
      <c r="B261" s="127" t="str">
        <f>IF(Produits!B261="","",Produits!B261)</f>
        <v>Cache vis</v>
      </c>
      <c r="C261" s="127" t="str">
        <f>IF(Produits!C261="","",Produits!C261)</f>
        <v>1000,00,0258</v>
      </c>
      <c r="D261" s="127" t="str">
        <f>IF(Produits!D261="","",Produits!D261)</f>
        <v>AA382</v>
      </c>
      <c r="E261" s="127" t="str">
        <f>IF(Produits!E261="","",Produits!E261)</f>
        <v/>
      </c>
      <c r="F261" s="128" t="str">
        <f>IF(Produits!F261="","",Produits!F261)</f>
        <v>12 pcs</v>
      </c>
      <c r="J261" s="135" t="str">
        <f>IF($J$1="","",HLOOKUP($J$1,$M$1:$AAV$1000,261,0))</f>
        <v/>
      </c>
    </row>
    <row r="262" spans="1:10" x14ac:dyDescent="0.25">
      <c r="A262" s="127" t="str">
        <f>IF(Produits!A262="","",Produits!A262)</f>
        <v>Moveo</v>
      </c>
      <c r="B262" s="127" t="str">
        <f>IF(Produits!B262="","",Produits!B262)</f>
        <v>Cache vis</v>
      </c>
      <c r="C262" s="127" t="str">
        <f>IF(Produits!C262="","",Produits!C262)</f>
        <v>1000,00,0259</v>
      </c>
      <c r="D262" s="127" t="str">
        <f>IF(Produits!D262="","",Produits!D262)</f>
        <v>AA383</v>
      </c>
      <c r="E262" s="127" t="str">
        <f>IF(Produits!E262="","",Produits!E262)</f>
        <v/>
      </c>
      <c r="F262" s="128" t="str">
        <f>IF(Produits!F262="","",Produits!F262)</f>
        <v>12 pcs</v>
      </c>
      <c r="J262" s="135" t="str">
        <f>IF($J$1="","",HLOOKUP($J$1,$M$1:$AAV$1000,262,0))</f>
        <v/>
      </c>
    </row>
    <row r="263" spans="1:10" x14ac:dyDescent="0.25">
      <c r="A263" s="127" t="str">
        <f>IF(Produits!A263="","",Produits!A263)</f>
        <v>Moveo</v>
      </c>
      <c r="B263" s="127" t="str">
        <f>IF(Produits!B263="","",Produits!B263)</f>
        <v>Cache vis</v>
      </c>
      <c r="C263" s="127" t="str">
        <f>IF(Produits!C263="","",Produits!C263)</f>
        <v>1000,00,0260</v>
      </c>
      <c r="D263" s="127" t="str">
        <f>IF(Produits!D263="","",Produits!D263)</f>
        <v>AA384</v>
      </c>
      <c r="E263" s="127" t="str">
        <f>IF(Produits!E263="","",Produits!E263)</f>
        <v/>
      </c>
      <c r="F263" s="128" t="str">
        <f>IF(Produits!F263="","",Produits!F263)</f>
        <v>12 pcs</v>
      </c>
      <c r="J263" s="135" t="str">
        <f>IF($J$1="","",HLOOKUP($J$1,$M$1:$AAV$1000,263,0))</f>
        <v/>
      </c>
    </row>
    <row r="264" spans="1:10" x14ac:dyDescent="0.25">
      <c r="A264" s="127" t="str">
        <f>IF(Produits!A264="","",Produits!A264)</f>
        <v>Moveo</v>
      </c>
      <c r="B264" s="127" t="str">
        <f>IF(Produits!B264="","",Produits!B264)</f>
        <v>Cache vis</v>
      </c>
      <c r="C264" s="127" t="str">
        <f>IF(Produits!C264="","",Produits!C264)</f>
        <v>1000,00,0261</v>
      </c>
      <c r="D264" s="127" t="str">
        <f>IF(Produits!D264="","",Produits!D264)</f>
        <v>AA385</v>
      </c>
      <c r="E264" s="127" t="str">
        <f>IF(Produits!E264="","",Produits!E264)</f>
        <v/>
      </c>
      <c r="F264" s="128" t="str">
        <f>IF(Produits!F264="","",Produits!F264)</f>
        <v>6 pcs</v>
      </c>
      <c r="J264" s="135" t="str">
        <f>IF($J$1="","",HLOOKUP($J$1,$M$1:$AAV$1000,264,0))</f>
        <v/>
      </c>
    </row>
    <row r="265" spans="1:10" x14ac:dyDescent="0.25">
      <c r="A265" s="127" t="str">
        <f>IF(Produits!A265="","",Produits!A265)</f>
        <v>Moveo</v>
      </c>
      <c r="B265" s="127" t="str">
        <f>IF(Produits!B265="","",Produits!B265)</f>
        <v>Cache vis</v>
      </c>
      <c r="C265" s="127" t="str">
        <f>IF(Produits!C265="","",Produits!C265)</f>
        <v>1000,00,0262</v>
      </c>
      <c r="D265" s="127" t="str">
        <f>IF(Produits!D265="","",Produits!D265)</f>
        <v>AA386</v>
      </c>
      <c r="E265" s="127" t="str">
        <f>IF(Produits!E265="","",Produits!E265)</f>
        <v/>
      </c>
      <c r="F265" s="128" t="str">
        <f>IF(Produits!F265="","",Produits!F265)</f>
        <v>6 pcs</v>
      </c>
      <c r="J265" s="135" t="str">
        <f>IF($J$1="","",HLOOKUP($J$1,$M$1:$AAV$1000,265,0))</f>
        <v/>
      </c>
    </row>
    <row r="266" spans="1:10" x14ac:dyDescent="0.25">
      <c r="A266" s="127" t="str">
        <f>IF(Produits!A266="","",Produits!A266)</f>
        <v>Moveo</v>
      </c>
      <c r="B266" s="127" t="str">
        <f>IF(Produits!B266="","",Produits!B266)</f>
        <v>Cache vis</v>
      </c>
      <c r="C266" s="127" t="str">
        <f>IF(Produits!C266="","",Produits!C266)</f>
        <v>1000,00,0263</v>
      </c>
      <c r="D266" s="127" t="str">
        <f>IF(Produits!D266="","",Produits!D266)</f>
        <v>AA387</v>
      </c>
      <c r="E266" s="127" t="str">
        <f>IF(Produits!E266="","",Produits!E266)</f>
        <v/>
      </c>
      <c r="F266" s="128" t="str">
        <f>IF(Produits!F266="","",Produits!F266)</f>
        <v>6 pcs</v>
      </c>
      <c r="J266" s="135" t="str">
        <f>IF($J$1="","",HLOOKUP($J$1,$M$1:$AAV$1000,266,0))</f>
        <v/>
      </c>
    </row>
    <row r="267" spans="1:10" x14ac:dyDescent="0.25">
      <c r="A267" s="127" t="str">
        <f>IF(Produits!A267="","",Produits!A267)</f>
        <v>Moveo</v>
      </c>
      <c r="B267" s="127" t="str">
        <f>IF(Produits!B267="","",Produits!B267)</f>
        <v>Cache vis</v>
      </c>
      <c r="C267" s="127" t="str">
        <f>IF(Produits!C267="","",Produits!C267)</f>
        <v>1000,00,0264</v>
      </c>
      <c r="D267" s="127" t="str">
        <f>IF(Produits!D267="","",Produits!D267)</f>
        <v>AA388</v>
      </c>
      <c r="E267" s="127" t="str">
        <f>IF(Produits!E267="","",Produits!E267)</f>
        <v/>
      </c>
      <c r="F267" s="128" t="str">
        <f>IF(Produits!F267="","",Produits!F267)</f>
        <v>6 pcs</v>
      </c>
      <c r="J267" s="135" t="str">
        <f>IF($J$1="","",HLOOKUP($J$1,$M$1:$AAV$1000,267,0))</f>
        <v/>
      </c>
    </row>
    <row r="268" spans="1:10" x14ac:dyDescent="0.25">
      <c r="A268" s="127" t="str">
        <f>IF(Produits!A268="","",Produits!A268)</f>
        <v>Moveo</v>
      </c>
      <c r="B268" s="127" t="str">
        <f>IF(Produits!B268="","",Produits!B268)</f>
        <v>Cache vis</v>
      </c>
      <c r="C268" s="127" t="str">
        <f>IF(Produits!C268="","",Produits!C268)</f>
        <v>1000,00,0265</v>
      </c>
      <c r="D268" s="127" t="str">
        <f>IF(Produits!D268="","",Produits!D268)</f>
        <v>AA389</v>
      </c>
      <c r="E268" s="127" t="str">
        <f>IF(Produits!E268="","",Produits!E268)</f>
        <v/>
      </c>
      <c r="F268" s="128" t="str">
        <f>IF(Produits!F268="","",Produits!F268)</f>
        <v>6 pcs</v>
      </c>
      <c r="J268" s="135" t="str">
        <f>IF($J$1="","",HLOOKUP($J$1,$M$1:$AAV$1000,268,0))</f>
        <v/>
      </c>
    </row>
    <row r="269" spans="1:10" x14ac:dyDescent="0.25">
      <c r="A269" s="127" t="str">
        <f>IF(Produits!A269="","",Produits!A269)</f>
        <v>Moveo</v>
      </c>
      <c r="B269" s="127" t="str">
        <f>IF(Produits!B269="","",Produits!B269)</f>
        <v>Cache vis</v>
      </c>
      <c r="C269" s="127" t="str">
        <f>IF(Produits!C269="","",Produits!C269)</f>
        <v>1000,00,0266</v>
      </c>
      <c r="D269" s="127" t="str">
        <f>IF(Produits!D269="","",Produits!D269)</f>
        <v>AA390</v>
      </c>
      <c r="E269" s="127" t="str">
        <f>IF(Produits!E269="","",Produits!E269)</f>
        <v/>
      </c>
      <c r="F269" s="128" t="str">
        <f>IF(Produits!F269="","",Produits!F269)</f>
        <v>6 pcs</v>
      </c>
      <c r="J269" s="135" t="str">
        <f>IF($J$1="","",HLOOKUP($J$1,$M$1:$AAV$1000,269,0))</f>
        <v/>
      </c>
    </row>
    <row r="270" spans="1:10" x14ac:dyDescent="0.25">
      <c r="A270" s="127" t="str">
        <f>IF(Produits!A270="","",Produits!A270)</f>
        <v>Moveo</v>
      </c>
      <c r="B270" s="127" t="str">
        <f>IF(Produits!B270="","",Produits!B270)</f>
        <v>Cache vis</v>
      </c>
      <c r="C270" s="127" t="str">
        <f>IF(Produits!C270="","",Produits!C270)</f>
        <v>1000,00,0267</v>
      </c>
      <c r="D270" s="127" t="str">
        <f>IF(Produits!D270="","",Produits!D270)</f>
        <v>AA391</v>
      </c>
      <c r="E270" s="127" t="str">
        <f>IF(Produits!E270="","",Produits!E270)</f>
        <v/>
      </c>
      <c r="F270" s="128" t="str">
        <f>IF(Produits!F270="","",Produits!F270)</f>
        <v>6 pcs</v>
      </c>
      <c r="J270" s="135" t="str">
        <f>IF($J$1="","",HLOOKUP($J$1,$M$1:$AAV$1000,270,0))</f>
        <v/>
      </c>
    </row>
    <row r="271" spans="1:10" x14ac:dyDescent="0.25">
      <c r="A271" s="127" t="str">
        <f>IF(Produits!A271="","",Produits!A271)</f>
        <v>Moveo</v>
      </c>
      <c r="B271" s="127" t="str">
        <f>IF(Produits!B271="","",Produits!B271)</f>
        <v>Cache vis</v>
      </c>
      <c r="C271" s="127" t="str">
        <f>IF(Produits!C271="","",Produits!C271)</f>
        <v>1000,00,0268</v>
      </c>
      <c r="D271" s="127" t="str">
        <f>IF(Produits!D271="","",Produits!D271)</f>
        <v>AA392</v>
      </c>
      <c r="E271" s="127" t="str">
        <f>IF(Produits!E271="","",Produits!E271)</f>
        <v/>
      </c>
      <c r="F271" s="128" t="str">
        <f>IF(Produits!F271="","",Produits!F271)</f>
        <v>6 pcs</v>
      </c>
      <c r="J271" s="135" t="str">
        <f>IF($J$1="","",HLOOKUP($J$1,$M$1:$AAV$1000,271,0))</f>
        <v/>
      </c>
    </row>
    <row r="272" spans="1:10" x14ac:dyDescent="0.25">
      <c r="A272" s="127" t="str">
        <f>IF(Produits!A272="","",Produits!A272)</f>
        <v>Moveo</v>
      </c>
      <c r="B272" s="127" t="str">
        <f>IF(Produits!B272="","",Produits!B272)</f>
        <v>Cache vis</v>
      </c>
      <c r="C272" s="127" t="str">
        <f>IF(Produits!C272="","",Produits!C272)</f>
        <v>1000,00,0269</v>
      </c>
      <c r="D272" s="127" t="str">
        <f>IF(Produits!D272="","",Produits!D272)</f>
        <v>AA393</v>
      </c>
      <c r="E272" s="127" t="str">
        <f>IF(Produits!E272="","",Produits!E272)</f>
        <v/>
      </c>
      <c r="F272" s="128" t="str">
        <f>IF(Produits!F272="","",Produits!F272)</f>
        <v>6 pcs</v>
      </c>
      <c r="J272" s="135" t="str">
        <f>IF($J$1="","",HLOOKUP($J$1,$M$1:$AAV$1000,272,0))</f>
        <v/>
      </c>
    </row>
    <row r="273" spans="1:10" x14ac:dyDescent="0.25">
      <c r="A273" s="127" t="str">
        <f>IF(Produits!A273="","",Produits!A273)</f>
        <v>Moveo</v>
      </c>
      <c r="B273" s="127" t="str">
        <f>IF(Produits!B273="","",Produits!B273)</f>
        <v>Cache vis</v>
      </c>
      <c r="C273" s="127" t="str">
        <f>IF(Produits!C273="","",Produits!C273)</f>
        <v>1000,00,0270</v>
      </c>
      <c r="D273" s="127" t="str">
        <f>IF(Produits!D273="","",Produits!D273)</f>
        <v>AA394</v>
      </c>
      <c r="E273" s="127" t="str">
        <f>IF(Produits!E273="","",Produits!E273)</f>
        <v/>
      </c>
      <c r="F273" s="128" t="str">
        <f>IF(Produits!F273="","",Produits!F273)</f>
        <v>6 pcs</v>
      </c>
      <c r="J273" s="135" t="str">
        <f>IF($J$1="","",HLOOKUP($J$1,$M$1:$AAV$1000,273,0))</f>
        <v/>
      </c>
    </row>
    <row r="274" spans="1:10" x14ac:dyDescent="0.25">
      <c r="A274" s="127" t="str">
        <f>IF(Produits!A274="","",Produits!A274)</f>
        <v>Moveo</v>
      </c>
      <c r="B274" s="127" t="str">
        <f>IF(Produits!B274="","",Produits!B274)</f>
        <v>Cache vis</v>
      </c>
      <c r="C274" s="127" t="str">
        <f>IF(Produits!C274="","",Produits!C274)</f>
        <v>1000,00,0271</v>
      </c>
      <c r="D274" s="127" t="str">
        <f>IF(Produits!D274="","",Produits!D274)</f>
        <v>AA395</v>
      </c>
      <c r="E274" s="127" t="str">
        <f>IF(Produits!E274="","",Produits!E274)</f>
        <v/>
      </c>
      <c r="F274" s="128" t="str">
        <f>IF(Produits!F274="","",Produits!F274)</f>
        <v>6 pcs</v>
      </c>
      <c r="J274" s="135" t="str">
        <f>IF($J$1="","",HLOOKUP($J$1,$M$1:$AAV$1000,274,0))</f>
        <v/>
      </c>
    </row>
    <row r="275" spans="1:10" x14ac:dyDescent="0.25">
      <c r="A275" s="127" t="str">
        <f>IF(Produits!A275="","",Produits!A275)</f>
        <v>Moveo</v>
      </c>
      <c r="B275" s="127" t="str">
        <f>IF(Produits!B275="","",Produits!B275)</f>
        <v>Cache vis</v>
      </c>
      <c r="C275" s="127" t="str">
        <f>IF(Produits!C275="","",Produits!C275)</f>
        <v>1000,00,0272</v>
      </c>
      <c r="D275" s="127" t="str">
        <f>IF(Produits!D275="","",Produits!D275)</f>
        <v>AA396</v>
      </c>
      <c r="E275" s="127" t="str">
        <f>IF(Produits!E275="","",Produits!E275)</f>
        <v/>
      </c>
      <c r="F275" s="128" t="str">
        <f>IF(Produits!F275="","",Produits!F275)</f>
        <v>6 pcs</v>
      </c>
      <c r="J275" s="135" t="str">
        <f>IF($J$1="","",HLOOKUP($J$1,$M$1:$AAV$1000,275,0))</f>
        <v/>
      </c>
    </row>
    <row r="276" spans="1:10" x14ac:dyDescent="0.25">
      <c r="A276" s="127" t="str">
        <f>IF(Produits!A276="","",Produits!A276)</f>
        <v>Moveo</v>
      </c>
      <c r="B276" s="127" t="str">
        <f>IF(Produits!B276="","",Produits!B276)</f>
        <v>Cache vis</v>
      </c>
      <c r="C276" s="127" t="str">
        <f>IF(Produits!C276="","",Produits!C276)</f>
        <v>1000,00,0273</v>
      </c>
      <c r="D276" s="127" t="str">
        <f>IF(Produits!D276="","",Produits!D276)</f>
        <v>AA397</v>
      </c>
      <c r="E276" s="127" t="str">
        <f>IF(Produits!E276="","",Produits!E276)</f>
        <v/>
      </c>
      <c r="F276" s="128" t="str">
        <f>IF(Produits!F276="","",Produits!F276)</f>
        <v>6 pcs</v>
      </c>
      <c r="J276" s="135" t="str">
        <f>IF($J$1="","",HLOOKUP($J$1,$M$1:$AAV$1000,276,0))</f>
        <v/>
      </c>
    </row>
    <row r="277" spans="1:10" x14ac:dyDescent="0.25">
      <c r="A277" s="127" t="str">
        <f>IF(Produits!A277="","",Produits!A277)</f>
        <v>Moveo</v>
      </c>
      <c r="B277" s="127" t="str">
        <f>IF(Produits!B277="","",Produits!B277)</f>
        <v>Cache vis</v>
      </c>
      <c r="C277" s="127" t="str">
        <f>IF(Produits!C277="","",Produits!C277)</f>
        <v>1000,00,0274</v>
      </c>
      <c r="D277" s="127" t="str">
        <f>IF(Produits!D277="","",Produits!D277)</f>
        <v>AA398</v>
      </c>
      <c r="E277" s="127" t="str">
        <f>IF(Produits!E277="","",Produits!E277)</f>
        <v/>
      </c>
      <c r="F277" s="128" t="str">
        <f>IF(Produits!F277="","",Produits!F277)</f>
        <v>6 pcs</v>
      </c>
      <c r="J277" s="135" t="str">
        <f>IF($J$1="","",HLOOKUP($J$1,$M$1:$AAV$1000,277,0))</f>
        <v/>
      </c>
    </row>
    <row r="278" spans="1:10" x14ac:dyDescent="0.25">
      <c r="A278" s="127" t="str">
        <f>IF(Produits!A278="","",Produits!A278)</f>
        <v>Variflex</v>
      </c>
      <c r="B278" s="127" t="str">
        <f>IF(Produits!B278="","",Produits!B278)</f>
        <v>VE</v>
      </c>
      <c r="C278" s="127" t="str">
        <f>IF(Produits!C278="","",Produits!C278)</f>
        <v>1000,00,0275</v>
      </c>
      <c r="D278" s="127" t="str">
        <f>IF(Produits!D278="","",Produits!D278)</f>
        <v>AA399</v>
      </c>
      <c r="E278" s="127" t="str">
        <f>IF(Produits!E278="","",Produits!E278)</f>
        <v/>
      </c>
      <c r="F278" s="128" t="str">
        <f>IF(Produits!F278="","",Produits!F278)</f>
        <v>1 pcs</v>
      </c>
      <c r="J278" s="135" t="str">
        <f>IF($J$1="","",HLOOKUP($J$1,$M$1:$AAV$1000,278,0))</f>
        <v/>
      </c>
    </row>
    <row r="279" spans="1:10" x14ac:dyDescent="0.25">
      <c r="A279" s="127" t="str">
        <f>IF(Produits!A279="","",Produits!A279)</f>
        <v>Variflex</v>
      </c>
      <c r="B279" s="127" t="str">
        <f>IF(Produits!B279="","",Produits!B279)</f>
        <v>VE</v>
      </c>
      <c r="C279" s="127" t="str">
        <f>IF(Produits!C279="","",Produits!C279)</f>
        <v>1000,00,0276</v>
      </c>
      <c r="D279" s="127" t="str">
        <f>IF(Produits!D279="","",Produits!D279)</f>
        <v>AA400</v>
      </c>
      <c r="E279" s="127" t="str">
        <f>IF(Produits!E279="","",Produits!E279)</f>
        <v/>
      </c>
      <c r="F279" s="128" t="str">
        <f>IF(Produits!F279="","",Produits!F279)</f>
        <v>1 pcs</v>
      </c>
      <c r="J279" s="135" t="str">
        <f>IF($J$1="","",HLOOKUP($J$1,$M$1:$AAV$1000,279,0))</f>
        <v/>
      </c>
    </row>
    <row r="280" spans="1:10" x14ac:dyDescent="0.25">
      <c r="A280" s="127" t="str">
        <f>IF(Produits!A280="","",Produits!A280)</f>
        <v>Variflex</v>
      </c>
      <c r="B280" s="127" t="str">
        <f>IF(Produits!B280="","",Produits!B280)</f>
        <v>VE</v>
      </c>
      <c r="C280" s="127" t="str">
        <f>IF(Produits!C280="","",Produits!C280)</f>
        <v>1000,00,0277</v>
      </c>
      <c r="D280" s="127" t="str">
        <f>IF(Produits!D280="","",Produits!D280)</f>
        <v>AA401</v>
      </c>
      <c r="E280" s="127" t="str">
        <f>IF(Produits!E280="","",Produits!E280)</f>
        <v/>
      </c>
      <c r="F280" s="128" t="str">
        <f>IF(Produits!F280="","",Produits!F280)</f>
        <v>1 pcs</v>
      </c>
      <c r="J280" s="135" t="str">
        <f>IF($J$1="","",HLOOKUP($J$1,$M$1:$AAV$1000,280,0))</f>
        <v/>
      </c>
    </row>
    <row r="281" spans="1:10" x14ac:dyDescent="0.25">
      <c r="A281" s="127" t="str">
        <f>IF(Produits!A281="","",Produits!A281)</f>
        <v>Variflex</v>
      </c>
      <c r="B281" s="127" t="str">
        <f>IF(Produits!B281="","",Produits!B281)</f>
        <v>VE</v>
      </c>
      <c r="C281" s="127" t="str">
        <f>IF(Produits!C281="","",Produits!C281)</f>
        <v>1000,00,0278</v>
      </c>
      <c r="D281" s="127" t="str">
        <f>IF(Produits!D281="","",Produits!D281)</f>
        <v>AA402</v>
      </c>
      <c r="E281" s="127" t="str">
        <f>IF(Produits!E281="","",Produits!E281)</f>
        <v/>
      </c>
      <c r="F281" s="128" t="str">
        <f>IF(Produits!F281="","",Produits!F281)</f>
        <v>1 pcs</v>
      </c>
      <c r="J281" s="135" t="str">
        <f>IF($J$1="","",HLOOKUP($J$1,$M$1:$AAV$1000,281,0))</f>
        <v/>
      </c>
    </row>
    <row r="282" spans="1:10" x14ac:dyDescent="0.25">
      <c r="A282" s="127" t="str">
        <f>IF(Produits!A282="","",Produits!A282)</f>
        <v>Variflex</v>
      </c>
      <c r="B282" s="127" t="str">
        <f>IF(Produits!B282="","",Produits!B282)</f>
        <v>VE</v>
      </c>
      <c r="C282" s="127" t="str">
        <f>IF(Produits!C282="","",Produits!C282)</f>
        <v>1000,00,0279</v>
      </c>
      <c r="D282" s="127" t="str">
        <f>IF(Produits!D282="","",Produits!D282)</f>
        <v>AA403</v>
      </c>
      <c r="E282" s="127" t="str">
        <f>IF(Produits!E282="","",Produits!E282)</f>
        <v/>
      </c>
      <c r="F282" s="128" t="str">
        <f>IF(Produits!F282="","",Produits!F282)</f>
        <v>1 pcs</v>
      </c>
      <c r="J282" s="135" t="str">
        <f>IF($J$1="","",HLOOKUP($J$1,$M$1:$AAV$1000,282,0))</f>
        <v/>
      </c>
    </row>
    <row r="283" spans="1:10" x14ac:dyDescent="0.25">
      <c r="A283" s="127" t="str">
        <f>IF(Produits!A283="","",Produits!A283)</f>
        <v>Variflex</v>
      </c>
      <c r="B283" s="127" t="str">
        <f>IF(Produits!B283="","",Produits!B283)</f>
        <v>TE</v>
      </c>
      <c r="C283" s="127" t="str">
        <f>IF(Produits!C283="","",Produits!C283)</f>
        <v>1000,00,0280</v>
      </c>
      <c r="D283" s="127" t="str">
        <f>IF(Produits!D283="","",Produits!D283)</f>
        <v>AA404</v>
      </c>
      <c r="E283" s="127" t="str">
        <f>IF(Produits!E283="","",Produits!E283)</f>
        <v/>
      </c>
      <c r="F283" s="128" t="str">
        <f>IF(Produits!F283="","",Produits!F283)</f>
        <v>1 pcs</v>
      </c>
      <c r="J283" s="135" t="str">
        <f>IF($J$1="","",HLOOKUP($J$1,$M$1:$AAV$1000,283,0))</f>
        <v/>
      </c>
    </row>
    <row r="284" spans="1:10" x14ac:dyDescent="0.25">
      <c r="A284" s="127" t="str">
        <f>IF(Produits!A284="","",Produits!A284)</f>
        <v>Variflex</v>
      </c>
      <c r="B284" s="127" t="str">
        <f>IF(Produits!B284="","",Produits!B284)</f>
        <v>TE</v>
      </c>
      <c r="C284" s="127" t="str">
        <f>IF(Produits!C284="","",Produits!C284)</f>
        <v>1000,00,0281</v>
      </c>
      <c r="D284" s="127" t="str">
        <f>IF(Produits!D284="","",Produits!D284)</f>
        <v>AA405</v>
      </c>
      <c r="E284" s="127" t="str">
        <f>IF(Produits!E284="","",Produits!E284)</f>
        <v/>
      </c>
      <c r="F284" s="128" t="str">
        <f>IF(Produits!F284="","",Produits!F284)</f>
        <v>1 pcs</v>
      </c>
      <c r="J284" s="135" t="str">
        <f>IF($J$1="","",HLOOKUP($J$1,$M$1:$AAV$1000,284,0))</f>
        <v/>
      </c>
    </row>
    <row r="285" spans="1:10" x14ac:dyDescent="0.25">
      <c r="A285" s="127" t="str">
        <f>IF(Produits!A285="","",Produits!A285)</f>
        <v>Variflex</v>
      </c>
      <c r="B285" s="127" t="str">
        <f>IF(Produits!B285="","",Produits!B285)</f>
        <v>TE</v>
      </c>
      <c r="C285" s="127" t="str">
        <f>IF(Produits!C285="","",Produits!C285)</f>
        <v>1000,00,0282</v>
      </c>
      <c r="D285" s="127" t="str">
        <f>IF(Produits!D285="","",Produits!D285)</f>
        <v>AA406</v>
      </c>
      <c r="E285" s="127" t="str">
        <f>IF(Produits!E285="","",Produits!E285)</f>
        <v/>
      </c>
      <c r="F285" s="128" t="str">
        <f>IF(Produits!F285="","",Produits!F285)</f>
        <v>1 pcs</v>
      </c>
      <c r="J285" s="135" t="str">
        <f>IF($J$1="","",HLOOKUP($J$1,$M$1:$AAV$1000,285,0))</f>
        <v/>
      </c>
    </row>
    <row r="286" spans="1:10" x14ac:dyDescent="0.25">
      <c r="A286" s="127" t="str">
        <f>IF(Produits!A286="","",Produits!A286)</f>
        <v>Variflex</v>
      </c>
      <c r="B286" s="127" t="str">
        <f>IF(Produits!B286="","",Produits!B286)</f>
        <v>TE</v>
      </c>
      <c r="C286" s="127" t="str">
        <f>IF(Produits!C286="","",Produits!C286)</f>
        <v>1000,00,0283</v>
      </c>
      <c r="D286" s="127" t="str">
        <f>IF(Produits!D286="","",Produits!D286)</f>
        <v>AA407</v>
      </c>
      <c r="E286" s="127" t="str">
        <f>IF(Produits!E286="","",Produits!E286)</f>
        <v/>
      </c>
      <c r="F286" s="128" t="str">
        <f>IF(Produits!F286="","",Produits!F286)</f>
        <v>1 pcs</v>
      </c>
      <c r="J286" s="135" t="str">
        <f>IF($J$1="","",HLOOKUP($J$1,$M$1:$AAV$1000,286,0))</f>
        <v/>
      </c>
    </row>
    <row r="287" spans="1:10" x14ac:dyDescent="0.25">
      <c r="A287" s="127" t="str">
        <f>IF(Produits!A287="","",Produits!A287)</f>
        <v>Variflex</v>
      </c>
      <c r="B287" s="127" t="str">
        <f>IF(Produits!B287="","",Produits!B287)</f>
        <v>TE</v>
      </c>
      <c r="C287" s="127" t="str">
        <f>IF(Produits!C287="","",Produits!C287)</f>
        <v>1000,00,0284</v>
      </c>
      <c r="D287" s="127" t="str">
        <f>IF(Produits!D287="","",Produits!D287)</f>
        <v>AA408</v>
      </c>
      <c r="E287" s="127" t="str">
        <f>IF(Produits!E287="","",Produits!E287)</f>
        <v/>
      </c>
      <c r="F287" s="128" t="str">
        <f>IF(Produits!F287="","",Produits!F287)</f>
        <v>1 pcs</v>
      </c>
      <c r="J287" s="135" t="str">
        <f>IF($J$1="","",HLOOKUP($J$1,$M$1:$AAV$1000,287,0))</f>
        <v/>
      </c>
    </row>
    <row r="288" spans="1:10" x14ac:dyDescent="0.25">
      <c r="A288" s="127" t="str">
        <f>IF(Produits!A288="","",Produits!A288)</f>
        <v>Variflex</v>
      </c>
      <c r="B288" s="127" t="str">
        <f>IF(Produits!B288="","",Produits!B288)</f>
        <v>TE</v>
      </c>
      <c r="C288" s="127" t="str">
        <f>IF(Produits!C288="","",Produits!C288)</f>
        <v>1000,00,0285</v>
      </c>
      <c r="D288" s="127" t="str">
        <f>IF(Produits!D288="","",Produits!D288)</f>
        <v>AA409</v>
      </c>
      <c r="E288" s="127" t="str">
        <f>IF(Produits!E288="","",Produits!E288)</f>
        <v/>
      </c>
      <c r="F288" s="128" t="str">
        <f>IF(Produits!F288="","",Produits!F288)</f>
        <v>1 pcs</v>
      </c>
      <c r="J288" s="135" t="str">
        <f>IF($J$1="","",HLOOKUP($J$1,$M$1:$AAV$1000,288,0))</f>
        <v/>
      </c>
    </row>
    <row r="289" spans="1:10" x14ac:dyDescent="0.25">
      <c r="A289" s="127" t="str">
        <f>IF(Produits!A289="","",Produits!A289)</f>
        <v>Variflex</v>
      </c>
      <c r="B289" s="127" t="str">
        <f>IF(Produits!B289="","",Produits!B289)</f>
        <v>TE</v>
      </c>
      <c r="C289" s="127" t="str">
        <f>IF(Produits!C289="","",Produits!C289)</f>
        <v>1000,00,0286</v>
      </c>
      <c r="D289" s="127" t="str">
        <f>IF(Produits!D289="","",Produits!D289)</f>
        <v>AA410</v>
      </c>
      <c r="E289" s="127" t="str">
        <f>IF(Produits!E289="","",Produits!E289)</f>
        <v/>
      </c>
      <c r="F289" s="128" t="str">
        <f>IF(Produits!F289="","",Produits!F289)</f>
        <v>1 pcs</v>
      </c>
      <c r="J289" s="135" t="str">
        <f>IF($J$1="","",HLOOKUP($J$1,$M$1:$AAV$1000,289,0))</f>
        <v/>
      </c>
    </row>
    <row r="290" spans="1:10" x14ac:dyDescent="0.25">
      <c r="A290" s="127" t="str">
        <f>IF(Produits!A290="","",Produits!A290)</f>
        <v>Variflex</v>
      </c>
      <c r="B290" s="127" t="str">
        <f>IF(Produits!B290="","",Produits!B290)</f>
        <v>TE</v>
      </c>
      <c r="C290" s="127" t="str">
        <f>IF(Produits!C290="","",Produits!C290)</f>
        <v>1000,00,0287</v>
      </c>
      <c r="D290" s="127" t="str">
        <f>IF(Produits!D290="","",Produits!D290)</f>
        <v>AA411</v>
      </c>
      <c r="E290" s="127" t="str">
        <f>IF(Produits!E290="","",Produits!E290)</f>
        <v/>
      </c>
      <c r="F290" s="128" t="str">
        <f>IF(Produits!F290="","",Produits!F290)</f>
        <v>1 pcs</v>
      </c>
      <c r="J290" s="135" t="str">
        <f>IF($J$1="","",HLOOKUP($J$1,$M$1:$AAV$1000,290,0))</f>
        <v/>
      </c>
    </row>
    <row r="291" spans="1:10" x14ac:dyDescent="0.25">
      <c r="A291" s="127" t="str">
        <f>IF(Produits!A291="","",Produits!A291)</f>
        <v>Variflex</v>
      </c>
      <c r="B291" s="127" t="str">
        <f>IF(Produits!B291="","",Produits!B291)</f>
        <v>TE</v>
      </c>
      <c r="C291" s="127" t="str">
        <f>IF(Produits!C291="","",Produits!C291)</f>
        <v>1000,00,0288</v>
      </c>
      <c r="D291" s="127" t="str">
        <f>IF(Produits!D291="","",Produits!D291)</f>
        <v>AA412</v>
      </c>
      <c r="E291" s="127" t="str">
        <f>IF(Produits!E291="","",Produits!E291)</f>
        <v/>
      </c>
      <c r="F291" s="128" t="str">
        <f>IF(Produits!F291="","",Produits!F291)</f>
        <v>1 pcs</v>
      </c>
      <c r="J291" s="135" t="str">
        <f>IF($J$1="","",HLOOKUP($J$1,$M$1:$AAV$1000,291,0))</f>
        <v/>
      </c>
    </row>
    <row r="292" spans="1:10" x14ac:dyDescent="0.25">
      <c r="A292" s="127" t="str">
        <f>IF(Produits!A292="","",Produits!A292)</f>
        <v>Variflex</v>
      </c>
      <c r="B292" s="127" t="str">
        <f>IF(Produits!B292="","",Produits!B292)</f>
        <v>TE</v>
      </c>
      <c r="C292" s="127" t="str">
        <f>IF(Produits!C292="","",Produits!C292)</f>
        <v>1000,00,0289</v>
      </c>
      <c r="D292" s="127" t="str">
        <f>IF(Produits!D292="","",Produits!D292)</f>
        <v>AA413</v>
      </c>
      <c r="E292" s="127" t="str">
        <f>IF(Produits!E292="","",Produits!E292)</f>
        <v/>
      </c>
      <c r="F292" s="128" t="str">
        <f>IF(Produits!F292="","",Produits!F292)</f>
        <v>1 pcs</v>
      </c>
      <c r="J292" s="135" t="str">
        <f>IF($J$1="","",HLOOKUP($J$1,$M$1:$AAV$1000,292,0))</f>
        <v/>
      </c>
    </row>
    <row r="293" spans="1:10" x14ac:dyDescent="0.25">
      <c r="A293" s="127" t="str">
        <f>IF(Produits!A293="","",Produits!A293)</f>
        <v>Variflex</v>
      </c>
      <c r="B293" s="127" t="str">
        <f>IF(Produits!B293="","",Produits!B293)</f>
        <v>TE Semi-auto</v>
      </c>
      <c r="C293" s="127" t="str">
        <f>IF(Produits!C293="","",Produits!C293)</f>
        <v>1000,00,0290</v>
      </c>
      <c r="D293" s="127" t="str">
        <f>IF(Produits!D293="","",Produits!D293)</f>
        <v>AA414</v>
      </c>
      <c r="E293" s="127" t="str">
        <f>IF(Produits!E293="","",Produits!E293)</f>
        <v/>
      </c>
      <c r="F293" s="128" t="str">
        <f>IF(Produits!F293="","",Produits!F293)</f>
        <v>1 pcs</v>
      </c>
      <c r="J293" s="135" t="str">
        <f>IF($J$1="","",HLOOKUP($J$1,$M$1:$AAV$1000,293,0))</f>
        <v/>
      </c>
    </row>
    <row r="294" spans="1:10" x14ac:dyDescent="0.25">
      <c r="A294" s="127" t="str">
        <f>IF(Produits!A294="","",Produits!A294)</f>
        <v>Variflex</v>
      </c>
      <c r="B294" s="127" t="str">
        <f>IF(Produits!B294="","",Produits!B294)</f>
        <v>TE Semi-auto</v>
      </c>
      <c r="C294" s="127" t="str">
        <f>IF(Produits!C294="","",Produits!C294)</f>
        <v>1000,00,0291</v>
      </c>
      <c r="D294" s="127" t="str">
        <f>IF(Produits!D294="","",Produits!D294)</f>
        <v>AA415</v>
      </c>
      <c r="E294" s="127" t="str">
        <f>IF(Produits!E294="","",Produits!E294)</f>
        <v/>
      </c>
      <c r="F294" s="128" t="str">
        <f>IF(Produits!F294="","",Produits!F294)</f>
        <v>1 pcs</v>
      </c>
      <c r="J294" s="135" t="str">
        <f>IF($J$1="","",HLOOKUP($J$1,$M$1:$AAV$1000,294,0))</f>
        <v/>
      </c>
    </row>
    <row r="295" spans="1:10" x14ac:dyDescent="0.25">
      <c r="A295" s="127" t="str">
        <f>IF(Produits!A295="","",Produits!A295)</f>
        <v>Variflex</v>
      </c>
      <c r="B295" s="127" t="str">
        <f>IF(Produits!B295="","",Produits!B295)</f>
        <v>TE Semi-auto</v>
      </c>
      <c r="C295" s="127" t="str">
        <f>IF(Produits!C295="","",Produits!C295)</f>
        <v>1000,00,0292</v>
      </c>
      <c r="D295" s="127" t="str">
        <f>IF(Produits!D295="","",Produits!D295)</f>
        <v>AA416</v>
      </c>
      <c r="E295" s="127" t="str">
        <f>IF(Produits!E295="","",Produits!E295)</f>
        <v/>
      </c>
      <c r="F295" s="128" t="str">
        <f>IF(Produits!F295="","",Produits!F295)</f>
        <v>1 pcs</v>
      </c>
      <c r="J295" s="135" t="str">
        <f>IF($J$1="","",HLOOKUP($J$1,$M$1:$AAV$1000,295,0))</f>
        <v/>
      </c>
    </row>
    <row r="296" spans="1:10" x14ac:dyDescent="0.25">
      <c r="A296" s="127" t="str">
        <f>IF(Produits!A296="","",Produits!A296)</f>
        <v>Variflex</v>
      </c>
      <c r="B296" s="127" t="str">
        <f>IF(Produits!B296="","",Produits!B296)</f>
        <v>TEF</v>
      </c>
      <c r="C296" s="127" t="str">
        <f>IF(Produits!C296="","",Produits!C296)</f>
        <v>1000,00,0293</v>
      </c>
      <c r="D296" s="127" t="str">
        <f>IF(Produits!D296="","",Produits!D296)</f>
        <v>AA417</v>
      </c>
      <c r="E296" s="127" t="str">
        <f>IF(Produits!E296="","",Produits!E296)</f>
        <v/>
      </c>
      <c r="F296" s="128" t="str">
        <f>IF(Produits!F296="","",Produits!F296)</f>
        <v>1 pcs</v>
      </c>
      <c r="J296" s="135" t="str">
        <f>IF($J$1="","",HLOOKUP($J$1,$M$1:$AAV$1000,296,0))</f>
        <v/>
      </c>
    </row>
    <row r="297" spans="1:10" x14ac:dyDescent="0.25">
      <c r="A297" s="127" t="str">
        <f>IF(Produits!A297="","",Produits!A297)</f>
        <v>Variflex</v>
      </c>
      <c r="B297" s="127" t="str">
        <f>IF(Produits!B297="","",Produits!B297)</f>
        <v>TEF</v>
      </c>
      <c r="C297" s="127" t="str">
        <f>IF(Produits!C297="","",Produits!C297)</f>
        <v>1000,00,0294</v>
      </c>
      <c r="D297" s="127" t="str">
        <f>IF(Produits!D297="","",Produits!D297)</f>
        <v>AA418</v>
      </c>
      <c r="E297" s="127" t="str">
        <f>IF(Produits!E297="","",Produits!E297)</f>
        <v/>
      </c>
      <c r="F297" s="128" t="str">
        <f>IF(Produits!F297="","",Produits!F297)</f>
        <v>1 pcs</v>
      </c>
      <c r="J297" s="135" t="str">
        <f>IF($J$1="","",HLOOKUP($J$1,$M$1:$AAV$1000,297,0))</f>
        <v/>
      </c>
    </row>
    <row r="298" spans="1:10" x14ac:dyDescent="0.25">
      <c r="A298" s="127" t="str">
        <f>IF(Produits!A298="","",Produits!A298)</f>
        <v>Variflex</v>
      </c>
      <c r="B298" s="127" t="str">
        <f>IF(Produits!B298="","",Produits!B298)</f>
        <v>TEF</v>
      </c>
      <c r="C298" s="127" t="str">
        <f>IF(Produits!C298="","",Produits!C298)</f>
        <v>1000,00,0295</v>
      </c>
      <c r="D298" s="127" t="str">
        <f>IF(Produits!D298="","",Produits!D298)</f>
        <v>AA419</v>
      </c>
      <c r="E298" s="127" t="str">
        <f>IF(Produits!E298="","",Produits!E298)</f>
        <v/>
      </c>
      <c r="F298" s="128" t="str">
        <f>IF(Produits!F298="","",Produits!F298)</f>
        <v>1 pcs</v>
      </c>
      <c r="J298" s="135" t="str">
        <f>IF($J$1="","",HLOOKUP($J$1,$M$1:$AAV$1000,298,0))</f>
        <v/>
      </c>
    </row>
    <row r="299" spans="1:10" x14ac:dyDescent="0.25">
      <c r="A299" s="127" t="str">
        <f>IF(Produits!A299="","",Produits!A299)</f>
        <v>Variflex</v>
      </c>
      <c r="B299" s="127" t="str">
        <f>IF(Produits!B299="","",Produits!B299)</f>
        <v>TEF</v>
      </c>
      <c r="C299" s="127" t="str">
        <f>IF(Produits!C299="","",Produits!C299)</f>
        <v>1000,00,0296</v>
      </c>
      <c r="D299" s="127" t="str">
        <f>IF(Produits!D299="","",Produits!D299)</f>
        <v>AA420</v>
      </c>
      <c r="E299" s="127" t="str">
        <f>IF(Produits!E299="","",Produits!E299)</f>
        <v/>
      </c>
      <c r="F299" s="128" t="str">
        <f>IF(Produits!F299="","",Produits!F299)</f>
        <v>1 pcs</v>
      </c>
      <c r="J299" s="135" t="str">
        <f>IF($J$1="","",HLOOKUP($J$1,$M$1:$AAV$1000,299,0))</f>
        <v/>
      </c>
    </row>
    <row r="300" spans="1:10" x14ac:dyDescent="0.25">
      <c r="A300" s="127" t="str">
        <f>IF(Produits!A300="","",Produits!A300)</f>
        <v>Variflex</v>
      </c>
      <c r="B300" s="127" t="str">
        <f>IF(Produits!B300="","",Produits!B300)</f>
        <v>TEF</v>
      </c>
      <c r="C300" s="127" t="str">
        <f>IF(Produits!C300="","",Produits!C300)</f>
        <v>1000,00,0297</v>
      </c>
      <c r="D300" s="127" t="str">
        <f>IF(Produits!D300="","",Produits!D300)</f>
        <v>AA421</v>
      </c>
      <c r="E300" s="127" t="str">
        <f>IF(Produits!E300="","",Produits!E300)</f>
        <v/>
      </c>
      <c r="F300" s="128" t="str">
        <f>IF(Produits!F300="","",Produits!F300)</f>
        <v>1 pcs</v>
      </c>
      <c r="J300" s="135" t="str">
        <f>IF($J$1="","",HLOOKUP($J$1,$M$1:$AAV$1000,300,0))</f>
        <v/>
      </c>
    </row>
    <row r="301" spans="1:10" x14ac:dyDescent="0.25">
      <c r="A301" s="127" t="str">
        <f>IF(Produits!A301="","",Produits!A301)</f>
        <v>Variflex</v>
      </c>
      <c r="B301" s="127" t="str">
        <f>IF(Produits!B301="","",Produits!B301)</f>
        <v>DT/DTZ</v>
      </c>
      <c r="C301" s="127" t="str">
        <f>IF(Produits!C301="","",Produits!C301)</f>
        <v>1000,00,0298</v>
      </c>
      <c r="D301" s="127" t="str">
        <f>IF(Produits!D301="","",Produits!D301)</f>
        <v>AA422</v>
      </c>
      <c r="E301" s="127" t="str">
        <f>IF(Produits!E301="","",Produits!E301)</f>
        <v/>
      </c>
      <c r="F301" s="128" t="str">
        <f>IF(Produits!F301="","",Produits!F301)</f>
        <v>1 pcs</v>
      </c>
      <c r="J301" s="135" t="str">
        <f>IF($J$1="","",HLOOKUP($J$1,$M$1:$AAV$1000,301,0))</f>
        <v/>
      </c>
    </row>
    <row r="302" spans="1:10" x14ac:dyDescent="0.25">
      <c r="A302" s="127" t="str">
        <f>IF(Produits!A302="","",Produits!A302)</f>
        <v>Variflex</v>
      </c>
      <c r="B302" s="127" t="str">
        <f>IF(Produits!B302="","",Produits!B302)</f>
        <v>DT/DTZ</v>
      </c>
      <c r="C302" s="127" t="str">
        <f>IF(Produits!C302="","",Produits!C302)</f>
        <v>1000,00,0299</v>
      </c>
      <c r="D302" s="127" t="str">
        <f>IF(Produits!D302="","",Produits!D302)</f>
        <v>AA423</v>
      </c>
      <c r="E302" s="127" t="str">
        <f>IF(Produits!E302="","",Produits!E302)</f>
        <v/>
      </c>
      <c r="F302" s="128" t="str">
        <f>IF(Produits!F302="","",Produits!F302)</f>
        <v>1 pcs</v>
      </c>
      <c r="J302" s="135" t="str">
        <f>IF($J$1="","",HLOOKUP($J$1,$M$1:$AAV$1000,302,0))</f>
        <v/>
      </c>
    </row>
    <row r="303" spans="1:10" x14ac:dyDescent="0.25">
      <c r="A303" s="127" t="str">
        <f>IF(Produits!A303="","",Produits!A303)</f>
        <v>Variflex</v>
      </c>
      <c r="B303" s="127" t="str">
        <f>IF(Produits!B303="","",Produits!B303)</f>
        <v>DT/DTZ</v>
      </c>
      <c r="C303" s="127" t="str">
        <f>IF(Produits!C303="","",Produits!C303)</f>
        <v>1000,00,0300</v>
      </c>
      <c r="D303" s="127" t="str">
        <f>IF(Produits!D303="","",Produits!D303)</f>
        <v>AA424</v>
      </c>
      <c r="E303" s="127" t="str">
        <f>IF(Produits!E303="","",Produits!E303)</f>
        <v/>
      </c>
      <c r="F303" s="128" t="str">
        <f>IF(Produits!F303="","",Produits!F303)</f>
        <v>1 pcs</v>
      </c>
      <c r="J303" s="135" t="str">
        <f>IF($J$1="","",HLOOKUP($J$1,$M$1:$AAV$1000,303,0))</f>
        <v/>
      </c>
    </row>
    <row r="304" spans="1:10" x14ac:dyDescent="0.25">
      <c r="A304" s="127" t="str">
        <f>IF(Produits!A304="","",Produits!A304)</f>
        <v>Variflex</v>
      </c>
      <c r="B304" s="127" t="str">
        <f>IF(Produits!B304="","",Produits!B304)</f>
        <v>DT/DTZ</v>
      </c>
      <c r="C304" s="127" t="str">
        <f>IF(Produits!C304="","",Produits!C304)</f>
        <v>1000,00,0301</v>
      </c>
      <c r="D304" s="127" t="str">
        <f>IF(Produits!D304="","",Produits!D304)</f>
        <v>AA425</v>
      </c>
      <c r="E304" s="127" t="str">
        <f>IF(Produits!E304="","",Produits!E304)</f>
        <v/>
      </c>
      <c r="F304" s="128" t="str">
        <f>IF(Produits!F304="","",Produits!F304)</f>
        <v>1 pcs</v>
      </c>
      <c r="J304" s="135" t="str">
        <f>IF($J$1="","",HLOOKUP($J$1,$M$1:$AAV$1000,304,0))</f>
        <v/>
      </c>
    </row>
    <row r="305" spans="1:10" x14ac:dyDescent="0.25">
      <c r="A305" s="127" t="str">
        <f>IF(Produits!A305="","",Produits!A305)</f>
        <v>Variflex</v>
      </c>
      <c r="B305" s="127" t="str">
        <f>IF(Produits!B305="","",Produits!B305)</f>
        <v>DT/DTZ</v>
      </c>
      <c r="C305" s="127" t="str">
        <f>IF(Produits!C305="","",Produits!C305)</f>
        <v>1000,00,0302</v>
      </c>
      <c r="D305" s="127" t="str">
        <f>IF(Produits!D305="","",Produits!D305)</f>
        <v>AA426</v>
      </c>
      <c r="E305" s="127" t="str">
        <f>IF(Produits!E305="","",Produits!E305)</f>
        <v/>
      </c>
      <c r="F305" s="128" t="str">
        <f>IF(Produits!F305="","",Produits!F305)</f>
        <v>1 pcs</v>
      </c>
      <c r="J305" s="135" t="str">
        <f>IF($J$1="","",HLOOKUP($J$1,$M$1:$AAV$1000,305,0))</f>
        <v/>
      </c>
    </row>
    <row r="306" spans="1:10" x14ac:dyDescent="0.25">
      <c r="A306" s="127" t="str">
        <f>IF(Produits!A306="","",Produits!A306)</f>
        <v>Variflex</v>
      </c>
      <c r="B306" s="127" t="str">
        <f>IF(Produits!B306="","",Produits!B306)</f>
        <v>DT/DTZ</v>
      </c>
      <c r="C306" s="127" t="str">
        <f>IF(Produits!C306="","",Produits!C306)</f>
        <v>1000,00,0303</v>
      </c>
      <c r="D306" s="127" t="str">
        <f>IF(Produits!D306="","",Produits!D306)</f>
        <v>AA427</v>
      </c>
      <c r="E306" s="127" t="str">
        <f>IF(Produits!E306="","",Produits!E306)</f>
        <v/>
      </c>
      <c r="F306" s="128" t="str">
        <f>IF(Produits!F306="","",Produits!F306)</f>
        <v>1 pcs</v>
      </c>
      <c r="J306" s="135" t="str">
        <f>IF($J$1="","",HLOOKUP($J$1,$M$1:$AAV$1000,306,0))</f>
        <v/>
      </c>
    </row>
    <row r="307" spans="1:10" x14ac:dyDescent="0.25">
      <c r="A307" s="127" t="str">
        <f>IF(Produits!A307="","",Produits!A307)</f>
        <v>Variflex</v>
      </c>
      <c r="B307" s="127" t="str">
        <f>IF(Produits!B307="","",Produits!B307)</f>
        <v>DT/DTZ</v>
      </c>
      <c r="C307" s="127" t="str">
        <f>IF(Produits!C307="","",Produits!C307)</f>
        <v>1000,00,0304</v>
      </c>
      <c r="D307" s="127" t="str">
        <f>IF(Produits!D307="","",Produits!D307)</f>
        <v>AA428</v>
      </c>
      <c r="E307" s="127" t="str">
        <f>IF(Produits!E307="","",Produits!E307)</f>
        <v/>
      </c>
      <c r="F307" s="128" t="str">
        <f>IF(Produits!F307="","",Produits!F307)</f>
        <v>1 pcs</v>
      </c>
      <c r="J307" s="135" t="str">
        <f>IF($J$1="","",HLOOKUP($J$1,$M$1:$AAV$1000,307,0))</f>
        <v/>
      </c>
    </row>
    <row r="308" spans="1:10" x14ac:dyDescent="0.25">
      <c r="A308" s="127" t="str">
        <f>IF(Produits!A308="","",Produits!A308)</f>
        <v>Variflex</v>
      </c>
      <c r="B308" s="127" t="str">
        <f>IF(Produits!B308="","",Produits!B308)</f>
        <v>DT/DTZ</v>
      </c>
      <c r="C308" s="127" t="str">
        <f>IF(Produits!C308="","",Produits!C308)</f>
        <v>1000,00,0305</v>
      </c>
      <c r="D308" s="127" t="str">
        <f>IF(Produits!D308="","",Produits!D308)</f>
        <v>AA429</v>
      </c>
      <c r="E308" s="127" t="str">
        <f>IF(Produits!E308="","",Produits!E308)</f>
        <v/>
      </c>
      <c r="F308" s="128" t="str">
        <f>IF(Produits!F308="","",Produits!F308)</f>
        <v>1 pcs</v>
      </c>
      <c r="J308" s="135" t="str">
        <f>IF($J$1="","",HLOOKUP($J$1,$M$1:$AAV$1000,308,0))</f>
        <v/>
      </c>
    </row>
    <row r="309" spans="1:10" x14ac:dyDescent="0.25">
      <c r="A309" s="127" t="str">
        <f>IF(Produits!A309="","",Produits!A309)</f>
        <v>Variflex</v>
      </c>
      <c r="B309" s="127" t="str">
        <f>IF(Produits!B309="","",Produits!B309)</f>
        <v>DT/DTZ</v>
      </c>
      <c r="C309" s="127" t="str">
        <f>IF(Produits!C309="","",Produits!C309)</f>
        <v>1000,00,0306</v>
      </c>
      <c r="D309" s="127" t="str">
        <f>IF(Produits!D309="","",Produits!D309)</f>
        <v>AA430</v>
      </c>
      <c r="E309" s="127" t="str">
        <f>IF(Produits!E309="","",Produits!E309)</f>
        <v/>
      </c>
      <c r="F309" s="128" t="str">
        <f>IF(Produits!F309="","",Produits!F309)</f>
        <v>1 pcs</v>
      </c>
      <c r="J309" s="135" t="str">
        <f>IF($J$1="","",HLOOKUP($J$1,$M$1:$AAV$1000,309,0))</f>
        <v/>
      </c>
    </row>
    <row r="310" spans="1:10" x14ac:dyDescent="0.25">
      <c r="A310" s="127" t="str">
        <f>IF(Produits!A310="","",Produits!A310)</f>
        <v>Variflex</v>
      </c>
      <c r="B310" s="127" t="str">
        <f>IF(Produits!B310="","",Produits!B310)</f>
        <v>DT/DTZ</v>
      </c>
      <c r="C310" s="127" t="str">
        <f>IF(Produits!C310="","",Produits!C310)</f>
        <v>1000,00,0307</v>
      </c>
      <c r="D310" s="127" t="str">
        <f>IF(Produits!D310="","",Produits!D310)</f>
        <v>AA431</v>
      </c>
      <c r="E310" s="127" t="str">
        <f>IF(Produits!E310="","",Produits!E310)</f>
        <v/>
      </c>
      <c r="F310" s="128" t="str">
        <f>IF(Produits!F310="","",Produits!F310)</f>
        <v>1 pcs</v>
      </c>
      <c r="J310" s="135" t="str">
        <f>IF($J$1="","",HLOOKUP($J$1,$M$1:$AAV$1000,310,0))</f>
        <v/>
      </c>
    </row>
    <row r="311" spans="1:10" x14ac:dyDescent="0.25">
      <c r="A311" s="127" t="str">
        <f>IF(Produits!A311="","",Produits!A311)</f>
        <v>Variflex</v>
      </c>
      <c r="B311" s="127" t="str">
        <f>IF(Produits!B311="","",Produits!B311)</f>
        <v>DT/DTZ</v>
      </c>
      <c r="C311" s="127" t="str">
        <f>IF(Produits!C311="","",Produits!C311)</f>
        <v>1000,00,0308</v>
      </c>
      <c r="D311" s="127" t="str">
        <f>IF(Produits!D311="","",Produits!D311)</f>
        <v>AA432</v>
      </c>
      <c r="E311" s="127" t="str">
        <f>IF(Produits!E311="","",Produits!E311)</f>
        <v/>
      </c>
      <c r="F311" s="128" t="str">
        <f>IF(Produits!F311="","",Produits!F311)</f>
        <v>1 pcs</v>
      </c>
      <c r="J311" s="135" t="str">
        <f>IF($J$1="","",HLOOKUP($J$1,$M$1:$AAV$1000,311,0))</f>
        <v/>
      </c>
    </row>
    <row r="312" spans="1:10" x14ac:dyDescent="0.25">
      <c r="A312" s="127" t="str">
        <f>IF(Produits!A312="","",Produits!A312)</f>
        <v>Variflex</v>
      </c>
      <c r="B312" s="127" t="str">
        <f>IF(Produits!B312="","",Produits!B312)</f>
        <v>DT/DTZ</v>
      </c>
      <c r="C312" s="127" t="str">
        <f>IF(Produits!C312="","",Produits!C312)</f>
        <v>1000,00,0309</v>
      </c>
      <c r="D312" s="127" t="str">
        <f>IF(Produits!D312="","",Produits!D312)</f>
        <v>AA433</v>
      </c>
      <c r="E312" s="127" t="str">
        <f>IF(Produits!E312="","",Produits!E312)</f>
        <v/>
      </c>
      <c r="F312" s="128" t="str">
        <f>IF(Produits!F312="","",Produits!F312)</f>
        <v>1 pcs</v>
      </c>
      <c r="J312" s="135" t="str">
        <f>IF($J$1="","",HLOOKUP($J$1,$M$1:$AAV$1000,312,0))</f>
        <v/>
      </c>
    </row>
    <row r="313" spans="1:10" x14ac:dyDescent="0.25">
      <c r="A313" s="127" t="str">
        <f>IF(Produits!A313="","",Produits!A313)</f>
        <v>Variflex</v>
      </c>
      <c r="B313" s="127" t="str">
        <f>IF(Produits!B313="","",Produits!B313)</f>
        <v>DT/DTZ</v>
      </c>
      <c r="C313" s="127" t="str">
        <f>IF(Produits!C313="","",Produits!C313)</f>
        <v>1000,00,0310</v>
      </c>
      <c r="D313" s="127" t="str">
        <f>IF(Produits!D313="","",Produits!D313)</f>
        <v>AA434</v>
      </c>
      <c r="E313" s="127" t="str">
        <f>IF(Produits!E313="","",Produits!E313)</f>
        <v/>
      </c>
      <c r="F313" s="128" t="str">
        <f>IF(Produits!F313="","",Produits!F313)</f>
        <v>1 pcs</v>
      </c>
      <c r="J313" s="135" t="str">
        <f>IF($J$1="","",HLOOKUP($J$1,$M$1:$AAV$1000,313,0))</f>
        <v/>
      </c>
    </row>
    <row r="314" spans="1:10" x14ac:dyDescent="0.25">
      <c r="A314" s="127" t="str">
        <f>IF(Produits!A314="","",Produits!A314)</f>
        <v>Variflex</v>
      </c>
      <c r="B314" s="127" t="str">
        <f>IF(Produits!B314="","",Produits!B314)</f>
        <v>DT/DTZ</v>
      </c>
      <c r="C314" s="127" t="str">
        <f>IF(Produits!C314="","",Produits!C314)</f>
        <v>1000,00,0311</v>
      </c>
      <c r="D314" s="127" t="str">
        <f>IF(Produits!D314="","",Produits!D314)</f>
        <v>AA435</v>
      </c>
      <c r="E314" s="127" t="str">
        <f>IF(Produits!E314="","",Produits!E314)</f>
        <v/>
      </c>
      <c r="F314" s="128" t="str">
        <f>IF(Produits!F314="","",Produits!F314)</f>
        <v>1 pcs</v>
      </c>
      <c r="J314" s="135" t="str">
        <f>IF($J$1="","",HLOOKUP($J$1,$M$1:$AAV$1000,314,0))</f>
        <v/>
      </c>
    </row>
    <row r="315" spans="1:10" x14ac:dyDescent="0.25">
      <c r="A315" s="127" t="str">
        <f>IF(Produits!A315="","",Produits!A315)</f>
        <v>Variflex</v>
      </c>
      <c r="B315" s="127" t="str">
        <f>IF(Produits!B315="","",Produits!B315)</f>
        <v>Semi-auto Execution</v>
      </c>
      <c r="C315" s="127" t="str">
        <f>IF(Produits!C315="","",Produits!C315)</f>
        <v>1000,00,0312</v>
      </c>
      <c r="D315" s="127" t="str">
        <f>IF(Produits!D315="","",Produits!D315)</f>
        <v>AA436</v>
      </c>
      <c r="E315" s="127" t="str">
        <f>IF(Produits!E315="","",Produits!E315)</f>
        <v/>
      </c>
      <c r="F315" s="128" t="str">
        <f>IF(Produits!F315="","",Produits!F315)</f>
        <v>1 pcs</v>
      </c>
      <c r="J315" s="135" t="str">
        <f>IF($J$1="","",HLOOKUP($J$1,$M$1:$AAV$1000,315,0))</f>
        <v/>
      </c>
    </row>
    <row r="316" spans="1:10" x14ac:dyDescent="0.25">
      <c r="A316" s="127" t="str">
        <f>IF(Produits!A316="","",Produits!A316)</f>
        <v>Variflex</v>
      </c>
      <c r="B316" s="127" t="str">
        <f>IF(Produits!B316="","",Produits!B316)</f>
        <v>Semi-auto Execution</v>
      </c>
      <c r="C316" s="127" t="str">
        <f>IF(Produits!C316="","",Produits!C316)</f>
        <v>1000,00,0313</v>
      </c>
      <c r="D316" s="127" t="str">
        <f>IF(Produits!D316="","",Produits!D316)</f>
        <v>AA437</v>
      </c>
      <c r="E316" s="127" t="str">
        <f>IF(Produits!E316="","",Produits!E316)</f>
        <v/>
      </c>
      <c r="F316" s="128" t="str">
        <f>IF(Produits!F316="","",Produits!F316)</f>
        <v>1 pcs</v>
      </c>
      <c r="J316" s="135" t="str">
        <f>IF($J$1="","",HLOOKUP($J$1,$M$1:$AAV$1000,316,0))</f>
        <v/>
      </c>
    </row>
    <row r="317" spans="1:10" x14ac:dyDescent="0.25">
      <c r="A317" s="127" t="str">
        <f>IF(Produits!A317="","",Produits!A317)</f>
        <v>Variflex</v>
      </c>
      <c r="B317" s="127" t="str">
        <f>IF(Produits!B317="","",Produits!B317)</f>
        <v>Semi-auto Execution</v>
      </c>
      <c r="C317" s="127" t="str">
        <f>IF(Produits!C317="","",Produits!C317)</f>
        <v>1000,00,0314</v>
      </c>
      <c r="D317" s="127" t="str">
        <f>IF(Produits!D317="","",Produits!D317)</f>
        <v>AA438</v>
      </c>
      <c r="E317" s="127" t="str">
        <f>IF(Produits!E317="","",Produits!E317)</f>
        <v/>
      </c>
      <c r="F317" s="128" t="str">
        <f>IF(Produits!F317="","",Produits!F317)</f>
        <v>1 pcs</v>
      </c>
      <c r="J317" s="135" t="str">
        <f>IF($J$1="","",HLOOKUP($J$1,$M$1:$AAV$1000,317,0))</f>
        <v/>
      </c>
    </row>
    <row r="318" spans="1:10" x14ac:dyDescent="0.25">
      <c r="A318" s="127" t="str">
        <f>IF(Produits!A318="","",Produits!A318)</f>
        <v>Variflex</v>
      </c>
      <c r="B318" s="127" t="str">
        <f>IF(Produits!B318="","",Produits!B318)</f>
        <v>Semi-auto Execution</v>
      </c>
      <c r="C318" s="127" t="str">
        <f>IF(Produits!C318="","",Produits!C318)</f>
        <v>1000,00,0315</v>
      </c>
      <c r="D318" s="127" t="str">
        <f>IF(Produits!D318="","",Produits!D318)</f>
        <v>AA439</v>
      </c>
      <c r="E318" s="127" t="str">
        <f>IF(Produits!E318="","",Produits!E318)</f>
        <v/>
      </c>
      <c r="F318" s="128" t="str">
        <f>IF(Produits!F318="","",Produits!F318)</f>
        <v>1 pcs</v>
      </c>
      <c r="J318" s="135" t="str">
        <f>IF($J$1="","",HLOOKUP($J$1,$M$1:$AAV$1000,318,0))</f>
        <v/>
      </c>
    </row>
    <row r="319" spans="1:10" x14ac:dyDescent="0.25">
      <c r="A319" s="127" t="str">
        <f>IF(Produits!A319="","",Produits!A319)</f>
        <v>Variflex</v>
      </c>
      <c r="B319" s="127" t="str">
        <f>IF(Produits!B319="","",Produits!B319)</f>
        <v>Semi-auto Execution</v>
      </c>
      <c r="C319" s="127" t="str">
        <f>IF(Produits!C319="","",Produits!C319)</f>
        <v>1000,00,0316</v>
      </c>
      <c r="D319" s="127" t="str">
        <f>IF(Produits!D319="","",Produits!D319)</f>
        <v>AA440</v>
      </c>
      <c r="E319" s="127" t="str">
        <f>IF(Produits!E319="","",Produits!E319)</f>
        <v/>
      </c>
      <c r="F319" s="128" t="str">
        <f>IF(Produits!F319="","",Produits!F319)</f>
        <v>1 pcs</v>
      </c>
      <c r="J319" s="135" t="str">
        <f>IF($J$1="","",HLOOKUP($J$1,$M$1:$AAV$1000,319,0))</f>
        <v/>
      </c>
    </row>
    <row r="320" spans="1:10" x14ac:dyDescent="0.25">
      <c r="A320" s="127" t="str">
        <f>IF(Produits!A320="","",Produits!A320)</f>
        <v>Variflex</v>
      </c>
      <c r="B320" s="127" t="str">
        <f>IF(Produits!B320="","",Produits!B320)</f>
        <v>Semi-auto Execution</v>
      </c>
      <c r="C320" s="127" t="str">
        <f>IF(Produits!C320="","",Produits!C320)</f>
        <v>1000,00,0317</v>
      </c>
      <c r="D320" s="127" t="str">
        <f>IF(Produits!D320="","",Produits!D320)</f>
        <v>AA441</v>
      </c>
      <c r="E320" s="127" t="str">
        <f>IF(Produits!E320="","",Produits!E320)</f>
        <v/>
      </c>
      <c r="F320" s="128" t="str">
        <f>IF(Produits!F320="","",Produits!F320)</f>
        <v>1 pcs</v>
      </c>
      <c r="J320" s="135" t="str">
        <f>IF($J$1="","",HLOOKUP($J$1,$M$1:$AAV$1000,320,0))</f>
        <v/>
      </c>
    </row>
    <row r="321" spans="1:10" x14ac:dyDescent="0.25">
      <c r="A321" s="127" t="str">
        <f>IF(Produits!A321="","",Produits!A321)</f>
        <v>Variflex</v>
      </c>
      <c r="B321" s="127" t="str">
        <f>IF(Produits!B321="","",Produits!B321)</f>
        <v>Semi-auto Execution</v>
      </c>
      <c r="C321" s="127" t="str">
        <f>IF(Produits!C321="","",Produits!C321)</f>
        <v>1000,00,0318</v>
      </c>
      <c r="D321" s="127" t="str">
        <f>IF(Produits!D321="","",Produits!D321)</f>
        <v>AA442</v>
      </c>
      <c r="E321" s="127" t="str">
        <f>IF(Produits!E321="","",Produits!E321)</f>
        <v/>
      </c>
      <c r="F321" s="128" t="str">
        <f>IF(Produits!F321="","",Produits!F321)</f>
        <v>1 pcs</v>
      </c>
      <c r="J321" s="135" t="str">
        <f>IF($J$1="","",HLOOKUP($J$1,$M$1:$AAV$1000,321,0))</f>
        <v/>
      </c>
    </row>
    <row r="322" spans="1:10" x14ac:dyDescent="0.25">
      <c r="A322" s="127" t="str">
        <f>IF(Produits!A322="","",Produits!A322)</f>
        <v>Variflex</v>
      </c>
      <c r="B322" s="127" t="str">
        <f>IF(Produits!B322="","",Produits!B322)</f>
        <v>Semi-auto Execution</v>
      </c>
      <c r="C322" s="127" t="str">
        <f>IF(Produits!C322="","",Produits!C322)</f>
        <v>1000,00,0319</v>
      </c>
      <c r="D322" s="127" t="str">
        <f>IF(Produits!D322="","",Produits!D322)</f>
        <v>AA443</v>
      </c>
      <c r="E322" s="127" t="str">
        <f>IF(Produits!E322="","",Produits!E322)</f>
        <v/>
      </c>
      <c r="F322" s="128" t="str">
        <f>IF(Produits!F322="","",Produits!F322)</f>
        <v>1 pcs</v>
      </c>
      <c r="J322" s="135" t="str">
        <f>IF($J$1="","",HLOOKUP($J$1,$M$1:$AAV$1000,322,0))</f>
        <v/>
      </c>
    </row>
    <row r="323" spans="1:10" x14ac:dyDescent="0.25">
      <c r="A323" s="127" t="str">
        <f>IF(Produits!A323="","",Produits!A323)</f>
        <v>Variflex</v>
      </c>
      <c r="B323" s="127" t="str">
        <f>IF(Produits!B323="","",Produits!B323)</f>
        <v>Semi-auto Execution</v>
      </c>
      <c r="C323" s="127" t="str">
        <f>IF(Produits!C323="","",Produits!C323)</f>
        <v>1000,00,0320</v>
      </c>
      <c r="D323" s="127" t="str">
        <f>IF(Produits!D323="","",Produits!D323)</f>
        <v>AA444</v>
      </c>
      <c r="E323" s="127" t="str">
        <f>IF(Produits!E323="","",Produits!E323)</f>
        <v/>
      </c>
      <c r="F323" s="128" t="str">
        <f>IF(Produits!F323="","",Produits!F323)</f>
        <v>1 pcs</v>
      </c>
      <c r="J323" s="135" t="str">
        <f>IF($J$1="","",HLOOKUP($J$1,$M$1:$AAV$1000,323,0))</f>
        <v/>
      </c>
    </row>
    <row r="324" spans="1:10" x14ac:dyDescent="0.25">
      <c r="A324" s="127" t="str">
        <f>IF(Produits!A324="","",Produits!A324)</f>
        <v>Variflex</v>
      </c>
      <c r="B324" s="127" t="str">
        <f>IF(Produits!B324="","",Produits!B324)</f>
        <v>Semi-auto Execution</v>
      </c>
      <c r="C324" s="127" t="str">
        <f>IF(Produits!C324="","",Produits!C324)</f>
        <v>1000,00,0321</v>
      </c>
      <c r="D324" s="127" t="str">
        <f>IF(Produits!D324="","",Produits!D324)</f>
        <v>AA445</v>
      </c>
      <c r="E324" s="127" t="str">
        <f>IF(Produits!E324="","",Produits!E324)</f>
        <v/>
      </c>
      <c r="F324" s="128" t="str">
        <f>IF(Produits!F324="","",Produits!F324)</f>
        <v>1 pcs</v>
      </c>
      <c r="J324" s="135" t="str">
        <f>IF($J$1="","",HLOOKUP($J$1,$M$1:$AAV$1000,324,0))</f>
        <v/>
      </c>
    </row>
    <row r="325" spans="1:10" x14ac:dyDescent="0.25">
      <c r="A325" s="127" t="str">
        <f>IF(Produits!A325="","",Produits!A325)</f>
        <v>Variflex</v>
      </c>
      <c r="B325" s="127" t="str">
        <f>IF(Produits!B325="","",Produits!B325)</f>
        <v>Semi-auto Execution</v>
      </c>
      <c r="C325" s="127" t="str">
        <f>IF(Produits!C325="","",Produits!C325)</f>
        <v>1000,00,0322</v>
      </c>
      <c r="D325" s="127" t="str">
        <f>IF(Produits!D325="","",Produits!D325)</f>
        <v>AA446</v>
      </c>
      <c r="E325" s="127" t="str">
        <f>IF(Produits!E325="","",Produits!E325)</f>
        <v/>
      </c>
      <c r="F325" s="128" t="str">
        <f>IF(Produits!F325="","",Produits!F325)</f>
        <v>1 pcs</v>
      </c>
      <c r="J325" s="135" t="str">
        <f>IF($J$1="","",HLOOKUP($J$1,$M$1:$AAV$1000,325,0))</f>
        <v/>
      </c>
    </row>
    <row r="326" spans="1:10" x14ac:dyDescent="0.25">
      <c r="A326" s="127" t="str">
        <f>IF(Produits!A326="","",Produits!A326)</f>
        <v>Variflex</v>
      </c>
      <c r="B326" s="127" t="str">
        <f>IF(Produits!B326="","",Produits!B326)</f>
        <v>Divers</v>
      </c>
      <c r="C326" s="127" t="str">
        <f>IF(Produits!C326="","",Produits!C326)</f>
        <v>1000,00,0323</v>
      </c>
      <c r="D326" s="127" t="str">
        <f>IF(Produits!D326="","",Produits!D326)</f>
        <v>AA447</v>
      </c>
      <c r="E326" s="127" t="str">
        <f>IF(Produits!E326="","",Produits!E326)</f>
        <v/>
      </c>
      <c r="F326" s="128" t="str">
        <f>IF(Produits!F326="","",Produits!F326)</f>
        <v>1 pcs</v>
      </c>
      <c r="J326" s="135" t="str">
        <f>IF($J$1="","",HLOOKUP($J$1,$M$1:$AAV$1000,326,0))</f>
        <v/>
      </c>
    </row>
    <row r="327" spans="1:10" x14ac:dyDescent="0.25">
      <c r="A327" s="127" t="str">
        <f>IF(Produits!A327="","",Produits!A327)</f>
        <v>Variflex</v>
      </c>
      <c r="B327" s="127" t="str">
        <f>IF(Produits!B327="","",Produits!B327)</f>
        <v>Divers</v>
      </c>
      <c r="C327" s="127" t="str">
        <f>IF(Produits!C327="","",Produits!C327)</f>
        <v>1000,00,0324</v>
      </c>
      <c r="D327" s="127" t="str">
        <f>IF(Produits!D327="","",Produits!D327)</f>
        <v>AA448</v>
      </c>
      <c r="E327" s="127" t="str">
        <f>IF(Produits!E327="","",Produits!E327)</f>
        <v/>
      </c>
      <c r="F327" s="128" t="str">
        <f>IF(Produits!F327="","",Produits!F327)</f>
        <v>1 pcs</v>
      </c>
      <c r="J327" s="135" t="str">
        <f>IF($J$1="","",HLOOKUP($J$1,$M$1:$AAV$1000,327,0))</f>
        <v/>
      </c>
    </row>
    <row r="328" spans="1:10" x14ac:dyDescent="0.25">
      <c r="A328" s="127" t="str">
        <f>IF(Produits!A328="","",Produits!A328)</f>
        <v>Variflex</v>
      </c>
      <c r="B328" s="127" t="str">
        <f>IF(Produits!B328="","",Produits!B328)</f>
        <v>Divers</v>
      </c>
      <c r="C328" s="127" t="str">
        <f>IF(Produits!C328="","",Produits!C328)</f>
        <v>1000,00,0325</v>
      </c>
      <c r="D328" s="127" t="str">
        <f>IF(Produits!D328="","",Produits!D328)</f>
        <v>AA449</v>
      </c>
      <c r="E328" s="127" t="str">
        <f>IF(Produits!E328="","",Produits!E328)</f>
        <v/>
      </c>
      <c r="F328" s="128" t="str">
        <f>IF(Produits!F328="","",Produits!F328)</f>
        <v>1 pcs</v>
      </c>
      <c r="J328" s="135" t="str">
        <f>IF($J$1="","",HLOOKUP($J$1,$M$1:$AAV$1000,328,0))</f>
        <v/>
      </c>
    </row>
    <row r="329" spans="1:10" x14ac:dyDescent="0.25">
      <c r="A329" s="127" t="str">
        <f>IF(Produits!A329="","",Produits!A329)</f>
        <v>Variflex</v>
      </c>
      <c r="B329" s="127" t="str">
        <f>IF(Produits!B329="","",Produits!B329)</f>
        <v>Divers</v>
      </c>
      <c r="C329" s="127" t="str">
        <f>IF(Produits!C329="","",Produits!C329)</f>
        <v>1000,00,0326</v>
      </c>
      <c r="D329" s="127" t="str">
        <f>IF(Produits!D329="","",Produits!D329)</f>
        <v>AA450</v>
      </c>
      <c r="E329" s="127" t="str">
        <f>IF(Produits!E329="","",Produits!E329)</f>
        <v/>
      </c>
      <c r="F329" s="128" t="str">
        <f>IF(Produits!F329="","",Produits!F329)</f>
        <v>1 pcs</v>
      </c>
      <c r="J329" s="135" t="str">
        <f>IF($J$1="","",HLOOKUP($J$1,$M$1:$AAV$1000,329,0))</f>
        <v/>
      </c>
    </row>
    <row r="330" spans="1:10" x14ac:dyDescent="0.25">
      <c r="A330" s="127" t="str">
        <f>IF(Produits!A330="","",Produits!A330)</f>
        <v>Variflex</v>
      </c>
      <c r="B330" s="127" t="str">
        <f>IF(Produits!B330="","",Produits!B330)</f>
        <v>Divers</v>
      </c>
      <c r="C330" s="127" t="str">
        <f>IF(Produits!C330="","",Produits!C330)</f>
        <v>1000,00,0327</v>
      </c>
      <c r="D330" s="127" t="str">
        <f>IF(Produits!D330="","",Produits!D330)</f>
        <v>AA451</v>
      </c>
      <c r="E330" s="127" t="str">
        <f>IF(Produits!E330="","",Produits!E330)</f>
        <v/>
      </c>
      <c r="F330" s="128" t="str">
        <f>IF(Produits!F330="","",Produits!F330)</f>
        <v>1 pcs</v>
      </c>
      <c r="J330" s="135" t="str">
        <f>IF($J$1="","",HLOOKUP($J$1,$M$1:$AAV$1000,330,0))</f>
        <v/>
      </c>
    </row>
    <row r="331" spans="1:10" x14ac:dyDescent="0.25">
      <c r="A331" s="127" t="str">
        <f>IF(Produits!A331="","",Produits!A331)</f>
        <v>Variflex</v>
      </c>
      <c r="B331" s="127" t="str">
        <f>IF(Produits!B331="","",Produits!B331)</f>
        <v>Divers</v>
      </c>
      <c r="C331" s="127" t="str">
        <f>IF(Produits!C331="","",Produits!C331)</f>
        <v>1000,00,0328</v>
      </c>
      <c r="D331" s="127" t="str">
        <f>IF(Produits!D331="","",Produits!D331)</f>
        <v>AA452</v>
      </c>
      <c r="E331" s="127" t="str">
        <f>IF(Produits!E331="","",Produits!E331)</f>
        <v/>
      </c>
      <c r="F331" s="128" t="str">
        <f>IF(Produits!F331="","",Produits!F331)</f>
        <v>1 pcs</v>
      </c>
      <c r="J331" s="135" t="str">
        <f>IF($J$1="","",HLOOKUP($J$1,$M$1:$AAV$1000,331,0))</f>
        <v/>
      </c>
    </row>
    <row r="332" spans="1:10" x14ac:dyDescent="0.25">
      <c r="A332" s="127" t="str">
        <f>IF(Produits!A332="","",Produits!A332)</f>
        <v>Variflex</v>
      </c>
      <c r="B332" s="127" t="str">
        <f>IF(Produits!B332="","",Produits!B332)</f>
        <v>Divers</v>
      </c>
      <c r="C332" s="127" t="str">
        <f>IF(Produits!C332="","",Produits!C332)</f>
        <v>1000,00,0329</v>
      </c>
      <c r="D332" s="127" t="str">
        <f>IF(Produits!D332="","",Produits!D332)</f>
        <v>AA453</v>
      </c>
      <c r="E332" s="127" t="str">
        <f>IF(Produits!E332="","",Produits!E332)</f>
        <v/>
      </c>
      <c r="F332" s="128" t="str">
        <f>IF(Produits!F332="","",Produits!F332)</f>
        <v>1 pcs</v>
      </c>
      <c r="J332" s="135" t="str">
        <f>IF($J$1="","",HLOOKUP($J$1,$M$1:$AAV$1000,332,0))</f>
        <v/>
      </c>
    </row>
    <row r="333" spans="1:10" x14ac:dyDescent="0.25">
      <c r="A333" s="127" t="str">
        <f>IF(Produits!A333="","",Produits!A333)</f>
        <v>Variflex</v>
      </c>
      <c r="B333" s="127" t="str">
        <f>IF(Produits!B333="","",Produits!B333)</f>
        <v>Divers</v>
      </c>
      <c r="C333" s="127" t="str">
        <f>IF(Produits!C333="","",Produits!C333)</f>
        <v>1000,00,0330</v>
      </c>
      <c r="D333" s="127" t="str">
        <f>IF(Produits!D333="","",Produits!D333)</f>
        <v>AA454</v>
      </c>
      <c r="E333" s="127" t="str">
        <f>IF(Produits!E333="","",Produits!E333)</f>
        <v/>
      </c>
      <c r="F333" s="128" t="str">
        <f>IF(Produits!F333="","",Produits!F333)</f>
        <v>1 pcs</v>
      </c>
      <c r="J333" s="135" t="str">
        <f>IF($J$1="","",HLOOKUP($J$1,$M$1:$AAV$1000,333,0))</f>
        <v/>
      </c>
    </row>
    <row r="334" spans="1:10" x14ac:dyDescent="0.25">
      <c r="A334" s="127" t="str">
        <f>IF(Produits!A334="","",Produits!A334)</f>
        <v>Variflex</v>
      </c>
      <c r="B334" s="127" t="str">
        <f>IF(Produits!B334="","",Produits!B334)</f>
        <v>Divers</v>
      </c>
      <c r="C334" s="127" t="str">
        <f>IF(Produits!C334="","",Produits!C334)</f>
        <v>1000,00,0331</v>
      </c>
      <c r="D334" s="127" t="str">
        <f>IF(Produits!D334="","",Produits!D334)</f>
        <v>AA455</v>
      </c>
      <c r="E334" s="127" t="str">
        <f>IF(Produits!E334="","",Produits!E334)</f>
        <v/>
      </c>
      <c r="F334" s="128" t="str">
        <f>IF(Produits!F334="","",Produits!F334)</f>
        <v>1 pcs</v>
      </c>
      <c r="J334" s="135" t="str">
        <f>IF($J$1="","",HLOOKUP($J$1,$M$1:$AAV$1000,334,0))</f>
        <v/>
      </c>
    </row>
    <row r="335" spans="1:10" x14ac:dyDescent="0.25">
      <c r="A335" s="127" t="str">
        <f>IF(Produits!A335="","",Produits!A335)</f>
        <v>Variflex</v>
      </c>
      <c r="B335" s="127" t="str">
        <f>IF(Produits!B335="","",Produits!B335)</f>
        <v>Divers</v>
      </c>
      <c r="C335" s="127" t="str">
        <f>IF(Produits!C335="","",Produits!C335)</f>
        <v>1000,00,0332</v>
      </c>
      <c r="D335" s="127" t="str">
        <f>IF(Produits!D335="","",Produits!D335)</f>
        <v>AA456</v>
      </c>
      <c r="E335" s="127" t="str">
        <f>IF(Produits!E335="","",Produits!E335)</f>
        <v/>
      </c>
      <c r="F335" s="128" t="str">
        <f>IF(Produits!F335="","",Produits!F335)</f>
        <v>1 pcs</v>
      </c>
      <c r="J335" s="135" t="str">
        <f>IF($J$1="","",HLOOKUP($J$1,$M$1:$AAV$1000,335,0))</f>
        <v/>
      </c>
    </row>
    <row r="336" spans="1:10" x14ac:dyDescent="0.25">
      <c r="A336" s="127" t="str">
        <f>IF(Produits!A336="","",Produits!A336)</f>
        <v>Variflex</v>
      </c>
      <c r="B336" s="127" t="str">
        <f>IF(Produits!B336="","",Produits!B336)</f>
        <v>Divers</v>
      </c>
      <c r="C336" s="127" t="str">
        <f>IF(Produits!C336="","",Produits!C336)</f>
        <v>1000,00,0333</v>
      </c>
      <c r="D336" s="127" t="str">
        <f>IF(Produits!D336="","",Produits!D336)</f>
        <v>AA457</v>
      </c>
      <c r="E336" s="127" t="str">
        <f>IF(Produits!E336="","",Produits!E336)</f>
        <v/>
      </c>
      <c r="F336" s="128" t="str">
        <f>IF(Produits!F336="","",Produits!F336)</f>
        <v>1 pcs</v>
      </c>
      <c r="J336" s="135" t="str">
        <f>IF($J$1="","",HLOOKUP($J$1,$M$1:$AAV$1000,336,0))</f>
        <v/>
      </c>
    </row>
    <row r="337" spans="1:10" x14ac:dyDescent="0.25">
      <c r="A337" s="127" t="str">
        <f>IF(Produits!A337="","",Produits!A337)</f>
        <v>Variflex</v>
      </c>
      <c r="B337" s="127" t="str">
        <f>IF(Produits!B337="","",Produits!B337)</f>
        <v>Divers</v>
      </c>
      <c r="C337" s="127" t="str">
        <f>IF(Produits!C337="","",Produits!C337)</f>
        <v>1000,00,0334</v>
      </c>
      <c r="D337" s="127" t="str">
        <f>IF(Produits!D337="","",Produits!D337)</f>
        <v>AA458</v>
      </c>
      <c r="E337" s="127" t="str">
        <f>IF(Produits!E337="","",Produits!E337)</f>
        <v/>
      </c>
      <c r="F337" s="128" t="str">
        <f>IF(Produits!F337="","",Produits!F337)</f>
        <v>1 pcs</v>
      </c>
      <c r="J337" s="135" t="str">
        <f>IF($J$1="","",HLOOKUP($J$1,$M$1:$AAV$1000,337,0))</f>
        <v/>
      </c>
    </row>
    <row r="338" spans="1:10" x14ac:dyDescent="0.25">
      <c r="A338" s="127" t="str">
        <f>IF(Produits!A338="","",Produits!A338)</f>
        <v>Variflex</v>
      </c>
      <c r="B338" s="127" t="str">
        <f>IF(Produits!B338="","",Produits!B338)</f>
        <v>Divers</v>
      </c>
      <c r="C338" s="127" t="str">
        <f>IF(Produits!C338="","",Produits!C338)</f>
        <v>1000,00,0335</v>
      </c>
      <c r="D338" s="127" t="str">
        <f>IF(Produits!D338="","",Produits!D338)</f>
        <v>AA459</v>
      </c>
      <c r="E338" s="127" t="str">
        <f>IF(Produits!E338="","",Produits!E338)</f>
        <v/>
      </c>
      <c r="F338" s="128" t="str">
        <f>IF(Produits!F338="","",Produits!F338)</f>
        <v>1 pcs</v>
      </c>
      <c r="J338" s="135" t="str">
        <f>IF($J$1="","",HLOOKUP($J$1,$M$1:$AAV$1000,338,0))</f>
        <v/>
      </c>
    </row>
    <row r="339" spans="1:10" x14ac:dyDescent="0.25">
      <c r="A339" s="127" t="str">
        <f>IF(Produits!A339="","",Produits!A339)</f>
        <v>Variflex</v>
      </c>
      <c r="B339" s="127" t="str">
        <f>IF(Produits!B339="","",Produits!B339)</f>
        <v>Divers</v>
      </c>
      <c r="C339" s="127" t="str">
        <f>IF(Produits!C339="","",Produits!C339)</f>
        <v>1000,00,0336</v>
      </c>
      <c r="D339" s="127" t="str">
        <f>IF(Produits!D339="","",Produits!D339)</f>
        <v>AA460</v>
      </c>
      <c r="E339" s="127" t="str">
        <f>IF(Produits!E339="","",Produits!E339)</f>
        <v/>
      </c>
      <c r="F339" s="128" t="str">
        <f>IF(Produits!F339="","",Produits!F339)</f>
        <v>1 pcs</v>
      </c>
      <c r="J339" s="135" t="str">
        <f>IF($J$1="","",HLOOKUP($J$1,$M$1:$AAV$1000,339,0))</f>
        <v/>
      </c>
    </row>
    <row r="340" spans="1:10" x14ac:dyDescent="0.25">
      <c r="A340" s="127" t="str">
        <f>IF(Produits!A340="","",Produits!A340)</f>
        <v>Variflex</v>
      </c>
      <c r="B340" s="127" t="str">
        <f>IF(Produits!B340="","",Produits!B340)</f>
        <v>Divers</v>
      </c>
      <c r="C340" s="127" t="str">
        <f>IF(Produits!C340="","",Produits!C340)</f>
        <v>1000,00,0337</v>
      </c>
      <c r="D340" s="127" t="str">
        <f>IF(Produits!D340="","",Produits!D340)</f>
        <v>AA461</v>
      </c>
      <c r="E340" s="127" t="str">
        <f>IF(Produits!E340="","",Produits!E340)</f>
        <v/>
      </c>
      <c r="F340" s="128" t="str">
        <f>IF(Produits!F340="","",Produits!F340)</f>
        <v>1 pcs</v>
      </c>
      <c r="J340" s="135" t="str">
        <f>IF($J$1="","",HLOOKUP($J$1,$M$1:$AAV$1000,340,0))</f>
        <v/>
      </c>
    </row>
    <row r="341" spans="1:10" x14ac:dyDescent="0.25">
      <c r="A341" s="127" t="str">
        <f>IF(Produits!A341="","",Produits!A341)</f>
        <v>Variflex</v>
      </c>
      <c r="B341" s="127" t="str">
        <f>IF(Produits!B341="","",Produits!B341)</f>
        <v>Divers</v>
      </c>
      <c r="C341" s="127" t="str">
        <f>IF(Produits!C341="","",Produits!C341)</f>
        <v>1000,00,0338</v>
      </c>
      <c r="D341" s="127" t="str">
        <f>IF(Produits!D341="","",Produits!D341)</f>
        <v>AA462</v>
      </c>
      <c r="E341" s="127" t="str">
        <f>IF(Produits!E341="","",Produits!E341)</f>
        <v/>
      </c>
      <c r="F341" s="128" t="str">
        <f>IF(Produits!F341="","",Produits!F341)</f>
        <v>1 pcs</v>
      </c>
      <c r="J341" s="135" t="str">
        <f>IF($J$1="","",HLOOKUP($J$1,$M$1:$AAV$1000,341,0))</f>
        <v/>
      </c>
    </row>
    <row r="342" spans="1:10" x14ac:dyDescent="0.25">
      <c r="A342" s="127" t="str">
        <f>IF(Produits!A342="","",Produits!A342)</f>
        <v>Variflex</v>
      </c>
      <c r="B342" s="127" t="str">
        <f>IF(Produits!B342="","",Produits!B342)</f>
        <v>Divers</v>
      </c>
      <c r="C342" s="127" t="str">
        <f>IF(Produits!C342="","",Produits!C342)</f>
        <v>1000,00,0339</v>
      </c>
      <c r="D342" s="127" t="str">
        <f>IF(Produits!D342="","",Produits!D342)</f>
        <v>AA463</v>
      </c>
      <c r="E342" s="127" t="str">
        <f>IF(Produits!E342="","",Produits!E342)</f>
        <v/>
      </c>
      <c r="F342" s="128" t="str">
        <f>IF(Produits!F342="","",Produits!F342)</f>
        <v>1 pcs</v>
      </c>
      <c r="J342" s="135" t="str">
        <f>IF($J$1="","",HLOOKUP($J$1,$M$1:$AAV$1000,342,0))</f>
        <v/>
      </c>
    </row>
    <row r="343" spans="1:10" x14ac:dyDescent="0.25">
      <c r="A343" s="127" t="str">
        <f>IF(Produits!A343="","",Produits!A343)</f>
        <v>Variflex</v>
      </c>
      <c r="B343" s="127" t="str">
        <f>IF(Produits!B343="","",Produits!B343)</f>
        <v>Divers</v>
      </c>
      <c r="C343" s="127" t="str">
        <f>IF(Produits!C343="","",Produits!C343)</f>
        <v>1000,00,0340</v>
      </c>
      <c r="D343" s="127" t="str">
        <f>IF(Produits!D343="","",Produits!D343)</f>
        <v>AA464</v>
      </c>
      <c r="E343" s="127" t="str">
        <f>IF(Produits!E343="","",Produits!E343)</f>
        <v/>
      </c>
      <c r="F343" s="128" t="str">
        <f>IF(Produits!F343="","",Produits!F343)</f>
        <v>1 pcs</v>
      </c>
      <c r="J343" s="135" t="str">
        <f>IF($J$1="","",HLOOKUP($J$1,$M$1:$AAV$1000,343,0))</f>
        <v/>
      </c>
    </row>
    <row r="344" spans="1:10" x14ac:dyDescent="0.25">
      <c r="A344" s="127" t="str">
        <f>IF(Produits!A344="","",Produits!A344)</f>
        <v>ComfortDrive</v>
      </c>
      <c r="B344" s="127" t="str">
        <f>IF(Produits!B344="","",Produits!B344)</f>
        <v>Ceiling Track</v>
      </c>
      <c r="C344" s="127" t="str">
        <f>IF(Produits!C344="","",Produits!C344)</f>
        <v>1000,00,0341</v>
      </c>
      <c r="D344" s="127" t="str">
        <f>IF(Produits!D344="","",Produits!D344)</f>
        <v>AA465</v>
      </c>
      <c r="E344" s="127" t="str">
        <f>IF(Produits!E344="","",Produits!E344)</f>
        <v/>
      </c>
      <c r="F344" s="128" t="str">
        <f>IF(Produits!F344="","",Produits!F344)</f>
        <v>1 pcs</v>
      </c>
      <c r="J344" s="135" t="str">
        <f>IF($J$1="","",HLOOKUP($J$1,$M$1:$AAV$1000,344,0))</f>
        <v/>
      </c>
    </row>
    <row r="345" spans="1:10" x14ac:dyDescent="0.25">
      <c r="A345" s="127" t="str">
        <f>IF(Produits!A345="","",Produits!A345)</f>
        <v>ComfortDrive</v>
      </c>
      <c r="B345" s="127" t="str">
        <f>IF(Produits!B345="","",Produits!B345)</f>
        <v>Ceiling Track</v>
      </c>
      <c r="C345" s="127" t="str">
        <f>IF(Produits!C345="","",Produits!C345)</f>
        <v>1000,00,0342</v>
      </c>
      <c r="D345" s="127" t="str">
        <f>IF(Produits!D345="","",Produits!D345)</f>
        <v>AA466</v>
      </c>
      <c r="E345" s="127" t="str">
        <f>IF(Produits!E345="","",Produits!E345)</f>
        <v/>
      </c>
      <c r="F345" s="128" t="str">
        <f>IF(Produits!F345="","",Produits!F345)</f>
        <v>1 pcs</v>
      </c>
      <c r="J345" s="135" t="str">
        <f>IF($J$1="","",HLOOKUP($J$1,$M$1:$AAV$1000,345,0))</f>
        <v/>
      </c>
    </row>
    <row r="346" spans="1:10" x14ac:dyDescent="0.25">
      <c r="A346" s="127" t="str">
        <f>IF(Produits!A346="","",Produits!A346)</f>
        <v>ComfortDrive</v>
      </c>
      <c r="B346" s="127" t="str">
        <f>IF(Produits!B346="","",Produits!B346)</f>
        <v>Ceiling Track</v>
      </c>
      <c r="C346" s="127" t="str">
        <f>IF(Produits!C346="","",Produits!C346)</f>
        <v>1000,00,0343</v>
      </c>
      <c r="D346" s="127" t="str">
        <f>IF(Produits!D346="","",Produits!D346)</f>
        <v>AA467</v>
      </c>
      <c r="E346" s="127" t="str">
        <f>IF(Produits!E346="","",Produits!E346)</f>
        <v/>
      </c>
      <c r="F346" s="128" t="str">
        <f>IF(Produits!F346="","",Produits!F346)</f>
        <v>1 pcs</v>
      </c>
      <c r="J346" s="135" t="str">
        <f>IF($J$1="","",HLOOKUP($J$1,$M$1:$AAV$1000,346,0))</f>
        <v/>
      </c>
    </row>
    <row r="347" spans="1:10" x14ac:dyDescent="0.25">
      <c r="A347" s="127" t="str">
        <f>IF(Produits!A347="","",Produits!A347)</f>
        <v>ComfortDrive</v>
      </c>
      <c r="B347" s="127" t="str">
        <f>IF(Produits!B347="","",Produits!B347)</f>
        <v>Ceiling Track</v>
      </c>
      <c r="C347" s="127" t="str">
        <f>IF(Produits!C347="","",Produits!C347)</f>
        <v>1000,00,0344</v>
      </c>
      <c r="D347" s="127" t="str">
        <f>IF(Produits!D347="","",Produits!D347)</f>
        <v>AA468</v>
      </c>
      <c r="E347" s="127" t="str">
        <f>IF(Produits!E347="","",Produits!E347)</f>
        <v/>
      </c>
      <c r="F347" s="128" t="str">
        <f>IF(Produits!F347="","",Produits!F347)</f>
        <v>1 pcs</v>
      </c>
      <c r="J347" s="135" t="str">
        <f>IF($J$1="","",HLOOKUP($J$1,$M$1:$AAV$1000,347,0))</f>
        <v/>
      </c>
    </row>
    <row r="348" spans="1:10" x14ac:dyDescent="0.25">
      <c r="A348" s="127" t="str">
        <f>IF(Produits!A348="","",Produits!A348)</f>
        <v>ComfortDrive</v>
      </c>
      <c r="B348" s="127" t="str">
        <f>IF(Produits!B348="","",Produits!B348)</f>
        <v>Ceiling Track</v>
      </c>
      <c r="C348" s="127" t="str">
        <f>IF(Produits!C348="","",Produits!C348)</f>
        <v>1000,00,0345</v>
      </c>
      <c r="D348" s="127" t="str">
        <f>IF(Produits!D348="","",Produits!D348)</f>
        <v>AA469</v>
      </c>
      <c r="E348" s="127" t="str">
        <f>IF(Produits!E348="","",Produits!E348)</f>
        <v/>
      </c>
      <c r="F348" s="128" t="str">
        <f>IF(Produits!F348="","",Produits!F348)</f>
        <v>1 pcs</v>
      </c>
      <c r="J348" s="135" t="str">
        <f>IF($J$1="","",HLOOKUP($J$1,$M$1:$AAV$1000,348,0))</f>
        <v/>
      </c>
    </row>
    <row r="349" spans="1:10" x14ac:dyDescent="0.25">
      <c r="A349" s="127" t="str">
        <f>IF(Produits!A349="","",Produits!A349)</f>
        <v>ComfortDrive</v>
      </c>
      <c r="B349" s="127" t="str">
        <f>IF(Produits!B349="","",Produits!B349)</f>
        <v>Ceiling Track</v>
      </c>
      <c r="C349" s="127" t="str">
        <f>IF(Produits!C349="","",Produits!C349)</f>
        <v>1000,00,0346</v>
      </c>
      <c r="D349" s="127" t="str">
        <f>IF(Produits!D349="","",Produits!D349)</f>
        <v>AA470</v>
      </c>
      <c r="E349" s="127" t="str">
        <f>IF(Produits!E349="","",Produits!E349)</f>
        <v/>
      </c>
      <c r="F349" s="128" t="str">
        <f>IF(Produits!F349="","",Produits!F349)</f>
        <v>1 pcs</v>
      </c>
      <c r="J349" s="135" t="str">
        <f>IF($J$1="","",HLOOKUP($J$1,$M$1:$AAV$1000,349,0))</f>
        <v/>
      </c>
    </row>
    <row r="350" spans="1:10" x14ac:dyDescent="0.25">
      <c r="A350" s="127" t="str">
        <f>IF(Produits!A350="","",Produits!A350)</f>
        <v>ComfortDrive</v>
      </c>
      <c r="B350" s="127" t="str">
        <f>IF(Produits!B350="","",Produits!B350)</f>
        <v>Ceiling Track</v>
      </c>
      <c r="C350" s="127" t="str">
        <f>IF(Produits!C350="","",Produits!C350)</f>
        <v>1000,00,0347</v>
      </c>
      <c r="D350" s="127" t="str">
        <f>IF(Produits!D350="","",Produits!D350)</f>
        <v>AA471</v>
      </c>
      <c r="E350" s="127" t="str">
        <f>IF(Produits!E350="","",Produits!E350)</f>
        <v/>
      </c>
      <c r="F350" s="128" t="str">
        <f>IF(Produits!F350="","",Produits!F350)</f>
        <v>1 pcs</v>
      </c>
      <c r="J350" s="135" t="str">
        <f>IF($J$1="","",HLOOKUP($J$1,$M$1:$AAV$1000,350,0))</f>
        <v/>
      </c>
    </row>
    <row r="351" spans="1:10" x14ac:dyDescent="0.25">
      <c r="A351" s="127" t="str">
        <f>IF(Produits!A351="","",Produits!A351)</f>
        <v>ComfortDrive</v>
      </c>
      <c r="B351" s="127" t="str">
        <f>IF(Produits!B351="","",Produits!B351)</f>
        <v>Element</v>
      </c>
      <c r="C351" s="127" t="str">
        <f>IF(Produits!C351="","",Produits!C351)</f>
        <v>1000,00,0348</v>
      </c>
      <c r="D351" s="127" t="str">
        <f>IF(Produits!D351="","",Produits!D351)</f>
        <v>AA472</v>
      </c>
      <c r="E351" s="127" t="str">
        <f>IF(Produits!E351="","",Produits!E351)</f>
        <v/>
      </c>
      <c r="F351" s="128" t="str">
        <f>IF(Produits!F351="","",Produits!F351)</f>
        <v>1 pcs</v>
      </c>
      <c r="J351" s="135" t="str">
        <f>IF($J$1="","",HLOOKUP($J$1,$M$1:$AAV$1000,351,0))</f>
        <v/>
      </c>
    </row>
    <row r="352" spans="1:10" x14ac:dyDescent="0.25">
      <c r="A352" s="127" t="str">
        <f>IF(Produits!A352="","",Produits!A352)</f>
        <v>ComfortDrive</v>
      </c>
      <c r="B352" s="127" t="str">
        <f>IF(Produits!B352="","",Produits!B352)</f>
        <v>Element</v>
      </c>
      <c r="C352" s="127" t="str">
        <f>IF(Produits!C352="","",Produits!C352)</f>
        <v>1000,00,0349</v>
      </c>
      <c r="D352" s="127" t="str">
        <f>IF(Produits!D352="","",Produits!D352)</f>
        <v>AA473</v>
      </c>
      <c r="E352" s="127" t="str">
        <f>IF(Produits!E352="","",Produits!E352)</f>
        <v/>
      </c>
      <c r="F352" s="128" t="str">
        <f>IF(Produits!F352="","",Produits!F352)</f>
        <v>1 pcs</v>
      </c>
      <c r="J352" s="135" t="str">
        <f>IF($J$1="","",HLOOKUP($J$1,$M$1:$AAV$1000,352,0))</f>
        <v/>
      </c>
    </row>
    <row r="353" spans="1:10" x14ac:dyDescent="0.25">
      <c r="A353" s="127" t="str">
        <f>IF(Produits!A353="","",Produits!A353)</f>
        <v>ComfortDrive</v>
      </c>
      <c r="B353" s="127" t="str">
        <f>IF(Produits!B353="","",Produits!B353)</f>
        <v>Element</v>
      </c>
      <c r="C353" s="127" t="str">
        <f>IF(Produits!C353="","",Produits!C353)</f>
        <v>1000,00,0350</v>
      </c>
      <c r="D353" s="127" t="str">
        <f>IF(Produits!D353="","",Produits!D353)</f>
        <v>AA474</v>
      </c>
      <c r="E353" s="127" t="str">
        <f>IF(Produits!E353="","",Produits!E353)</f>
        <v/>
      </c>
      <c r="F353" s="128" t="str">
        <f>IF(Produits!F353="","",Produits!F353)</f>
        <v>1 pcs</v>
      </c>
      <c r="J353" s="135" t="str">
        <f>IF($J$1="","",HLOOKUP($J$1,$M$1:$AAV$1000,353,0))</f>
        <v/>
      </c>
    </row>
    <row r="354" spans="1:10" x14ac:dyDescent="0.25">
      <c r="A354" s="127" t="str">
        <f>IF(Produits!A354="","",Produits!A354)</f>
        <v>ComfortDrive</v>
      </c>
      <c r="B354" s="127" t="str">
        <f>IF(Produits!B354="","",Produits!B354)</f>
        <v>Contrôle</v>
      </c>
      <c r="C354" s="127" t="str">
        <f>IF(Produits!C354="","",Produits!C354)</f>
        <v>1000,00,0351</v>
      </c>
      <c r="D354" s="127" t="str">
        <f>IF(Produits!D354="","",Produits!D354)</f>
        <v>AA475</v>
      </c>
      <c r="E354" s="127" t="str">
        <f>IF(Produits!E354="","",Produits!E354)</f>
        <v/>
      </c>
      <c r="F354" s="128" t="str">
        <f>IF(Produits!F354="","",Produits!F354)</f>
        <v>1 pcs</v>
      </c>
      <c r="J354" s="135" t="str">
        <f>IF($J$1="","",HLOOKUP($J$1,$M$1:$AAV$1000,354,0))</f>
        <v/>
      </c>
    </row>
    <row r="355" spans="1:10" x14ac:dyDescent="0.25">
      <c r="A355" s="127" t="str">
        <f>IF(Produits!A355="","",Produits!A355)</f>
        <v>ComfortDrive</v>
      </c>
      <c r="B355" s="127" t="str">
        <f>IF(Produits!B355="","",Produits!B355)</f>
        <v>Contrôle</v>
      </c>
      <c r="C355" s="127" t="str">
        <f>IF(Produits!C355="","",Produits!C355)</f>
        <v>1000,00,0352</v>
      </c>
      <c r="D355" s="127" t="str">
        <f>IF(Produits!D355="","",Produits!D355)</f>
        <v>AA476</v>
      </c>
      <c r="E355" s="127" t="str">
        <f>IF(Produits!E355="","",Produits!E355)</f>
        <v/>
      </c>
      <c r="F355" s="128" t="str">
        <f>IF(Produits!F355="","",Produits!F355)</f>
        <v>1 pcs</v>
      </c>
      <c r="J355" s="135" t="str">
        <f>IF($J$1="","",HLOOKUP($J$1,$M$1:$AAV$1000,355,0))</f>
        <v/>
      </c>
    </row>
    <row r="356" spans="1:10" x14ac:dyDescent="0.25">
      <c r="A356" s="127" t="str">
        <f>IF(Produits!A356="","",Produits!A356)</f>
        <v>ComfortDrive</v>
      </c>
      <c r="B356" s="127" t="str">
        <f>IF(Produits!B356="","",Produits!B356)</f>
        <v>Contrôle</v>
      </c>
      <c r="C356" s="127" t="str">
        <f>IF(Produits!C356="","",Produits!C356)</f>
        <v>1000,00,0353</v>
      </c>
      <c r="D356" s="127" t="str">
        <f>IF(Produits!D356="","",Produits!D356)</f>
        <v>AA477</v>
      </c>
      <c r="E356" s="127" t="str">
        <f>IF(Produits!E356="","",Produits!E356)</f>
        <v/>
      </c>
      <c r="F356" s="128" t="str">
        <f>IF(Produits!F356="","",Produits!F356)</f>
        <v>1 pcs</v>
      </c>
      <c r="J356" s="135" t="str">
        <f>IF($J$1="","",HLOOKUP($J$1,$M$1:$AAV$1000,356,0))</f>
        <v/>
      </c>
    </row>
    <row r="357" spans="1:10" x14ac:dyDescent="0.25">
      <c r="A357" s="127" t="str">
        <f>IF(Produits!A357="","",Produits!A357)</f>
        <v>ComfortDrive</v>
      </c>
      <c r="B357" s="127" t="str">
        <f>IF(Produits!B357="","",Produits!B357)</f>
        <v>Contrôle</v>
      </c>
      <c r="C357" s="127" t="str">
        <f>IF(Produits!C357="","",Produits!C357)</f>
        <v>1000,00,0354</v>
      </c>
      <c r="D357" s="127" t="str">
        <f>IF(Produits!D357="","",Produits!D357)</f>
        <v>AA478</v>
      </c>
      <c r="E357" s="127" t="str">
        <f>IF(Produits!E357="","",Produits!E357)</f>
        <v/>
      </c>
      <c r="F357" s="128" t="str">
        <f>IF(Produits!F357="","",Produits!F357)</f>
        <v>1 pcs</v>
      </c>
      <c r="J357" s="135" t="str">
        <f>IF($J$1="","",HLOOKUP($J$1,$M$1:$AAV$1000,357,0))</f>
        <v/>
      </c>
    </row>
    <row r="358" spans="1:10" x14ac:dyDescent="0.25">
      <c r="A358" s="127" t="str">
        <f>IF(Produits!A358="","",Produits!A358)</f>
        <v>ComfortDrive</v>
      </c>
      <c r="B358" s="127" t="str">
        <f>IF(Produits!B358="","",Produits!B358)</f>
        <v>Câble</v>
      </c>
      <c r="C358" s="127" t="str">
        <f>IF(Produits!C358="","",Produits!C358)</f>
        <v>1000,00,0355</v>
      </c>
      <c r="D358" s="127" t="str">
        <f>IF(Produits!D358="","",Produits!D358)</f>
        <v>AA479</v>
      </c>
      <c r="E358" s="127" t="str">
        <f>IF(Produits!E358="","",Produits!E358)</f>
        <v/>
      </c>
      <c r="F358" s="128" t="str">
        <f>IF(Produits!F358="","",Produits!F358)</f>
        <v>1 pcs</v>
      </c>
      <c r="J358" s="135" t="str">
        <f>IF($J$1="","",HLOOKUP($J$1,$M$1:$AAV$1000,358,0))</f>
        <v/>
      </c>
    </row>
    <row r="359" spans="1:10" x14ac:dyDescent="0.25">
      <c r="A359" s="127" t="str">
        <f>IF(Produits!A359="","",Produits!A359)</f>
        <v>ComfortDrive</v>
      </c>
      <c r="B359" s="127" t="str">
        <f>IF(Produits!B359="","",Produits!B359)</f>
        <v>Câble</v>
      </c>
      <c r="C359" s="127" t="str">
        <f>IF(Produits!C359="","",Produits!C359)</f>
        <v>1000,00,0356</v>
      </c>
      <c r="D359" s="127" t="str">
        <f>IF(Produits!D359="","",Produits!D359)</f>
        <v>AA480</v>
      </c>
      <c r="E359" s="127" t="str">
        <f>IF(Produits!E359="","",Produits!E359)</f>
        <v/>
      </c>
      <c r="F359" s="128" t="str">
        <f>IF(Produits!F359="","",Produits!F359)</f>
        <v>1 pcs</v>
      </c>
      <c r="J359" s="135" t="str">
        <f>IF($J$1="","",HLOOKUP($J$1,$M$1:$AAV$1000,359,0))</f>
        <v/>
      </c>
    </row>
    <row r="360" spans="1:10" x14ac:dyDescent="0.25">
      <c r="A360" s="127" t="str">
        <f>IF(Produits!A360="","",Produits!A360)</f>
        <v>ComfortDrive</v>
      </c>
      <c r="B360" s="127" t="str">
        <f>IF(Produits!B360="","",Produits!B360)</f>
        <v>Câble</v>
      </c>
      <c r="C360" s="127" t="str">
        <f>IF(Produits!C360="","",Produits!C360)</f>
        <v>1000,00,0357</v>
      </c>
      <c r="D360" s="127" t="str">
        <f>IF(Produits!D360="","",Produits!D360)</f>
        <v>AA481</v>
      </c>
      <c r="E360" s="127" t="str">
        <f>IF(Produits!E360="","",Produits!E360)</f>
        <v/>
      </c>
      <c r="F360" s="128" t="str">
        <f>IF(Produits!F360="","",Produits!F360)</f>
        <v>1 pcs</v>
      </c>
      <c r="J360" s="135" t="str">
        <f>IF($J$1="","",HLOOKUP($J$1,$M$1:$AAV$1000,360,0))</f>
        <v/>
      </c>
    </row>
    <row r="361" spans="1:10" x14ac:dyDescent="0.25">
      <c r="A361" s="127" t="str">
        <f>IF(Produits!A361="","",Produits!A361)</f>
        <v>ComfortDrive</v>
      </c>
      <c r="B361" s="127" t="str">
        <f>IF(Produits!B361="","",Produits!B361)</f>
        <v>Câble</v>
      </c>
      <c r="C361" s="127" t="str">
        <f>IF(Produits!C361="","",Produits!C361)</f>
        <v>1000,00,0358</v>
      </c>
      <c r="D361" s="127" t="str">
        <f>IF(Produits!D361="","",Produits!D361)</f>
        <v>AA482</v>
      </c>
      <c r="E361" s="127" t="str">
        <f>IF(Produits!E361="","",Produits!E361)</f>
        <v/>
      </c>
      <c r="F361" s="128" t="str">
        <f>IF(Produits!F361="","",Produits!F361)</f>
        <v>1 pcs</v>
      </c>
      <c r="J361" s="135" t="str">
        <f>IF($J$1="","",HLOOKUP($J$1,$M$1:$AAV$1000,361,0))</f>
        <v/>
      </c>
    </row>
    <row r="362" spans="1:10" x14ac:dyDescent="0.25">
      <c r="A362" s="127" t="str">
        <f>IF(Produits!A362="","",Produits!A362)</f>
        <v>ComfortDrive</v>
      </c>
      <c r="B362" s="127" t="str">
        <f>IF(Produits!B362="","",Produits!B362)</f>
        <v>Câble</v>
      </c>
      <c r="C362" s="127" t="str">
        <f>IF(Produits!C362="","",Produits!C362)</f>
        <v>1000,00,0359</v>
      </c>
      <c r="D362" s="127" t="str">
        <f>IF(Produits!D362="","",Produits!D362)</f>
        <v>AA483</v>
      </c>
      <c r="E362" s="127" t="str">
        <f>IF(Produits!E362="","",Produits!E362)</f>
        <v/>
      </c>
      <c r="F362" s="128" t="str">
        <f>IF(Produits!F362="","",Produits!F362)</f>
        <v>1 pcs</v>
      </c>
      <c r="J362" s="135" t="str">
        <f>IF($J$1="","",HLOOKUP($J$1,$M$1:$AAV$1000,362,0))</f>
        <v/>
      </c>
    </row>
    <row r="363" spans="1:10" x14ac:dyDescent="0.25">
      <c r="A363" s="127" t="str">
        <f>IF(Produits!A363="","",Produits!A363)</f>
        <v>ComfortDrive</v>
      </c>
      <c r="B363" s="127" t="str">
        <f>IF(Produits!B363="","",Produits!B363)</f>
        <v>Câble</v>
      </c>
      <c r="C363" s="127" t="str">
        <f>IF(Produits!C363="","",Produits!C363)</f>
        <v>1000,00,0360</v>
      </c>
      <c r="D363" s="127" t="str">
        <f>IF(Produits!D363="","",Produits!D363)</f>
        <v>AA484</v>
      </c>
      <c r="E363" s="127" t="str">
        <f>IF(Produits!E363="","",Produits!E363)</f>
        <v/>
      </c>
      <c r="F363" s="128" t="str">
        <f>IF(Produits!F363="","",Produits!F363)</f>
        <v>1 pcs</v>
      </c>
      <c r="J363" s="135" t="str">
        <f>IF($J$1="","",HLOOKUP($J$1,$M$1:$AAV$1000,363,0))</f>
        <v/>
      </c>
    </row>
    <row r="364" spans="1:10" x14ac:dyDescent="0.25">
      <c r="A364" s="127" t="str">
        <f>IF(Produits!A364="","",Produits!A364)</f>
        <v>ComfortDrive</v>
      </c>
      <c r="B364" s="127" t="str">
        <f>IF(Produits!B364="","",Produits!B364)</f>
        <v>Câble</v>
      </c>
      <c r="C364" s="127" t="str">
        <f>IF(Produits!C364="","",Produits!C364)</f>
        <v>1000,00,0361</v>
      </c>
      <c r="D364" s="127" t="str">
        <f>IF(Produits!D364="","",Produits!D364)</f>
        <v>AA485</v>
      </c>
      <c r="E364" s="127" t="str">
        <f>IF(Produits!E364="","",Produits!E364)</f>
        <v/>
      </c>
      <c r="F364" s="128" t="str">
        <f>IF(Produits!F364="","",Produits!F364)</f>
        <v>1 pcs</v>
      </c>
      <c r="J364" s="135" t="str">
        <f>IF($J$1="","",HLOOKUP($J$1,$M$1:$AAV$1000,364,0))</f>
        <v/>
      </c>
    </row>
    <row r="365" spans="1:10" x14ac:dyDescent="0.25">
      <c r="A365" s="127" t="str">
        <f>IF(Produits!A365="","",Produits!A365)</f>
        <v>ComfortDrive</v>
      </c>
      <c r="B365" s="127" t="str">
        <f>IF(Produits!B365="","",Produits!B365)</f>
        <v>Câble</v>
      </c>
      <c r="C365" s="127" t="str">
        <f>IF(Produits!C365="","",Produits!C365)</f>
        <v>1000,00,0362</v>
      </c>
      <c r="D365" s="127" t="str">
        <f>IF(Produits!D365="","",Produits!D365)</f>
        <v>AA486</v>
      </c>
      <c r="E365" s="127" t="str">
        <f>IF(Produits!E365="","",Produits!E365)</f>
        <v/>
      </c>
      <c r="F365" s="128" t="str">
        <f>IF(Produits!F365="","",Produits!F365)</f>
        <v>1 pcs</v>
      </c>
      <c r="J365" s="135" t="str">
        <f>IF($J$1="","",HLOOKUP($J$1,$M$1:$AAV$1000,365,0))</f>
        <v/>
      </c>
    </row>
    <row r="366" spans="1:10" x14ac:dyDescent="0.25">
      <c r="A366" s="127" t="str">
        <f>IF(Produits!A366="","",Produits!A366)</f>
        <v>ComfortDrive</v>
      </c>
      <c r="B366" s="127" t="str">
        <f>IF(Produits!B366="","",Produits!B366)</f>
        <v>Câble</v>
      </c>
      <c r="C366" s="127" t="str">
        <f>IF(Produits!C366="","",Produits!C366)</f>
        <v>1000,00,0363</v>
      </c>
      <c r="D366" s="127" t="str">
        <f>IF(Produits!D366="","",Produits!D366)</f>
        <v>AA487</v>
      </c>
      <c r="E366" s="127" t="str">
        <f>IF(Produits!E366="","",Produits!E366)</f>
        <v/>
      </c>
      <c r="F366" s="128" t="str">
        <f>IF(Produits!F366="","",Produits!F366)</f>
        <v>1 pcs</v>
      </c>
      <c r="J366" s="135" t="str">
        <f>IF($J$1="","",HLOOKUP($J$1,$M$1:$AAV$1000,366,0))</f>
        <v/>
      </c>
    </row>
    <row r="367" spans="1:10" x14ac:dyDescent="0.25">
      <c r="A367" s="127" t="str">
        <f>IF(Produits!A367="","",Produits!A367)</f>
        <v>ComfortDrive</v>
      </c>
      <c r="B367" s="127" t="str">
        <f>IF(Produits!B367="","",Produits!B367)</f>
        <v>Câble</v>
      </c>
      <c r="C367" s="127" t="str">
        <f>IF(Produits!C367="","",Produits!C367)</f>
        <v>1000,00,0364</v>
      </c>
      <c r="D367" s="127" t="str">
        <f>IF(Produits!D367="","",Produits!D367)</f>
        <v>AA488</v>
      </c>
      <c r="E367" s="127" t="str">
        <f>IF(Produits!E367="","",Produits!E367)</f>
        <v/>
      </c>
      <c r="F367" s="128" t="str">
        <f>IF(Produits!F367="","",Produits!F367)</f>
        <v>1 pcs</v>
      </c>
      <c r="J367" s="135" t="str">
        <f>IF($J$1="","",HLOOKUP($J$1,$M$1:$AAV$1000,367,0))</f>
        <v/>
      </c>
    </row>
    <row r="368" spans="1:10" x14ac:dyDescent="0.25">
      <c r="A368" s="127" t="str">
        <f>IF(Produits!A368="","",Produits!A368)</f>
        <v>ComfortDrive</v>
      </c>
      <c r="B368" s="127" t="str">
        <f>IF(Produits!B368="","",Produits!B368)</f>
        <v>Câble</v>
      </c>
      <c r="C368" s="127" t="str">
        <f>IF(Produits!C368="","",Produits!C368)</f>
        <v>1000,00,0365</v>
      </c>
      <c r="D368" s="127" t="str">
        <f>IF(Produits!D368="","",Produits!D368)</f>
        <v>AA489</v>
      </c>
      <c r="E368" s="127" t="str">
        <f>IF(Produits!E368="","",Produits!E368)</f>
        <v/>
      </c>
      <c r="F368" s="128" t="str">
        <f>IF(Produits!F368="","",Produits!F368)</f>
        <v>1 pcs</v>
      </c>
      <c r="J368" s="135" t="str">
        <f>IF($J$1="","",HLOOKUP($J$1,$M$1:$AAV$1000,368,0))</f>
        <v/>
      </c>
    </row>
    <row r="369" spans="1:10" x14ac:dyDescent="0.25">
      <c r="A369" s="127" t="str">
        <f>IF(Produits!A369="","",Produits!A369)</f>
        <v>ComfortDrive</v>
      </c>
      <c r="B369" s="127" t="str">
        <f>IF(Produits!B369="","",Produits!B369)</f>
        <v>Câble</v>
      </c>
      <c r="C369" s="127" t="str">
        <f>IF(Produits!C369="","",Produits!C369)</f>
        <v>1000,00,0366</v>
      </c>
      <c r="D369" s="127" t="str">
        <f>IF(Produits!D369="","",Produits!D369)</f>
        <v>AA490</v>
      </c>
      <c r="E369" s="127" t="str">
        <f>IF(Produits!E369="","",Produits!E369)</f>
        <v/>
      </c>
      <c r="F369" s="128" t="str">
        <f>IF(Produits!F369="","",Produits!F369)</f>
        <v>1 pcs</v>
      </c>
      <c r="J369" s="135" t="str">
        <f>IF($J$1="","",HLOOKUP($J$1,$M$1:$AAV$1000,369,0))</f>
        <v/>
      </c>
    </row>
    <row r="370" spans="1:10" x14ac:dyDescent="0.25">
      <c r="A370" s="127" t="str">
        <f>IF(Produits!A370="","",Produits!A370)</f>
        <v>ComfortDrive</v>
      </c>
      <c r="B370" s="127" t="str">
        <f>IF(Produits!B370="","",Produits!B370)</f>
        <v>Câble</v>
      </c>
      <c r="C370" s="127" t="str">
        <f>IF(Produits!C370="","",Produits!C370)</f>
        <v>1000,00,0367</v>
      </c>
      <c r="D370" s="127" t="str">
        <f>IF(Produits!D370="","",Produits!D370)</f>
        <v>AA491</v>
      </c>
      <c r="E370" s="127" t="str">
        <f>IF(Produits!E370="","",Produits!E370)</f>
        <v/>
      </c>
      <c r="F370" s="128" t="str">
        <f>IF(Produits!F370="","",Produits!F370)</f>
        <v>1 pcs</v>
      </c>
      <c r="J370" s="135" t="str">
        <f>IF($J$1="","",HLOOKUP($J$1,$M$1:$AAV$1000,370,0))</f>
        <v/>
      </c>
    </row>
    <row r="371" spans="1:10" x14ac:dyDescent="0.25">
      <c r="A371" s="127" t="str">
        <f>IF(Produits!A371="","",Produits!A371)</f>
        <v>ComfortDrive</v>
      </c>
      <c r="B371" s="127" t="str">
        <f>IF(Produits!B371="","",Produits!B371)</f>
        <v>Câble</v>
      </c>
      <c r="C371" s="127" t="str">
        <f>IF(Produits!C371="","",Produits!C371)</f>
        <v>1000,00,0368</v>
      </c>
      <c r="D371" s="127" t="str">
        <f>IF(Produits!D371="","",Produits!D371)</f>
        <v>AA492</v>
      </c>
      <c r="E371" s="127" t="str">
        <f>IF(Produits!E371="","",Produits!E371)</f>
        <v/>
      </c>
      <c r="F371" s="128" t="str">
        <f>IF(Produits!F371="","",Produits!F371)</f>
        <v>1 pcs</v>
      </c>
      <c r="J371" s="135" t="str">
        <f>IF($J$1="","",HLOOKUP($J$1,$M$1:$AAV$1000,371,0))</f>
        <v/>
      </c>
    </row>
    <row r="372" spans="1:10" x14ac:dyDescent="0.25">
      <c r="A372" s="127" t="str">
        <f>IF(Produits!A372="","",Produits!A372)</f>
        <v>ComfortDrive</v>
      </c>
      <c r="B372" s="127" t="str">
        <f>IF(Produits!B372="","",Produits!B372)</f>
        <v>Câble</v>
      </c>
      <c r="C372" s="127" t="str">
        <f>IF(Produits!C372="","",Produits!C372)</f>
        <v>1000,00,0369</v>
      </c>
      <c r="D372" s="127" t="str">
        <f>IF(Produits!D372="","",Produits!D372)</f>
        <v>AA493</v>
      </c>
      <c r="E372" s="127" t="str">
        <f>IF(Produits!E372="","",Produits!E372)</f>
        <v/>
      </c>
      <c r="F372" s="128" t="str">
        <f>IF(Produits!F372="","",Produits!F372)</f>
        <v>1 pcs</v>
      </c>
      <c r="J372" s="135" t="str">
        <f>IF($J$1="","",HLOOKUP($J$1,$M$1:$AAV$1000,372,0))</f>
        <v/>
      </c>
    </row>
    <row r="373" spans="1:10" x14ac:dyDescent="0.25">
      <c r="A373" s="127" t="str">
        <f>IF(Produits!A373="","",Produits!A373)</f>
        <v>ComfortDrive</v>
      </c>
      <c r="B373" s="127" t="str">
        <f>IF(Produits!B373="","",Produits!B373)</f>
        <v>Outils</v>
      </c>
      <c r="C373" s="127" t="str">
        <f>IF(Produits!C373="","",Produits!C373)</f>
        <v>1000,00,0370</v>
      </c>
      <c r="D373" s="127" t="str">
        <f>IF(Produits!D373="","",Produits!D373)</f>
        <v>AA494</v>
      </c>
      <c r="E373" s="127" t="str">
        <f>IF(Produits!E373="","",Produits!E373)</f>
        <v/>
      </c>
      <c r="F373" s="128" t="str">
        <f>IF(Produits!F373="","",Produits!F373)</f>
        <v>1 pcs</v>
      </c>
      <c r="J373" s="135" t="str">
        <f>IF($J$1="","",HLOOKUP($J$1,$M$1:$AAV$1000,373,0))</f>
        <v/>
      </c>
    </row>
    <row r="374" spans="1:10" x14ac:dyDescent="0.25">
      <c r="A374" s="127" t="str">
        <f>IF(Produits!A374="","",Produits!A374)</f>
        <v>ComfortDrive</v>
      </c>
      <c r="B374" s="127" t="str">
        <f>IF(Produits!B374="","",Produits!B374)</f>
        <v>Outils</v>
      </c>
      <c r="C374" s="127" t="str">
        <f>IF(Produits!C374="","",Produits!C374)</f>
        <v>1000,00,0371</v>
      </c>
      <c r="D374" s="127" t="str">
        <f>IF(Produits!D374="","",Produits!D374)</f>
        <v>AA495</v>
      </c>
      <c r="E374" s="127" t="str">
        <f>IF(Produits!E374="","",Produits!E374)</f>
        <v/>
      </c>
      <c r="F374" s="128" t="str">
        <f>IF(Produits!F374="","",Produits!F374)</f>
        <v>1 pcs</v>
      </c>
      <c r="J374" s="135" t="str">
        <f>IF($J$1="","",HLOOKUP($J$1,$M$1:$AAV$1000,374,0))</f>
        <v/>
      </c>
    </row>
    <row r="375" spans="1:10" x14ac:dyDescent="0.25">
      <c r="A375" s="127" t="str">
        <f>IF(Produits!A375="","",Produits!A375)</f>
        <v>ComfortDrive</v>
      </c>
      <c r="B375" s="127" t="str">
        <f>IF(Produits!B375="","",Produits!B375)</f>
        <v>Outils</v>
      </c>
      <c r="C375" s="127" t="str">
        <f>IF(Produits!C375="","",Produits!C375)</f>
        <v>1000,00,0372</v>
      </c>
      <c r="D375" s="127" t="str">
        <f>IF(Produits!D375="","",Produits!D375)</f>
        <v>AA496</v>
      </c>
      <c r="E375" s="127" t="str">
        <f>IF(Produits!E375="","",Produits!E375)</f>
        <v/>
      </c>
      <c r="F375" s="128" t="str">
        <f>IF(Produits!F375="","",Produits!F375)</f>
        <v>1 pcs</v>
      </c>
      <c r="J375" s="135" t="str">
        <f>IF($J$1="","",HLOOKUP($J$1,$M$1:$AAV$1000,375,0))</f>
        <v/>
      </c>
    </row>
    <row r="376" spans="1:10" x14ac:dyDescent="0.25">
      <c r="A376" s="127" t="str">
        <f>IF(Produits!A376="","",Produits!A376)</f>
        <v>ComfortDrive</v>
      </c>
      <c r="B376" s="127" t="str">
        <f>IF(Produits!B376="","",Produits!B376)</f>
        <v>Variflex</v>
      </c>
      <c r="C376" s="127" t="str">
        <f>IF(Produits!C376="","",Produits!C376)</f>
        <v>1000,00,0373</v>
      </c>
      <c r="D376" s="127" t="str">
        <f>IF(Produits!D376="","",Produits!D376)</f>
        <v>AA497</v>
      </c>
      <c r="E376" s="127" t="str">
        <f>IF(Produits!E376="","",Produits!E376)</f>
        <v/>
      </c>
      <c r="F376" s="128" t="str">
        <f>IF(Produits!F376="","",Produits!F376)</f>
        <v>1 pcs</v>
      </c>
      <c r="J376" s="135" t="str">
        <f>IF($J$1="","",HLOOKUP($J$1,$M$1:$AAV$1000,376,0))</f>
        <v/>
      </c>
    </row>
    <row r="377" spans="1:10" x14ac:dyDescent="0.25">
      <c r="A377" s="127" t="str">
        <f>IF(Produits!A377="","",Produits!A377)</f>
        <v>ComfortDrive</v>
      </c>
      <c r="B377" s="127" t="str">
        <f>IF(Produits!B377="","",Produits!B377)</f>
        <v>Variflex</v>
      </c>
      <c r="C377" s="127" t="str">
        <f>IF(Produits!C377="","",Produits!C377)</f>
        <v>1000,00,0374</v>
      </c>
      <c r="D377" s="127" t="str">
        <f>IF(Produits!D377="","",Produits!D377)</f>
        <v>AA498</v>
      </c>
      <c r="E377" s="127" t="str">
        <f>IF(Produits!E377="","",Produits!E377)</f>
        <v/>
      </c>
      <c r="F377" s="128" t="str">
        <f>IF(Produits!F377="","",Produits!F377)</f>
        <v>1 pcs</v>
      </c>
      <c r="J377" s="135" t="str">
        <f>IF($J$1="","",HLOOKUP($J$1,$M$1:$AAV$1000,377,0))</f>
        <v/>
      </c>
    </row>
    <row r="378" spans="1:10" x14ac:dyDescent="0.25">
      <c r="A378" s="127" t="str">
        <f>IF(Produits!A378="","",Produits!A378)</f>
        <v>ComfortDrive</v>
      </c>
      <c r="B378" s="127" t="str">
        <f>IF(Produits!B378="","",Produits!B378)</f>
        <v>Variflex</v>
      </c>
      <c r="C378" s="127" t="str">
        <f>IF(Produits!C378="","",Produits!C378)</f>
        <v>1000,00,0375</v>
      </c>
      <c r="D378" s="127" t="str">
        <f>IF(Produits!D378="","",Produits!D378)</f>
        <v>AA499</v>
      </c>
      <c r="E378" s="127" t="str">
        <f>IF(Produits!E378="","",Produits!E378)</f>
        <v/>
      </c>
      <c r="F378" s="128" t="str">
        <f>IF(Produits!F378="","",Produits!F378)</f>
        <v>1 pcs</v>
      </c>
      <c r="J378" s="135" t="str">
        <f>IF($J$1="","",HLOOKUP($J$1,$M$1:$AAV$1000,378,0))</f>
        <v/>
      </c>
    </row>
    <row r="379" spans="1:10" x14ac:dyDescent="0.25">
      <c r="A379" s="127" t="str">
        <f>IF(Produits!A379="","",Produits!A379)</f>
        <v>ComfortDrive</v>
      </c>
      <c r="B379" s="127" t="str">
        <f>IF(Produits!B379="","",Produits!B379)</f>
        <v>Variflex</v>
      </c>
      <c r="C379" s="127" t="str">
        <f>IF(Produits!C379="","",Produits!C379)</f>
        <v>1000,00,0376</v>
      </c>
      <c r="D379" s="127" t="str">
        <f>IF(Produits!D379="","",Produits!D379)</f>
        <v>AA500</v>
      </c>
      <c r="E379" s="127" t="str">
        <f>IF(Produits!E379="","",Produits!E379)</f>
        <v/>
      </c>
      <c r="F379" s="128" t="str">
        <f>IF(Produits!F379="","",Produits!F379)</f>
        <v>1 pcs</v>
      </c>
      <c r="J379" s="135" t="str">
        <f>IF($J$1="","",HLOOKUP($J$1,$M$1:$AAV$1000,379,0))</f>
        <v/>
      </c>
    </row>
    <row r="380" spans="1:10" x14ac:dyDescent="0.25">
      <c r="A380" s="127" t="str">
        <f>IF(Produits!A380="","",Produits!A380)</f>
        <v>ComfortDrive</v>
      </c>
      <c r="B380" s="127" t="str">
        <f>IF(Produits!B380="","",Produits!B380)</f>
        <v>Variflex</v>
      </c>
      <c r="C380" s="127" t="str">
        <f>IF(Produits!C380="","",Produits!C380)</f>
        <v>1000,00,0377</v>
      </c>
      <c r="D380" s="127" t="str">
        <f>IF(Produits!D380="","",Produits!D380)</f>
        <v>AA501</v>
      </c>
      <c r="E380" s="127" t="str">
        <f>IF(Produits!E380="","",Produits!E380)</f>
        <v/>
      </c>
      <c r="F380" s="128" t="str">
        <f>IF(Produits!F380="","",Produits!F380)</f>
        <v>1 pcs</v>
      </c>
      <c r="J380" s="135" t="str">
        <f>IF($J$1="","",HLOOKUP($J$1,$M$1:$AAV$1000,380,0))</f>
        <v/>
      </c>
    </row>
    <row r="381" spans="1:10" x14ac:dyDescent="0.25">
      <c r="A381" s="127" t="str">
        <f>IF(Produits!A381="","",Produits!A381)</f>
        <v>ComfortDrive</v>
      </c>
      <c r="B381" s="127" t="str">
        <f>IF(Produits!B381="","",Produits!B381)</f>
        <v>Variflex</v>
      </c>
      <c r="C381" s="127" t="str">
        <f>IF(Produits!C381="","",Produits!C381)</f>
        <v>1000,00,0378</v>
      </c>
      <c r="D381" s="127" t="str">
        <f>IF(Produits!D381="","",Produits!D381)</f>
        <v>AA502</v>
      </c>
      <c r="E381" s="127" t="str">
        <f>IF(Produits!E381="","",Produits!E381)</f>
        <v/>
      </c>
      <c r="F381" s="128" t="str">
        <f>IF(Produits!F381="","",Produits!F381)</f>
        <v>1 pcs</v>
      </c>
      <c r="J381" s="135" t="str">
        <f>IF($J$1="","",HLOOKUP($J$1,$M$1:$AAV$1000,381,0))</f>
        <v/>
      </c>
    </row>
    <row r="382" spans="1:10" x14ac:dyDescent="0.25">
      <c r="A382" s="127" t="str">
        <f>IF(Produits!A382="","",Produits!A382)</f>
        <v>ComfortDrive</v>
      </c>
      <c r="B382" s="127" t="str">
        <f>IF(Produits!B382="","",Produits!B382)</f>
        <v>Variflex</v>
      </c>
      <c r="C382" s="127" t="str">
        <f>IF(Produits!C382="","",Produits!C382)</f>
        <v>1000,00,0379</v>
      </c>
      <c r="D382" s="127" t="str">
        <f>IF(Produits!D382="","",Produits!D382)</f>
        <v>AA503</v>
      </c>
      <c r="E382" s="127" t="str">
        <f>IF(Produits!E382="","",Produits!E382)</f>
        <v/>
      </c>
      <c r="F382" s="128" t="str">
        <f>IF(Produits!F382="","",Produits!F382)</f>
        <v>1 pcs</v>
      </c>
      <c r="J382" s="135" t="str">
        <f>IF($J$1="","",HLOOKUP($J$1,$M$1:$AAV$1000,382,0))</f>
        <v/>
      </c>
    </row>
    <row r="383" spans="1:10" x14ac:dyDescent="0.25">
      <c r="A383" s="127" t="str">
        <f>IF(Produits!A383="","",Produits!A383)</f>
        <v>ComfortDrive</v>
      </c>
      <c r="B383" s="127" t="str">
        <f>IF(Produits!B383="","",Produits!B383)</f>
        <v>Variflex</v>
      </c>
      <c r="C383" s="127" t="str">
        <f>IF(Produits!C383="","",Produits!C383)</f>
        <v>1000,00,0380</v>
      </c>
      <c r="D383" s="127" t="str">
        <f>IF(Produits!D383="","",Produits!D383)</f>
        <v>AA504</v>
      </c>
      <c r="E383" s="127" t="str">
        <f>IF(Produits!E383="","",Produits!E383)</f>
        <v/>
      </c>
      <c r="F383" s="128" t="str">
        <f>IF(Produits!F383="","",Produits!F383)</f>
        <v>1 pcs</v>
      </c>
      <c r="J383" s="135" t="str">
        <f>IF($J$1="","",HLOOKUP($J$1,$M$1:$AAV$1000,383,0))</f>
        <v/>
      </c>
    </row>
    <row r="384" spans="1:10" x14ac:dyDescent="0.25">
      <c r="A384" s="127" t="str">
        <f>IF(Produits!A384="","",Produits!A384)</f>
        <v>ComfortDrive</v>
      </c>
      <c r="B384" s="127" t="str">
        <f>IF(Produits!B384="","",Produits!B384)</f>
        <v>Moveo</v>
      </c>
      <c r="C384" s="127" t="str">
        <f>IF(Produits!C384="","",Produits!C384)</f>
        <v>1000,00,0381</v>
      </c>
      <c r="D384" s="127" t="str">
        <f>IF(Produits!D384="","",Produits!D384)</f>
        <v>AA505</v>
      </c>
      <c r="E384" s="127" t="str">
        <f>IF(Produits!E384="","",Produits!E384)</f>
        <v/>
      </c>
      <c r="F384" s="128" t="str">
        <f>IF(Produits!F384="","",Produits!F384)</f>
        <v>1 pcs</v>
      </c>
      <c r="J384" s="135" t="str">
        <f>IF($J$1="","",HLOOKUP($J$1,$M$1:$AAV$1000,384,0))</f>
        <v/>
      </c>
    </row>
    <row r="385" spans="1:10" x14ac:dyDescent="0.25">
      <c r="A385" s="127" t="str">
        <f>IF(Produits!A385="","",Produits!A385)</f>
        <v>ComfortDrive</v>
      </c>
      <c r="B385" s="127" t="str">
        <f>IF(Produits!B385="","",Produits!B385)</f>
        <v>Moveo</v>
      </c>
      <c r="C385" s="127" t="str">
        <f>IF(Produits!C385="","",Produits!C385)</f>
        <v>1000,00,0382</v>
      </c>
      <c r="D385" s="127" t="str">
        <f>IF(Produits!D385="","",Produits!D385)</f>
        <v>AA506</v>
      </c>
      <c r="E385" s="127" t="str">
        <f>IF(Produits!E385="","",Produits!E385)</f>
        <v/>
      </c>
      <c r="F385" s="128" t="str">
        <f>IF(Produits!F385="","",Produits!F385)</f>
        <v>1 pcs</v>
      </c>
      <c r="J385" s="135" t="str">
        <f>IF($J$1="","",HLOOKUP($J$1,$M$1:$AAV$1000,385,0))</f>
        <v/>
      </c>
    </row>
    <row r="386" spans="1:10" x14ac:dyDescent="0.25">
      <c r="A386" s="127" t="str">
        <f>IF(Produits!A386="","",Produits!A386)</f>
        <v>ComfortDrive</v>
      </c>
      <c r="B386" s="127" t="str">
        <f>IF(Produits!B386="","",Produits!B386)</f>
        <v>Moveo</v>
      </c>
      <c r="C386" s="127" t="str">
        <f>IF(Produits!C386="","",Produits!C386)</f>
        <v>1000,00,0383</v>
      </c>
      <c r="D386" s="127" t="str">
        <f>IF(Produits!D386="","",Produits!D386)</f>
        <v>AA507</v>
      </c>
      <c r="E386" s="127" t="str">
        <f>IF(Produits!E386="","",Produits!E386)</f>
        <v/>
      </c>
      <c r="F386" s="128" t="str">
        <f>IF(Produits!F386="","",Produits!F386)</f>
        <v>1 pcs</v>
      </c>
      <c r="J386" s="135" t="str">
        <f>IF($J$1="","",HLOOKUP($J$1,$M$1:$AAV$1000,386,0))</f>
        <v/>
      </c>
    </row>
    <row r="387" spans="1:10" x14ac:dyDescent="0.25">
      <c r="A387" s="127" t="str">
        <f>IF(Produits!A387="","",Produits!A387)</f>
        <v>ComfortDrive</v>
      </c>
      <c r="B387" s="127" t="str">
        <f>IF(Produits!B387="","",Produits!B387)</f>
        <v>Moveo</v>
      </c>
      <c r="C387" s="127" t="str">
        <f>IF(Produits!C387="","",Produits!C387)</f>
        <v>1000,00,0384</v>
      </c>
      <c r="D387" s="127" t="str">
        <f>IF(Produits!D387="","",Produits!D387)</f>
        <v>AA508</v>
      </c>
      <c r="E387" s="127" t="str">
        <f>IF(Produits!E387="","",Produits!E387)</f>
        <v/>
      </c>
      <c r="F387" s="128" t="str">
        <f>IF(Produits!F387="","",Produits!F387)</f>
        <v>1 pcs</v>
      </c>
      <c r="J387" s="135" t="str">
        <f>IF($J$1="","",HLOOKUP($J$1,$M$1:$AAV$1000,387,0))</f>
        <v/>
      </c>
    </row>
    <row r="388" spans="1:10" x14ac:dyDescent="0.25">
      <c r="A388" s="127" t="str">
        <f>IF(Produits!A388="","",Produits!A388)</f>
        <v>ComfortDrive</v>
      </c>
      <c r="B388" s="127" t="str">
        <f>IF(Produits!B388="","",Produits!B388)</f>
        <v>Moveo</v>
      </c>
      <c r="C388" s="127" t="str">
        <f>IF(Produits!C388="","",Produits!C388)</f>
        <v>1000,00,0385</v>
      </c>
      <c r="D388" s="127" t="str">
        <f>IF(Produits!D388="","",Produits!D388)</f>
        <v>AA509</v>
      </c>
      <c r="E388" s="127" t="str">
        <f>IF(Produits!E388="","",Produits!E388)</f>
        <v/>
      </c>
      <c r="F388" s="128" t="str">
        <f>IF(Produits!F388="","",Produits!F388)</f>
        <v>1 pcs</v>
      </c>
      <c r="J388" s="135" t="str">
        <f>IF($J$1="","",HLOOKUP($J$1,$M$1:$AAV$1000,388,0))</f>
        <v/>
      </c>
    </row>
    <row r="389" spans="1:10" x14ac:dyDescent="0.25">
      <c r="A389" s="127" t="str">
        <f>IF(Produits!A389="","",Produits!A389)</f>
        <v>ComfortDrive</v>
      </c>
      <c r="B389" s="127" t="str">
        <f>IF(Produits!B389="","",Produits!B389)</f>
        <v>Moveo</v>
      </c>
      <c r="C389" s="127" t="str">
        <f>IF(Produits!C389="","",Produits!C389)</f>
        <v>1000,00,0386</v>
      </c>
      <c r="D389" s="127" t="str">
        <f>IF(Produits!D389="","",Produits!D389)</f>
        <v>AA510</v>
      </c>
      <c r="E389" s="127" t="str">
        <f>IF(Produits!E389="","",Produits!E389)</f>
        <v/>
      </c>
      <c r="F389" s="128" t="str">
        <f>IF(Produits!F389="","",Produits!F389)</f>
        <v>1 pcs</v>
      </c>
      <c r="J389" s="135" t="str">
        <f>IF($J$1="","",HLOOKUP($J$1,$M$1:$AAV$1000,389,0))</f>
        <v/>
      </c>
    </row>
    <row r="390" spans="1:10" x14ac:dyDescent="0.25">
      <c r="A390" s="127" t="str">
        <f>IF(Produits!A390="","",Produits!A390)</f>
        <v>ComfortDrive</v>
      </c>
      <c r="B390" s="127" t="str">
        <f>IF(Produits!B390="","",Produits!B390)</f>
        <v>Moveo</v>
      </c>
      <c r="C390" s="127" t="str">
        <f>IF(Produits!C390="","",Produits!C390)</f>
        <v>1000,00,0387</v>
      </c>
      <c r="D390" s="127" t="str">
        <f>IF(Produits!D390="","",Produits!D390)</f>
        <v>AA511</v>
      </c>
      <c r="E390" s="127" t="str">
        <f>IF(Produits!E390="","",Produits!E390)</f>
        <v/>
      </c>
      <c r="F390" s="128" t="str">
        <f>IF(Produits!F390="","",Produits!F390)</f>
        <v>1 pcs</v>
      </c>
      <c r="J390" s="135" t="str">
        <f>IF($J$1="","",HLOOKUP($J$1,$M$1:$AAV$1000,390,0))</f>
        <v/>
      </c>
    </row>
    <row r="391" spans="1:10" x14ac:dyDescent="0.25">
      <c r="A391" s="127" t="str">
        <f>IF(Produits!A391="","",Produits!A391)</f>
        <v>Varitrans</v>
      </c>
      <c r="B391" s="127" t="str">
        <f>IF(Produits!B391="","",Produits!B391)</f>
        <v>VE</v>
      </c>
      <c r="C391" s="127" t="str">
        <f>IF(Produits!C391="","",Produits!C391)</f>
        <v>1000,00,0388</v>
      </c>
      <c r="D391" s="127" t="str">
        <f>IF(Produits!D391="","",Produits!D391)</f>
        <v>AA512</v>
      </c>
      <c r="E391" s="127" t="str">
        <f>IF(Produits!E391="","",Produits!E391)</f>
        <v/>
      </c>
      <c r="F391" s="128" t="str">
        <f>IF(Produits!F391="","",Produits!F391)</f>
        <v>1 pcs</v>
      </c>
      <c r="J391" s="135" t="str">
        <f>IF($J$1="","",HLOOKUP($J$1,$M$1:$AAV$1000,391,0))</f>
        <v/>
      </c>
    </row>
    <row r="392" spans="1:10" x14ac:dyDescent="0.25">
      <c r="A392" s="127" t="str">
        <f>IF(Produits!A392="","",Produits!A392)</f>
        <v>Varitrans</v>
      </c>
      <c r="B392" s="127" t="str">
        <f>IF(Produits!B392="","",Produits!B392)</f>
        <v>VE</v>
      </c>
      <c r="C392" s="127" t="str">
        <f>IF(Produits!C392="","",Produits!C392)</f>
        <v>1000,00,0389</v>
      </c>
      <c r="D392" s="127" t="str">
        <f>IF(Produits!D392="","",Produits!D392)</f>
        <v>AA513</v>
      </c>
      <c r="E392" s="127" t="str">
        <f>IF(Produits!E392="","",Produits!E392)</f>
        <v/>
      </c>
      <c r="F392" s="128" t="str">
        <f>IF(Produits!F392="","",Produits!F392)</f>
        <v>1 pcs</v>
      </c>
      <c r="J392" s="135" t="str">
        <f>IF($J$1="","",HLOOKUP($J$1,$M$1:$AAV$1000,392,0))</f>
        <v/>
      </c>
    </row>
    <row r="393" spans="1:10" x14ac:dyDescent="0.25">
      <c r="A393" s="127" t="str">
        <f>IF(Produits!A393="","",Produits!A393)</f>
        <v>Varitrans</v>
      </c>
      <c r="B393" s="127" t="str">
        <f>IF(Produits!B393="","",Produits!B393)</f>
        <v>VE</v>
      </c>
      <c r="C393" s="127" t="str">
        <f>IF(Produits!C393="","",Produits!C393)</f>
        <v>1000,00,0390</v>
      </c>
      <c r="D393" s="127" t="str">
        <f>IF(Produits!D393="","",Produits!D393)</f>
        <v>AA514</v>
      </c>
      <c r="E393" s="127" t="str">
        <f>IF(Produits!E393="","",Produits!E393)</f>
        <v/>
      </c>
      <c r="F393" s="128" t="str">
        <f>IF(Produits!F393="","",Produits!F393)</f>
        <v>1 pcs</v>
      </c>
      <c r="J393" s="135" t="str">
        <f>IF($J$1="","",HLOOKUP($J$1,$M$1:$AAV$1000,393,0))</f>
        <v/>
      </c>
    </row>
    <row r="394" spans="1:10" x14ac:dyDescent="0.25">
      <c r="A394" s="127" t="str">
        <f>IF(Produits!A394="","",Produits!A394)</f>
        <v>Varitrans</v>
      </c>
      <c r="B394" s="127" t="str">
        <f>IF(Produits!B394="","",Produits!B394)</f>
        <v>VE</v>
      </c>
      <c r="C394" s="127" t="str">
        <f>IF(Produits!C394="","",Produits!C394)</f>
        <v>1000,00,0391</v>
      </c>
      <c r="D394" s="127" t="str">
        <f>IF(Produits!D394="","",Produits!D394)</f>
        <v>AA515</v>
      </c>
      <c r="E394" s="127" t="str">
        <f>IF(Produits!E394="","",Produits!E394)</f>
        <v/>
      </c>
      <c r="F394" s="128" t="str">
        <f>IF(Produits!F394="","",Produits!F394)</f>
        <v>1 pcs</v>
      </c>
      <c r="J394" s="135" t="str">
        <f>IF($J$1="","",HLOOKUP($J$1,$M$1:$AAV$1000,394,0))</f>
        <v/>
      </c>
    </row>
    <row r="395" spans="1:10" x14ac:dyDescent="0.25">
      <c r="A395" s="127" t="str">
        <f>IF(Produits!A395="","",Produits!A395)</f>
        <v>Varitrans</v>
      </c>
      <c r="B395" s="127" t="str">
        <f>IF(Produits!B395="","",Produits!B395)</f>
        <v>VE</v>
      </c>
      <c r="C395" s="127" t="str">
        <f>IF(Produits!C395="","",Produits!C395)</f>
        <v>1000,00,0392</v>
      </c>
      <c r="D395" s="127" t="str">
        <f>IF(Produits!D395="","",Produits!D395)</f>
        <v>AA516</v>
      </c>
      <c r="E395" s="127" t="str">
        <f>IF(Produits!E395="","",Produits!E395)</f>
        <v/>
      </c>
      <c r="F395" s="128" t="str">
        <f>IF(Produits!F395="","",Produits!F395)</f>
        <v>1 pcs</v>
      </c>
      <c r="J395" s="135" t="str">
        <f>IF($J$1="","",HLOOKUP($J$1,$M$1:$AAV$1000,395,0))</f>
        <v/>
      </c>
    </row>
    <row r="396" spans="1:10" x14ac:dyDescent="0.25">
      <c r="A396" s="127" t="str">
        <f>IF(Produits!A396="","",Produits!A396)</f>
        <v>Varitrans</v>
      </c>
      <c r="B396" s="127" t="str">
        <f>IF(Produits!B396="","",Produits!B396)</f>
        <v>VE</v>
      </c>
      <c r="C396" s="127" t="str">
        <f>IF(Produits!C396="","",Produits!C396)</f>
        <v>1000,00,0393</v>
      </c>
      <c r="D396" s="127" t="str">
        <f>IF(Produits!D396="","",Produits!D396)</f>
        <v>AA517</v>
      </c>
      <c r="E396" s="127" t="str">
        <f>IF(Produits!E396="","",Produits!E396)</f>
        <v/>
      </c>
      <c r="F396" s="128" t="str">
        <f>IF(Produits!F396="","",Produits!F396)</f>
        <v>1 pcs</v>
      </c>
      <c r="J396" s="135" t="str">
        <f>IF($J$1="","",HLOOKUP($J$1,$M$1:$AAV$1000,396,0))</f>
        <v/>
      </c>
    </row>
    <row r="397" spans="1:10" x14ac:dyDescent="0.25">
      <c r="A397" s="127" t="str">
        <f>IF(Produits!A397="","",Produits!A397)</f>
        <v>Varitrans</v>
      </c>
      <c r="B397" s="127" t="str">
        <f>IF(Produits!B397="","",Produits!B397)</f>
        <v>VE</v>
      </c>
      <c r="C397" s="127" t="str">
        <f>IF(Produits!C397="","",Produits!C397)</f>
        <v>1000,00,0394</v>
      </c>
      <c r="D397" s="127" t="str">
        <f>IF(Produits!D397="","",Produits!D397)</f>
        <v>AA518</v>
      </c>
      <c r="E397" s="127" t="str">
        <f>IF(Produits!E397="","",Produits!E397)</f>
        <v/>
      </c>
      <c r="F397" s="128" t="str">
        <f>IF(Produits!F397="","",Produits!F397)</f>
        <v>1 pcs</v>
      </c>
      <c r="J397" s="135" t="str">
        <f>IF($J$1="","",HLOOKUP($J$1,$M$1:$AAV$1000,397,0))</f>
        <v/>
      </c>
    </row>
    <row r="398" spans="1:10" x14ac:dyDescent="0.25">
      <c r="A398" s="127" t="str">
        <f>IF(Produits!A398="","",Produits!A398)</f>
        <v>Varitrans</v>
      </c>
      <c r="B398" s="127" t="str">
        <f>IF(Produits!B398="","",Produits!B398)</f>
        <v>VE</v>
      </c>
      <c r="C398" s="127" t="str">
        <f>IF(Produits!C398="","",Produits!C398)</f>
        <v>1000,00,0395</v>
      </c>
      <c r="D398" s="127" t="str">
        <f>IF(Produits!D398="","",Produits!D398)</f>
        <v>AA519</v>
      </c>
      <c r="E398" s="127" t="str">
        <f>IF(Produits!E398="","",Produits!E398)</f>
        <v/>
      </c>
      <c r="F398" s="128" t="str">
        <f>IF(Produits!F398="","",Produits!F398)</f>
        <v>1 pcs</v>
      </c>
      <c r="J398" s="135" t="str">
        <f>IF($J$1="","",HLOOKUP($J$1,$M$1:$AAV$1000,398,0))</f>
        <v/>
      </c>
    </row>
    <row r="399" spans="1:10" x14ac:dyDescent="0.25">
      <c r="A399" s="127" t="str">
        <f>IF(Produits!A399="","",Produits!A399)</f>
        <v>Varitrans</v>
      </c>
      <c r="B399" s="127" t="str">
        <f>IF(Produits!B399="","",Produits!B399)</f>
        <v>VE</v>
      </c>
      <c r="C399" s="127" t="str">
        <f>IF(Produits!C399="","",Produits!C399)</f>
        <v>1000,00,0396</v>
      </c>
      <c r="D399" s="127" t="str">
        <f>IF(Produits!D399="","",Produits!D399)</f>
        <v>AA520</v>
      </c>
      <c r="E399" s="127" t="str">
        <f>IF(Produits!E399="","",Produits!E399)</f>
        <v/>
      </c>
      <c r="F399" s="128" t="str">
        <f>IF(Produits!F399="","",Produits!F399)</f>
        <v>1 pcs</v>
      </c>
      <c r="J399" s="135" t="str">
        <f>IF($J$1="","",HLOOKUP($J$1,$M$1:$AAV$1000,399,0))</f>
        <v/>
      </c>
    </row>
    <row r="400" spans="1:10" x14ac:dyDescent="0.25">
      <c r="A400" s="127" t="str">
        <f>IF(Produits!A400="","",Produits!A400)</f>
        <v>Varitrans</v>
      </c>
      <c r="B400" s="127" t="str">
        <f>IF(Produits!B400="","",Produits!B400)</f>
        <v>VE</v>
      </c>
      <c r="C400" s="127" t="str">
        <f>IF(Produits!C400="","",Produits!C400)</f>
        <v>1000,00,0397</v>
      </c>
      <c r="D400" s="127" t="str">
        <f>IF(Produits!D400="","",Produits!D400)</f>
        <v>AA521</v>
      </c>
      <c r="E400" s="127" t="str">
        <f>IF(Produits!E400="","",Produits!E400)</f>
        <v/>
      </c>
      <c r="F400" s="128" t="str">
        <f>IF(Produits!F400="","",Produits!F400)</f>
        <v>1 pcs</v>
      </c>
      <c r="J400" s="135" t="str">
        <f>IF($J$1="","",HLOOKUP($J$1,$M$1:$AAV$1000,400,0))</f>
        <v/>
      </c>
    </row>
    <row r="401" spans="1:10" x14ac:dyDescent="0.25">
      <c r="A401" s="127" t="str">
        <f>IF(Produits!A401="","",Produits!A401)</f>
        <v>Varitrans</v>
      </c>
      <c r="B401" s="127" t="str">
        <f>IF(Produits!B401="","",Produits!B401)</f>
        <v>VE</v>
      </c>
      <c r="C401" s="127" t="str">
        <f>IF(Produits!C401="","",Produits!C401)</f>
        <v>1000,00,0398</v>
      </c>
      <c r="D401" s="127" t="str">
        <f>IF(Produits!D401="","",Produits!D401)</f>
        <v>AA522</v>
      </c>
      <c r="E401" s="127" t="str">
        <f>IF(Produits!E401="","",Produits!E401)</f>
        <v/>
      </c>
      <c r="F401" s="128" t="str">
        <f>IF(Produits!F401="","",Produits!F401)</f>
        <v>1 pcs</v>
      </c>
      <c r="J401" s="135" t="str">
        <f>IF($J$1="","",HLOOKUP($J$1,$M$1:$AAV$1000,401,0))</f>
        <v/>
      </c>
    </row>
    <row r="402" spans="1:10" x14ac:dyDescent="0.25">
      <c r="A402" s="127" t="str">
        <f>IF(Produits!A402="","",Produits!A402)</f>
        <v>Varitrans</v>
      </c>
      <c r="B402" s="127" t="str">
        <f>IF(Produits!B402="","",Produits!B402)</f>
        <v>VE</v>
      </c>
      <c r="C402" s="127" t="str">
        <f>IF(Produits!C402="","",Produits!C402)</f>
        <v>1000,00,0399</v>
      </c>
      <c r="D402" s="127" t="str">
        <f>IF(Produits!D402="","",Produits!D402)</f>
        <v>AA523</v>
      </c>
      <c r="E402" s="127" t="str">
        <f>IF(Produits!E402="","",Produits!E402)</f>
        <v/>
      </c>
      <c r="F402" s="128" t="str">
        <f>IF(Produits!F402="","",Produits!F402)</f>
        <v>1 pcs</v>
      </c>
      <c r="J402" s="135" t="str">
        <f>IF($J$1="","",HLOOKUP($J$1,$M$1:$AAV$1000,402,0))</f>
        <v/>
      </c>
    </row>
    <row r="403" spans="1:10" x14ac:dyDescent="0.25">
      <c r="A403" s="127" t="str">
        <f>IF(Produits!A403="","",Produits!A403)</f>
        <v>Varitrans</v>
      </c>
      <c r="B403" s="127" t="str">
        <f>IF(Produits!B403="","",Produits!B403)</f>
        <v>VE</v>
      </c>
      <c r="C403" s="127" t="str">
        <f>IF(Produits!C403="","",Produits!C403)</f>
        <v>1000,00,0400</v>
      </c>
      <c r="D403" s="127" t="str">
        <f>IF(Produits!D403="","",Produits!D403)</f>
        <v>AA524</v>
      </c>
      <c r="E403" s="127" t="str">
        <f>IF(Produits!E403="","",Produits!E403)</f>
        <v/>
      </c>
      <c r="F403" s="128" t="str">
        <f>IF(Produits!F403="","",Produits!F403)</f>
        <v>1 pcs</v>
      </c>
      <c r="J403" s="135" t="str">
        <f>IF($J$1="","",HLOOKUP($J$1,$M$1:$AAV$1000,403,0))</f>
        <v/>
      </c>
    </row>
    <row r="404" spans="1:10" x14ac:dyDescent="0.25">
      <c r="A404" s="127" t="str">
        <f>IF(Produits!A404="","",Produits!A404)</f>
        <v>Varitrans</v>
      </c>
      <c r="B404" s="127" t="str">
        <f>IF(Produits!B404="","",Produits!B404)</f>
        <v>VE</v>
      </c>
      <c r="C404" s="127" t="str">
        <f>IF(Produits!C404="","",Produits!C404)</f>
        <v>1000,00,0401</v>
      </c>
      <c r="D404" s="127" t="str">
        <f>IF(Produits!D404="","",Produits!D404)</f>
        <v>AA525</v>
      </c>
      <c r="E404" s="127" t="str">
        <f>IF(Produits!E404="","",Produits!E404)</f>
        <v/>
      </c>
      <c r="F404" s="128" t="str">
        <f>IF(Produits!F404="","",Produits!F404)</f>
        <v>1 pcs</v>
      </c>
      <c r="J404" s="135" t="str">
        <f>IF($J$1="","",HLOOKUP($J$1,$M$1:$AAV$1000,404,0))</f>
        <v/>
      </c>
    </row>
    <row r="405" spans="1:10" x14ac:dyDescent="0.25">
      <c r="A405" s="127" t="str">
        <f>IF(Produits!A405="","",Produits!A405)</f>
        <v>Varitrans</v>
      </c>
      <c r="B405" s="127" t="str">
        <f>IF(Produits!B405="","",Produits!B405)</f>
        <v>DT</v>
      </c>
      <c r="C405" s="127" t="str">
        <f>IF(Produits!C405="","",Produits!C405)</f>
        <v>1000,00,0402</v>
      </c>
      <c r="D405" s="127" t="str">
        <f>IF(Produits!D405="","",Produits!D405)</f>
        <v>AA526</v>
      </c>
      <c r="E405" s="127" t="str">
        <f>IF(Produits!E405="","",Produits!E405)</f>
        <v/>
      </c>
      <c r="F405" s="128" t="str">
        <f>IF(Produits!F405="","",Produits!F405)</f>
        <v>1 pcs</v>
      </c>
      <c r="J405" s="135" t="str">
        <f>IF($J$1="","",HLOOKUP($J$1,$M$1:$AAV$1000,405,0))</f>
        <v/>
      </c>
    </row>
    <row r="406" spans="1:10" x14ac:dyDescent="0.25">
      <c r="A406" s="127" t="str">
        <f>IF(Produits!A406="","",Produits!A406)</f>
        <v>Varitrans</v>
      </c>
      <c r="B406" s="127" t="str">
        <f>IF(Produits!B406="","",Produits!B406)</f>
        <v>DT</v>
      </c>
      <c r="C406" s="127" t="str">
        <f>IF(Produits!C406="","",Produits!C406)</f>
        <v>1000,00,0403</v>
      </c>
      <c r="D406" s="127" t="str">
        <f>IF(Produits!D406="","",Produits!D406)</f>
        <v>AA527</v>
      </c>
      <c r="E406" s="127" t="str">
        <f>IF(Produits!E406="","",Produits!E406)</f>
        <v/>
      </c>
      <c r="F406" s="128" t="str">
        <f>IF(Produits!F406="","",Produits!F406)</f>
        <v>1 pcs</v>
      </c>
      <c r="J406" s="135" t="str">
        <f>IF($J$1="","",HLOOKUP($J$1,$M$1:$AAV$1000,406,0))</f>
        <v/>
      </c>
    </row>
    <row r="407" spans="1:10" x14ac:dyDescent="0.25">
      <c r="A407" s="127" t="str">
        <f>IF(Produits!A407="","",Produits!A407)</f>
        <v>Varitrans</v>
      </c>
      <c r="B407" s="127" t="str">
        <f>IF(Produits!B407="","",Produits!B407)</f>
        <v>DT</v>
      </c>
      <c r="C407" s="127" t="str">
        <f>IF(Produits!C407="","",Produits!C407)</f>
        <v>1000,00,0404</v>
      </c>
      <c r="D407" s="127" t="str">
        <f>IF(Produits!D407="","",Produits!D407)</f>
        <v>AA528</v>
      </c>
      <c r="E407" s="127" t="str">
        <f>IF(Produits!E407="","",Produits!E407)</f>
        <v/>
      </c>
      <c r="F407" s="128" t="str">
        <f>IF(Produits!F407="","",Produits!F407)</f>
        <v>1 pcs</v>
      </c>
      <c r="J407" s="135" t="str">
        <f>IF($J$1="","",HLOOKUP($J$1,$M$1:$AAV$1000,407,0))</f>
        <v/>
      </c>
    </row>
    <row r="408" spans="1:10" x14ac:dyDescent="0.25">
      <c r="A408" s="127" t="str">
        <f>IF(Produits!A408="","",Produits!A408)</f>
        <v>Varitrans</v>
      </c>
      <c r="B408" s="127" t="str">
        <f>IF(Produits!B408="","",Produits!B408)</f>
        <v>DT</v>
      </c>
      <c r="C408" s="127" t="str">
        <f>IF(Produits!C408="","",Produits!C408)</f>
        <v>1000,00,0405</v>
      </c>
      <c r="D408" s="127" t="str">
        <f>IF(Produits!D408="","",Produits!D408)</f>
        <v>AA529</v>
      </c>
      <c r="E408" s="127" t="str">
        <f>IF(Produits!E408="","",Produits!E408)</f>
        <v/>
      </c>
      <c r="F408" s="128" t="str">
        <f>IF(Produits!F408="","",Produits!F408)</f>
        <v>1 pcs</v>
      </c>
      <c r="J408" s="135" t="str">
        <f>IF($J$1="","",HLOOKUP($J$1,$M$1:$AAV$1000,408,0))</f>
        <v/>
      </c>
    </row>
    <row r="409" spans="1:10" x14ac:dyDescent="0.25">
      <c r="A409" s="127" t="str">
        <f>IF(Produits!A409="","",Produits!A409)</f>
        <v>Varitrans</v>
      </c>
      <c r="B409" s="127" t="str">
        <f>IF(Produits!B409="","",Produits!B409)</f>
        <v>DT</v>
      </c>
      <c r="C409" s="127" t="str">
        <f>IF(Produits!C409="","",Produits!C409)</f>
        <v>1000,00,0406</v>
      </c>
      <c r="D409" s="127" t="str">
        <f>IF(Produits!D409="","",Produits!D409)</f>
        <v>AA530</v>
      </c>
      <c r="E409" s="127" t="str">
        <f>IF(Produits!E409="","",Produits!E409)</f>
        <v/>
      </c>
      <c r="F409" s="128" t="str">
        <f>IF(Produits!F409="","",Produits!F409)</f>
        <v>1 pcs</v>
      </c>
      <c r="J409" s="135" t="str">
        <f>IF($J$1="","",HLOOKUP($J$1,$M$1:$AAV$1000,409,0))</f>
        <v/>
      </c>
    </row>
    <row r="410" spans="1:10" x14ac:dyDescent="0.25">
      <c r="A410" s="127" t="str">
        <f>IF(Produits!A410="","",Produits!A410)</f>
        <v>Varitrans</v>
      </c>
      <c r="B410" s="127" t="str">
        <f>IF(Produits!B410="","",Produits!B410)</f>
        <v>DT</v>
      </c>
      <c r="C410" s="127" t="str">
        <f>IF(Produits!C410="","",Produits!C410)</f>
        <v>1000,00,0407</v>
      </c>
      <c r="D410" s="127" t="str">
        <f>IF(Produits!D410="","",Produits!D410)</f>
        <v>AA531</v>
      </c>
      <c r="E410" s="127" t="str">
        <f>IF(Produits!E410="","",Produits!E410)</f>
        <v/>
      </c>
      <c r="F410" s="128" t="str">
        <f>IF(Produits!F410="","",Produits!F410)</f>
        <v>1 pcs</v>
      </c>
      <c r="J410" s="135" t="str">
        <f>IF($J$1="","",HLOOKUP($J$1,$M$1:$AAV$1000,410,0))</f>
        <v/>
      </c>
    </row>
    <row r="411" spans="1:10" x14ac:dyDescent="0.25">
      <c r="A411" s="127" t="str">
        <f>IF(Produits!A411="","",Produits!A411)</f>
        <v>Varitrans</v>
      </c>
      <c r="B411" s="127" t="str">
        <f>IF(Produits!B411="","",Produits!B411)</f>
        <v>DT</v>
      </c>
      <c r="C411" s="127" t="str">
        <f>IF(Produits!C411="","",Produits!C411)</f>
        <v>1000,00,0408</v>
      </c>
      <c r="D411" s="127" t="str">
        <f>IF(Produits!D411="","",Produits!D411)</f>
        <v>AA532</v>
      </c>
      <c r="E411" s="127" t="str">
        <f>IF(Produits!E411="","",Produits!E411)</f>
        <v/>
      </c>
      <c r="F411" s="128" t="str">
        <f>IF(Produits!F411="","",Produits!F411)</f>
        <v>1 pcs</v>
      </c>
      <c r="J411" s="135" t="str">
        <f>IF($J$1="","",HLOOKUP($J$1,$M$1:$AAV$1000,411,0))</f>
        <v/>
      </c>
    </row>
    <row r="412" spans="1:10" x14ac:dyDescent="0.25">
      <c r="A412" s="127" t="str">
        <f>IF(Produits!A412="","",Produits!A412)</f>
        <v>Varitrans</v>
      </c>
      <c r="B412" s="127" t="str">
        <f>IF(Produits!B412="","",Produits!B412)</f>
        <v>DT</v>
      </c>
      <c r="C412" s="127" t="str">
        <f>IF(Produits!C412="","",Produits!C412)</f>
        <v>1000,00,0409</v>
      </c>
      <c r="D412" s="127" t="str">
        <f>IF(Produits!D412="","",Produits!D412)</f>
        <v>AA533</v>
      </c>
      <c r="E412" s="127" t="str">
        <f>IF(Produits!E412="","",Produits!E412)</f>
        <v/>
      </c>
      <c r="F412" s="128" t="str">
        <f>IF(Produits!F412="","",Produits!F412)</f>
        <v>1 pcs</v>
      </c>
      <c r="J412" s="135" t="str">
        <f>IF($J$1="","",HLOOKUP($J$1,$M$1:$AAV$1000,412,0))</f>
        <v/>
      </c>
    </row>
    <row r="413" spans="1:10" x14ac:dyDescent="0.25">
      <c r="A413" s="127" t="str">
        <f>IF(Produits!A413="","",Produits!A413)</f>
        <v>Varitrans</v>
      </c>
      <c r="B413" s="127" t="str">
        <f>IF(Produits!B413="","",Produits!B413)</f>
        <v>DT</v>
      </c>
      <c r="C413" s="127" t="str">
        <f>IF(Produits!C413="","",Produits!C413)</f>
        <v>1000,00,0410</v>
      </c>
      <c r="D413" s="127" t="str">
        <f>IF(Produits!D413="","",Produits!D413)</f>
        <v>AA534</v>
      </c>
      <c r="E413" s="127" t="str">
        <f>IF(Produits!E413="","",Produits!E413)</f>
        <v/>
      </c>
      <c r="F413" s="128" t="str">
        <f>IF(Produits!F413="","",Produits!F413)</f>
        <v>1 pcs</v>
      </c>
      <c r="J413" s="135" t="str">
        <f>IF($J$1="","",HLOOKUP($J$1,$M$1:$AAV$1000,413,0))</f>
        <v/>
      </c>
    </row>
    <row r="414" spans="1:10" x14ac:dyDescent="0.25">
      <c r="A414" s="127" t="str">
        <f>IF(Produits!A414="","",Produits!A414)</f>
        <v>Varitrans</v>
      </c>
      <c r="B414" s="127" t="str">
        <f>IF(Produits!B414="","",Produits!B414)</f>
        <v>DT</v>
      </c>
      <c r="C414" s="127" t="str">
        <f>IF(Produits!C414="","",Produits!C414)</f>
        <v>1000,00,0411</v>
      </c>
      <c r="D414" s="127" t="str">
        <f>IF(Produits!D414="","",Produits!D414)</f>
        <v>AA535</v>
      </c>
      <c r="E414" s="127" t="str">
        <f>IF(Produits!E414="","",Produits!E414)</f>
        <v/>
      </c>
      <c r="F414" s="128" t="str">
        <f>IF(Produits!F414="","",Produits!F414)</f>
        <v>1 pcs</v>
      </c>
      <c r="J414" s="135" t="str">
        <f>IF($J$1="","",HLOOKUP($J$1,$M$1:$AAV$1000,414,0))</f>
        <v/>
      </c>
    </row>
    <row r="415" spans="1:10" x14ac:dyDescent="0.25">
      <c r="A415" s="127" t="str">
        <f>IF(Produits!A415="","",Produits!A415)</f>
        <v>Varitrans</v>
      </c>
      <c r="B415" s="127" t="str">
        <f>IF(Produits!B415="","",Produits!B415)</f>
        <v>DT</v>
      </c>
      <c r="C415" s="127" t="str">
        <f>IF(Produits!C415="","",Produits!C415)</f>
        <v>1000,00,0412</v>
      </c>
      <c r="D415" s="127" t="str">
        <f>IF(Produits!D415="","",Produits!D415)</f>
        <v>AA536</v>
      </c>
      <c r="E415" s="127" t="str">
        <f>IF(Produits!E415="","",Produits!E415)</f>
        <v/>
      </c>
      <c r="F415" s="128" t="str">
        <f>IF(Produits!F415="","",Produits!F415)</f>
        <v>1 pcs</v>
      </c>
      <c r="J415" s="135" t="str">
        <f>IF($J$1="","",HLOOKUP($J$1,$M$1:$AAV$1000,415,0))</f>
        <v/>
      </c>
    </row>
    <row r="416" spans="1:10" x14ac:dyDescent="0.25">
      <c r="A416" s="127" t="str">
        <f>IF(Produits!A416="","",Produits!A416)</f>
        <v>Varitrans</v>
      </c>
      <c r="B416" s="127" t="str">
        <f>IF(Produits!B416="","",Produits!B416)</f>
        <v>Corner Element</v>
      </c>
      <c r="C416" s="127" t="str">
        <f>IF(Produits!C416="","",Produits!C416)</f>
        <v>1000,00,0413</v>
      </c>
      <c r="D416" s="127" t="str">
        <f>IF(Produits!D416="","",Produits!D416)</f>
        <v>AA537</v>
      </c>
      <c r="E416" s="127" t="str">
        <f>IF(Produits!E416="","",Produits!E416)</f>
        <v/>
      </c>
      <c r="F416" s="128" t="str">
        <f>IF(Produits!F416="","",Produits!F416)</f>
        <v>1 pcs</v>
      </c>
      <c r="J416" s="135" t="str">
        <f>IF($J$1="","",HLOOKUP($J$1,$M$1:$AAV$1000,416,0))</f>
        <v/>
      </c>
    </row>
    <row r="417" spans="1:10" x14ac:dyDescent="0.25">
      <c r="A417" s="127" t="str">
        <f>IF(Produits!A417="","",Produits!A417)</f>
        <v>Varitrans</v>
      </c>
      <c r="B417" s="127" t="str">
        <f>IF(Produits!B417="","",Produits!B417)</f>
        <v>Corner Element</v>
      </c>
      <c r="C417" s="127" t="str">
        <f>IF(Produits!C417="","",Produits!C417)</f>
        <v>1000,00,0414</v>
      </c>
      <c r="D417" s="127" t="str">
        <f>IF(Produits!D417="","",Produits!D417)</f>
        <v>AA538</v>
      </c>
      <c r="E417" s="127" t="str">
        <f>IF(Produits!E417="","",Produits!E417)</f>
        <v/>
      </c>
      <c r="F417" s="128" t="str">
        <f>IF(Produits!F417="","",Produits!F417)</f>
        <v>1 pcs</v>
      </c>
      <c r="J417" s="135" t="str">
        <f>IF($J$1="","",HLOOKUP($J$1,$M$1:$AAV$1000,417,0))</f>
        <v/>
      </c>
    </row>
    <row r="418" spans="1:10" x14ac:dyDescent="0.25">
      <c r="A418" s="127" t="str">
        <f>IF(Produits!A418="","",Produits!A418)</f>
        <v>Varitrans</v>
      </c>
      <c r="B418" s="127" t="str">
        <f>IF(Produits!B418="","",Produits!B418)</f>
        <v>Corner Element</v>
      </c>
      <c r="C418" s="127" t="str">
        <f>IF(Produits!C418="","",Produits!C418)</f>
        <v>1000,00,0415</v>
      </c>
      <c r="D418" s="127" t="str">
        <f>IF(Produits!D418="","",Produits!D418)</f>
        <v>AA539</v>
      </c>
      <c r="E418" s="127" t="str">
        <f>IF(Produits!E418="","",Produits!E418)</f>
        <v/>
      </c>
      <c r="F418" s="128" t="str">
        <f>IF(Produits!F418="","",Produits!F418)</f>
        <v>1 pcs</v>
      </c>
      <c r="J418" s="135" t="str">
        <f>IF($J$1="","",HLOOKUP($J$1,$M$1:$AAV$1000,418,0))</f>
        <v/>
      </c>
    </row>
    <row r="419" spans="1:10" x14ac:dyDescent="0.25">
      <c r="A419" s="127" t="str">
        <f>IF(Produits!A419="","",Produits!A419)</f>
        <v>Varitrans</v>
      </c>
      <c r="B419" s="127" t="str">
        <f>IF(Produits!B419="","",Produits!B419)</f>
        <v>Corner Element</v>
      </c>
      <c r="C419" s="127" t="str">
        <f>IF(Produits!C419="","",Produits!C419)</f>
        <v>1000,00,0416</v>
      </c>
      <c r="D419" s="127" t="str">
        <f>IF(Produits!D419="","",Produits!D419)</f>
        <v>AA540</v>
      </c>
      <c r="E419" s="127" t="str">
        <f>IF(Produits!E419="","",Produits!E419)</f>
        <v/>
      </c>
      <c r="F419" s="128" t="str">
        <f>IF(Produits!F419="","",Produits!F419)</f>
        <v>1 pcs</v>
      </c>
      <c r="J419" s="135" t="str">
        <f>IF($J$1="","",HLOOKUP($J$1,$M$1:$AAV$1000,419,0))</f>
        <v/>
      </c>
    </row>
    <row r="420" spans="1:10" x14ac:dyDescent="0.25">
      <c r="A420" s="127" t="str">
        <f>IF(Produits!A420="","",Produits!A420)</f>
        <v>Varitrans</v>
      </c>
      <c r="B420" s="127" t="str">
        <f>IF(Produits!B420="","",Produits!B420)</f>
        <v>Corner Element</v>
      </c>
      <c r="C420" s="127" t="str">
        <f>IF(Produits!C420="","",Produits!C420)</f>
        <v>1000,00,0417</v>
      </c>
      <c r="D420" s="127" t="str">
        <f>IF(Produits!D420="","",Produits!D420)</f>
        <v>AA541</v>
      </c>
      <c r="E420" s="127" t="str">
        <f>IF(Produits!E420="","",Produits!E420)</f>
        <v/>
      </c>
      <c r="F420" s="128" t="str">
        <f>IF(Produits!F420="","",Produits!F420)</f>
        <v>1 pcs</v>
      </c>
      <c r="J420" s="135" t="str">
        <f>IF($J$1="","",HLOOKUP($J$1,$M$1:$AAV$1000,420,0))</f>
        <v/>
      </c>
    </row>
    <row r="421" spans="1:10" x14ac:dyDescent="0.25">
      <c r="A421" s="127" t="str">
        <f>IF(Produits!A421="","",Produits!A421)</f>
        <v>Varitrans</v>
      </c>
      <c r="B421" s="127" t="str">
        <f>IF(Produits!B421="","",Produits!B421)</f>
        <v>Corner Element</v>
      </c>
      <c r="C421" s="127" t="str">
        <f>IF(Produits!C421="","",Produits!C421)</f>
        <v>1000,00,0418</v>
      </c>
      <c r="D421" s="127" t="str">
        <f>IF(Produits!D421="","",Produits!D421)</f>
        <v>AA542</v>
      </c>
      <c r="E421" s="127" t="str">
        <f>IF(Produits!E421="","",Produits!E421)</f>
        <v/>
      </c>
      <c r="F421" s="128" t="str">
        <f>IF(Produits!F421="","",Produits!F421)</f>
        <v>1 pcs</v>
      </c>
      <c r="J421" s="135" t="str">
        <f>IF($J$1="","",HLOOKUP($J$1,$M$1:$AAV$1000,421,0))</f>
        <v/>
      </c>
    </row>
    <row r="422" spans="1:10" x14ac:dyDescent="0.25">
      <c r="A422" s="127" t="str">
        <f>IF(Produits!A422="","",Produits!A422)</f>
        <v>Varitrans</v>
      </c>
      <c r="B422" s="127" t="str">
        <f>IF(Produits!B422="","",Produits!B422)</f>
        <v>Corner Element</v>
      </c>
      <c r="C422" s="127" t="str">
        <f>IF(Produits!C422="","",Produits!C422)</f>
        <v>1000,00,0419</v>
      </c>
      <c r="D422" s="127" t="str">
        <f>IF(Produits!D422="","",Produits!D422)</f>
        <v>AA543</v>
      </c>
      <c r="E422" s="127" t="str">
        <f>IF(Produits!E422="","",Produits!E422)</f>
        <v/>
      </c>
      <c r="F422" s="128" t="str">
        <f>IF(Produits!F422="","",Produits!F422)</f>
        <v>1 pcs</v>
      </c>
      <c r="J422" s="135" t="str">
        <f>IF($J$1="","",HLOOKUP($J$1,$M$1:$AAV$1000,422,0))</f>
        <v/>
      </c>
    </row>
    <row r="423" spans="1:10" x14ac:dyDescent="0.25">
      <c r="A423" s="127" t="str">
        <f>IF(Produits!A423="","",Produits!A423)</f>
        <v>Varitrans</v>
      </c>
      <c r="B423" s="127" t="str">
        <f>IF(Produits!B423="","",Produits!B423)</f>
        <v>Corner Element</v>
      </c>
      <c r="C423" s="127" t="str">
        <f>IF(Produits!C423="","",Produits!C423)</f>
        <v>1000,00,0420</v>
      </c>
      <c r="D423" s="127" t="str">
        <f>IF(Produits!D423="","",Produits!D423)</f>
        <v>AA544</v>
      </c>
      <c r="E423" s="127" t="str">
        <f>IF(Produits!E423="","",Produits!E423)</f>
        <v/>
      </c>
      <c r="F423" s="128" t="str">
        <f>IF(Produits!F423="","",Produits!F423)</f>
        <v>1 pcs</v>
      </c>
      <c r="J423" s="135" t="str">
        <f>IF($J$1="","",HLOOKUP($J$1,$M$1:$AAV$1000,423,0))</f>
        <v/>
      </c>
    </row>
    <row r="424" spans="1:10" x14ac:dyDescent="0.25">
      <c r="A424" s="127" t="str">
        <f>IF(Produits!A424="","",Produits!A424)</f>
        <v>Varitrans</v>
      </c>
      <c r="B424" s="127" t="str">
        <f>IF(Produits!B424="","",Produits!B424)</f>
        <v>Corner Element</v>
      </c>
      <c r="C424" s="127" t="str">
        <f>IF(Produits!C424="","",Produits!C424)</f>
        <v>1000,00,0421</v>
      </c>
      <c r="D424" s="127" t="str">
        <f>IF(Produits!D424="","",Produits!D424)</f>
        <v>AA545</v>
      </c>
      <c r="E424" s="127" t="str">
        <f>IF(Produits!E424="","",Produits!E424)</f>
        <v/>
      </c>
      <c r="F424" s="128" t="str">
        <f>IF(Produits!F424="","",Produits!F424)</f>
        <v>1 pcs</v>
      </c>
      <c r="J424" s="135" t="str">
        <f>IF($J$1="","",HLOOKUP($J$1,$M$1:$AAV$1000,424,0))</f>
        <v/>
      </c>
    </row>
    <row r="425" spans="1:10" x14ac:dyDescent="0.25">
      <c r="A425" s="127" t="str">
        <f>IF(Produits!A425="","",Produits!A425)</f>
        <v>Varitrans</v>
      </c>
      <c r="B425" s="127" t="str">
        <f>IF(Produits!B425="","",Produits!B425)</f>
        <v>Corner Element</v>
      </c>
      <c r="C425" s="127" t="str">
        <f>IF(Produits!C425="","",Produits!C425)</f>
        <v>1000,00,0422</v>
      </c>
      <c r="D425" s="127" t="str">
        <f>IF(Produits!D425="","",Produits!D425)</f>
        <v>AA546</v>
      </c>
      <c r="E425" s="127" t="str">
        <f>IF(Produits!E425="","",Produits!E425)</f>
        <v/>
      </c>
      <c r="F425" s="128" t="str">
        <f>IF(Produits!F425="","",Produits!F425)</f>
        <v>1 pcs</v>
      </c>
      <c r="J425" s="135" t="str">
        <f>IF($J$1="","",HLOOKUP($J$1,$M$1:$AAV$1000,425,0))</f>
        <v/>
      </c>
    </row>
    <row r="426" spans="1:10" x14ac:dyDescent="0.25">
      <c r="A426" s="127" t="str">
        <f>IF(Produits!A426="","",Produits!A426)</f>
        <v>Varitrans</v>
      </c>
      <c r="B426" s="127" t="str">
        <f>IF(Produits!B426="","",Produits!B426)</f>
        <v>Swing Door</v>
      </c>
      <c r="C426" s="127" t="str">
        <f>IF(Produits!C426="","",Produits!C426)</f>
        <v>1000,00,0423</v>
      </c>
      <c r="D426" s="127" t="str">
        <f>IF(Produits!D426="","",Produits!D426)</f>
        <v>AA547</v>
      </c>
      <c r="E426" s="127" t="str">
        <f>IF(Produits!E426="","",Produits!E426)</f>
        <v/>
      </c>
      <c r="F426" s="128" t="str">
        <f>IF(Produits!F426="","",Produits!F426)</f>
        <v>1 pcs</v>
      </c>
      <c r="J426" s="135" t="str">
        <f>IF($J$1="","",HLOOKUP($J$1,$M$1:$AAV$1000,426,0))</f>
        <v/>
      </c>
    </row>
    <row r="427" spans="1:10" x14ac:dyDescent="0.25">
      <c r="A427" s="127" t="str">
        <f>IF(Produits!A427="","",Produits!A427)</f>
        <v>Varitrans</v>
      </c>
      <c r="B427" s="127" t="str">
        <f>IF(Produits!B427="","",Produits!B427)</f>
        <v>Swing Door</v>
      </c>
      <c r="C427" s="127" t="str">
        <f>IF(Produits!C427="","",Produits!C427)</f>
        <v>1000,00,0424</v>
      </c>
      <c r="D427" s="127" t="str">
        <f>IF(Produits!D427="","",Produits!D427)</f>
        <v>AA548</v>
      </c>
      <c r="E427" s="127" t="str">
        <f>IF(Produits!E427="","",Produits!E427)</f>
        <v/>
      </c>
      <c r="F427" s="128" t="str">
        <f>IF(Produits!F427="","",Produits!F427)</f>
        <v>1 pcs</v>
      </c>
      <c r="J427" s="135" t="str">
        <f>IF($J$1="","",HLOOKUP($J$1,$M$1:$AAV$1000,427,0))</f>
        <v/>
      </c>
    </row>
    <row r="428" spans="1:10" x14ac:dyDescent="0.25">
      <c r="A428" s="127" t="str">
        <f>IF(Produits!A428="","",Produits!A428)</f>
        <v>Varitrans</v>
      </c>
      <c r="B428" s="127" t="str">
        <f>IF(Produits!B428="","",Produits!B428)</f>
        <v>Swing Door</v>
      </c>
      <c r="C428" s="127" t="str">
        <f>IF(Produits!C428="","",Produits!C428)</f>
        <v>1000,00,0425</v>
      </c>
      <c r="D428" s="127" t="str">
        <f>IF(Produits!D428="","",Produits!D428)</f>
        <v>AA549</v>
      </c>
      <c r="E428" s="127" t="str">
        <f>IF(Produits!E428="","",Produits!E428)</f>
        <v/>
      </c>
      <c r="F428" s="128" t="str">
        <f>IF(Produits!F428="","",Produits!F428)</f>
        <v>1 pcs</v>
      </c>
      <c r="J428" s="135" t="str">
        <f>IF($J$1="","",HLOOKUP($J$1,$M$1:$AAV$1000,428,0))</f>
        <v/>
      </c>
    </row>
    <row r="429" spans="1:10" x14ac:dyDescent="0.25">
      <c r="A429" s="127" t="str">
        <f>IF(Produits!A429="","",Produits!A429)</f>
        <v>Varitrans</v>
      </c>
      <c r="B429" s="127" t="str">
        <f>IF(Produits!B429="","",Produits!B429)</f>
        <v>Swing Door</v>
      </c>
      <c r="C429" s="127" t="str">
        <f>IF(Produits!C429="","",Produits!C429)</f>
        <v>1000,00,0426</v>
      </c>
      <c r="D429" s="127" t="str">
        <f>IF(Produits!D429="","",Produits!D429)</f>
        <v>AA550</v>
      </c>
      <c r="E429" s="127" t="str">
        <f>IF(Produits!E429="","",Produits!E429)</f>
        <v/>
      </c>
      <c r="F429" s="128" t="str">
        <f>IF(Produits!F429="","",Produits!F429)</f>
        <v>1 pcs</v>
      </c>
      <c r="J429" s="135" t="str">
        <f>IF($J$1="","",HLOOKUP($J$1,$M$1:$AAV$1000,429,0))</f>
        <v/>
      </c>
    </row>
    <row r="430" spans="1:10" x14ac:dyDescent="0.25">
      <c r="A430" s="127" t="str">
        <f>IF(Produits!A430="","",Produits!A430)</f>
        <v>Varitrans</v>
      </c>
      <c r="B430" s="127" t="str">
        <f>IF(Produits!B430="","",Produits!B430)</f>
        <v>Swing Door</v>
      </c>
      <c r="C430" s="127" t="str">
        <f>IF(Produits!C430="","",Produits!C430)</f>
        <v>1000,00,0427</v>
      </c>
      <c r="D430" s="127" t="str">
        <f>IF(Produits!D430="","",Produits!D430)</f>
        <v>AA551</v>
      </c>
      <c r="E430" s="127" t="str">
        <f>IF(Produits!E430="","",Produits!E430)</f>
        <v/>
      </c>
      <c r="F430" s="128" t="str">
        <f>IF(Produits!F430="","",Produits!F430)</f>
        <v>1 pcs</v>
      </c>
      <c r="J430" s="135" t="str">
        <f>IF($J$1="","",HLOOKUP($J$1,$M$1:$AAV$1000,430,0))</f>
        <v/>
      </c>
    </row>
    <row r="431" spans="1:10" x14ac:dyDescent="0.25">
      <c r="A431" s="127" t="str">
        <f>IF(Produits!A431="","",Produits!A431)</f>
        <v>Varitrans</v>
      </c>
      <c r="B431" s="127" t="str">
        <f>IF(Produits!B431="","",Produits!B431)</f>
        <v>Profile Cylinder</v>
      </c>
      <c r="C431" s="127" t="str">
        <f>IF(Produits!C431="","",Produits!C431)</f>
        <v>1000,00,0428</v>
      </c>
      <c r="D431" s="127" t="str">
        <f>IF(Produits!D431="","",Produits!D431)</f>
        <v>AA552</v>
      </c>
      <c r="E431" s="127" t="str">
        <f>IF(Produits!E431="","",Produits!E431)</f>
        <v/>
      </c>
      <c r="F431" s="128" t="str">
        <f>IF(Produits!F431="","",Produits!F431)</f>
        <v>1 pcs</v>
      </c>
      <c r="J431" s="135" t="str">
        <f>IF($J$1="","",HLOOKUP($J$1,$M$1:$AAV$1000,431,0))</f>
        <v/>
      </c>
    </row>
    <row r="432" spans="1:10" x14ac:dyDescent="0.25">
      <c r="A432" s="127" t="str">
        <f>IF(Produits!A432="","",Produits!A432)</f>
        <v>Varitrans</v>
      </c>
      <c r="B432" s="127" t="str">
        <f>IF(Produits!B432="","",Produits!B432)</f>
        <v>Profile Cylinder</v>
      </c>
      <c r="C432" s="127" t="str">
        <f>IF(Produits!C432="","",Produits!C432)</f>
        <v>1000,00,0429</v>
      </c>
      <c r="D432" s="127" t="str">
        <f>IF(Produits!D432="","",Produits!D432)</f>
        <v>AA553</v>
      </c>
      <c r="E432" s="127" t="str">
        <f>IF(Produits!E432="","",Produits!E432)</f>
        <v/>
      </c>
      <c r="F432" s="128" t="str">
        <f>IF(Produits!F432="","",Produits!F432)</f>
        <v>1 pcs</v>
      </c>
      <c r="J432" s="135" t="str">
        <f>IF($J$1="","",HLOOKUP($J$1,$M$1:$AAV$1000,432,0))</f>
        <v/>
      </c>
    </row>
    <row r="433" spans="1:10" x14ac:dyDescent="0.25">
      <c r="A433" s="127" t="str">
        <f>IF(Produits!A433="","",Produits!A433)</f>
        <v>Varitrans</v>
      </c>
      <c r="B433" s="127" t="str">
        <f>IF(Produits!B433="","",Produits!B433)</f>
        <v>Profile Cylinder</v>
      </c>
      <c r="C433" s="127" t="str">
        <f>IF(Produits!C433="","",Produits!C433)</f>
        <v>1000,00,0430</v>
      </c>
      <c r="D433" s="127" t="str">
        <f>IF(Produits!D433="","",Produits!D433)</f>
        <v>AA554</v>
      </c>
      <c r="E433" s="127" t="str">
        <f>IF(Produits!E433="","",Produits!E433)</f>
        <v/>
      </c>
      <c r="F433" s="128" t="str">
        <f>IF(Produits!F433="","",Produits!F433)</f>
        <v>1 pcs</v>
      </c>
      <c r="J433" s="135" t="str">
        <f>IF($J$1="","",HLOOKUP($J$1,$M$1:$AAV$1000,433,0))</f>
        <v/>
      </c>
    </row>
    <row r="434" spans="1:10" x14ac:dyDescent="0.25">
      <c r="A434" s="127" t="str">
        <f>IF(Produits!A434="","",Produits!A434)</f>
        <v>Varitrans</v>
      </c>
      <c r="B434" s="127" t="str">
        <f>IF(Produits!B434="","",Produits!B434)</f>
        <v>Profile Cylinder</v>
      </c>
      <c r="C434" s="127" t="str">
        <f>IF(Produits!C434="","",Produits!C434)</f>
        <v>1000,00,0431</v>
      </c>
      <c r="D434" s="127" t="str">
        <f>IF(Produits!D434="","",Produits!D434)</f>
        <v>AA555</v>
      </c>
      <c r="E434" s="127" t="str">
        <f>IF(Produits!E434="","",Produits!E434)</f>
        <v/>
      </c>
      <c r="F434" s="128" t="str">
        <f>IF(Produits!F434="","",Produits!F434)</f>
        <v>1 pcs</v>
      </c>
      <c r="J434" s="135" t="str">
        <f>IF($J$1="","",HLOOKUP($J$1,$M$1:$AAV$1000,434,0))</f>
        <v/>
      </c>
    </row>
    <row r="435" spans="1:10" x14ac:dyDescent="0.25">
      <c r="A435" s="127" t="str">
        <f>IF(Produits!A435="","",Produits!A435)</f>
        <v>Varitrans</v>
      </c>
      <c r="B435" s="127" t="str">
        <f>IF(Produits!B435="","",Produits!B435)</f>
        <v>Profile Cylinder</v>
      </c>
      <c r="C435" s="127" t="str">
        <f>IF(Produits!C435="","",Produits!C435)</f>
        <v>1000,00,0432</v>
      </c>
      <c r="D435" s="127" t="str">
        <f>IF(Produits!D435="","",Produits!D435)</f>
        <v>AA556</v>
      </c>
      <c r="E435" s="127" t="str">
        <f>IF(Produits!E435="","",Produits!E435)</f>
        <v/>
      </c>
      <c r="F435" s="128" t="str">
        <f>IF(Produits!F435="","",Produits!F435)</f>
        <v>1 pcs</v>
      </c>
      <c r="J435" s="135" t="str">
        <f>IF($J$1="","",HLOOKUP($J$1,$M$1:$AAV$1000,435,0))</f>
        <v/>
      </c>
    </row>
    <row r="436" spans="1:10" x14ac:dyDescent="0.25">
      <c r="A436" s="127" t="str">
        <f>IF(Produits!A436="","",Produits!A436)</f>
        <v>Varitrans</v>
      </c>
      <c r="B436" s="127" t="str">
        <f>IF(Produits!B436="","",Produits!B436)</f>
        <v>Profile Cylinder</v>
      </c>
      <c r="C436" s="127" t="str">
        <f>IF(Produits!C436="","",Produits!C436)</f>
        <v>1000,00,0433</v>
      </c>
      <c r="D436" s="127" t="str">
        <f>IF(Produits!D436="","",Produits!D436)</f>
        <v>AA557</v>
      </c>
      <c r="E436" s="127" t="str">
        <f>IF(Produits!E436="","",Produits!E436)</f>
        <v/>
      </c>
      <c r="F436" s="128" t="str">
        <f>IF(Produits!F436="","",Produits!F436)</f>
        <v>1 pcs</v>
      </c>
      <c r="J436" s="135" t="str">
        <f>IF($J$1="","",HLOOKUP($J$1,$M$1:$AAV$1000,436,0))</f>
        <v/>
      </c>
    </row>
    <row r="437" spans="1:10" x14ac:dyDescent="0.25">
      <c r="A437" s="127" t="str">
        <f>IF(Produits!A437="","",Produits!A437)</f>
        <v>Varitrans</v>
      </c>
      <c r="B437" s="127" t="str">
        <f>IF(Produits!B437="","",Produits!B437)</f>
        <v>Profile Cylinder</v>
      </c>
      <c r="C437" s="127" t="str">
        <f>IF(Produits!C437="","",Produits!C437)</f>
        <v>1000,00,0434</v>
      </c>
      <c r="D437" s="127" t="str">
        <f>IF(Produits!D437="","",Produits!D437)</f>
        <v>AA558</v>
      </c>
      <c r="E437" s="127" t="str">
        <f>IF(Produits!E437="","",Produits!E437)</f>
        <v/>
      </c>
      <c r="F437" s="128" t="str">
        <f>IF(Produits!F437="","",Produits!F437)</f>
        <v>1 pcs</v>
      </c>
      <c r="J437" s="135" t="str">
        <f>IF($J$1="","",HLOOKUP($J$1,$M$1:$AAV$1000,437,0))</f>
        <v/>
      </c>
    </row>
    <row r="438" spans="1:10" x14ac:dyDescent="0.25">
      <c r="A438" s="127" t="str">
        <f>IF(Produits!A438="","",Produits!A438)</f>
        <v>Varitrans</v>
      </c>
      <c r="B438" s="127" t="str">
        <f>IF(Produits!B438="","",Produits!B438)</f>
        <v>Profile Cylinder</v>
      </c>
      <c r="C438" s="127" t="str">
        <f>IF(Produits!C438="","",Produits!C438)</f>
        <v>1000,00,0435</v>
      </c>
      <c r="D438" s="127" t="str">
        <f>IF(Produits!D438="","",Produits!D438)</f>
        <v>AA559</v>
      </c>
      <c r="E438" s="127" t="str">
        <f>IF(Produits!E438="","",Produits!E438)</f>
        <v/>
      </c>
      <c r="F438" s="128" t="str">
        <f>IF(Produits!F438="","",Produits!F438)</f>
        <v>1 pcs</v>
      </c>
      <c r="J438" s="135" t="str">
        <f>IF($J$1="","",HLOOKUP($J$1,$M$1:$AAV$1000,438,0))</f>
        <v/>
      </c>
    </row>
    <row r="439" spans="1:10" x14ac:dyDescent="0.25">
      <c r="A439" s="127" t="str">
        <f>IF(Produits!A439="","",Produits!A439)</f>
        <v>Varitrans</v>
      </c>
      <c r="B439" s="127" t="str">
        <f>IF(Produits!B439="","",Produits!B439)</f>
        <v>Profile Cylinder</v>
      </c>
      <c r="C439" s="127" t="str">
        <f>IF(Produits!C439="","",Produits!C439)</f>
        <v>1000,00,0436</v>
      </c>
      <c r="D439" s="127" t="str">
        <f>IF(Produits!D439="","",Produits!D439)</f>
        <v>AA560</v>
      </c>
      <c r="E439" s="127" t="str">
        <f>IF(Produits!E439="","",Produits!E439)</f>
        <v/>
      </c>
      <c r="F439" s="128" t="str">
        <f>IF(Produits!F439="","",Produits!F439)</f>
        <v>1 pcs</v>
      </c>
      <c r="J439" s="135" t="str">
        <f>IF($J$1="","",HLOOKUP($J$1,$M$1:$AAV$1000,439,0))</f>
        <v/>
      </c>
    </row>
    <row r="440" spans="1:10" x14ac:dyDescent="0.25">
      <c r="A440" s="127" t="str">
        <f>IF(Produits!A440="","",Produits!A440)</f>
        <v>Porte</v>
      </c>
      <c r="B440" s="127" t="str">
        <f>IF(Produits!B440="","",Produits!B440)</f>
        <v/>
      </c>
      <c r="C440" s="127" t="str">
        <f>IF(Produits!C440="","",Produits!C440)</f>
        <v>1000,00,0437</v>
      </c>
      <c r="D440" s="127" t="str">
        <f>IF(Produits!D440="","",Produits!D440)</f>
        <v>AA561</v>
      </c>
      <c r="E440" s="127" t="str">
        <f>IF(Produits!E440="","",Produits!E440)</f>
        <v/>
      </c>
      <c r="F440" s="128" t="str">
        <f>IF(Produits!F440="","",Produits!F440)</f>
        <v>1 pcs</v>
      </c>
      <c r="J440" s="135" t="str">
        <f>IF($J$1="","",HLOOKUP($J$1,$M$1:$AAV$1000,440,0))</f>
        <v/>
      </c>
    </row>
    <row r="441" spans="1:10" x14ac:dyDescent="0.25">
      <c r="A441" s="127" t="str">
        <f>IF(Produits!A441="","",Produits!A441)</f>
        <v>Porte</v>
      </c>
      <c r="B441" s="127" t="str">
        <f>IF(Produits!B441="","",Produits!B441)</f>
        <v/>
      </c>
      <c r="C441" s="127" t="str">
        <f>IF(Produits!C441="","",Produits!C441)</f>
        <v>1000,00,0438</v>
      </c>
      <c r="D441" s="127" t="str">
        <f>IF(Produits!D441="","",Produits!D441)</f>
        <v>AA562</v>
      </c>
      <c r="E441" s="127" t="str">
        <f>IF(Produits!E441="","",Produits!E441)</f>
        <v/>
      </c>
      <c r="F441" s="128" t="str">
        <f>IF(Produits!F441="","",Produits!F441)</f>
        <v>1 pcs</v>
      </c>
      <c r="J441" s="135" t="str">
        <f>IF($J$1="","",HLOOKUP($J$1,$M$1:$AAV$1000,441,0))</f>
        <v/>
      </c>
    </row>
    <row r="442" spans="1:10" x14ac:dyDescent="0.25">
      <c r="A442" s="127" t="str">
        <f>IF(Produits!A442="","",Produits!A442)</f>
        <v>Porte</v>
      </c>
      <c r="B442" s="127" t="str">
        <f>IF(Produits!B442="","",Produits!B442)</f>
        <v/>
      </c>
      <c r="C442" s="127" t="str">
        <f>IF(Produits!C442="","",Produits!C442)</f>
        <v>1000,00,0439</v>
      </c>
      <c r="D442" s="127" t="str">
        <f>IF(Produits!D442="","",Produits!D442)</f>
        <v>AA563</v>
      </c>
      <c r="E442" s="127" t="str">
        <f>IF(Produits!E442="","",Produits!E442)</f>
        <v/>
      </c>
      <c r="F442" s="128" t="str">
        <f>IF(Produits!F442="","",Produits!F442)</f>
        <v>1 pcs</v>
      </c>
      <c r="J442" s="135" t="str">
        <f>IF($J$1="","",HLOOKUP($J$1,$M$1:$AAV$1000,442,0))</f>
        <v/>
      </c>
    </row>
    <row r="443" spans="1:10" x14ac:dyDescent="0.25">
      <c r="A443" s="127" t="str">
        <f>IF(Produits!A443="","",Produits!A443)</f>
        <v>Capot</v>
      </c>
      <c r="B443" s="127" t="str">
        <f>IF(Produits!B443="","",Produits!B443)</f>
        <v>RAL 9010</v>
      </c>
      <c r="C443" s="127" t="str">
        <f>IF(Produits!C443="","",Produits!C443)</f>
        <v>1000,00,0440</v>
      </c>
      <c r="D443" s="127" t="str">
        <f>IF(Produits!D443="","",Produits!D443)</f>
        <v>AA564</v>
      </c>
      <c r="E443" s="127" t="str">
        <f>IF(Produits!E443="","",Produits!E443)</f>
        <v/>
      </c>
      <c r="F443" s="128" t="str">
        <f>IF(Produits!F443="","",Produits!F443)</f>
        <v>1 pcs</v>
      </c>
      <c r="J443" s="135" t="str">
        <f>IF($J$1="","",HLOOKUP($J$1,$M$1:$AAV$1000,443,0))</f>
        <v/>
      </c>
    </row>
    <row r="444" spans="1:10" x14ac:dyDescent="0.25">
      <c r="A444" s="127" t="str">
        <f>IF(Produits!A444="","",Produits!A444)</f>
        <v>Capot</v>
      </c>
      <c r="B444" s="127" t="str">
        <f>IF(Produits!B444="","",Produits!B444)</f>
        <v>RAL 9010</v>
      </c>
      <c r="C444" s="127" t="str">
        <f>IF(Produits!C444="","",Produits!C444)</f>
        <v>1000,00,0441</v>
      </c>
      <c r="D444" s="127" t="str">
        <f>IF(Produits!D444="","",Produits!D444)</f>
        <v>AA565</v>
      </c>
      <c r="E444" s="127" t="str">
        <f>IF(Produits!E444="","",Produits!E444)</f>
        <v/>
      </c>
      <c r="F444" s="128" t="str">
        <f>IF(Produits!F444="","",Produits!F444)</f>
        <v>1 pcs</v>
      </c>
      <c r="J444" s="135" t="str">
        <f>IF($J$1="","",HLOOKUP($J$1,$M$1:$AAV$1000,444,0))</f>
        <v/>
      </c>
    </row>
    <row r="445" spans="1:10" x14ac:dyDescent="0.25">
      <c r="A445" s="127" t="str">
        <f>IF(Produits!A445="","",Produits!A445)</f>
        <v>Capot</v>
      </c>
      <c r="B445" s="127" t="str">
        <f>IF(Produits!B445="","",Produits!B445)</f>
        <v>RAL 9010</v>
      </c>
      <c r="C445" s="127" t="str">
        <f>IF(Produits!C445="","",Produits!C445)</f>
        <v>1000,00,0442</v>
      </c>
      <c r="D445" s="127" t="str">
        <f>IF(Produits!D445="","",Produits!D445)</f>
        <v>AA566</v>
      </c>
      <c r="E445" s="127" t="str">
        <f>IF(Produits!E445="","",Produits!E445)</f>
        <v/>
      </c>
      <c r="F445" s="128" t="str">
        <f>IF(Produits!F445="","",Produits!F445)</f>
        <v>1 pcs</v>
      </c>
      <c r="J445" s="135" t="str">
        <f>IF($J$1="","",HLOOKUP($J$1,$M$1:$AAV$1000,445,0))</f>
        <v/>
      </c>
    </row>
    <row r="446" spans="1:10" x14ac:dyDescent="0.25">
      <c r="A446" s="127" t="str">
        <f>IF(Produits!A446="","",Produits!A446)</f>
        <v>Capot</v>
      </c>
      <c r="B446" s="127" t="str">
        <f>IF(Produits!B446="","",Produits!B446)</f>
        <v>RAL 9010</v>
      </c>
      <c r="C446" s="127" t="str">
        <f>IF(Produits!C446="","",Produits!C446)</f>
        <v>1000,00,0443</v>
      </c>
      <c r="D446" s="127" t="str">
        <f>IF(Produits!D446="","",Produits!D446)</f>
        <v>AA567</v>
      </c>
      <c r="E446" s="127" t="str">
        <f>IF(Produits!E446="","",Produits!E446)</f>
        <v/>
      </c>
      <c r="F446" s="128" t="str">
        <f>IF(Produits!F446="","",Produits!F446)</f>
        <v>1 pcs</v>
      </c>
      <c r="J446" s="135" t="str">
        <f>IF($J$1="","",HLOOKUP($J$1,$M$1:$AAV$1000,446,0))</f>
        <v/>
      </c>
    </row>
    <row r="447" spans="1:10" x14ac:dyDescent="0.25">
      <c r="A447" s="127" t="str">
        <f>IF(Produits!A447="","",Produits!A447)</f>
        <v>Capot</v>
      </c>
      <c r="B447" s="127" t="str">
        <f>IF(Produits!B447="","",Produits!B447)</f>
        <v>RAL 9010</v>
      </c>
      <c r="C447" s="127" t="str">
        <f>IF(Produits!C447="","",Produits!C447)</f>
        <v>1000,00,0444</v>
      </c>
      <c r="D447" s="127" t="str">
        <f>IF(Produits!D447="","",Produits!D447)</f>
        <v>AA568</v>
      </c>
      <c r="E447" s="127" t="str">
        <f>IF(Produits!E447="","",Produits!E447)</f>
        <v/>
      </c>
      <c r="F447" s="128" t="str">
        <f>IF(Produits!F447="","",Produits!F447)</f>
        <v>1 pcs</v>
      </c>
      <c r="J447" s="135" t="str">
        <f>IF($J$1="","",HLOOKUP($J$1,$M$1:$AAV$1000,447,0))</f>
        <v/>
      </c>
    </row>
    <row r="448" spans="1:10" x14ac:dyDescent="0.25">
      <c r="A448" s="127" t="str">
        <f>IF(Produits!A448="","",Produits!A448)</f>
        <v>Capot</v>
      </c>
      <c r="B448" s="127" t="str">
        <f>IF(Produits!B448="","",Produits!B448)</f>
        <v>RAL 9003</v>
      </c>
      <c r="C448" s="127" t="str">
        <f>IF(Produits!C448="","",Produits!C448)</f>
        <v>1000,00,0445</v>
      </c>
      <c r="D448" s="127" t="str">
        <f>IF(Produits!D448="","",Produits!D448)</f>
        <v>AA569</v>
      </c>
      <c r="E448" s="127" t="str">
        <f>IF(Produits!E448="","",Produits!E448)</f>
        <v/>
      </c>
      <c r="F448" s="128" t="str">
        <f>IF(Produits!F448="","",Produits!F448)</f>
        <v>1 pcs</v>
      </c>
      <c r="J448" s="135" t="str">
        <f>IF($J$1="","",HLOOKUP($J$1,$M$1:$AAV$1000,448,0))</f>
        <v/>
      </c>
    </row>
    <row r="449" spans="1:10" x14ac:dyDescent="0.25">
      <c r="A449" s="127" t="str">
        <f>IF(Produits!A449="","",Produits!A449)</f>
        <v>Capot</v>
      </c>
      <c r="B449" s="127" t="str">
        <f>IF(Produits!B449="","",Produits!B449)</f>
        <v>RAL 9003</v>
      </c>
      <c r="C449" s="127" t="str">
        <f>IF(Produits!C449="","",Produits!C449)</f>
        <v>1000,00,0446</v>
      </c>
      <c r="D449" s="127" t="str">
        <f>IF(Produits!D449="","",Produits!D449)</f>
        <v>AA570</v>
      </c>
      <c r="E449" s="127" t="str">
        <f>IF(Produits!E449="","",Produits!E449)</f>
        <v/>
      </c>
      <c r="F449" s="128" t="str">
        <f>IF(Produits!F449="","",Produits!F449)</f>
        <v>1 pcs</v>
      </c>
      <c r="J449" s="135" t="str">
        <f>IF($J$1="","",HLOOKUP($J$1,$M$1:$AAV$1000,449,0))</f>
        <v/>
      </c>
    </row>
    <row r="450" spans="1:10" x14ac:dyDescent="0.25">
      <c r="A450" s="127" t="str">
        <f>IF(Produits!A450="","",Produits!A450)</f>
        <v>Capot</v>
      </c>
      <c r="B450" s="127" t="str">
        <f>IF(Produits!B450="","",Produits!B450)</f>
        <v>RAL 9003</v>
      </c>
      <c r="C450" s="127" t="str">
        <f>IF(Produits!C450="","",Produits!C450)</f>
        <v>1000,00,0447</v>
      </c>
      <c r="D450" s="127" t="str">
        <f>IF(Produits!D450="","",Produits!D450)</f>
        <v>AA571</v>
      </c>
      <c r="E450" s="127" t="str">
        <f>IF(Produits!E450="","",Produits!E450)</f>
        <v/>
      </c>
      <c r="F450" s="128" t="str">
        <f>IF(Produits!F450="","",Produits!F450)</f>
        <v>1 pcs</v>
      </c>
      <c r="J450" s="135" t="str">
        <f>IF($J$1="","",HLOOKUP($J$1,$M$1:$AAV$1000,450,0))</f>
        <v/>
      </c>
    </row>
    <row r="451" spans="1:10" x14ac:dyDescent="0.25">
      <c r="A451" s="127" t="str">
        <f>IF(Produits!A451="","",Produits!A451)</f>
        <v>Capot</v>
      </c>
      <c r="B451" s="127" t="str">
        <f>IF(Produits!B451="","",Produits!B451)</f>
        <v>RAL 9003</v>
      </c>
      <c r="C451" s="127" t="str">
        <f>IF(Produits!C451="","",Produits!C451)</f>
        <v>1000,00,0448</v>
      </c>
      <c r="D451" s="127" t="str">
        <f>IF(Produits!D451="","",Produits!D451)</f>
        <v>AA572</v>
      </c>
      <c r="E451" s="127" t="str">
        <f>IF(Produits!E451="","",Produits!E451)</f>
        <v/>
      </c>
      <c r="F451" s="128" t="str">
        <f>IF(Produits!F451="","",Produits!F451)</f>
        <v>1 pcs</v>
      </c>
      <c r="J451" s="135" t="str">
        <f>IF($J$1="","",HLOOKUP($J$1,$M$1:$AAV$1000,451,0))</f>
        <v/>
      </c>
    </row>
    <row r="452" spans="1:10" x14ac:dyDescent="0.25">
      <c r="A452" s="127" t="str">
        <f>IF(Produits!A452="","",Produits!A452)</f>
        <v>Capot</v>
      </c>
      <c r="B452" s="127" t="str">
        <f>IF(Produits!B452="","",Produits!B452)</f>
        <v>RAL 9003</v>
      </c>
      <c r="C452" s="127" t="str">
        <f>IF(Produits!C452="","",Produits!C452)</f>
        <v>1000,00,0449</v>
      </c>
      <c r="D452" s="127" t="str">
        <f>IF(Produits!D452="","",Produits!D452)</f>
        <v>AA573</v>
      </c>
      <c r="E452" s="127" t="str">
        <f>IF(Produits!E452="","",Produits!E452)</f>
        <v/>
      </c>
      <c r="F452" s="128" t="str">
        <f>IF(Produits!F452="","",Produits!F452)</f>
        <v>1 pcs</v>
      </c>
      <c r="J452" s="135" t="str">
        <f>IF($J$1="","",HLOOKUP($J$1,$M$1:$AAV$1000,452,0))</f>
        <v/>
      </c>
    </row>
    <row r="453" spans="1:10" x14ac:dyDescent="0.25">
      <c r="A453" s="127"/>
      <c r="C453" s="127"/>
      <c r="D453" s="127"/>
      <c r="E453" s="127"/>
      <c r="F453" s="128"/>
      <c r="J453" s="135" t="str">
        <f>IF($J$1="","",HLOOKUP($J$1,$M$1:$AAV$1000,453,0))</f>
        <v/>
      </c>
    </row>
    <row r="454" spans="1:10" x14ac:dyDescent="0.25">
      <c r="A454" s="127"/>
      <c r="C454" s="127"/>
      <c r="D454" s="127"/>
      <c r="E454" s="127"/>
      <c r="F454" s="128"/>
      <c r="J454" s="135" t="str">
        <f>IF($J$1="","",HLOOKUP($J$1,$M$1:$AAV$1000,454,0))</f>
        <v/>
      </c>
    </row>
    <row r="455" spans="1:10" x14ac:dyDescent="0.25">
      <c r="A455" s="127"/>
      <c r="C455" s="127"/>
      <c r="D455" s="127"/>
      <c r="E455" s="127"/>
      <c r="F455" s="128"/>
      <c r="J455" s="135" t="str">
        <f>IF($J$1="","",HLOOKUP($J$1,$M$1:$AAV$1000,455,0))</f>
        <v/>
      </c>
    </row>
    <row r="456" spans="1:10" x14ac:dyDescent="0.25">
      <c r="A456" s="127"/>
      <c r="C456" s="127"/>
      <c r="D456" s="127"/>
      <c r="E456" s="127"/>
      <c r="F456" s="128"/>
      <c r="J456" s="135" t="str">
        <f>IF($J$1="","",HLOOKUP($J$1,$M$1:$AAV$1000,456,0))</f>
        <v/>
      </c>
    </row>
    <row r="457" spans="1:10" x14ac:dyDescent="0.25">
      <c r="A457" s="127"/>
      <c r="C457" s="127"/>
      <c r="D457" s="127"/>
      <c r="E457" s="127"/>
      <c r="F457" s="128"/>
      <c r="J457" s="135" t="str">
        <f>IF($J$1="","",HLOOKUP($J$1,$M$1:$AAV$1000,457,0))</f>
        <v/>
      </c>
    </row>
    <row r="458" spans="1:10" x14ac:dyDescent="0.25">
      <c r="A458" s="127"/>
      <c r="C458" s="127"/>
      <c r="D458" s="127"/>
      <c r="E458" s="127"/>
      <c r="F458" s="128"/>
      <c r="J458" s="135" t="str">
        <f>IF($J$1="","",HLOOKUP($J$1,$M$1:$AAV$1000,458,0))</f>
        <v/>
      </c>
    </row>
    <row r="459" spans="1:10" x14ac:dyDescent="0.25">
      <c r="A459" s="127"/>
      <c r="C459" s="127"/>
      <c r="D459" s="127"/>
      <c r="E459" s="127"/>
      <c r="F459" s="128"/>
      <c r="J459" s="135" t="str">
        <f>IF($J$1="","",HLOOKUP($J$1,$M$1:$AAV$1000,459,0))</f>
        <v/>
      </c>
    </row>
    <row r="460" spans="1:10" x14ac:dyDescent="0.25">
      <c r="A460" s="127"/>
      <c r="C460" s="127"/>
      <c r="D460" s="127"/>
      <c r="E460" s="127"/>
      <c r="F460" s="128"/>
      <c r="J460" s="135" t="str">
        <f>IF($J$1="","",HLOOKUP($J$1,$M$1:$AAV$1000,460,0))</f>
        <v/>
      </c>
    </row>
    <row r="461" spans="1:10" x14ac:dyDescent="0.25">
      <c r="A461" s="127"/>
      <c r="C461" s="127"/>
      <c r="D461" s="127"/>
      <c r="E461" s="127"/>
      <c r="F461" s="128"/>
      <c r="J461" s="135" t="str">
        <f>IF($J$1="","",HLOOKUP($J$1,$M$1:$AAV$1000,461,0))</f>
        <v/>
      </c>
    </row>
    <row r="462" spans="1:10" x14ac:dyDescent="0.25">
      <c r="A462" s="127"/>
      <c r="C462" s="127"/>
      <c r="D462" s="127"/>
      <c r="E462" s="127"/>
      <c r="F462" s="128"/>
      <c r="J462" s="135" t="str">
        <f>IF($J$1="","",HLOOKUP($J$1,$M$1:$AAV$1000,462,0))</f>
        <v/>
      </c>
    </row>
    <row r="463" spans="1:10" x14ac:dyDescent="0.25">
      <c r="A463" s="127"/>
      <c r="C463" s="127"/>
      <c r="D463" s="127"/>
      <c r="E463" s="127"/>
      <c r="F463" s="128"/>
      <c r="J463" s="135" t="str">
        <f>IF($J$1="","",HLOOKUP($J$1,$M$1:$AAV$1000,463,0))</f>
        <v/>
      </c>
    </row>
    <row r="464" spans="1:10" x14ac:dyDescent="0.25">
      <c r="A464" s="127"/>
      <c r="C464" s="127"/>
      <c r="D464" s="127"/>
      <c r="E464" s="127"/>
      <c r="F464" s="128"/>
      <c r="J464" s="135" t="str">
        <f>IF($J$1="","",HLOOKUP($J$1,$M$1:$AAV$1000,464,0))</f>
        <v/>
      </c>
    </row>
    <row r="465" spans="1:10" x14ac:dyDescent="0.25">
      <c r="A465" s="127"/>
      <c r="C465" s="127"/>
      <c r="D465" s="127"/>
      <c r="E465" s="127"/>
      <c r="F465" s="128"/>
      <c r="J465" s="135" t="str">
        <f>IF($J$1="","",HLOOKUP($J$1,$M$1:$AAV$1000,465,0))</f>
        <v/>
      </c>
    </row>
    <row r="466" spans="1:10" x14ac:dyDescent="0.25">
      <c r="A466" s="127"/>
      <c r="C466" s="127"/>
      <c r="D466" s="127"/>
      <c r="E466" s="127"/>
      <c r="F466" s="128"/>
      <c r="J466" s="135" t="str">
        <f>IF($J$1="","",HLOOKUP($J$1,$M$1:$AAV$1000,466,0))</f>
        <v/>
      </c>
    </row>
    <row r="467" spans="1:10" x14ac:dyDescent="0.25">
      <c r="A467" s="127"/>
      <c r="C467" s="127"/>
      <c r="D467" s="127"/>
      <c r="E467" s="127"/>
      <c r="F467" s="128"/>
      <c r="J467" s="135" t="str">
        <f>IF($J$1="","",HLOOKUP($J$1,$M$1:$AAV$1000,467,0))</f>
        <v/>
      </c>
    </row>
    <row r="468" spans="1:10" x14ac:dyDescent="0.25">
      <c r="A468" s="127"/>
      <c r="C468" s="127"/>
      <c r="D468" s="127"/>
      <c r="E468" s="127"/>
      <c r="F468" s="128"/>
      <c r="J468" s="135" t="str">
        <f>IF($J$1="","",HLOOKUP($J$1,$M$1:$AAV$1000,468,0))</f>
        <v/>
      </c>
    </row>
    <row r="469" spans="1:10" x14ac:dyDescent="0.25">
      <c r="A469" s="127"/>
      <c r="C469" s="127"/>
      <c r="D469" s="127"/>
      <c r="E469" s="127"/>
      <c r="F469" s="128"/>
      <c r="J469" s="135" t="str">
        <f>IF($J$1="","",HLOOKUP($J$1,$M$1:$AAV$1000,469,0))</f>
        <v/>
      </c>
    </row>
    <row r="470" spans="1:10" x14ac:dyDescent="0.25">
      <c r="A470" s="127"/>
      <c r="C470" s="127"/>
      <c r="D470" s="127"/>
      <c r="E470" s="127"/>
      <c r="F470" s="128"/>
      <c r="J470" s="135" t="str">
        <f>IF($J$1="","",HLOOKUP($J$1,$M$1:$AAV$1000,470,0))</f>
        <v/>
      </c>
    </row>
    <row r="471" spans="1:10" x14ac:dyDescent="0.25">
      <c r="A471" s="127"/>
      <c r="C471" s="127"/>
      <c r="D471" s="127"/>
      <c r="E471" s="127"/>
      <c r="F471" s="128"/>
      <c r="J471" s="135" t="str">
        <f>IF($J$1="","",HLOOKUP($J$1,$M$1:$AAV$1000,471,0))</f>
        <v/>
      </c>
    </row>
    <row r="472" spans="1:10" x14ac:dyDescent="0.25">
      <c r="A472" s="127"/>
      <c r="C472" s="127"/>
      <c r="D472" s="127"/>
      <c r="E472" s="127"/>
      <c r="F472" s="128"/>
      <c r="J472" s="135" t="str">
        <f>IF($J$1="","",HLOOKUP($J$1,$M$1:$AAV$1000,472,0))</f>
        <v/>
      </c>
    </row>
    <row r="473" spans="1:10" x14ac:dyDescent="0.25">
      <c r="A473" s="127"/>
      <c r="C473" s="127"/>
      <c r="D473" s="127"/>
      <c r="E473" s="127"/>
      <c r="F473" s="128"/>
      <c r="J473" s="135" t="str">
        <f>IF($J$1="","",HLOOKUP($J$1,$M$1:$AAV$1000,473,0))</f>
        <v/>
      </c>
    </row>
    <row r="474" spans="1:10" x14ac:dyDescent="0.25">
      <c r="A474" s="127"/>
      <c r="C474" s="127"/>
      <c r="D474" s="127"/>
      <c r="E474" s="127"/>
      <c r="F474" s="128"/>
      <c r="J474" s="135" t="str">
        <f>IF($J$1="","",HLOOKUP($J$1,$M$1:$AAV$1000,474,0))</f>
        <v/>
      </c>
    </row>
    <row r="475" spans="1:10" x14ac:dyDescent="0.25">
      <c r="A475" s="127"/>
      <c r="C475" s="127"/>
      <c r="D475" s="127"/>
      <c r="E475" s="127"/>
      <c r="F475" s="128"/>
      <c r="J475" s="135" t="str">
        <f>IF($J$1="","",HLOOKUP($J$1,$M$1:$AAV$1000,475,0))</f>
        <v/>
      </c>
    </row>
    <row r="476" spans="1:10" x14ac:dyDescent="0.25">
      <c r="A476" s="127"/>
      <c r="C476" s="127"/>
      <c r="D476" s="127"/>
      <c r="E476" s="127"/>
      <c r="F476" s="128"/>
      <c r="J476" s="135" t="str">
        <f>IF($J$1="","",HLOOKUP($J$1,$M$1:$AAV$1000,476,0))</f>
        <v/>
      </c>
    </row>
    <row r="477" spans="1:10" x14ac:dyDescent="0.25">
      <c r="A477" s="127"/>
      <c r="C477" s="127"/>
      <c r="D477" s="127"/>
      <c r="E477" s="127"/>
      <c r="F477" s="128"/>
      <c r="J477" s="135" t="str">
        <f>IF($J$1="","",HLOOKUP($J$1,$M$1:$AAV$1000,477,0))</f>
        <v/>
      </c>
    </row>
    <row r="478" spans="1:10" x14ac:dyDescent="0.25">
      <c r="A478" s="127"/>
      <c r="C478" s="127"/>
      <c r="D478" s="127"/>
      <c r="E478" s="127"/>
      <c r="F478" s="128"/>
      <c r="J478" s="135" t="str">
        <f>IF($J$1="","",HLOOKUP($J$1,$M$1:$AAV$1000,478,0))</f>
        <v/>
      </c>
    </row>
    <row r="479" spans="1:10" x14ac:dyDescent="0.25">
      <c r="A479" s="127"/>
      <c r="C479" s="127"/>
      <c r="D479" s="127"/>
      <c r="E479" s="127"/>
      <c r="F479" s="128"/>
      <c r="J479" s="135" t="str">
        <f>IF($J$1="","",HLOOKUP($J$1,$M$1:$AAV$1000,479,0))</f>
        <v/>
      </c>
    </row>
    <row r="480" spans="1:10" x14ac:dyDescent="0.25">
      <c r="A480" s="127"/>
      <c r="C480" s="127"/>
      <c r="D480" s="127"/>
      <c r="E480" s="127"/>
      <c r="F480" s="128"/>
      <c r="J480" s="135" t="str">
        <f>IF($J$1="","",HLOOKUP($J$1,$M$1:$AAV$1000,480,0))</f>
        <v/>
      </c>
    </row>
    <row r="481" spans="1:10" x14ac:dyDescent="0.25">
      <c r="A481" s="127"/>
      <c r="C481" s="127"/>
      <c r="D481" s="127"/>
      <c r="E481" s="127"/>
      <c r="F481" s="128"/>
      <c r="J481" s="135" t="str">
        <f>IF($J$1="","",HLOOKUP($J$1,$M$1:$AAV$1000,481,0))</f>
        <v/>
      </c>
    </row>
    <row r="482" spans="1:10" x14ac:dyDescent="0.25">
      <c r="A482" s="127"/>
      <c r="C482" s="127"/>
      <c r="D482" s="127"/>
      <c r="E482" s="127"/>
      <c r="F482" s="128"/>
      <c r="J482" s="135" t="str">
        <f>IF($J$1="","",HLOOKUP($J$1,$M$1:$AAV$1000,482,0))</f>
        <v/>
      </c>
    </row>
    <row r="483" spans="1:10" x14ac:dyDescent="0.25">
      <c r="A483" s="127"/>
      <c r="C483" s="127"/>
      <c r="D483" s="127"/>
      <c r="E483" s="127"/>
      <c r="F483" s="128"/>
      <c r="J483" s="135" t="str">
        <f>IF($J$1="","",HLOOKUP($J$1,$M$1:$AAV$1000,483,0))</f>
        <v/>
      </c>
    </row>
    <row r="484" spans="1:10" x14ac:dyDescent="0.25">
      <c r="A484" s="127"/>
      <c r="C484" s="127"/>
      <c r="D484" s="127"/>
      <c r="E484" s="127"/>
      <c r="F484" s="128"/>
      <c r="J484" s="135" t="str">
        <f>IF($J$1="","",HLOOKUP($J$1,$M$1:$AAV$1000,484,0))</f>
        <v/>
      </c>
    </row>
    <row r="485" spans="1:10" x14ac:dyDescent="0.25">
      <c r="A485" s="127"/>
      <c r="C485" s="127"/>
      <c r="D485" s="127"/>
      <c r="E485" s="127"/>
      <c r="F485" s="128"/>
      <c r="J485" s="135" t="str">
        <f>IF($J$1="","",HLOOKUP($J$1,$M$1:$AAV$1000,485,0))</f>
        <v/>
      </c>
    </row>
    <row r="486" spans="1:10" x14ac:dyDescent="0.25">
      <c r="A486" s="127"/>
      <c r="C486" s="127"/>
      <c r="D486" s="127"/>
      <c r="E486" s="127"/>
      <c r="F486" s="128"/>
      <c r="J486" s="135" t="str">
        <f>IF($J$1="","",HLOOKUP($J$1,$M$1:$AAV$1000,486,0))</f>
        <v/>
      </c>
    </row>
    <row r="487" spans="1:10" x14ac:dyDescent="0.25">
      <c r="A487" s="127"/>
      <c r="C487" s="127"/>
      <c r="D487" s="127"/>
      <c r="E487" s="127"/>
      <c r="F487" s="128"/>
      <c r="J487" s="135" t="str">
        <f>IF($J$1="","",HLOOKUP($J$1,$M$1:$AAV$1000,487,0))</f>
        <v/>
      </c>
    </row>
    <row r="488" spans="1:10" x14ac:dyDescent="0.25">
      <c r="A488" s="127"/>
      <c r="C488" s="127"/>
      <c r="D488" s="127"/>
      <c r="E488" s="127"/>
      <c r="F488" s="128"/>
      <c r="J488" s="135" t="str">
        <f>IF($J$1="","",HLOOKUP($J$1,$M$1:$AAV$1000,488,0))</f>
        <v/>
      </c>
    </row>
    <row r="489" spans="1:10" x14ac:dyDescent="0.25">
      <c r="A489" s="127"/>
      <c r="C489" s="127"/>
      <c r="D489" s="127"/>
      <c r="E489" s="127"/>
      <c r="F489" s="128"/>
      <c r="J489" s="135" t="str">
        <f>IF($J$1="","",HLOOKUP($J$1,$M$1:$AAV$1000,489,0))</f>
        <v/>
      </c>
    </row>
    <row r="490" spans="1:10" x14ac:dyDescent="0.25">
      <c r="A490" s="127"/>
      <c r="C490" s="127"/>
      <c r="D490" s="127"/>
      <c r="E490" s="127"/>
      <c r="F490" s="128"/>
      <c r="J490" s="135" t="str">
        <f>IF($J$1="","",HLOOKUP($J$1,$M$1:$AAV$1000,490,0))</f>
        <v/>
      </c>
    </row>
    <row r="491" spans="1:10" x14ac:dyDescent="0.25">
      <c r="A491" s="127"/>
      <c r="C491" s="127"/>
      <c r="D491" s="127"/>
      <c r="E491" s="127"/>
      <c r="F491" s="128"/>
      <c r="J491" s="135" t="str">
        <f>IF($J$1="","",HLOOKUP($J$1,$M$1:$AAV$1000,491,0))</f>
        <v/>
      </c>
    </row>
    <row r="492" spans="1:10" x14ac:dyDescent="0.25">
      <c r="A492" s="127"/>
      <c r="C492" s="127"/>
      <c r="D492" s="127"/>
      <c r="E492" s="127"/>
      <c r="F492" s="128"/>
      <c r="J492" s="135" t="str">
        <f>IF($J$1="","",HLOOKUP($J$1,$M$1:$AAV$1000,492,0))</f>
        <v/>
      </c>
    </row>
    <row r="493" spans="1:10" x14ac:dyDescent="0.25">
      <c r="A493" s="127"/>
      <c r="C493" s="127"/>
      <c r="D493" s="127"/>
      <c r="E493" s="127"/>
      <c r="F493" s="128"/>
      <c r="J493" s="135" t="str">
        <f>IF($J$1="","",HLOOKUP($J$1,$M$1:$AAV$1000,493,0))</f>
        <v/>
      </c>
    </row>
    <row r="494" spans="1:10" x14ac:dyDescent="0.25">
      <c r="A494" s="127"/>
      <c r="C494" s="127"/>
      <c r="D494" s="127"/>
      <c r="E494" s="127"/>
      <c r="F494" s="128"/>
      <c r="J494" s="135" t="str">
        <f>IF($J$1="","",HLOOKUP($J$1,$M$1:$AAV$1000,494,0))</f>
        <v/>
      </c>
    </row>
    <row r="495" spans="1:10" x14ac:dyDescent="0.25">
      <c r="A495" s="127"/>
      <c r="C495" s="127"/>
      <c r="D495" s="127"/>
      <c r="E495" s="127"/>
      <c r="F495" s="128"/>
      <c r="J495" s="135" t="str">
        <f>IF($J$1="","",HLOOKUP($J$1,$M$1:$AAV$1000,495,0))</f>
        <v/>
      </c>
    </row>
    <row r="496" spans="1:10" x14ac:dyDescent="0.25">
      <c r="A496" s="127"/>
      <c r="C496" s="127"/>
      <c r="D496" s="127"/>
      <c r="E496" s="127"/>
      <c r="F496" s="128"/>
      <c r="J496" s="135" t="str">
        <f>IF($J$1="","",HLOOKUP($J$1,$M$1:$AAV$1000,496,0))</f>
        <v/>
      </c>
    </row>
    <row r="497" spans="1:10" x14ac:dyDescent="0.25">
      <c r="A497" s="127"/>
      <c r="C497" s="127"/>
      <c r="D497" s="127"/>
      <c r="E497" s="127"/>
      <c r="F497" s="128"/>
      <c r="J497" s="135" t="str">
        <f>IF($J$1="","",HLOOKUP($J$1,$M$1:$AAV$1000,497,0))</f>
        <v/>
      </c>
    </row>
    <row r="498" spans="1:10" x14ac:dyDescent="0.25">
      <c r="A498" s="127"/>
      <c r="C498" s="127"/>
      <c r="D498" s="127"/>
      <c r="E498" s="127"/>
      <c r="F498" s="128"/>
      <c r="J498" s="135" t="str">
        <f>IF($J$1="","",HLOOKUP($J$1,$M$1:$AAV$1000,498,0))</f>
        <v/>
      </c>
    </row>
    <row r="499" spans="1:10" x14ac:dyDescent="0.25">
      <c r="A499" s="127"/>
      <c r="C499" s="127"/>
      <c r="D499" s="127"/>
      <c r="E499" s="127"/>
      <c r="F499" s="128"/>
      <c r="J499" s="135" t="str">
        <f>IF($J$1="","",HLOOKUP($J$1,$M$1:$AAV$1000,499,0))</f>
        <v/>
      </c>
    </row>
    <row r="500" spans="1:10" x14ac:dyDescent="0.25">
      <c r="A500" s="127"/>
      <c r="C500" s="127"/>
      <c r="D500" s="127"/>
      <c r="E500" s="127"/>
      <c r="F500" s="128"/>
      <c r="J500" s="135" t="str">
        <f>IF($J$1="","",HLOOKUP($J$1,$M$1:$AAV$1000,500,0))</f>
        <v/>
      </c>
    </row>
    <row r="501" spans="1:10" x14ac:dyDescent="0.25">
      <c r="A501" s="127"/>
      <c r="C501" s="127"/>
      <c r="D501" s="127"/>
      <c r="E501" s="127"/>
      <c r="F501" s="128"/>
      <c r="J501" s="123" t="str">
        <f>IF($J$1="","",HLOOKUP($J$1,$M$1:$AAV$1000,501,0))</f>
        <v/>
      </c>
    </row>
    <row r="502" spans="1:10" x14ac:dyDescent="0.25">
      <c r="A502" s="127"/>
      <c r="C502" s="127"/>
      <c r="D502" s="127"/>
      <c r="E502" s="127"/>
      <c r="F502" s="128"/>
      <c r="J502" s="140" t="str">
        <f>IF($J$1="","",HLOOKUP($J$1,$M$1:$AAV$1000,502,0))</f>
        <v/>
      </c>
    </row>
    <row r="503" spans="1:10" x14ac:dyDescent="0.25">
      <c r="A503" s="127"/>
      <c r="C503" s="127"/>
      <c r="D503" s="127"/>
      <c r="E503" s="127"/>
      <c r="F503" s="128"/>
      <c r="J503" s="140" t="str">
        <f>IF($J$1="","",HLOOKUP($J$1,$M$1:$AAV$1000,503,0))</f>
        <v/>
      </c>
    </row>
    <row r="504" spans="1:10" x14ac:dyDescent="0.25">
      <c r="A504" s="127"/>
      <c r="C504" s="127"/>
      <c r="D504" s="127"/>
      <c r="E504" s="127"/>
      <c r="F504" s="128"/>
      <c r="J504" s="140" t="str">
        <f>IF($J$1="","",HLOOKUP($J$1,$M$1:$AAV$1000,504,0))</f>
        <v/>
      </c>
    </row>
    <row r="505" spans="1:10" x14ac:dyDescent="0.25">
      <c r="A505" s="127"/>
      <c r="C505" s="127"/>
      <c r="D505" s="127"/>
      <c r="E505" s="127"/>
      <c r="F505" s="128"/>
      <c r="J505" s="140" t="str">
        <f>IF($J$1="","",HLOOKUP($J$1,$M$1:$AAV$1000,505,0))</f>
        <v/>
      </c>
    </row>
    <row r="506" spans="1:10" x14ac:dyDescent="0.25">
      <c r="A506" s="127"/>
      <c r="C506" s="127"/>
      <c r="D506" s="127"/>
      <c r="E506" s="127"/>
      <c r="F506" s="128"/>
      <c r="J506" s="140" t="str">
        <f>IF($J$1="","",HLOOKUP($J$1,$M$1:$AAV$1000,506,0))</f>
        <v/>
      </c>
    </row>
    <row r="507" spans="1:10" x14ac:dyDescent="0.25">
      <c r="A507" s="127"/>
      <c r="C507" s="127"/>
      <c r="D507" s="127"/>
      <c r="E507" s="127"/>
      <c r="F507" s="128"/>
      <c r="J507" s="140" t="str">
        <f>IF($J$1="","",HLOOKUP($J$1,$M$1:$AAV$1000,507,0))</f>
        <v/>
      </c>
    </row>
    <row r="508" spans="1:10" x14ac:dyDescent="0.25">
      <c r="A508" s="127"/>
      <c r="C508" s="127"/>
      <c r="D508" s="127"/>
      <c r="E508" s="127"/>
      <c r="F508" s="128"/>
      <c r="J508" s="140" t="str">
        <f>IF($J$1="","",HLOOKUP($J$1,$M$1:$AAV$1000,508,0))</f>
        <v/>
      </c>
    </row>
    <row r="509" spans="1:10" x14ac:dyDescent="0.25">
      <c r="A509" s="127"/>
      <c r="C509" s="127"/>
      <c r="D509" s="127"/>
      <c r="E509" s="127"/>
      <c r="F509" s="128"/>
      <c r="J509" s="140" t="str">
        <f>IF($J$1="","",HLOOKUP($J$1,$M$1:$AAV$1000,509,0))</f>
        <v/>
      </c>
    </row>
    <row r="510" spans="1:10" x14ac:dyDescent="0.25">
      <c r="A510" s="127"/>
      <c r="C510" s="127"/>
      <c r="D510" s="127"/>
      <c r="E510" s="127"/>
      <c r="F510" s="128"/>
      <c r="J510" s="140" t="str">
        <f>IF($J$1="","",HLOOKUP($J$1,$M$1:$AAV$1000,510,0))</f>
        <v/>
      </c>
    </row>
    <row r="511" spans="1:10" x14ac:dyDescent="0.25">
      <c r="A511" s="127"/>
      <c r="C511" s="127"/>
      <c r="D511" s="127"/>
      <c r="E511" s="127"/>
      <c r="F511" s="128"/>
      <c r="J511" s="140" t="str">
        <f>IF($J$1="","",HLOOKUP($J$1,$M$1:$AAV$1000,511,0))</f>
        <v/>
      </c>
    </row>
    <row r="512" spans="1:10" x14ac:dyDescent="0.25">
      <c r="A512" s="127"/>
      <c r="C512" s="127"/>
      <c r="D512" s="127"/>
      <c r="E512" s="127"/>
      <c r="F512" s="128"/>
      <c r="J512" s="140" t="str">
        <f>IF($J$1="","",HLOOKUP($J$1,$M$1:$AAV$1000,512,0))</f>
        <v/>
      </c>
    </row>
    <row r="513" spans="1:10" x14ac:dyDescent="0.25">
      <c r="A513" s="127"/>
      <c r="C513" s="127"/>
      <c r="D513" s="127"/>
      <c r="E513" s="127"/>
      <c r="F513" s="128"/>
      <c r="J513" s="140" t="str">
        <f>IF($J$1="","",HLOOKUP($J$1,$M$1:$AAV$1000,513,0))</f>
        <v/>
      </c>
    </row>
    <row r="514" spans="1:10" x14ac:dyDescent="0.25">
      <c r="A514" s="127"/>
      <c r="C514" s="127"/>
      <c r="D514" s="127"/>
      <c r="E514" s="127"/>
      <c r="F514" s="128"/>
      <c r="J514" s="140" t="str">
        <f>IF($J$1="","",HLOOKUP($J$1,$M$1:$AAV$1000,514,0))</f>
        <v/>
      </c>
    </row>
    <row r="515" spans="1:10" x14ac:dyDescent="0.25">
      <c r="A515" s="127"/>
      <c r="C515" s="127"/>
      <c r="D515" s="127"/>
      <c r="E515" s="127"/>
      <c r="F515" s="128"/>
      <c r="J515" s="140" t="str">
        <f>IF($J$1="","",HLOOKUP($J$1,$M$1:$AAV$1000,515,0))</f>
        <v/>
      </c>
    </row>
    <row r="516" spans="1:10" x14ac:dyDescent="0.25">
      <c r="A516" s="127"/>
      <c r="C516" s="127"/>
      <c r="D516" s="127"/>
      <c r="E516" s="127"/>
      <c r="F516" s="128"/>
      <c r="J516" s="140" t="str">
        <f>IF($J$1="","",HLOOKUP($J$1,$M$1:$AAV$1000,516,0))</f>
        <v/>
      </c>
    </row>
    <row r="517" spans="1:10" x14ac:dyDescent="0.25">
      <c r="A517" s="127"/>
      <c r="C517" s="127"/>
      <c r="D517" s="127"/>
      <c r="E517" s="127"/>
      <c r="F517" s="128"/>
      <c r="J517" s="140" t="str">
        <f>IF($J$1="","",HLOOKUP($J$1,$M$1:$AAV$1000,517,0))</f>
        <v/>
      </c>
    </row>
    <row r="518" spans="1:10" x14ac:dyDescent="0.25">
      <c r="A518" s="127"/>
      <c r="C518" s="127"/>
      <c r="D518" s="127"/>
      <c r="E518" s="127"/>
      <c r="F518" s="128"/>
      <c r="J518" s="140" t="str">
        <f>IF($J$1="","",HLOOKUP($J$1,$M$1:$AAV$1000,518,0))</f>
        <v/>
      </c>
    </row>
    <row r="519" spans="1:10" x14ac:dyDescent="0.25">
      <c r="A519" s="127"/>
      <c r="C519" s="127"/>
      <c r="D519" s="127"/>
      <c r="E519" s="127"/>
      <c r="F519" s="128"/>
      <c r="J519" s="140" t="str">
        <f>IF($J$1="","",HLOOKUP($J$1,$M$1:$AAV$1000,519,0))</f>
        <v/>
      </c>
    </row>
    <row r="520" spans="1:10" x14ac:dyDescent="0.25">
      <c r="A520" s="127"/>
      <c r="C520" s="127"/>
      <c r="D520" s="127"/>
      <c r="E520" s="127"/>
      <c r="F520" s="128"/>
      <c r="J520" s="140" t="str">
        <f>IF($J$1="","",HLOOKUP($J$1,$M$1:$AAV$1000,520,0))</f>
        <v/>
      </c>
    </row>
    <row r="521" spans="1:10" x14ac:dyDescent="0.25">
      <c r="A521" s="127"/>
      <c r="C521" s="127"/>
      <c r="D521" s="127"/>
      <c r="E521" s="127"/>
      <c r="F521" s="128"/>
      <c r="J521" s="140" t="str">
        <f>IF($J$1="","",HLOOKUP($J$1,$M$1:$AAV$1000,521,0))</f>
        <v/>
      </c>
    </row>
    <row r="522" spans="1:10" x14ac:dyDescent="0.25">
      <c r="A522" s="127"/>
      <c r="C522" s="127"/>
      <c r="D522" s="127"/>
      <c r="E522" s="127"/>
      <c r="F522" s="128"/>
      <c r="J522" s="140" t="str">
        <f>IF($J$1="","",HLOOKUP($J$1,$M$1:$AAV$1000,522,0))</f>
        <v/>
      </c>
    </row>
    <row r="523" spans="1:10" x14ac:dyDescent="0.25">
      <c r="A523" s="127"/>
      <c r="C523" s="127"/>
      <c r="D523" s="127"/>
      <c r="E523" s="127"/>
      <c r="F523" s="128"/>
      <c r="J523" s="140" t="str">
        <f>IF($J$1="","",HLOOKUP($J$1,$M$1:$AAV$1000,523,0))</f>
        <v/>
      </c>
    </row>
    <row r="524" spans="1:10" x14ac:dyDescent="0.25">
      <c r="A524" s="127"/>
      <c r="C524" s="127"/>
      <c r="D524" s="127"/>
      <c r="E524" s="127"/>
      <c r="F524" s="128"/>
      <c r="J524" s="140" t="str">
        <f>IF($J$1="","",HLOOKUP($J$1,$M$1:$AAV$1000,524,0))</f>
        <v/>
      </c>
    </row>
    <row r="525" spans="1:10" x14ac:dyDescent="0.25">
      <c r="A525" s="127"/>
      <c r="C525" s="127"/>
      <c r="D525" s="127"/>
      <c r="E525" s="127"/>
      <c r="F525" s="128"/>
      <c r="J525" s="140" t="str">
        <f>IF($J$1="","",HLOOKUP($J$1,$M$1:$AAV$1000,525,0))</f>
        <v/>
      </c>
    </row>
    <row r="526" spans="1:10" x14ac:dyDescent="0.25">
      <c r="A526" s="127"/>
      <c r="C526" s="127"/>
      <c r="D526" s="127"/>
      <c r="E526" s="127"/>
      <c r="F526" s="128"/>
      <c r="J526" s="140" t="str">
        <f>IF($J$1="","",HLOOKUP($J$1,$M$1:$AAV$1000,526,0))</f>
        <v/>
      </c>
    </row>
    <row r="527" spans="1:10" x14ac:dyDescent="0.25">
      <c r="A527" s="127"/>
      <c r="C527" s="127"/>
      <c r="D527" s="127"/>
      <c r="E527" s="127"/>
      <c r="F527" s="128"/>
      <c r="J527" s="140" t="str">
        <f>IF($J$1="","",HLOOKUP($J$1,$M$1:$AAV$1000,527,0))</f>
        <v/>
      </c>
    </row>
    <row r="528" spans="1:10" x14ac:dyDescent="0.25">
      <c r="A528" s="127"/>
      <c r="C528" s="127"/>
      <c r="D528" s="127"/>
      <c r="E528" s="127"/>
      <c r="F528" s="128"/>
      <c r="J528" s="140" t="str">
        <f>IF($J$1="","",HLOOKUP($J$1,$M$1:$AAV$1000,528,0))</f>
        <v/>
      </c>
    </row>
    <row r="529" spans="1:10" x14ac:dyDescent="0.25">
      <c r="A529" s="127"/>
      <c r="C529" s="127"/>
      <c r="D529" s="127"/>
      <c r="E529" s="127"/>
      <c r="F529" s="128"/>
      <c r="J529" s="140" t="str">
        <f>IF($J$1="","",HLOOKUP($J$1,$M$1:$AAV$1000,529,0))</f>
        <v/>
      </c>
    </row>
    <row r="530" spans="1:10" x14ac:dyDescent="0.25">
      <c r="A530" s="127"/>
      <c r="C530" s="127"/>
      <c r="D530" s="127"/>
      <c r="E530" s="127"/>
      <c r="F530" s="128"/>
      <c r="J530" s="140" t="str">
        <f>IF($J$1="","",HLOOKUP($J$1,$M$1:$AAV$1000,530,0))</f>
        <v/>
      </c>
    </row>
    <row r="531" spans="1:10" x14ac:dyDescent="0.25">
      <c r="A531" s="127"/>
      <c r="C531" s="127"/>
      <c r="D531" s="127"/>
      <c r="E531" s="127"/>
      <c r="F531" s="128"/>
      <c r="J531" s="140" t="str">
        <f>IF($J$1="","",HLOOKUP($J$1,$M$1:$AAV$1000,531,0))</f>
        <v/>
      </c>
    </row>
    <row r="532" spans="1:10" x14ac:dyDescent="0.25">
      <c r="A532" s="127"/>
      <c r="C532" s="127"/>
      <c r="D532" s="127"/>
      <c r="E532" s="127"/>
      <c r="F532" s="128"/>
      <c r="J532" s="140" t="str">
        <f>IF($J$1="","",HLOOKUP($J$1,$M$1:$AAV$1000,532,0))</f>
        <v/>
      </c>
    </row>
    <row r="533" spans="1:10" x14ac:dyDescent="0.25">
      <c r="A533" s="127"/>
      <c r="C533" s="127"/>
      <c r="D533" s="127"/>
      <c r="E533" s="127"/>
      <c r="F533" s="128"/>
      <c r="J533" s="140" t="str">
        <f>IF($J$1="","",HLOOKUP($J$1,$M$1:$AAV$1000,533,0))</f>
        <v/>
      </c>
    </row>
    <row r="534" spans="1:10" x14ac:dyDescent="0.25">
      <c r="A534" s="127"/>
      <c r="C534" s="127"/>
      <c r="D534" s="127"/>
      <c r="E534" s="127"/>
      <c r="F534" s="128"/>
      <c r="J534" s="140" t="str">
        <f>IF($J$1="","",HLOOKUP($J$1,$M$1:$AAV$1000,534,0))</f>
        <v/>
      </c>
    </row>
    <row r="535" spans="1:10" x14ac:dyDescent="0.25">
      <c r="A535" s="127"/>
      <c r="C535" s="127"/>
      <c r="D535" s="127"/>
      <c r="E535" s="127"/>
      <c r="F535" s="128"/>
      <c r="J535" s="140" t="str">
        <f>IF($J$1="","",HLOOKUP($J$1,$M$1:$AAV$1000,535,0))</f>
        <v/>
      </c>
    </row>
    <row r="536" spans="1:10" x14ac:dyDescent="0.25">
      <c r="A536" s="127"/>
      <c r="C536" s="127"/>
      <c r="D536" s="127"/>
      <c r="E536" s="127"/>
      <c r="F536" s="128"/>
      <c r="J536" s="140" t="str">
        <f>IF($J$1="","",HLOOKUP($J$1,$M$1:$AAV$1000,536,0))</f>
        <v/>
      </c>
    </row>
    <row r="537" spans="1:10" x14ac:dyDescent="0.25">
      <c r="A537" s="127"/>
      <c r="C537" s="127"/>
      <c r="D537" s="127"/>
      <c r="E537" s="127"/>
      <c r="F537" s="128"/>
      <c r="J537" s="140" t="str">
        <f>IF($J$1="","",HLOOKUP($J$1,$M$1:$AAV$1000,537,0))</f>
        <v/>
      </c>
    </row>
    <row r="538" spans="1:10" x14ac:dyDescent="0.25">
      <c r="A538" s="127"/>
      <c r="C538" s="127"/>
      <c r="D538" s="127"/>
      <c r="E538" s="127"/>
      <c r="F538" s="128"/>
      <c r="J538" s="140" t="str">
        <f>IF($J$1="","",HLOOKUP($J$1,$M$1:$AAV$1000,538,0))</f>
        <v/>
      </c>
    </row>
    <row r="539" spans="1:10" x14ac:dyDescent="0.25">
      <c r="A539" s="127"/>
      <c r="C539" s="127"/>
      <c r="D539" s="127"/>
      <c r="E539" s="127"/>
      <c r="F539" s="128"/>
      <c r="J539" s="140" t="str">
        <f>IF($J$1="","",HLOOKUP($J$1,$M$1:$AAV$1000,539,0))</f>
        <v/>
      </c>
    </row>
    <row r="540" spans="1:10" x14ac:dyDescent="0.25">
      <c r="A540" s="127"/>
      <c r="C540" s="127"/>
      <c r="D540" s="127"/>
      <c r="E540" s="127"/>
      <c r="F540" s="128"/>
      <c r="J540" s="140" t="str">
        <f>IF($J$1="","",HLOOKUP($J$1,$M$1:$AAV$1000,540,0))</f>
        <v/>
      </c>
    </row>
    <row r="541" spans="1:10" x14ac:dyDescent="0.25">
      <c r="A541" s="127"/>
      <c r="C541" s="127"/>
      <c r="D541" s="127"/>
      <c r="E541" s="127"/>
      <c r="F541" s="128"/>
      <c r="J541" s="140" t="str">
        <f>IF($J$1="","",HLOOKUP($J$1,$M$1:$AAV$1000,541,0))</f>
        <v/>
      </c>
    </row>
    <row r="542" spans="1:10" x14ac:dyDescent="0.25">
      <c r="A542" s="127"/>
      <c r="C542" s="127"/>
      <c r="D542" s="127"/>
      <c r="E542" s="127"/>
      <c r="F542" s="128"/>
      <c r="J542" s="140" t="str">
        <f>IF($J$1="","",HLOOKUP($J$1,$M$1:$AAV$1000,542,0))</f>
        <v/>
      </c>
    </row>
    <row r="543" spans="1:10" x14ac:dyDescent="0.25">
      <c r="A543" s="127"/>
      <c r="C543" s="127"/>
      <c r="D543" s="127"/>
      <c r="E543" s="127"/>
      <c r="F543" s="128"/>
      <c r="J543" s="140" t="str">
        <f>IF($J$1="","",HLOOKUP($J$1,$M$1:$AAV$1000,543,0))</f>
        <v/>
      </c>
    </row>
    <row r="544" spans="1:10" x14ac:dyDescent="0.25">
      <c r="A544" s="127"/>
      <c r="C544" s="127"/>
      <c r="D544" s="127"/>
      <c r="E544" s="127"/>
      <c r="F544" s="128"/>
      <c r="J544" s="140" t="str">
        <f>IF($J$1="","",HLOOKUP($J$1,$M$1:$AAV$1000,544,0))</f>
        <v/>
      </c>
    </row>
    <row r="545" spans="1:10" x14ac:dyDescent="0.25">
      <c r="A545" s="127"/>
      <c r="C545" s="127"/>
      <c r="D545" s="127"/>
      <c r="E545" s="127"/>
      <c r="F545" s="128"/>
      <c r="J545" s="140" t="str">
        <f>IF($J$1="","",HLOOKUP($J$1,$M$1:$AAV$1000,545,0))</f>
        <v/>
      </c>
    </row>
    <row r="546" spans="1:10" x14ac:dyDescent="0.25">
      <c r="A546" s="127"/>
      <c r="C546" s="127"/>
      <c r="D546" s="127"/>
      <c r="E546" s="127"/>
      <c r="F546" s="128"/>
      <c r="J546" s="140" t="str">
        <f>IF($J$1="","",HLOOKUP($J$1,$M$1:$AAV$1000,546,0))</f>
        <v/>
      </c>
    </row>
    <row r="547" spans="1:10" x14ac:dyDescent="0.25">
      <c r="A547" s="127"/>
      <c r="C547" s="127"/>
      <c r="D547" s="127"/>
      <c r="E547" s="127"/>
      <c r="F547" s="128"/>
      <c r="J547" s="140" t="str">
        <f>IF($J$1="","",HLOOKUP($J$1,$M$1:$AAV$1000,547,0))</f>
        <v/>
      </c>
    </row>
    <row r="548" spans="1:10" x14ac:dyDescent="0.25">
      <c r="A548" s="127"/>
      <c r="C548" s="127"/>
      <c r="D548" s="127"/>
      <c r="E548" s="127"/>
      <c r="F548" s="128"/>
      <c r="J548" s="140" t="str">
        <f>IF($J$1="","",HLOOKUP($J$1,$M$1:$AAV$1000,548,0))</f>
        <v/>
      </c>
    </row>
    <row r="549" spans="1:10" x14ac:dyDescent="0.25">
      <c r="A549" s="127"/>
      <c r="C549" s="127"/>
      <c r="D549" s="127"/>
      <c r="E549" s="127"/>
      <c r="F549" s="128"/>
      <c r="J549" s="140" t="str">
        <f>IF($J$1="","",HLOOKUP($J$1,$M$1:$AAV$1000,549,0))</f>
        <v/>
      </c>
    </row>
    <row r="550" spans="1:10" x14ac:dyDescent="0.25">
      <c r="A550" s="127"/>
      <c r="C550" s="127"/>
      <c r="D550" s="127"/>
      <c r="E550" s="127"/>
      <c r="F550" s="128"/>
      <c r="J550" s="140" t="str">
        <f>IF($J$1="","",HLOOKUP($J$1,$M$1:$AAV$1000,550,0))</f>
        <v/>
      </c>
    </row>
    <row r="551" spans="1:10" x14ac:dyDescent="0.25">
      <c r="A551" s="127"/>
      <c r="C551" s="127"/>
      <c r="D551" s="127"/>
      <c r="E551" s="127"/>
      <c r="F551" s="128"/>
      <c r="J551" s="140" t="str">
        <f>IF($J$1="","",HLOOKUP($J$1,$M$1:$AAV$1000,551,0))</f>
        <v/>
      </c>
    </row>
    <row r="552" spans="1:10" x14ac:dyDescent="0.25">
      <c r="A552" s="127"/>
      <c r="C552" s="127"/>
      <c r="D552" s="127"/>
      <c r="E552" s="127"/>
      <c r="F552" s="128"/>
      <c r="J552" s="140" t="str">
        <f>IF($J$1="","",HLOOKUP($J$1,$M$1:$AAV$1000,552,0))</f>
        <v/>
      </c>
    </row>
    <row r="553" spans="1:10" x14ac:dyDescent="0.25">
      <c r="A553" s="127"/>
      <c r="C553" s="127"/>
      <c r="D553" s="127"/>
      <c r="E553" s="127"/>
      <c r="F553" s="128"/>
      <c r="J553" s="140" t="str">
        <f>IF($J$1="","",HLOOKUP($J$1,$M$1:$AAV$1000,553,0))</f>
        <v/>
      </c>
    </row>
    <row r="554" spans="1:10" x14ac:dyDescent="0.25">
      <c r="A554" s="127"/>
      <c r="C554" s="127"/>
      <c r="D554" s="127"/>
      <c r="E554" s="127"/>
      <c r="F554" s="128"/>
      <c r="J554" s="140" t="str">
        <f>IF($J$1="","",HLOOKUP($J$1,$M$1:$AAV$1000,554,0))</f>
        <v/>
      </c>
    </row>
    <row r="555" spans="1:10" x14ac:dyDescent="0.25">
      <c r="A555" s="127"/>
      <c r="C555" s="127"/>
      <c r="D555" s="127"/>
      <c r="E555" s="127"/>
      <c r="F555" s="128"/>
      <c r="J555" s="140" t="str">
        <f>IF($J$1="","",HLOOKUP($J$1,$M$1:$AAV$1000,555,0))</f>
        <v/>
      </c>
    </row>
    <row r="556" spans="1:10" x14ac:dyDescent="0.25">
      <c r="A556" s="127"/>
      <c r="C556" s="127"/>
      <c r="D556" s="127"/>
      <c r="E556" s="127"/>
      <c r="F556" s="128"/>
      <c r="J556" s="140" t="str">
        <f>IF($J$1="","",HLOOKUP($J$1,$M$1:$AAV$1000,556,0))</f>
        <v/>
      </c>
    </row>
    <row r="557" spans="1:10" x14ac:dyDescent="0.25">
      <c r="A557" s="127"/>
      <c r="C557" s="127"/>
      <c r="D557" s="127"/>
      <c r="E557" s="127"/>
      <c r="F557" s="128"/>
      <c r="J557" s="140" t="str">
        <f>IF($J$1="","",HLOOKUP($J$1,$M$1:$AAV$1000,557,0))</f>
        <v/>
      </c>
    </row>
    <row r="558" spans="1:10" x14ac:dyDescent="0.25">
      <c r="A558" s="127"/>
      <c r="C558" s="127"/>
      <c r="D558" s="127"/>
      <c r="E558" s="127"/>
      <c r="F558" s="128"/>
      <c r="J558" s="140" t="str">
        <f>IF($J$1="","",HLOOKUP($J$1,$M$1:$AAV$1000,558,0))</f>
        <v/>
      </c>
    </row>
    <row r="559" spans="1:10" x14ac:dyDescent="0.25">
      <c r="A559" s="127"/>
      <c r="C559" s="127"/>
      <c r="D559" s="127"/>
      <c r="E559" s="127"/>
      <c r="F559" s="128"/>
      <c r="J559" s="140" t="str">
        <f>IF($J$1="","",HLOOKUP($J$1,$M$1:$AAV$1000,559,0))</f>
        <v/>
      </c>
    </row>
    <row r="560" spans="1:10" x14ac:dyDescent="0.25">
      <c r="A560" s="127"/>
      <c r="C560" s="127"/>
      <c r="D560" s="127"/>
      <c r="E560" s="127"/>
      <c r="F560" s="128"/>
      <c r="J560" s="140" t="str">
        <f>IF($J$1="","",HLOOKUP($J$1,$M$1:$AAV$1000,560,0))</f>
        <v/>
      </c>
    </row>
    <row r="561" spans="1:10" x14ac:dyDescent="0.25">
      <c r="A561" s="127"/>
      <c r="C561" s="127"/>
      <c r="D561" s="127"/>
      <c r="E561" s="127"/>
      <c r="F561" s="128"/>
      <c r="J561" s="140" t="str">
        <f>IF($J$1="","",HLOOKUP($J$1,$M$1:$AAV$1000,561,0))</f>
        <v/>
      </c>
    </row>
    <row r="562" spans="1:10" x14ac:dyDescent="0.25">
      <c r="A562" s="127"/>
      <c r="C562" s="127"/>
      <c r="D562" s="127"/>
      <c r="E562" s="127"/>
      <c r="F562" s="128"/>
      <c r="J562" s="140" t="str">
        <f>IF($J$1="","",HLOOKUP($J$1,$M$1:$AAV$1000,562,0))</f>
        <v/>
      </c>
    </row>
    <row r="563" spans="1:10" x14ac:dyDescent="0.25">
      <c r="A563" s="127"/>
      <c r="C563" s="127"/>
      <c r="D563" s="127"/>
      <c r="E563" s="127"/>
      <c r="F563" s="128"/>
      <c r="J563" s="140" t="str">
        <f>IF($J$1="","",HLOOKUP($J$1,$M$1:$AAV$1000,563,0))</f>
        <v/>
      </c>
    </row>
    <row r="564" spans="1:10" x14ac:dyDescent="0.25">
      <c r="A564" s="127"/>
      <c r="C564" s="127"/>
      <c r="D564" s="127"/>
      <c r="E564" s="127"/>
      <c r="F564" s="128"/>
      <c r="J564" s="140" t="str">
        <f>IF($J$1="","",HLOOKUP($J$1,$M$1:$AAV$1000,564,0))</f>
        <v/>
      </c>
    </row>
    <row r="565" spans="1:10" x14ac:dyDescent="0.25">
      <c r="A565" s="127"/>
      <c r="C565" s="127"/>
      <c r="D565" s="127"/>
      <c r="E565" s="127"/>
      <c r="F565" s="128"/>
      <c r="J565" s="140" t="str">
        <f>IF($J$1="","",HLOOKUP($J$1,$M$1:$AAV$1000,565,0))</f>
        <v/>
      </c>
    </row>
    <row r="566" spans="1:10" x14ac:dyDescent="0.25">
      <c r="A566" s="127"/>
      <c r="C566" s="127"/>
      <c r="D566" s="127"/>
      <c r="E566" s="127"/>
      <c r="F566" s="128"/>
      <c r="J566" s="140" t="str">
        <f>IF($J$1="","",HLOOKUP($J$1,$M$1:$AAV$1000,566,0))</f>
        <v/>
      </c>
    </row>
    <row r="567" spans="1:10" x14ac:dyDescent="0.25">
      <c r="A567" s="127"/>
      <c r="C567" s="127"/>
      <c r="D567" s="127"/>
      <c r="E567" s="127"/>
      <c r="F567" s="128"/>
      <c r="J567" s="140" t="str">
        <f>IF($J$1="","",HLOOKUP($J$1,$M$1:$AAV$1000,567,0))</f>
        <v/>
      </c>
    </row>
    <row r="568" spans="1:10" x14ac:dyDescent="0.25">
      <c r="A568" s="127"/>
      <c r="C568" s="127"/>
      <c r="D568" s="127"/>
      <c r="E568" s="127"/>
      <c r="F568" s="128"/>
      <c r="J568" s="140" t="str">
        <f>IF($J$1="","",HLOOKUP($J$1,$M$1:$AAV$1000,568,0))</f>
        <v/>
      </c>
    </row>
    <row r="569" spans="1:10" x14ac:dyDescent="0.25">
      <c r="A569" s="127"/>
      <c r="C569" s="127"/>
      <c r="D569" s="127"/>
      <c r="E569" s="127"/>
      <c r="F569" s="128"/>
      <c r="J569" s="140" t="str">
        <f>IF($J$1="","",HLOOKUP($J$1,$M$1:$AAV$1000,569,0))</f>
        <v/>
      </c>
    </row>
    <row r="570" spans="1:10" x14ac:dyDescent="0.25">
      <c r="A570" s="127"/>
      <c r="C570" s="127"/>
      <c r="D570" s="127"/>
      <c r="E570" s="127"/>
      <c r="F570" s="128"/>
      <c r="J570" s="140" t="str">
        <f>IF($J$1="","",HLOOKUP($J$1,$M$1:$AAV$1000,570,0))</f>
        <v/>
      </c>
    </row>
    <row r="571" spans="1:10" x14ac:dyDescent="0.25">
      <c r="A571" s="127"/>
      <c r="C571" s="127"/>
      <c r="D571" s="127"/>
      <c r="E571" s="127"/>
      <c r="F571" s="128"/>
      <c r="J571" s="140" t="str">
        <f>IF($J$1="","",HLOOKUP($J$1,$M$1:$AAV$1000,571,0))</f>
        <v/>
      </c>
    </row>
    <row r="572" spans="1:10" x14ac:dyDescent="0.25">
      <c r="A572" s="127"/>
      <c r="C572" s="127"/>
      <c r="D572" s="127"/>
      <c r="E572" s="127"/>
      <c r="F572" s="128"/>
      <c r="J572" s="140" t="str">
        <f>IF($J$1="","",HLOOKUP($J$1,$M$1:$AAV$1000,572,0))</f>
        <v/>
      </c>
    </row>
    <row r="573" spans="1:10" x14ac:dyDescent="0.25">
      <c r="A573" s="127"/>
      <c r="C573" s="127"/>
      <c r="D573" s="127"/>
      <c r="E573" s="127"/>
      <c r="F573" s="128"/>
      <c r="J573" s="140" t="str">
        <f>IF($J$1="","",HLOOKUP($J$1,$M$1:$AAV$1000,573,0))</f>
        <v/>
      </c>
    </row>
    <row r="574" spans="1:10" x14ac:dyDescent="0.25">
      <c r="A574" s="127"/>
      <c r="C574" s="127"/>
      <c r="D574" s="127"/>
      <c r="E574" s="127"/>
      <c r="F574" s="128"/>
      <c r="J574" s="140" t="str">
        <f>IF($J$1="","",HLOOKUP($J$1,$M$1:$AAV$1000,574,0))</f>
        <v/>
      </c>
    </row>
    <row r="575" spans="1:10" x14ac:dyDescent="0.25">
      <c r="A575" s="127"/>
      <c r="C575" s="127"/>
      <c r="D575" s="127"/>
      <c r="E575" s="127"/>
      <c r="F575" s="128"/>
      <c r="J575" s="140" t="str">
        <f>IF($J$1="","",HLOOKUP($J$1,$M$1:$AAV$1000,575,0))</f>
        <v/>
      </c>
    </row>
    <row r="576" spans="1:10" x14ac:dyDescent="0.25">
      <c r="A576" s="127"/>
      <c r="C576" s="127"/>
      <c r="D576" s="127"/>
      <c r="E576" s="127"/>
      <c r="F576" s="128"/>
      <c r="J576" s="140" t="str">
        <f>IF($J$1="","",HLOOKUP($J$1,$M$1:$AAV$1000,576,0))</f>
        <v/>
      </c>
    </row>
    <row r="577" spans="1:10" x14ac:dyDescent="0.25">
      <c r="A577" s="127"/>
      <c r="C577" s="127"/>
      <c r="D577" s="127"/>
      <c r="E577" s="127"/>
      <c r="F577" s="128"/>
      <c r="J577" s="140" t="str">
        <f>IF($J$1="","",HLOOKUP($J$1,$M$1:$AAV$1000,577,0))</f>
        <v/>
      </c>
    </row>
    <row r="578" spans="1:10" x14ac:dyDescent="0.25">
      <c r="A578" s="127"/>
      <c r="C578" s="127"/>
      <c r="D578" s="127"/>
      <c r="E578" s="127"/>
      <c r="F578" s="128"/>
      <c r="J578" s="140" t="str">
        <f>IF($J$1="","",HLOOKUP($J$1,$M$1:$AAV$1000,578,0))</f>
        <v/>
      </c>
    </row>
    <row r="579" spans="1:10" x14ac:dyDescent="0.25">
      <c r="A579" s="127"/>
      <c r="C579" s="127"/>
      <c r="D579" s="127"/>
      <c r="E579" s="127"/>
      <c r="F579" s="128"/>
      <c r="J579" s="140" t="str">
        <f>IF($J$1="","",HLOOKUP($J$1,$M$1:$AAV$1000,579,0))</f>
        <v/>
      </c>
    </row>
    <row r="580" spans="1:10" x14ac:dyDescent="0.25">
      <c r="A580" s="127"/>
      <c r="C580" s="127"/>
      <c r="D580" s="127"/>
      <c r="E580" s="127"/>
      <c r="F580" s="128"/>
      <c r="J580" s="140" t="str">
        <f>IF($J$1="","",HLOOKUP($J$1,$M$1:$AAV$1000,580,0))</f>
        <v/>
      </c>
    </row>
    <row r="581" spans="1:10" x14ac:dyDescent="0.25">
      <c r="A581" s="127"/>
      <c r="C581" s="127"/>
      <c r="D581" s="127"/>
      <c r="E581" s="127"/>
      <c r="F581" s="128"/>
      <c r="J581" s="140" t="str">
        <f>IF($J$1="","",HLOOKUP($J$1,$M$1:$AAV$1000,581,0))</f>
        <v/>
      </c>
    </row>
    <row r="582" spans="1:10" x14ac:dyDescent="0.25">
      <c r="A582" s="127"/>
      <c r="C582" s="127"/>
      <c r="D582" s="127"/>
      <c r="E582" s="127"/>
      <c r="F582" s="128"/>
      <c r="J582" s="140" t="str">
        <f>IF($J$1="","",HLOOKUP($J$1,$M$1:$AAV$1000,582,0))</f>
        <v/>
      </c>
    </row>
    <row r="583" spans="1:10" x14ac:dyDescent="0.25">
      <c r="A583" s="127"/>
      <c r="C583" s="127"/>
      <c r="D583" s="127"/>
      <c r="E583" s="127"/>
      <c r="F583" s="128"/>
      <c r="J583" s="140" t="str">
        <f>IF($J$1="","",HLOOKUP($J$1,$M$1:$AAV$1000,583,0))</f>
        <v/>
      </c>
    </row>
    <row r="584" spans="1:10" x14ac:dyDescent="0.25">
      <c r="A584" s="127"/>
      <c r="C584" s="127"/>
      <c r="D584" s="127"/>
      <c r="E584" s="127"/>
      <c r="F584" s="128"/>
      <c r="J584" s="140" t="str">
        <f>IF($J$1="","",HLOOKUP($J$1,$M$1:$AAV$1000,584,0))</f>
        <v/>
      </c>
    </row>
    <row r="585" spans="1:10" x14ac:dyDescent="0.25">
      <c r="A585" s="127"/>
      <c r="C585" s="127"/>
      <c r="D585" s="127"/>
      <c r="E585" s="127"/>
      <c r="F585" s="128"/>
      <c r="J585" s="140" t="str">
        <f>IF($J$1="","",HLOOKUP($J$1,$M$1:$AAV$1000,585,0))</f>
        <v/>
      </c>
    </row>
    <row r="586" spans="1:10" x14ac:dyDescent="0.25">
      <c r="A586" s="127"/>
      <c r="C586" s="127"/>
      <c r="D586" s="127"/>
      <c r="E586" s="127"/>
      <c r="F586" s="128"/>
      <c r="J586" s="140" t="str">
        <f>IF($J$1="","",HLOOKUP($J$1,$M$1:$AAV$1000,586,0))</f>
        <v/>
      </c>
    </row>
    <row r="587" spans="1:10" x14ac:dyDescent="0.25">
      <c r="A587" s="127"/>
      <c r="C587" s="127"/>
      <c r="D587" s="127"/>
      <c r="E587" s="127"/>
      <c r="F587" s="128"/>
      <c r="J587" s="140" t="str">
        <f>IF($J$1="","",HLOOKUP($J$1,$M$1:$AAV$1000,587,0))</f>
        <v/>
      </c>
    </row>
    <row r="588" spans="1:10" x14ac:dyDescent="0.25">
      <c r="A588" s="127"/>
      <c r="C588" s="127"/>
      <c r="D588" s="127"/>
      <c r="E588" s="127"/>
      <c r="F588" s="128"/>
      <c r="J588" s="140" t="str">
        <f>IF($J$1="","",HLOOKUP($J$1,$M$1:$AAV$1000,588,0))</f>
        <v/>
      </c>
    </row>
    <row r="589" spans="1:10" x14ac:dyDescent="0.25">
      <c r="A589" s="127"/>
      <c r="C589" s="127"/>
      <c r="D589" s="127"/>
      <c r="E589" s="127"/>
      <c r="F589" s="128"/>
      <c r="J589" s="140" t="str">
        <f>IF($J$1="","",HLOOKUP($J$1,$M$1:$AAV$1000,589,0))</f>
        <v/>
      </c>
    </row>
    <row r="590" spans="1:10" x14ac:dyDescent="0.25">
      <c r="A590" s="127"/>
      <c r="C590" s="127"/>
      <c r="D590" s="127"/>
      <c r="E590" s="127"/>
      <c r="F590" s="128"/>
      <c r="J590" s="140" t="str">
        <f>IF($J$1="","",HLOOKUP($J$1,$M$1:$AAV$1000,590,0))</f>
        <v/>
      </c>
    </row>
    <row r="591" spans="1:10" x14ac:dyDescent="0.25">
      <c r="A591" s="127"/>
      <c r="C591" s="127"/>
      <c r="D591" s="127"/>
      <c r="E591" s="127"/>
      <c r="F591" s="128"/>
      <c r="J591" s="140" t="str">
        <f>IF($J$1="","",HLOOKUP($J$1,$M$1:$AAV$1000,591,0))</f>
        <v/>
      </c>
    </row>
    <row r="592" spans="1:10" x14ac:dyDescent="0.25">
      <c r="A592" s="127"/>
      <c r="C592" s="127"/>
      <c r="D592" s="127"/>
      <c r="E592" s="127"/>
      <c r="F592" s="128"/>
      <c r="J592" s="140" t="str">
        <f>IF($J$1="","",HLOOKUP($J$1,$M$1:$AAV$1000,592,0))</f>
        <v/>
      </c>
    </row>
    <row r="593" spans="1:10" x14ac:dyDescent="0.25">
      <c r="A593" s="127"/>
      <c r="C593" s="127"/>
      <c r="D593" s="127"/>
      <c r="E593" s="127"/>
      <c r="F593" s="128"/>
      <c r="J593" s="140" t="str">
        <f>IF($J$1="","",HLOOKUP($J$1,$M$1:$AAV$1000,593,0))</f>
        <v/>
      </c>
    </row>
    <row r="594" spans="1:10" x14ac:dyDescent="0.25">
      <c r="A594" s="127"/>
      <c r="C594" s="127"/>
      <c r="D594" s="127"/>
      <c r="E594" s="127"/>
      <c r="F594" s="128"/>
      <c r="J594" s="140" t="str">
        <f>IF($J$1="","",HLOOKUP($J$1,$M$1:$AAV$1000,594,0))</f>
        <v/>
      </c>
    </row>
    <row r="595" spans="1:10" x14ac:dyDescent="0.25">
      <c r="A595" s="127"/>
      <c r="C595" s="127"/>
      <c r="D595" s="127"/>
      <c r="E595" s="127"/>
      <c r="F595" s="128"/>
      <c r="J595" s="140" t="str">
        <f>IF($J$1="","",HLOOKUP($J$1,$M$1:$AAV$1000,595,0))</f>
        <v/>
      </c>
    </row>
    <row r="596" spans="1:10" x14ac:dyDescent="0.25">
      <c r="A596" s="127"/>
      <c r="C596" s="127"/>
      <c r="D596" s="127"/>
      <c r="E596" s="127"/>
      <c r="F596" s="128"/>
      <c r="J596" s="140" t="str">
        <f>IF($J$1="","",HLOOKUP($J$1,$M$1:$AAV$1000,596,0))</f>
        <v/>
      </c>
    </row>
    <row r="597" spans="1:10" x14ac:dyDescent="0.25">
      <c r="A597" s="127"/>
      <c r="C597" s="127"/>
      <c r="D597" s="127"/>
      <c r="E597" s="127"/>
      <c r="F597" s="128"/>
      <c r="J597" s="140" t="str">
        <f>IF($J$1="","",HLOOKUP($J$1,$M$1:$AAV$1000,597,0))</f>
        <v/>
      </c>
    </row>
    <row r="598" spans="1:10" x14ac:dyDescent="0.25">
      <c r="A598" s="127"/>
      <c r="C598" s="127"/>
      <c r="D598" s="127"/>
      <c r="E598" s="127"/>
      <c r="F598" s="128"/>
      <c r="J598" s="140" t="str">
        <f>IF($J$1="","",HLOOKUP($J$1,$M$1:$AAV$1000,598,0))</f>
        <v/>
      </c>
    </row>
    <row r="599" spans="1:10" x14ac:dyDescent="0.25">
      <c r="A599" s="127"/>
      <c r="C599" s="127"/>
      <c r="D599" s="127"/>
      <c r="E599" s="127"/>
      <c r="F599" s="128"/>
      <c r="J599" s="140" t="str">
        <f>IF($J$1="","",HLOOKUP($J$1,$M$1:$AAV$1000,599,0))</f>
        <v/>
      </c>
    </row>
    <row r="600" spans="1:10" x14ac:dyDescent="0.25">
      <c r="A600" s="127"/>
      <c r="C600" s="127"/>
      <c r="D600" s="127"/>
      <c r="E600" s="127"/>
      <c r="F600" s="128"/>
      <c r="J600" s="140" t="str">
        <f>IF($J$1="","",HLOOKUP($J$1,$M$1:$AAV$1000,600,0))</f>
        <v/>
      </c>
    </row>
    <row r="601" spans="1:10" x14ac:dyDescent="0.25">
      <c r="A601" s="127"/>
      <c r="C601" s="127"/>
      <c r="D601" s="127"/>
      <c r="E601" s="127"/>
      <c r="F601" s="128"/>
      <c r="J601" s="140" t="str">
        <f>IF($J$1="","",HLOOKUP($J$1,$M$1:$AAV$1000,601,0))</f>
        <v/>
      </c>
    </row>
    <row r="602" spans="1:10" x14ac:dyDescent="0.25">
      <c r="A602" s="127"/>
      <c r="C602" s="127"/>
      <c r="D602" s="127"/>
      <c r="E602" s="127"/>
      <c r="F602" s="128"/>
      <c r="J602" s="140" t="str">
        <f>IF($J$1="","",HLOOKUP($J$1,$M$1:$AAV$1000,602,0))</f>
        <v/>
      </c>
    </row>
    <row r="603" spans="1:10" x14ac:dyDescent="0.25">
      <c r="A603" s="127"/>
      <c r="C603" s="127"/>
      <c r="D603" s="127"/>
      <c r="E603" s="127"/>
      <c r="F603" s="128"/>
      <c r="J603" s="140" t="str">
        <f>IF($J$1="","",HLOOKUP($J$1,$M$1:$AAV$1000,603,0))</f>
        <v/>
      </c>
    </row>
    <row r="604" spans="1:10" x14ac:dyDescent="0.25">
      <c r="A604" s="127"/>
      <c r="C604" s="127"/>
      <c r="D604" s="127"/>
      <c r="E604" s="127"/>
      <c r="F604" s="128"/>
      <c r="J604" s="140" t="str">
        <f>IF($J$1="","",HLOOKUP($J$1,$M$1:$AAV$1000,604,0))</f>
        <v/>
      </c>
    </row>
    <row r="605" spans="1:10" x14ac:dyDescent="0.25">
      <c r="A605" s="127"/>
      <c r="C605" s="127"/>
      <c r="D605" s="127"/>
      <c r="E605" s="127"/>
      <c r="F605" s="128"/>
      <c r="J605" s="140" t="str">
        <f>IF($J$1="","",HLOOKUP($J$1,$M$1:$AAV$1000,605,0))</f>
        <v/>
      </c>
    </row>
    <row r="606" spans="1:10" x14ac:dyDescent="0.25">
      <c r="A606" s="127"/>
      <c r="C606" s="127"/>
      <c r="D606" s="127"/>
      <c r="E606" s="127"/>
      <c r="F606" s="128"/>
      <c r="J606" s="140" t="str">
        <f>IF($J$1="","",HLOOKUP($J$1,$M$1:$AAV$1000,606,0))</f>
        <v/>
      </c>
    </row>
    <row r="607" spans="1:10" x14ac:dyDescent="0.25">
      <c r="A607" s="127"/>
      <c r="C607" s="127"/>
      <c r="D607" s="127"/>
      <c r="E607" s="127"/>
      <c r="F607" s="128"/>
      <c r="J607" s="140" t="str">
        <f>IF($J$1="","",HLOOKUP($J$1,$M$1:$AAV$1000,607,0))</f>
        <v/>
      </c>
    </row>
    <row r="608" spans="1:10" x14ac:dyDescent="0.25">
      <c r="A608" s="127"/>
      <c r="C608" s="127"/>
      <c r="D608" s="127"/>
      <c r="E608" s="127"/>
      <c r="F608" s="128"/>
      <c r="J608" s="140" t="str">
        <f>IF($J$1="","",HLOOKUP($J$1,$M$1:$AAV$1000,608,0))</f>
        <v/>
      </c>
    </row>
    <row r="609" spans="1:10" x14ac:dyDescent="0.25">
      <c r="A609" s="127"/>
      <c r="C609" s="127"/>
      <c r="D609" s="127"/>
      <c r="E609" s="127"/>
      <c r="F609" s="128"/>
      <c r="J609" s="140" t="str">
        <f>IF($J$1="","",HLOOKUP($J$1,$M$1:$AAV$1000,609,0))</f>
        <v/>
      </c>
    </row>
    <row r="610" spans="1:10" x14ac:dyDescent="0.25">
      <c r="A610" s="127"/>
      <c r="C610" s="127"/>
      <c r="D610" s="127"/>
      <c r="E610" s="127"/>
      <c r="F610" s="128"/>
      <c r="J610" s="140" t="str">
        <f>IF($J$1="","",HLOOKUP($J$1,$M$1:$AAV$1000,610,0))</f>
        <v/>
      </c>
    </row>
    <row r="611" spans="1:10" x14ac:dyDescent="0.25">
      <c r="A611" s="127"/>
      <c r="C611" s="127"/>
      <c r="D611" s="127"/>
      <c r="E611" s="127"/>
      <c r="F611" s="128"/>
      <c r="J611" s="140" t="str">
        <f>IF($J$1="","",HLOOKUP($J$1,$M$1:$AAV$1000,611,0))</f>
        <v/>
      </c>
    </row>
    <row r="612" spans="1:10" x14ac:dyDescent="0.25">
      <c r="A612" s="127"/>
      <c r="C612" s="127"/>
      <c r="D612" s="127"/>
      <c r="E612" s="127"/>
      <c r="F612" s="128"/>
      <c r="J612" s="140" t="str">
        <f>IF($J$1="","",HLOOKUP($J$1,$M$1:$AAV$1000,612,0))</f>
        <v/>
      </c>
    </row>
    <row r="613" spans="1:10" x14ac:dyDescent="0.25">
      <c r="A613" s="127"/>
      <c r="C613" s="127"/>
      <c r="D613" s="127"/>
      <c r="E613" s="127"/>
      <c r="F613" s="128"/>
      <c r="J613" s="140" t="str">
        <f>IF($J$1="","",HLOOKUP($J$1,$M$1:$AAV$1000,613,0))</f>
        <v/>
      </c>
    </row>
    <row r="614" spans="1:10" x14ac:dyDescent="0.25">
      <c r="A614" s="127"/>
      <c r="C614" s="127"/>
      <c r="D614" s="127"/>
      <c r="E614" s="127"/>
      <c r="F614" s="128"/>
      <c r="J614" s="140" t="str">
        <f>IF($J$1="","",HLOOKUP($J$1,$M$1:$AAV$1000,614,0))</f>
        <v/>
      </c>
    </row>
    <row r="615" spans="1:10" x14ac:dyDescent="0.25">
      <c r="A615" s="127"/>
      <c r="C615" s="127"/>
      <c r="D615" s="127"/>
      <c r="E615" s="127"/>
      <c r="F615" s="128"/>
      <c r="J615" s="140" t="str">
        <f>IF($J$1="","",HLOOKUP($J$1,$M$1:$AAV$1000,615,0))</f>
        <v/>
      </c>
    </row>
    <row r="616" spans="1:10" x14ac:dyDescent="0.25">
      <c r="A616" s="127"/>
      <c r="C616" s="127"/>
      <c r="D616" s="127"/>
      <c r="E616" s="127"/>
      <c r="F616" s="128"/>
      <c r="J616" s="140" t="str">
        <f>IF($J$1="","",HLOOKUP($J$1,$M$1:$AAV$1000,616,0))</f>
        <v/>
      </c>
    </row>
    <row r="617" spans="1:10" x14ac:dyDescent="0.25">
      <c r="A617" s="127"/>
      <c r="C617" s="127"/>
      <c r="D617" s="127"/>
      <c r="E617" s="127"/>
      <c r="F617" s="128"/>
      <c r="J617" s="140" t="str">
        <f>IF($J$1="","",HLOOKUP($J$1,$M$1:$AAV$1000,617,0))</f>
        <v/>
      </c>
    </row>
    <row r="618" spans="1:10" x14ac:dyDescent="0.25">
      <c r="A618" s="127"/>
      <c r="C618" s="127"/>
      <c r="D618" s="127"/>
      <c r="E618" s="127"/>
      <c r="F618" s="128"/>
      <c r="J618" s="140" t="str">
        <f>IF($J$1="","",HLOOKUP($J$1,$M$1:$AAV$1000,618,0))</f>
        <v/>
      </c>
    </row>
    <row r="619" spans="1:10" x14ac:dyDescent="0.25">
      <c r="A619" s="127"/>
      <c r="C619" s="127"/>
      <c r="D619" s="127"/>
      <c r="E619" s="127"/>
      <c r="F619" s="128"/>
      <c r="J619" s="140" t="str">
        <f>IF($J$1="","",HLOOKUP($J$1,$M$1:$AAV$1000,619,0))</f>
        <v/>
      </c>
    </row>
    <row r="620" spans="1:10" x14ac:dyDescent="0.25">
      <c r="A620" s="127"/>
      <c r="C620" s="127"/>
      <c r="D620" s="127"/>
      <c r="E620" s="127"/>
      <c r="F620" s="128"/>
      <c r="J620" s="140" t="str">
        <f>IF($J$1="","",HLOOKUP($J$1,$M$1:$AAV$1000,620,0))</f>
        <v/>
      </c>
    </row>
    <row r="621" spans="1:10" x14ac:dyDescent="0.25">
      <c r="A621" s="127"/>
      <c r="C621" s="127"/>
      <c r="D621" s="127"/>
      <c r="E621" s="127"/>
      <c r="F621" s="128"/>
      <c r="J621" s="140" t="str">
        <f>IF($J$1="","",HLOOKUP($J$1,$M$1:$AAV$1000,621,0))</f>
        <v/>
      </c>
    </row>
    <row r="622" spans="1:10" x14ac:dyDescent="0.25">
      <c r="A622" s="127"/>
      <c r="C622" s="127"/>
      <c r="D622" s="127"/>
      <c r="E622" s="127"/>
      <c r="F622" s="128"/>
      <c r="J622" s="140" t="str">
        <f>IF($J$1="","",HLOOKUP($J$1,$M$1:$AAV$1000,622,0))</f>
        <v/>
      </c>
    </row>
    <row r="623" spans="1:10" x14ac:dyDescent="0.25">
      <c r="A623" s="127"/>
      <c r="C623" s="127"/>
      <c r="D623" s="127"/>
      <c r="E623" s="127"/>
      <c r="F623" s="128"/>
      <c r="J623" s="140" t="str">
        <f>IF($J$1="","",HLOOKUP($J$1,$M$1:$AAV$1000,623,0))</f>
        <v/>
      </c>
    </row>
    <row r="624" spans="1:10" x14ac:dyDescent="0.25">
      <c r="A624" s="127"/>
      <c r="C624" s="127"/>
      <c r="D624" s="127"/>
      <c r="E624" s="127"/>
      <c r="F624" s="128"/>
      <c r="J624" s="140" t="str">
        <f>IF($J$1="","",HLOOKUP($J$1,$M$1:$AAV$1000,624,0))</f>
        <v/>
      </c>
    </row>
    <row r="625" spans="1:10" x14ac:dyDescent="0.25">
      <c r="A625" s="127"/>
      <c r="C625" s="127"/>
      <c r="D625" s="127"/>
      <c r="E625" s="127"/>
      <c r="F625" s="128"/>
      <c r="J625" s="140" t="str">
        <f>IF($J$1="","",HLOOKUP($J$1,$M$1:$AAV$1000,625,0))</f>
        <v/>
      </c>
    </row>
    <row r="626" spans="1:10" x14ac:dyDescent="0.25">
      <c r="A626" s="127"/>
      <c r="C626" s="127"/>
      <c r="D626" s="127"/>
      <c r="E626" s="127"/>
      <c r="F626" s="128"/>
      <c r="J626" s="140" t="str">
        <f>IF($J$1="","",HLOOKUP($J$1,$M$1:$AAV$1000,626,0))</f>
        <v/>
      </c>
    </row>
    <row r="627" spans="1:10" x14ac:dyDescent="0.25">
      <c r="A627" s="127"/>
      <c r="C627" s="127"/>
      <c r="D627" s="127"/>
      <c r="E627" s="127"/>
      <c r="F627" s="128"/>
      <c r="J627" s="140" t="str">
        <f>IF($J$1="","",HLOOKUP($J$1,$M$1:$AAV$1000,627,0))</f>
        <v/>
      </c>
    </row>
    <row r="628" spans="1:10" x14ac:dyDescent="0.25">
      <c r="A628" s="127"/>
      <c r="C628" s="127"/>
      <c r="D628" s="127"/>
      <c r="E628" s="127"/>
      <c r="F628" s="128"/>
      <c r="J628" s="140" t="str">
        <f>IF($J$1="","",HLOOKUP($J$1,$M$1:$AAV$1000,628,0))</f>
        <v/>
      </c>
    </row>
    <row r="629" spans="1:10" x14ac:dyDescent="0.25">
      <c r="A629" s="127"/>
      <c r="C629" s="127"/>
      <c r="D629" s="127"/>
      <c r="E629" s="127"/>
      <c r="F629" s="128"/>
      <c r="J629" s="140" t="str">
        <f>IF($J$1="","",HLOOKUP($J$1,$M$1:$AAV$1000,629,0))</f>
        <v/>
      </c>
    </row>
    <row r="630" spans="1:10" x14ac:dyDescent="0.25">
      <c r="A630" s="127"/>
      <c r="C630" s="127"/>
      <c r="D630" s="127"/>
      <c r="E630" s="127"/>
      <c r="F630" s="128"/>
      <c r="J630" s="140" t="str">
        <f>IF($J$1="","",HLOOKUP($J$1,$M$1:$AAV$1000,630,0))</f>
        <v/>
      </c>
    </row>
    <row r="631" spans="1:10" x14ac:dyDescent="0.25">
      <c r="A631" s="127"/>
      <c r="C631" s="127"/>
      <c r="D631" s="127"/>
      <c r="E631" s="127"/>
      <c r="F631" s="128"/>
      <c r="J631" s="140" t="str">
        <f>IF($J$1="","",HLOOKUP($J$1,$M$1:$AAV$1000,631,0))</f>
        <v/>
      </c>
    </row>
    <row r="632" spans="1:10" x14ac:dyDescent="0.25">
      <c r="A632" s="127"/>
      <c r="C632" s="127"/>
      <c r="D632" s="127"/>
      <c r="E632" s="127"/>
      <c r="F632" s="128"/>
      <c r="J632" s="140" t="str">
        <f>IF($J$1="","",HLOOKUP($J$1,$M$1:$AAV$1000,632,0))</f>
        <v/>
      </c>
    </row>
    <row r="633" spans="1:10" x14ac:dyDescent="0.25">
      <c r="A633" s="127"/>
      <c r="C633" s="127"/>
      <c r="D633" s="127"/>
      <c r="E633" s="127"/>
      <c r="F633" s="128"/>
      <c r="J633" s="140" t="str">
        <f>IF($J$1="","",HLOOKUP($J$1,$M$1:$AAV$1000,633,0))</f>
        <v/>
      </c>
    </row>
    <row r="634" spans="1:10" x14ac:dyDescent="0.25">
      <c r="A634" s="127"/>
      <c r="C634" s="127"/>
      <c r="D634" s="127"/>
      <c r="E634" s="127"/>
      <c r="F634" s="128"/>
      <c r="J634" s="140" t="str">
        <f>IF($J$1="","",HLOOKUP($J$1,$M$1:$AAV$1000,634,0))</f>
        <v/>
      </c>
    </row>
    <row r="635" spans="1:10" x14ac:dyDescent="0.25">
      <c r="A635" s="127"/>
      <c r="C635" s="127"/>
      <c r="D635" s="127"/>
      <c r="E635" s="127"/>
      <c r="F635" s="128"/>
      <c r="J635" s="140" t="str">
        <f>IF($J$1="","",HLOOKUP($J$1,$M$1:$AAV$1000,635,0))</f>
        <v/>
      </c>
    </row>
    <row r="636" spans="1:10" x14ac:dyDescent="0.25">
      <c r="A636" s="127"/>
      <c r="C636" s="127"/>
      <c r="D636" s="127"/>
      <c r="E636" s="127"/>
      <c r="F636" s="128"/>
      <c r="J636" s="140" t="str">
        <f>IF($J$1="","",HLOOKUP($J$1,$M$1:$AAV$1000,636,0))</f>
        <v/>
      </c>
    </row>
    <row r="637" spans="1:10" x14ac:dyDescent="0.25">
      <c r="A637" s="127"/>
      <c r="C637" s="127"/>
      <c r="D637" s="127"/>
      <c r="E637" s="127"/>
      <c r="F637" s="128"/>
      <c r="J637" s="140" t="str">
        <f>IF($J$1="","",HLOOKUP($J$1,$M$1:$AAV$1000,637,0))</f>
        <v/>
      </c>
    </row>
    <row r="638" spans="1:10" x14ac:dyDescent="0.25">
      <c r="A638" s="127"/>
      <c r="C638" s="127"/>
      <c r="D638" s="127"/>
      <c r="E638" s="127"/>
      <c r="F638" s="128"/>
      <c r="J638" s="140" t="str">
        <f>IF($J$1="","",HLOOKUP($J$1,$M$1:$AAV$1000,638,0))</f>
        <v/>
      </c>
    </row>
    <row r="639" spans="1:10" x14ac:dyDescent="0.25">
      <c r="A639" s="127"/>
      <c r="C639" s="127"/>
      <c r="D639" s="127"/>
      <c r="E639" s="127"/>
      <c r="F639" s="128"/>
      <c r="J639" s="140" t="str">
        <f>IF($J$1="","",HLOOKUP($J$1,$M$1:$AAV$1000,639,0))</f>
        <v/>
      </c>
    </row>
    <row r="640" spans="1:10" x14ac:dyDescent="0.25">
      <c r="A640" s="127"/>
      <c r="C640" s="127"/>
      <c r="D640" s="127"/>
      <c r="E640" s="127"/>
      <c r="F640" s="128"/>
      <c r="J640" s="140" t="str">
        <f>IF($J$1="","",HLOOKUP($J$1,$M$1:$AAV$1000,640,0))</f>
        <v/>
      </c>
    </row>
    <row r="641" spans="1:10" x14ac:dyDescent="0.25">
      <c r="A641" s="127"/>
      <c r="C641" s="127"/>
      <c r="D641" s="127"/>
      <c r="E641" s="127"/>
      <c r="F641" s="128"/>
      <c r="J641" s="140" t="str">
        <f>IF($J$1="","",HLOOKUP($J$1,$M$1:$AAV$1000,641,0))</f>
        <v/>
      </c>
    </row>
    <row r="642" spans="1:10" x14ac:dyDescent="0.25">
      <c r="A642" s="127"/>
      <c r="C642" s="127"/>
      <c r="D642" s="127"/>
      <c r="E642" s="127"/>
      <c r="F642" s="128"/>
      <c r="J642" s="140" t="str">
        <f>IF($J$1="","",HLOOKUP($J$1,$M$1:$AAV$1000,642,0))</f>
        <v/>
      </c>
    </row>
    <row r="643" spans="1:10" x14ac:dyDescent="0.25">
      <c r="A643" s="127"/>
      <c r="C643" s="127"/>
      <c r="D643" s="127"/>
      <c r="E643" s="127"/>
      <c r="F643" s="128"/>
      <c r="J643" s="140" t="str">
        <f>IF($J$1="","",HLOOKUP($J$1,$M$1:$AAV$1000,643,0))</f>
        <v/>
      </c>
    </row>
    <row r="644" spans="1:10" x14ac:dyDescent="0.25">
      <c r="A644" s="127"/>
      <c r="C644" s="127"/>
      <c r="D644" s="127"/>
      <c r="E644" s="127"/>
      <c r="F644" s="128"/>
      <c r="J644" s="140" t="str">
        <f>IF($J$1="","",HLOOKUP($J$1,$M$1:$AAV$1000,644,0))</f>
        <v/>
      </c>
    </row>
    <row r="645" spans="1:10" x14ac:dyDescent="0.25">
      <c r="A645" s="127"/>
      <c r="C645" s="127"/>
      <c r="D645" s="127"/>
      <c r="E645" s="127"/>
      <c r="F645" s="128"/>
      <c r="J645" s="140" t="str">
        <f>IF($J$1="","",HLOOKUP($J$1,$M$1:$AAV$1000,645,0))</f>
        <v/>
      </c>
    </row>
    <row r="646" spans="1:10" x14ac:dyDescent="0.25">
      <c r="A646" s="127"/>
      <c r="C646" s="127"/>
      <c r="D646" s="127"/>
      <c r="E646" s="127"/>
      <c r="F646" s="128"/>
      <c r="J646" s="140" t="str">
        <f>IF($J$1="","",HLOOKUP($J$1,$M$1:$AAV$1000,646,0))</f>
        <v/>
      </c>
    </row>
    <row r="647" spans="1:10" x14ac:dyDescent="0.25">
      <c r="A647" s="127"/>
      <c r="C647" s="127"/>
      <c r="D647" s="127"/>
      <c r="E647" s="127"/>
      <c r="F647" s="128"/>
      <c r="J647" s="140" t="str">
        <f>IF($J$1="","",HLOOKUP($J$1,$M$1:$AAV$1000,647,0))</f>
        <v/>
      </c>
    </row>
    <row r="648" spans="1:10" x14ac:dyDescent="0.25">
      <c r="A648" s="127"/>
      <c r="C648" s="127"/>
      <c r="D648" s="127"/>
      <c r="E648" s="127"/>
      <c r="F648" s="128"/>
      <c r="J648" s="140" t="str">
        <f>IF($J$1="","",HLOOKUP($J$1,$M$1:$AAV$1000,648,0))</f>
        <v/>
      </c>
    </row>
    <row r="649" spans="1:10" x14ac:dyDescent="0.25">
      <c r="A649" s="127"/>
      <c r="C649" s="127"/>
      <c r="D649" s="127"/>
      <c r="E649" s="127"/>
      <c r="F649" s="128"/>
      <c r="J649" s="140" t="str">
        <f>IF($J$1="","",HLOOKUP($J$1,$M$1:$AAV$1000,649,0))</f>
        <v/>
      </c>
    </row>
    <row r="650" spans="1:10" x14ac:dyDescent="0.25">
      <c r="A650" s="127"/>
      <c r="C650" s="127"/>
      <c r="D650" s="127"/>
      <c r="E650" s="127"/>
      <c r="F650" s="128"/>
      <c r="J650" s="140" t="str">
        <f>IF($J$1="","",HLOOKUP($J$1,$M$1:$AAV$1000,650,0))</f>
        <v/>
      </c>
    </row>
    <row r="651" spans="1:10" x14ac:dyDescent="0.25">
      <c r="A651" s="127"/>
      <c r="C651" s="127"/>
      <c r="D651" s="127"/>
      <c r="E651" s="127"/>
      <c r="F651" s="128"/>
      <c r="J651" s="140" t="str">
        <f>IF($J$1="","",HLOOKUP($J$1,$M$1:$AAV$1000,651,0))</f>
        <v/>
      </c>
    </row>
    <row r="652" spans="1:10" x14ac:dyDescent="0.25">
      <c r="A652" s="127"/>
      <c r="C652" s="127"/>
      <c r="D652" s="127"/>
      <c r="E652" s="127"/>
      <c r="F652" s="128"/>
      <c r="J652" s="140" t="str">
        <f>IF($J$1="","",HLOOKUP($J$1,$M$1:$AAV$1000,652,0))</f>
        <v/>
      </c>
    </row>
    <row r="653" spans="1:10" x14ac:dyDescent="0.25">
      <c r="A653" s="127"/>
      <c r="C653" s="127"/>
      <c r="D653" s="127"/>
      <c r="E653" s="127"/>
      <c r="F653" s="128"/>
      <c r="J653" s="140" t="str">
        <f>IF($J$1="","",HLOOKUP($J$1,$M$1:$AAV$1000,653,0))</f>
        <v/>
      </c>
    </row>
    <row r="654" spans="1:10" x14ac:dyDescent="0.25">
      <c r="A654" s="127"/>
      <c r="C654" s="127"/>
      <c r="D654" s="127"/>
      <c r="E654" s="127"/>
      <c r="F654" s="128"/>
      <c r="J654" s="140" t="str">
        <f>IF($J$1="","",HLOOKUP($J$1,$M$1:$AAV$1000,654,0))</f>
        <v/>
      </c>
    </row>
    <row r="655" spans="1:10" x14ac:dyDescent="0.25">
      <c r="A655" s="127"/>
      <c r="C655" s="127"/>
      <c r="D655" s="127"/>
      <c r="E655" s="127"/>
      <c r="F655" s="128"/>
      <c r="J655" s="140" t="str">
        <f>IF($J$1="","",HLOOKUP($J$1,$M$1:$AAV$1000,655,0))</f>
        <v/>
      </c>
    </row>
    <row r="656" spans="1:10" x14ac:dyDescent="0.25">
      <c r="A656" s="127"/>
      <c r="C656" s="127"/>
      <c r="D656" s="127"/>
      <c r="E656" s="127"/>
      <c r="F656" s="128"/>
      <c r="J656" s="140" t="str">
        <f>IF($J$1="","",HLOOKUP($J$1,$M$1:$AAV$1000,656,0))</f>
        <v/>
      </c>
    </row>
    <row r="657" spans="1:10" x14ac:dyDescent="0.25">
      <c r="A657" s="127"/>
      <c r="C657" s="127"/>
      <c r="D657" s="127"/>
      <c r="E657" s="127"/>
      <c r="F657" s="128"/>
      <c r="J657" s="140" t="str">
        <f>IF($J$1="","",HLOOKUP($J$1,$M$1:$AAV$1000,657,0))</f>
        <v/>
      </c>
    </row>
    <row r="658" spans="1:10" x14ac:dyDescent="0.25">
      <c r="A658" s="127"/>
      <c r="C658" s="127"/>
      <c r="D658" s="127"/>
      <c r="E658" s="127"/>
      <c r="F658" s="128"/>
      <c r="J658" s="140" t="str">
        <f>IF($J$1="","",HLOOKUP($J$1,$M$1:$AAV$1000,658,0))</f>
        <v/>
      </c>
    </row>
    <row r="659" spans="1:10" x14ac:dyDescent="0.25">
      <c r="A659" s="127"/>
      <c r="C659" s="127"/>
      <c r="D659" s="127"/>
      <c r="E659" s="127"/>
      <c r="F659" s="128"/>
      <c r="J659" s="140" t="str">
        <f>IF($J$1="","",HLOOKUP($J$1,$M$1:$AAV$1000,659,0))</f>
        <v/>
      </c>
    </row>
    <row r="660" spans="1:10" x14ac:dyDescent="0.25">
      <c r="A660" s="127"/>
      <c r="C660" s="127"/>
      <c r="D660" s="127"/>
      <c r="E660" s="127"/>
      <c r="F660" s="128"/>
      <c r="J660" s="140" t="str">
        <f>IF($J$1="","",HLOOKUP($J$1,$M$1:$AAV$1000,660,0))</f>
        <v/>
      </c>
    </row>
    <row r="661" spans="1:10" x14ac:dyDescent="0.25">
      <c r="A661" s="127"/>
      <c r="C661" s="127"/>
      <c r="D661" s="127"/>
      <c r="E661" s="127"/>
      <c r="F661" s="128"/>
      <c r="J661" s="140" t="str">
        <f>IF($J$1="","",HLOOKUP($J$1,$M$1:$AAV$1000,661,0))</f>
        <v/>
      </c>
    </row>
    <row r="662" spans="1:10" x14ac:dyDescent="0.25">
      <c r="A662" s="127"/>
      <c r="C662" s="127"/>
      <c r="D662" s="127"/>
      <c r="E662" s="127"/>
      <c r="F662" s="128"/>
      <c r="J662" s="140" t="str">
        <f>IF($J$1="","",HLOOKUP($J$1,$M$1:$AAV$1000,662,0))</f>
        <v/>
      </c>
    </row>
    <row r="663" spans="1:10" x14ac:dyDescent="0.25">
      <c r="A663" s="127"/>
      <c r="C663" s="127"/>
      <c r="D663" s="127"/>
      <c r="E663" s="127"/>
      <c r="F663" s="128"/>
      <c r="J663" s="140" t="str">
        <f>IF($J$1="","",HLOOKUP($J$1,$M$1:$AAV$1000,663,0))</f>
        <v/>
      </c>
    </row>
    <row r="664" spans="1:10" x14ac:dyDescent="0.25">
      <c r="A664" s="127"/>
      <c r="C664" s="127"/>
      <c r="D664" s="127"/>
      <c r="E664" s="127"/>
      <c r="F664" s="128"/>
      <c r="J664" s="140" t="str">
        <f>IF($J$1="","",HLOOKUP($J$1,$M$1:$AAV$1000,664,0))</f>
        <v/>
      </c>
    </row>
    <row r="665" spans="1:10" x14ac:dyDescent="0.25">
      <c r="A665" s="127"/>
      <c r="C665" s="127"/>
      <c r="D665" s="127"/>
      <c r="E665" s="127"/>
      <c r="F665" s="128"/>
      <c r="J665" s="140" t="str">
        <f>IF($J$1="","",HLOOKUP($J$1,$M$1:$AAV$1000,665,0))</f>
        <v/>
      </c>
    </row>
    <row r="666" spans="1:10" x14ac:dyDescent="0.25">
      <c r="A666" s="127"/>
      <c r="C666" s="127"/>
      <c r="D666" s="127"/>
      <c r="E666" s="127"/>
      <c r="F666" s="128"/>
      <c r="J666" s="140" t="str">
        <f>IF($J$1="","",HLOOKUP($J$1,$M$1:$AAV$1000,666,0))</f>
        <v/>
      </c>
    </row>
    <row r="667" spans="1:10" x14ac:dyDescent="0.25">
      <c r="A667" s="127"/>
      <c r="C667" s="127"/>
      <c r="D667" s="127"/>
      <c r="E667" s="127"/>
      <c r="F667" s="128"/>
      <c r="J667" s="140" t="str">
        <f>IF($J$1="","",HLOOKUP($J$1,$M$1:$AAV$1000,667,0))</f>
        <v/>
      </c>
    </row>
    <row r="668" spans="1:10" x14ac:dyDescent="0.25">
      <c r="A668" s="127"/>
      <c r="C668" s="127"/>
      <c r="D668" s="127"/>
      <c r="E668" s="127"/>
      <c r="F668" s="128"/>
      <c r="J668" s="140" t="str">
        <f>IF($J$1="","",HLOOKUP($J$1,$M$1:$AAV$1000,668,0))</f>
        <v/>
      </c>
    </row>
    <row r="669" spans="1:10" x14ac:dyDescent="0.25">
      <c r="A669" s="127"/>
      <c r="C669" s="127"/>
      <c r="D669" s="127"/>
      <c r="E669" s="127"/>
      <c r="F669" s="128"/>
      <c r="J669" s="140" t="str">
        <f>IF($J$1="","",HLOOKUP($J$1,$M$1:$AAV$1000,669,0))</f>
        <v/>
      </c>
    </row>
    <row r="670" spans="1:10" x14ac:dyDescent="0.25">
      <c r="A670" s="127" t="str">
        <f>IF(Produits!A551="","",Produits!A551)</f>
        <v/>
      </c>
      <c r="B670" s="127" t="str">
        <f>IF(Produits!B551="","",Produits!B551)</f>
        <v/>
      </c>
      <c r="C670" s="127" t="str">
        <f>IF(Produits!C551="","",Produits!C551)</f>
        <v/>
      </c>
      <c r="D670" s="127" t="str">
        <f>IF(Produits!D551="","",Produits!D551)</f>
        <v/>
      </c>
      <c r="E670" s="127" t="str">
        <f>IF(Produits!E551="","",Produits!E551)</f>
        <v/>
      </c>
      <c r="F670" s="128" t="str">
        <f>IF(Produits!F551="","",Produits!F551)</f>
        <v/>
      </c>
      <c r="J670" s="140" t="str">
        <f>IF($J$1="","",HLOOKUP($J$1,$M$1:$AAV$1000,670,0))</f>
        <v/>
      </c>
    </row>
    <row r="671" spans="1:10" x14ac:dyDescent="0.25">
      <c r="A671" s="127" t="str">
        <f>IF(Produits!A552="","",Produits!A552)</f>
        <v/>
      </c>
      <c r="B671" s="127" t="str">
        <f>IF(Produits!B552="","",Produits!B552)</f>
        <v/>
      </c>
      <c r="C671" s="127" t="str">
        <f>IF(Produits!C552="","",Produits!C552)</f>
        <v/>
      </c>
      <c r="D671" s="127" t="str">
        <f>IF(Produits!D552="","",Produits!D552)</f>
        <v/>
      </c>
      <c r="E671" s="127" t="str">
        <f>IF(Produits!E552="","",Produits!E552)</f>
        <v/>
      </c>
      <c r="F671" s="128" t="str">
        <f>IF(Produits!F552="","",Produits!F552)</f>
        <v/>
      </c>
      <c r="J671" s="140" t="str">
        <f>IF($J$1="","",HLOOKUP($J$1,$M$1:$AAV$1000,671,0))</f>
        <v/>
      </c>
    </row>
    <row r="672" spans="1:10" x14ac:dyDescent="0.25">
      <c r="A672" s="127" t="str">
        <f>IF(Produits!A553="","",Produits!A553)</f>
        <v/>
      </c>
      <c r="B672" s="127" t="str">
        <f>IF(Produits!B553="","",Produits!B553)</f>
        <v/>
      </c>
      <c r="C672" s="127" t="str">
        <f>IF(Produits!C553="","",Produits!C553)</f>
        <v/>
      </c>
      <c r="D672" s="127" t="str">
        <f>IF(Produits!D553="","",Produits!D553)</f>
        <v/>
      </c>
      <c r="E672" s="127" t="str">
        <f>IF(Produits!E553="","",Produits!E553)</f>
        <v/>
      </c>
      <c r="F672" s="128" t="str">
        <f>IF(Produits!F553="","",Produits!F553)</f>
        <v/>
      </c>
      <c r="J672" s="140" t="str">
        <f>IF($J$1="","",HLOOKUP($J$1,$M$1:$AAV$1000,672,0))</f>
        <v/>
      </c>
    </row>
    <row r="673" spans="1:10" x14ac:dyDescent="0.25">
      <c r="A673" s="127" t="str">
        <f>IF(Produits!A554="","",Produits!A554)</f>
        <v/>
      </c>
      <c r="B673" s="127" t="str">
        <f>IF(Produits!B554="","",Produits!B554)</f>
        <v/>
      </c>
      <c r="C673" s="127" t="str">
        <f>IF(Produits!C554="","",Produits!C554)</f>
        <v/>
      </c>
      <c r="D673" s="127" t="str">
        <f>IF(Produits!D554="","",Produits!D554)</f>
        <v/>
      </c>
      <c r="E673" s="127" t="str">
        <f>IF(Produits!E554="","",Produits!E554)</f>
        <v/>
      </c>
      <c r="F673" s="128" t="str">
        <f>IF(Produits!F554="","",Produits!F554)</f>
        <v/>
      </c>
      <c r="J673" s="140" t="str">
        <f>IF($J$1="","",HLOOKUP($J$1,$M$1:$AAV$1000,673,0))</f>
        <v/>
      </c>
    </row>
    <row r="674" spans="1:10" x14ac:dyDescent="0.25">
      <c r="A674" s="127" t="str">
        <f>IF(Produits!A555="","",Produits!A555)</f>
        <v/>
      </c>
      <c r="B674" s="127" t="str">
        <f>IF(Produits!B555="","",Produits!B555)</f>
        <v/>
      </c>
      <c r="C674" s="127" t="str">
        <f>IF(Produits!C555="","",Produits!C555)</f>
        <v/>
      </c>
      <c r="D674" s="127" t="str">
        <f>IF(Produits!D555="","",Produits!D555)</f>
        <v/>
      </c>
      <c r="E674" s="127" t="str">
        <f>IF(Produits!E555="","",Produits!E555)</f>
        <v/>
      </c>
      <c r="F674" s="128" t="str">
        <f>IF(Produits!F555="","",Produits!F555)</f>
        <v/>
      </c>
      <c r="J674" s="140" t="str">
        <f>IF($J$1="","",HLOOKUP($J$1,$M$1:$AAV$1000,674,0))</f>
        <v/>
      </c>
    </row>
    <row r="675" spans="1:10" x14ac:dyDescent="0.25">
      <c r="A675" s="127" t="str">
        <f>IF(Produits!A556="","",Produits!A556)</f>
        <v/>
      </c>
      <c r="B675" s="127" t="str">
        <f>IF(Produits!B556="","",Produits!B556)</f>
        <v/>
      </c>
      <c r="C675" s="127" t="str">
        <f>IF(Produits!C556="","",Produits!C556)</f>
        <v/>
      </c>
      <c r="D675" s="127" t="str">
        <f>IF(Produits!D556="","",Produits!D556)</f>
        <v/>
      </c>
      <c r="E675" s="127" t="str">
        <f>IF(Produits!E556="","",Produits!E556)</f>
        <v/>
      </c>
      <c r="F675" s="128" t="str">
        <f>IF(Produits!F556="","",Produits!F556)</f>
        <v/>
      </c>
      <c r="J675" s="140" t="str">
        <f>IF($J$1="","",HLOOKUP($J$1,$M$1:$AAV$1000,675,0))</f>
        <v/>
      </c>
    </row>
    <row r="676" spans="1:10" x14ac:dyDescent="0.25">
      <c r="A676" s="127" t="str">
        <f>IF(Produits!A557="","",Produits!A557)</f>
        <v/>
      </c>
      <c r="B676" s="127" t="str">
        <f>IF(Produits!B557="","",Produits!B557)</f>
        <v/>
      </c>
      <c r="C676" s="127" t="str">
        <f>IF(Produits!C557="","",Produits!C557)</f>
        <v/>
      </c>
      <c r="D676" s="127" t="str">
        <f>IF(Produits!D557="","",Produits!D557)</f>
        <v/>
      </c>
      <c r="E676" s="127" t="str">
        <f>IF(Produits!E557="","",Produits!E557)</f>
        <v/>
      </c>
      <c r="F676" s="128" t="str">
        <f>IF(Produits!F557="","",Produits!F557)</f>
        <v/>
      </c>
      <c r="J676" s="140" t="str">
        <f>IF($J$1="","",HLOOKUP($J$1,$M$1:$AAV$1000,676,0))</f>
        <v/>
      </c>
    </row>
    <row r="677" spans="1:10" x14ac:dyDescent="0.25">
      <c r="A677" s="127" t="str">
        <f>IF(Produits!A558="","",Produits!A558)</f>
        <v/>
      </c>
      <c r="B677" s="127" t="str">
        <f>IF(Produits!B558="","",Produits!B558)</f>
        <v/>
      </c>
      <c r="C677" s="127" t="str">
        <f>IF(Produits!C558="","",Produits!C558)</f>
        <v/>
      </c>
      <c r="D677" s="127" t="str">
        <f>IF(Produits!D558="","",Produits!D558)</f>
        <v/>
      </c>
      <c r="E677" s="127" t="str">
        <f>IF(Produits!E558="","",Produits!E558)</f>
        <v/>
      </c>
      <c r="F677" s="128" t="str">
        <f>IF(Produits!F558="","",Produits!F558)</f>
        <v/>
      </c>
      <c r="J677" s="140" t="str">
        <f>IF($J$1="","",HLOOKUP($J$1,$M$1:$AAV$1000,677,0))</f>
        <v/>
      </c>
    </row>
    <row r="678" spans="1:10" x14ac:dyDescent="0.25">
      <c r="A678" s="127" t="str">
        <f>IF(Produits!A559="","",Produits!A559)</f>
        <v/>
      </c>
      <c r="B678" s="127" t="str">
        <f>IF(Produits!B559="","",Produits!B559)</f>
        <v/>
      </c>
      <c r="C678" s="127" t="str">
        <f>IF(Produits!C559="","",Produits!C559)</f>
        <v/>
      </c>
      <c r="D678" s="127" t="str">
        <f>IF(Produits!D559="","",Produits!D559)</f>
        <v/>
      </c>
      <c r="E678" s="127" t="str">
        <f>IF(Produits!E559="","",Produits!E559)</f>
        <v/>
      </c>
      <c r="F678" s="128" t="str">
        <f>IF(Produits!F559="","",Produits!F559)</f>
        <v/>
      </c>
      <c r="J678" s="140" t="str">
        <f>IF($J$1="","",HLOOKUP($J$1,$M$1:$AAV$1000,678,0))</f>
        <v/>
      </c>
    </row>
    <row r="679" spans="1:10" x14ac:dyDescent="0.25">
      <c r="A679" s="127" t="str">
        <f>IF(Produits!A560="","",Produits!A560)</f>
        <v/>
      </c>
      <c r="B679" s="127" t="str">
        <f>IF(Produits!B560="","",Produits!B560)</f>
        <v/>
      </c>
      <c r="C679" s="127" t="str">
        <f>IF(Produits!C560="","",Produits!C560)</f>
        <v/>
      </c>
      <c r="D679" s="127" t="str">
        <f>IF(Produits!D560="","",Produits!D560)</f>
        <v/>
      </c>
      <c r="E679" s="127" t="str">
        <f>IF(Produits!E560="","",Produits!E560)</f>
        <v/>
      </c>
      <c r="F679" s="128" t="str">
        <f>IF(Produits!F560="","",Produits!F560)</f>
        <v/>
      </c>
      <c r="J679" s="140" t="str">
        <f>IF($J$1="","",HLOOKUP($J$1,$M$1:$AAV$1000,679,0))</f>
        <v/>
      </c>
    </row>
    <row r="680" spans="1:10" x14ac:dyDescent="0.25">
      <c r="A680" s="127" t="str">
        <f>IF(Produits!A561="","",Produits!A561)</f>
        <v/>
      </c>
      <c r="B680" s="127" t="str">
        <f>IF(Produits!B561="","",Produits!B561)</f>
        <v/>
      </c>
      <c r="C680" s="127" t="str">
        <f>IF(Produits!C561="","",Produits!C561)</f>
        <v/>
      </c>
      <c r="D680" s="127" t="str">
        <f>IF(Produits!D561="","",Produits!D561)</f>
        <v/>
      </c>
      <c r="E680" s="127" t="str">
        <f>IF(Produits!E561="","",Produits!E561)</f>
        <v/>
      </c>
      <c r="F680" s="128" t="str">
        <f>IF(Produits!F561="","",Produits!F561)</f>
        <v/>
      </c>
      <c r="J680" s="140" t="str">
        <f>IF($J$1="","",HLOOKUP($J$1,$M$1:$AAV$1000,680,0))</f>
        <v/>
      </c>
    </row>
    <row r="681" spans="1:10" x14ac:dyDescent="0.25">
      <c r="A681" s="127" t="str">
        <f>IF(Produits!A562="","",Produits!A562)</f>
        <v/>
      </c>
      <c r="B681" s="127" t="str">
        <f>IF(Produits!B562="","",Produits!B562)</f>
        <v/>
      </c>
      <c r="C681" s="127" t="str">
        <f>IF(Produits!C562="","",Produits!C562)</f>
        <v/>
      </c>
      <c r="D681" s="127" t="str">
        <f>IF(Produits!D562="","",Produits!D562)</f>
        <v/>
      </c>
      <c r="E681" s="127" t="str">
        <f>IF(Produits!E562="","",Produits!E562)</f>
        <v/>
      </c>
      <c r="F681" s="128" t="str">
        <f>IF(Produits!F562="","",Produits!F562)</f>
        <v/>
      </c>
      <c r="J681" s="140" t="str">
        <f>IF($J$1="","",HLOOKUP($J$1,$M$1:$AAV$1000,681,0))</f>
        <v/>
      </c>
    </row>
    <row r="682" spans="1:10" x14ac:dyDescent="0.25">
      <c r="A682" s="127" t="str">
        <f>IF(Produits!A563="","",Produits!A563)</f>
        <v/>
      </c>
      <c r="B682" s="127" t="str">
        <f>IF(Produits!B563="","",Produits!B563)</f>
        <v/>
      </c>
      <c r="C682" s="127" t="str">
        <f>IF(Produits!C563="","",Produits!C563)</f>
        <v/>
      </c>
      <c r="D682" s="127" t="str">
        <f>IF(Produits!D563="","",Produits!D563)</f>
        <v/>
      </c>
      <c r="E682" s="127" t="str">
        <f>IF(Produits!E563="","",Produits!E563)</f>
        <v/>
      </c>
      <c r="F682" s="128" t="str">
        <f>IF(Produits!F563="","",Produits!F563)</f>
        <v/>
      </c>
      <c r="J682" s="140" t="str">
        <f>IF($J$1="","",HLOOKUP($J$1,$M$1:$AAV$1000,682,0))</f>
        <v/>
      </c>
    </row>
    <row r="683" spans="1:10" x14ac:dyDescent="0.25">
      <c r="A683" s="127" t="str">
        <f>IF(Produits!A564="","",Produits!A564)</f>
        <v/>
      </c>
      <c r="B683" s="127" t="str">
        <f>IF(Produits!B564="","",Produits!B564)</f>
        <v/>
      </c>
      <c r="C683" s="127" t="str">
        <f>IF(Produits!C564="","",Produits!C564)</f>
        <v/>
      </c>
      <c r="D683" s="127" t="str">
        <f>IF(Produits!D564="","",Produits!D564)</f>
        <v/>
      </c>
      <c r="E683" s="127" t="str">
        <f>IF(Produits!E564="","",Produits!E564)</f>
        <v/>
      </c>
      <c r="F683" s="128" t="str">
        <f>IF(Produits!F564="","",Produits!F564)</f>
        <v/>
      </c>
      <c r="J683" s="140" t="str">
        <f>IF($J$1="","",HLOOKUP($J$1,$M$1:$AAV$1000,683,0))</f>
        <v/>
      </c>
    </row>
    <row r="684" spans="1:10" x14ac:dyDescent="0.25">
      <c r="A684" s="127" t="str">
        <f>IF(Produits!A565="","",Produits!A565)</f>
        <v/>
      </c>
      <c r="B684" s="127" t="str">
        <f>IF(Produits!B565="","",Produits!B565)</f>
        <v/>
      </c>
      <c r="C684" s="127" t="str">
        <f>IF(Produits!C565="","",Produits!C565)</f>
        <v/>
      </c>
      <c r="D684" s="127" t="str">
        <f>IF(Produits!D565="","",Produits!D565)</f>
        <v/>
      </c>
      <c r="E684" s="127" t="str">
        <f>IF(Produits!E565="","",Produits!E565)</f>
        <v/>
      </c>
      <c r="F684" s="128" t="str">
        <f>IF(Produits!F565="","",Produits!F565)</f>
        <v/>
      </c>
      <c r="J684" s="140" t="str">
        <f>IF($J$1="","",HLOOKUP($J$1,$M$1:$AAV$1000,684,0))</f>
        <v/>
      </c>
    </row>
    <row r="685" spans="1:10" x14ac:dyDescent="0.25">
      <c r="A685" s="127" t="str">
        <f>IF(Produits!A566="","",Produits!A566)</f>
        <v/>
      </c>
      <c r="B685" s="127" t="str">
        <f>IF(Produits!B566="","",Produits!B566)</f>
        <v/>
      </c>
      <c r="C685" s="127" t="str">
        <f>IF(Produits!C566="","",Produits!C566)</f>
        <v/>
      </c>
      <c r="D685" s="127" t="str">
        <f>IF(Produits!D566="","",Produits!D566)</f>
        <v/>
      </c>
      <c r="E685" s="127" t="str">
        <f>IF(Produits!E566="","",Produits!E566)</f>
        <v/>
      </c>
      <c r="F685" s="128" t="str">
        <f>IF(Produits!F566="","",Produits!F566)</f>
        <v/>
      </c>
      <c r="J685" s="140" t="str">
        <f>IF($J$1="","",HLOOKUP($J$1,$M$1:$AAV$1000,685,0))</f>
        <v/>
      </c>
    </row>
    <row r="686" spans="1:10" x14ac:dyDescent="0.25">
      <c r="A686" s="127" t="str">
        <f>IF(Produits!A567="","",Produits!A567)</f>
        <v/>
      </c>
      <c r="B686" s="127" t="str">
        <f>IF(Produits!B567="","",Produits!B567)</f>
        <v/>
      </c>
      <c r="C686" s="127" t="str">
        <f>IF(Produits!C567="","",Produits!C567)</f>
        <v/>
      </c>
      <c r="D686" s="127" t="str">
        <f>IF(Produits!D567="","",Produits!D567)</f>
        <v/>
      </c>
      <c r="E686" s="127" t="str">
        <f>IF(Produits!E567="","",Produits!E567)</f>
        <v/>
      </c>
      <c r="F686" s="128" t="str">
        <f>IF(Produits!F567="","",Produits!F567)</f>
        <v/>
      </c>
      <c r="J686" s="140" t="str">
        <f>IF($J$1="","",HLOOKUP($J$1,$M$1:$AAV$1000,686,0))</f>
        <v/>
      </c>
    </row>
    <row r="687" spans="1:10" x14ac:dyDescent="0.25">
      <c r="A687" s="127" t="str">
        <f>IF(Produits!A568="","",Produits!A568)</f>
        <v/>
      </c>
      <c r="B687" s="127" t="str">
        <f>IF(Produits!B568="","",Produits!B568)</f>
        <v/>
      </c>
      <c r="C687" s="127" t="str">
        <f>IF(Produits!C568="","",Produits!C568)</f>
        <v/>
      </c>
      <c r="D687" s="127" t="str">
        <f>IF(Produits!D568="","",Produits!D568)</f>
        <v/>
      </c>
      <c r="E687" s="127" t="str">
        <f>IF(Produits!E568="","",Produits!E568)</f>
        <v/>
      </c>
      <c r="F687" s="128" t="str">
        <f>IF(Produits!F568="","",Produits!F568)</f>
        <v/>
      </c>
      <c r="J687" s="140" t="str">
        <f>IF($J$1="","",HLOOKUP($J$1,$M$1:$AAV$1000,687,0))</f>
        <v/>
      </c>
    </row>
    <row r="688" spans="1:10" x14ac:dyDescent="0.25">
      <c r="A688" s="127" t="str">
        <f>IF(Produits!A569="","",Produits!A569)</f>
        <v/>
      </c>
      <c r="B688" s="127" t="str">
        <f>IF(Produits!B569="","",Produits!B569)</f>
        <v/>
      </c>
      <c r="C688" s="127" t="str">
        <f>IF(Produits!C569="","",Produits!C569)</f>
        <v/>
      </c>
      <c r="D688" s="127" t="str">
        <f>IF(Produits!D569="","",Produits!D569)</f>
        <v/>
      </c>
      <c r="E688" s="127" t="str">
        <f>IF(Produits!E569="","",Produits!E569)</f>
        <v/>
      </c>
      <c r="F688" s="128" t="str">
        <f>IF(Produits!F569="","",Produits!F569)</f>
        <v/>
      </c>
      <c r="J688" s="140" t="str">
        <f>IF($J$1="","",HLOOKUP($J$1,$M$1:$AAV$1000,688,0))</f>
        <v/>
      </c>
    </row>
    <row r="689" spans="1:10" x14ac:dyDescent="0.25">
      <c r="A689" s="127" t="str">
        <f>IF(Produits!A570="","",Produits!A570)</f>
        <v/>
      </c>
      <c r="B689" s="127" t="str">
        <f>IF(Produits!B570="","",Produits!B570)</f>
        <v/>
      </c>
      <c r="C689" s="127" t="str">
        <f>IF(Produits!C570="","",Produits!C570)</f>
        <v/>
      </c>
      <c r="D689" s="127" t="str">
        <f>IF(Produits!D570="","",Produits!D570)</f>
        <v/>
      </c>
      <c r="E689" s="127" t="str">
        <f>IF(Produits!E570="","",Produits!E570)</f>
        <v/>
      </c>
      <c r="F689" s="128" t="str">
        <f>IF(Produits!F570="","",Produits!F570)</f>
        <v/>
      </c>
      <c r="J689" s="140" t="str">
        <f>IF($J$1="","",HLOOKUP($J$1,$M$1:$AAV$1000,689,0))</f>
        <v/>
      </c>
    </row>
    <row r="690" spans="1:10" x14ac:dyDescent="0.25">
      <c r="A690" s="127" t="str">
        <f>IF(Produits!A571="","",Produits!A571)</f>
        <v/>
      </c>
      <c r="B690" s="127" t="str">
        <f>IF(Produits!B571="","",Produits!B571)</f>
        <v/>
      </c>
      <c r="C690" s="127" t="str">
        <f>IF(Produits!C571="","",Produits!C571)</f>
        <v/>
      </c>
      <c r="D690" s="127" t="str">
        <f>IF(Produits!D571="","",Produits!D571)</f>
        <v/>
      </c>
      <c r="E690" s="127" t="str">
        <f>IF(Produits!E571="","",Produits!E571)</f>
        <v/>
      </c>
      <c r="F690" s="128" t="str">
        <f>IF(Produits!F571="","",Produits!F571)</f>
        <v/>
      </c>
      <c r="J690" s="140" t="str">
        <f>IF($J$1="","",HLOOKUP($J$1,$M$1:$AAV$1000,690,0))</f>
        <v/>
      </c>
    </row>
    <row r="691" spans="1:10" x14ac:dyDescent="0.25">
      <c r="A691" s="127" t="str">
        <f>IF(Produits!A572="","",Produits!A572)</f>
        <v/>
      </c>
      <c r="B691" s="127" t="str">
        <f>IF(Produits!B572="","",Produits!B572)</f>
        <v/>
      </c>
      <c r="C691" s="127" t="str">
        <f>IF(Produits!C572="","",Produits!C572)</f>
        <v/>
      </c>
      <c r="D691" s="127" t="str">
        <f>IF(Produits!D572="","",Produits!D572)</f>
        <v/>
      </c>
      <c r="E691" s="127" t="str">
        <f>IF(Produits!E572="","",Produits!E572)</f>
        <v/>
      </c>
      <c r="F691" s="128" t="str">
        <f>IF(Produits!F572="","",Produits!F572)</f>
        <v/>
      </c>
      <c r="J691" s="140" t="str">
        <f>IF($J$1="","",HLOOKUP($J$1,$M$1:$AAV$1000,691,0))</f>
        <v/>
      </c>
    </row>
    <row r="692" spans="1:10" x14ac:dyDescent="0.25">
      <c r="A692" s="127" t="str">
        <f>IF(Produits!A573="","",Produits!A573)</f>
        <v/>
      </c>
      <c r="B692" s="127" t="str">
        <f>IF(Produits!B573="","",Produits!B573)</f>
        <v/>
      </c>
      <c r="C692" s="127" t="str">
        <f>IF(Produits!C573="","",Produits!C573)</f>
        <v/>
      </c>
      <c r="D692" s="127" t="str">
        <f>IF(Produits!D573="","",Produits!D573)</f>
        <v/>
      </c>
      <c r="E692" s="127" t="str">
        <f>IF(Produits!E573="","",Produits!E573)</f>
        <v/>
      </c>
      <c r="F692" s="128" t="str">
        <f>IF(Produits!F573="","",Produits!F573)</f>
        <v/>
      </c>
      <c r="J692" s="140" t="str">
        <f>IF($J$1="","",HLOOKUP($J$1,$M$1:$AAV$1000,692,0))</f>
        <v/>
      </c>
    </row>
    <row r="693" spans="1:10" x14ac:dyDescent="0.25">
      <c r="A693" s="127" t="str">
        <f>IF(Produits!A574="","",Produits!A574)</f>
        <v/>
      </c>
      <c r="B693" s="127" t="str">
        <f>IF(Produits!B574="","",Produits!B574)</f>
        <v/>
      </c>
      <c r="C693" s="127" t="str">
        <f>IF(Produits!C574="","",Produits!C574)</f>
        <v/>
      </c>
      <c r="D693" s="127" t="str">
        <f>IF(Produits!D574="","",Produits!D574)</f>
        <v/>
      </c>
      <c r="E693" s="127" t="str">
        <f>IF(Produits!E574="","",Produits!E574)</f>
        <v/>
      </c>
      <c r="F693" s="128" t="str">
        <f>IF(Produits!F574="","",Produits!F574)</f>
        <v/>
      </c>
      <c r="J693" s="140" t="str">
        <f>IF($J$1="","",HLOOKUP($J$1,$M$1:$AAV$1000,693,0))</f>
        <v/>
      </c>
    </row>
    <row r="694" spans="1:10" x14ac:dyDescent="0.25">
      <c r="A694" s="127" t="str">
        <f>IF(Produits!A575="","",Produits!A575)</f>
        <v/>
      </c>
      <c r="B694" s="127" t="str">
        <f>IF(Produits!B575="","",Produits!B575)</f>
        <v/>
      </c>
      <c r="C694" s="127" t="str">
        <f>IF(Produits!C575="","",Produits!C575)</f>
        <v/>
      </c>
      <c r="D694" s="127" t="str">
        <f>IF(Produits!D575="","",Produits!D575)</f>
        <v/>
      </c>
      <c r="E694" s="127" t="str">
        <f>IF(Produits!E575="","",Produits!E575)</f>
        <v/>
      </c>
      <c r="F694" s="128" t="str">
        <f>IF(Produits!F575="","",Produits!F575)</f>
        <v/>
      </c>
      <c r="J694" s="140" t="str">
        <f>IF($J$1="","",HLOOKUP($J$1,$M$1:$AAV$1000,694,0))</f>
        <v/>
      </c>
    </row>
    <row r="695" spans="1:10" x14ac:dyDescent="0.25">
      <c r="A695" s="127" t="str">
        <f>IF(Produits!A576="","",Produits!A576)</f>
        <v/>
      </c>
      <c r="B695" s="127" t="str">
        <f>IF(Produits!B576="","",Produits!B576)</f>
        <v/>
      </c>
      <c r="C695" s="127" t="str">
        <f>IF(Produits!C576="","",Produits!C576)</f>
        <v/>
      </c>
      <c r="D695" s="127" t="str">
        <f>IF(Produits!D576="","",Produits!D576)</f>
        <v/>
      </c>
      <c r="E695" s="127" t="str">
        <f>IF(Produits!E576="","",Produits!E576)</f>
        <v/>
      </c>
      <c r="F695" s="128" t="str">
        <f>IF(Produits!F576="","",Produits!F576)</f>
        <v/>
      </c>
      <c r="J695" s="140" t="str">
        <f>IF($J$1="","",HLOOKUP($J$1,$M$1:$AAV$1000,695,0))</f>
        <v/>
      </c>
    </row>
    <row r="696" spans="1:10" x14ac:dyDescent="0.25">
      <c r="A696" s="127" t="str">
        <f>IF(Produits!A577="","",Produits!A577)</f>
        <v/>
      </c>
      <c r="B696" s="127" t="str">
        <f>IF(Produits!B577="","",Produits!B577)</f>
        <v/>
      </c>
      <c r="C696" s="127" t="str">
        <f>IF(Produits!C577="","",Produits!C577)</f>
        <v/>
      </c>
      <c r="D696" s="127" t="str">
        <f>IF(Produits!D577="","",Produits!D577)</f>
        <v/>
      </c>
      <c r="E696" s="127" t="str">
        <f>IF(Produits!E577="","",Produits!E577)</f>
        <v/>
      </c>
      <c r="F696" s="128" t="str">
        <f>IF(Produits!F577="","",Produits!F577)</f>
        <v/>
      </c>
      <c r="J696" s="140" t="str">
        <f>IF($J$1="","",HLOOKUP($J$1,$M$1:$AAV$1000,696,0))</f>
        <v/>
      </c>
    </row>
    <row r="697" spans="1:10" x14ac:dyDescent="0.25">
      <c r="A697" s="127" t="str">
        <f>IF(Produits!A578="","",Produits!A578)</f>
        <v/>
      </c>
      <c r="B697" s="127" t="str">
        <f>IF(Produits!B578="","",Produits!B578)</f>
        <v/>
      </c>
      <c r="C697" s="127" t="str">
        <f>IF(Produits!C578="","",Produits!C578)</f>
        <v/>
      </c>
      <c r="D697" s="127" t="str">
        <f>IF(Produits!D578="","",Produits!D578)</f>
        <v/>
      </c>
      <c r="E697" s="127" t="str">
        <f>IF(Produits!E578="","",Produits!E578)</f>
        <v/>
      </c>
      <c r="F697" s="128" t="str">
        <f>IF(Produits!F578="","",Produits!F578)</f>
        <v/>
      </c>
      <c r="J697" s="140" t="str">
        <f>IF($J$1="","",HLOOKUP($J$1,$M$1:$AAV$1000,697,0))</f>
        <v/>
      </c>
    </row>
    <row r="698" spans="1:10" x14ac:dyDescent="0.25">
      <c r="A698" s="127" t="str">
        <f>IF(Produits!A579="","",Produits!A579)</f>
        <v/>
      </c>
      <c r="B698" s="127" t="str">
        <f>IF(Produits!B579="","",Produits!B579)</f>
        <v/>
      </c>
      <c r="C698" s="127" t="str">
        <f>IF(Produits!C579="","",Produits!C579)</f>
        <v/>
      </c>
      <c r="D698" s="127" t="str">
        <f>IF(Produits!D579="","",Produits!D579)</f>
        <v/>
      </c>
      <c r="E698" s="127" t="str">
        <f>IF(Produits!E579="","",Produits!E579)</f>
        <v/>
      </c>
      <c r="F698" s="128" t="str">
        <f>IF(Produits!F579="","",Produits!F579)</f>
        <v/>
      </c>
      <c r="J698" s="140" t="str">
        <f>IF($J$1="","",HLOOKUP($J$1,$M$1:$AAV$1000,698,0))</f>
        <v/>
      </c>
    </row>
    <row r="699" spans="1:10" x14ac:dyDescent="0.25">
      <c r="A699" s="127" t="str">
        <f>IF(Produits!A580="","",Produits!A580)</f>
        <v/>
      </c>
      <c r="B699" s="127" t="str">
        <f>IF(Produits!B580="","",Produits!B580)</f>
        <v/>
      </c>
      <c r="C699" s="127" t="str">
        <f>IF(Produits!C580="","",Produits!C580)</f>
        <v/>
      </c>
      <c r="D699" s="127" t="str">
        <f>IF(Produits!D580="","",Produits!D580)</f>
        <v/>
      </c>
      <c r="E699" s="127" t="str">
        <f>IF(Produits!E580="","",Produits!E580)</f>
        <v/>
      </c>
      <c r="F699" s="128" t="str">
        <f>IF(Produits!F580="","",Produits!F580)</f>
        <v/>
      </c>
      <c r="J699" s="140" t="str">
        <f>IF($J$1="","",HLOOKUP($J$1,$M$1:$AAV$1000,699,0))</f>
        <v/>
      </c>
    </row>
    <row r="700" spans="1:10" x14ac:dyDescent="0.25">
      <c r="A700" s="127" t="str">
        <f>IF(Produits!A581="","",Produits!A581)</f>
        <v/>
      </c>
      <c r="B700" s="127" t="str">
        <f>IF(Produits!B581="","",Produits!B581)</f>
        <v/>
      </c>
      <c r="C700" s="127" t="str">
        <f>IF(Produits!C581="","",Produits!C581)</f>
        <v/>
      </c>
      <c r="D700" s="127" t="str">
        <f>IF(Produits!D581="","",Produits!D581)</f>
        <v/>
      </c>
      <c r="E700" s="127" t="str">
        <f>IF(Produits!E581="","",Produits!E581)</f>
        <v/>
      </c>
      <c r="F700" s="128" t="str">
        <f>IF(Produits!F581="","",Produits!F581)</f>
        <v/>
      </c>
      <c r="J700" s="140" t="str">
        <f>IF($J$1="","",HLOOKUP($J$1,$M$1:$AAV$1000,700,0))</f>
        <v/>
      </c>
    </row>
    <row r="701" spans="1:10" x14ac:dyDescent="0.25">
      <c r="A701" s="127" t="str">
        <f>IF(Produits!A582="","",Produits!A582)</f>
        <v/>
      </c>
      <c r="B701" s="127" t="str">
        <f>IF(Produits!B582="","",Produits!B582)</f>
        <v/>
      </c>
      <c r="C701" s="127" t="str">
        <f>IF(Produits!C582="","",Produits!C582)</f>
        <v/>
      </c>
      <c r="D701" s="127" t="str">
        <f>IF(Produits!D582="","",Produits!D582)</f>
        <v/>
      </c>
      <c r="E701" s="127" t="str">
        <f>IF(Produits!E582="","",Produits!E582)</f>
        <v/>
      </c>
      <c r="F701" s="128" t="str">
        <f>IF(Produits!F582="","",Produits!F582)</f>
        <v/>
      </c>
      <c r="J701" s="140" t="str">
        <f>IF($J$1="","",HLOOKUP($J$1,$M$1:$AAV$1000,701,0))</f>
        <v/>
      </c>
    </row>
    <row r="702" spans="1:10" x14ac:dyDescent="0.25">
      <c r="A702" s="127" t="str">
        <f>IF(Produits!A583="","",Produits!A583)</f>
        <v/>
      </c>
      <c r="B702" s="127" t="str">
        <f>IF(Produits!B583="","",Produits!B583)</f>
        <v/>
      </c>
      <c r="C702" s="127" t="str">
        <f>IF(Produits!C583="","",Produits!C583)</f>
        <v/>
      </c>
      <c r="D702" s="127" t="str">
        <f>IF(Produits!D583="","",Produits!D583)</f>
        <v/>
      </c>
      <c r="E702" s="127" t="str">
        <f>IF(Produits!E583="","",Produits!E583)</f>
        <v/>
      </c>
      <c r="F702" s="128" t="str">
        <f>IF(Produits!F583="","",Produits!F583)</f>
        <v/>
      </c>
      <c r="J702" s="140" t="str">
        <f>IF($J$1="","",HLOOKUP($J$1,$M$1:$AAV$1000,702,0))</f>
        <v/>
      </c>
    </row>
    <row r="703" spans="1:10" x14ac:dyDescent="0.25">
      <c r="A703" s="127" t="str">
        <f>IF(Produits!A584="","",Produits!A584)</f>
        <v/>
      </c>
      <c r="B703" s="127" t="str">
        <f>IF(Produits!B584="","",Produits!B584)</f>
        <v/>
      </c>
      <c r="C703" s="127" t="str">
        <f>IF(Produits!C584="","",Produits!C584)</f>
        <v/>
      </c>
      <c r="D703" s="127" t="str">
        <f>IF(Produits!D584="","",Produits!D584)</f>
        <v/>
      </c>
      <c r="E703" s="127" t="str">
        <f>IF(Produits!E584="","",Produits!E584)</f>
        <v/>
      </c>
      <c r="F703" s="128" t="str">
        <f>IF(Produits!F584="","",Produits!F584)</f>
        <v/>
      </c>
      <c r="J703" s="140" t="str">
        <f>IF($J$1="","",HLOOKUP($J$1,$M$1:$AAV$1000,703,0))</f>
        <v/>
      </c>
    </row>
    <row r="704" spans="1:10" x14ac:dyDescent="0.25">
      <c r="A704" s="127" t="str">
        <f>IF(Produits!A585="","",Produits!A585)</f>
        <v/>
      </c>
      <c r="B704" s="127" t="str">
        <f>IF(Produits!B585="","",Produits!B585)</f>
        <v/>
      </c>
      <c r="C704" s="127" t="str">
        <f>IF(Produits!C585="","",Produits!C585)</f>
        <v/>
      </c>
      <c r="D704" s="127" t="str">
        <f>IF(Produits!D585="","",Produits!D585)</f>
        <v/>
      </c>
      <c r="E704" s="127" t="str">
        <f>IF(Produits!E585="","",Produits!E585)</f>
        <v/>
      </c>
      <c r="F704" s="128" t="str">
        <f>IF(Produits!F585="","",Produits!F585)</f>
        <v/>
      </c>
      <c r="J704" s="140" t="str">
        <f>IF($J$1="","",HLOOKUP($J$1,$M$1:$AAV$1000,704,0))</f>
        <v/>
      </c>
    </row>
    <row r="705" spans="1:10" x14ac:dyDescent="0.25">
      <c r="A705" s="127" t="str">
        <f>IF(Produits!A586="","",Produits!A586)</f>
        <v/>
      </c>
      <c r="B705" s="127" t="str">
        <f>IF(Produits!B586="","",Produits!B586)</f>
        <v/>
      </c>
      <c r="C705" s="127" t="str">
        <f>IF(Produits!C586="","",Produits!C586)</f>
        <v/>
      </c>
      <c r="D705" s="127" t="str">
        <f>IF(Produits!D586="","",Produits!D586)</f>
        <v/>
      </c>
      <c r="E705" s="127" t="str">
        <f>IF(Produits!E586="","",Produits!E586)</f>
        <v/>
      </c>
      <c r="F705" s="128" t="str">
        <f>IF(Produits!F586="","",Produits!F586)</f>
        <v/>
      </c>
      <c r="J705" s="140" t="str">
        <f>IF($J$1="","",HLOOKUP($J$1,$M$1:$AAV$1000,705,0))</f>
        <v/>
      </c>
    </row>
    <row r="706" spans="1:10" x14ac:dyDescent="0.25">
      <c r="A706" s="127" t="str">
        <f>IF(Produits!A587="","",Produits!A587)</f>
        <v/>
      </c>
      <c r="B706" s="127" t="str">
        <f>IF(Produits!B587="","",Produits!B587)</f>
        <v/>
      </c>
      <c r="C706" s="127" t="str">
        <f>IF(Produits!C587="","",Produits!C587)</f>
        <v/>
      </c>
      <c r="D706" s="127" t="str">
        <f>IF(Produits!D587="","",Produits!D587)</f>
        <v/>
      </c>
      <c r="E706" s="127" t="str">
        <f>IF(Produits!E587="","",Produits!E587)</f>
        <v/>
      </c>
      <c r="F706" s="128" t="str">
        <f>IF(Produits!F587="","",Produits!F587)</f>
        <v/>
      </c>
      <c r="J706" s="140" t="str">
        <f>IF($J$1="","",HLOOKUP($J$1,$M$1:$AAV$1000,706,0))</f>
        <v/>
      </c>
    </row>
    <row r="707" spans="1:10" x14ac:dyDescent="0.25">
      <c r="A707" s="127" t="str">
        <f>IF(Produits!A588="","",Produits!A588)</f>
        <v/>
      </c>
      <c r="B707" s="127" t="str">
        <f>IF(Produits!B588="","",Produits!B588)</f>
        <v/>
      </c>
      <c r="C707" s="127" t="str">
        <f>IF(Produits!C588="","",Produits!C588)</f>
        <v/>
      </c>
      <c r="D707" s="127" t="str">
        <f>IF(Produits!D588="","",Produits!D588)</f>
        <v/>
      </c>
      <c r="E707" s="127" t="str">
        <f>IF(Produits!E588="","",Produits!E588)</f>
        <v/>
      </c>
      <c r="F707" s="128" t="str">
        <f>IF(Produits!F588="","",Produits!F588)</f>
        <v/>
      </c>
      <c r="J707" s="140" t="str">
        <f>IF($J$1="","",HLOOKUP($J$1,$M$1:$AAV$1000,707,0))</f>
        <v/>
      </c>
    </row>
    <row r="708" spans="1:10" x14ac:dyDescent="0.25">
      <c r="A708" s="127" t="str">
        <f>IF(Produits!A589="","",Produits!A589)</f>
        <v/>
      </c>
      <c r="B708" s="127" t="str">
        <f>IF(Produits!B589="","",Produits!B589)</f>
        <v/>
      </c>
      <c r="C708" s="127" t="str">
        <f>IF(Produits!C589="","",Produits!C589)</f>
        <v/>
      </c>
      <c r="D708" s="127" t="str">
        <f>IF(Produits!D589="","",Produits!D589)</f>
        <v/>
      </c>
      <c r="E708" s="127" t="str">
        <f>IF(Produits!E589="","",Produits!E589)</f>
        <v/>
      </c>
      <c r="F708" s="128" t="str">
        <f>IF(Produits!F589="","",Produits!F589)</f>
        <v/>
      </c>
      <c r="J708" s="140" t="str">
        <f>IF($J$1="","",HLOOKUP($J$1,$M$1:$AAV$1000,708,0))</f>
        <v/>
      </c>
    </row>
    <row r="709" spans="1:10" x14ac:dyDescent="0.25">
      <c r="A709" s="127" t="str">
        <f>IF(Produits!A590="","",Produits!A590)</f>
        <v/>
      </c>
      <c r="B709" s="127" t="str">
        <f>IF(Produits!B590="","",Produits!B590)</f>
        <v/>
      </c>
      <c r="C709" s="127" t="str">
        <f>IF(Produits!C590="","",Produits!C590)</f>
        <v/>
      </c>
      <c r="D709" s="127" t="str">
        <f>IF(Produits!D590="","",Produits!D590)</f>
        <v/>
      </c>
      <c r="E709" s="127" t="str">
        <f>IF(Produits!E590="","",Produits!E590)</f>
        <v/>
      </c>
      <c r="F709" s="128" t="str">
        <f>IF(Produits!F590="","",Produits!F590)</f>
        <v/>
      </c>
      <c r="J709" s="140" t="str">
        <f>IF($J$1="","",HLOOKUP($J$1,$M$1:$AAV$1000,709,0))</f>
        <v/>
      </c>
    </row>
    <row r="710" spans="1:10" x14ac:dyDescent="0.25">
      <c r="A710" s="127" t="str">
        <f>IF(Produits!A591="","",Produits!A591)</f>
        <v/>
      </c>
      <c r="B710" s="127" t="str">
        <f>IF(Produits!B591="","",Produits!B591)</f>
        <v/>
      </c>
      <c r="C710" s="127" t="str">
        <f>IF(Produits!C591="","",Produits!C591)</f>
        <v/>
      </c>
      <c r="D710" s="127" t="str">
        <f>IF(Produits!D591="","",Produits!D591)</f>
        <v/>
      </c>
      <c r="E710" s="127" t="str">
        <f>IF(Produits!E591="","",Produits!E591)</f>
        <v/>
      </c>
      <c r="F710" s="128" t="str">
        <f>IF(Produits!F591="","",Produits!F591)</f>
        <v/>
      </c>
      <c r="J710" s="140" t="str">
        <f>IF($J$1="","",HLOOKUP($J$1,$M$1:$AAV$1000,710,0))</f>
        <v/>
      </c>
    </row>
    <row r="711" spans="1:10" x14ac:dyDescent="0.25">
      <c r="A711" s="127" t="str">
        <f>IF(Produits!A592="","",Produits!A592)</f>
        <v/>
      </c>
      <c r="B711" s="127" t="str">
        <f>IF(Produits!B592="","",Produits!B592)</f>
        <v/>
      </c>
      <c r="C711" s="127" t="str">
        <f>IF(Produits!C592="","",Produits!C592)</f>
        <v/>
      </c>
      <c r="D711" s="127" t="str">
        <f>IF(Produits!D592="","",Produits!D592)</f>
        <v/>
      </c>
      <c r="E711" s="127" t="str">
        <f>IF(Produits!E592="","",Produits!E592)</f>
        <v/>
      </c>
      <c r="F711" s="128" t="str">
        <f>IF(Produits!F592="","",Produits!F592)</f>
        <v/>
      </c>
      <c r="J711" s="140" t="str">
        <f>IF($J$1="","",HLOOKUP($J$1,$M$1:$AAV$1000,711,0))</f>
        <v/>
      </c>
    </row>
    <row r="712" spans="1:10" x14ac:dyDescent="0.25">
      <c r="A712" s="127" t="str">
        <f>IF(Produits!A593="","",Produits!A593)</f>
        <v/>
      </c>
      <c r="B712" s="127" t="str">
        <f>IF(Produits!B593="","",Produits!B593)</f>
        <v/>
      </c>
      <c r="C712" s="127" t="str">
        <f>IF(Produits!C593="","",Produits!C593)</f>
        <v/>
      </c>
      <c r="D712" s="127" t="str">
        <f>IF(Produits!D593="","",Produits!D593)</f>
        <v/>
      </c>
      <c r="E712" s="127" t="str">
        <f>IF(Produits!E593="","",Produits!E593)</f>
        <v/>
      </c>
      <c r="F712" s="128" t="str">
        <f>IF(Produits!F593="","",Produits!F593)</f>
        <v/>
      </c>
      <c r="J712" s="140" t="str">
        <f>IF($J$1="","",HLOOKUP($J$1,$M$1:$AAV$1000,712,0))</f>
        <v/>
      </c>
    </row>
    <row r="713" spans="1:10" x14ac:dyDescent="0.25">
      <c r="A713" s="127" t="str">
        <f>IF(Produits!A594="","",Produits!A594)</f>
        <v/>
      </c>
      <c r="B713" s="127" t="str">
        <f>IF(Produits!B594="","",Produits!B594)</f>
        <v/>
      </c>
      <c r="C713" s="127" t="str">
        <f>IF(Produits!C594="","",Produits!C594)</f>
        <v/>
      </c>
      <c r="D713" s="127" t="str">
        <f>IF(Produits!D594="","",Produits!D594)</f>
        <v/>
      </c>
      <c r="E713" s="127" t="str">
        <f>IF(Produits!E594="","",Produits!E594)</f>
        <v/>
      </c>
      <c r="F713" s="128" t="str">
        <f>IF(Produits!F594="","",Produits!F594)</f>
        <v/>
      </c>
      <c r="J713" s="140" t="str">
        <f>IF($J$1="","",HLOOKUP($J$1,$M$1:$AAV$1000,713,0))</f>
        <v/>
      </c>
    </row>
    <row r="714" spans="1:10" x14ac:dyDescent="0.25">
      <c r="A714" s="127" t="str">
        <f>IF(Produits!A595="","",Produits!A595)</f>
        <v/>
      </c>
      <c r="B714" s="127" t="str">
        <f>IF(Produits!B595="","",Produits!B595)</f>
        <v/>
      </c>
      <c r="C714" s="127" t="str">
        <f>IF(Produits!C595="","",Produits!C595)</f>
        <v/>
      </c>
      <c r="D714" s="127" t="str">
        <f>IF(Produits!D595="","",Produits!D595)</f>
        <v/>
      </c>
      <c r="E714" s="127" t="str">
        <f>IF(Produits!E595="","",Produits!E595)</f>
        <v/>
      </c>
      <c r="F714" s="128" t="str">
        <f>IF(Produits!F595="","",Produits!F595)</f>
        <v/>
      </c>
      <c r="J714" s="140" t="str">
        <f>IF($J$1="","",HLOOKUP($J$1,$M$1:$AAV$1000,714,0))</f>
        <v/>
      </c>
    </row>
    <row r="715" spans="1:10" x14ac:dyDescent="0.25">
      <c r="A715" s="127" t="str">
        <f>IF(Produits!A596="","",Produits!A596)</f>
        <v/>
      </c>
      <c r="B715" s="127" t="str">
        <f>IF(Produits!B596="","",Produits!B596)</f>
        <v/>
      </c>
      <c r="C715" s="127" t="str">
        <f>IF(Produits!C596="","",Produits!C596)</f>
        <v/>
      </c>
      <c r="D715" s="127" t="str">
        <f>IF(Produits!D596="","",Produits!D596)</f>
        <v/>
      </c>
      <c r="E715" s="127" t="str">
        <f>IF(Produits!E596="","",Produits!E596)</f>
        <v/>
      </c>
      <c r="F715" s="128" t="str">
        <f>IF(Produits!F596="","",Produits!F596)</f>
        <v/>
      </c>
      <c r="J715" s="140" t="str">
        <f>IF($J$1="","",HLOOKUP($J$1,$M$1:$AAV$1000,715,0))</f>
        <v/>
      </c>
    </row>
    <row r="716" spans="1:10" x14ac:dyDescent="0.25">
      <c r="A716" s="127" t="str">
        <f>IF(Produits!A597="","",Produits!A597)</f>
        <v/>
      </c>
      <c r="B716" s="127" t="str">
        <f>IF(Produits!B597="","",Produits!B597)</f>
        <v/>
      </c>
      <c r="C716" s="127" t="str">
        <f>IF(Produits!C597="","",Produits!C597)</f>
        <v/>
      </c>
      <c r="D716" s="127" t="str">
        <f>IF(Produits!D597="","",Produits!D597)</f>
        <v/>
      </c>
      <c r="E716" s="127" t="str">
        <f>IF(Produits!E597="","",Produits!E597)</f>
        <v/>
      </c>
      <c r="F716" s="128" t="str">
        <f>IF(Produits!F597="","",Produits!F597)</f>
        <v/>
      </c>
      <c r="J716" s="140" t="str">
        <f>IF($J$1="","",HLOOKUP($J$1,$M$1:$AAV$1000,716,0))</f>
        <v/>
      </c>
    </row>
    <row r="717" spans="1:10" x14ac:dyDescent="0.25">
      <c r="A717" s="127" t="str">
        <f>IF(Produits!A598="","",Produits!A598)</f>
        <v/>
      </c>
      <c r="B717" s="127" t="str">
        <f>IF(Produits!B598="","",Produits!B598)</f>
        <v/>
      </c>
      <c r="C717" s="127" t="str">
        <f>IF(Produits!C598="","",Produits!C598)</f>
        <v/>
      </c>
      <c r="D717" s="127" t="str">
        <f>IF(Produits!D598="","",Produits!D598)</f>
        <v/>
      </c>
      <c r="E717" s="127" t="str">
        <f>IF(Produits!E598="","",Produits!E598)</f>
        <v/>
      </c>
      <c r="F717" s="128" t="str">
        <f>IF(Produits!F598="","",Produits!F598)</f>
        <v/>
      </c>
      <c r="J717" s="140" t="str">
        <f>IF($J$1="","",HLOOKUP($J$1,$M$1:$AAV$1000,717,0))</f>
        <v/>
      </c>
    </row>
    <row r="718" spans="1:10" x14ac:dyDescent="0.25">
      <c r="A718" s="127" t="str">
        <f>IF(Produits!A599="","",Produits!A599)</f>
        <v/>
      </c>
      <c r="B718" s="127" t="str">
        <f>IF(Produits!B599="","",Produits!B599)</f>
        <v/>
      </c>
      <c r="C718" s="127" t="str">
        <f>IF(Produits!C599="","",Produits!C599)</f>
        <v/>
      </c>
      <c r="D718" s="127" t="str">
        <f>IF(Produits!D599="","",Produits!D599)</f>
        <v/>
      </c>
      <c r="E718" s="127" t="str">
        <f>IF(Produits!E599="","",Produits!E599)</f>
        <v/>
      </c>
      <c r="F718" s="128" t="str">
        <f>IF(Produits!F599="","",Produits!F599)</f>
        <v/>
      </c>
      <c r="J718" s="140" t="str">
        <f>IF($J$1="","",HLOOKUP($J$1,$M$1:$AAV$1000,718,0))</f>
        <v/>
      </c>
    </row>
    <row r="719" spans="1:10" x14ac:dyDescent="0.25">
      <c r="A719" s="127" t="str">
        <f>IF(Produits!A600="","",Produits!A600)</f>
        <v/>
      </c>
      <c r="B719" s="127" t="str">
        <f>IF(Produits!B600="","",Produits!B600)</f>
        <v/>
      </c>
      <c r="C719" s="127" t="str">
        <f>IF(Produits!C600="","",Produits!C600)</f>
        <v/>
      </c>
      <c r="D719" s="127" t="str">
        <f>IF(Produits!D600="","",Produits!D600)</f>
        <v/>
      </c>
      <c r="E719" s="127" t="str">
        <f>IF(Produits!E600="","",Produits!E600)</f>
        <v/>
      </c>
      <c r="F719" s="128" t="str">
        <f>IF(Produits!F600="","",Produits!F600)</f>
        <v/>
      </c>
      <c r="J719" s="140" t="str">
        <f>IF($J$1="","",HLOOKUP($J$1,$M$1:$AAV$1000,719,0))</f>
        <v/>
      </c>
    </row>
    <row r="720" spans="1:10" x14ac:dyDescent="0.25">
      <c r="A720" s="127" t="str">
        <f>IF(Produits!A601="","",Produits!A601)</f>
        <v/>
      </c>
      <c r="B720" s="127" t="str">
        <f>IF(Produits!B601="","",Produits!B601)</f>
        <v/>
      </c>
      <c r="C720" s="127" t="str">
        <f>IF(Produits!C601="","",Produits!C601)</f>
        <v/>
      </c>
      <c r="D720" s="127" t="str">
        <f>IF(Produits!D601="","",Produits!D601)</f>
        <v/>
      </c>
      <c r="E720" s="127" t="str">
        <f>IF(Produits!E601="","",Produits!E601)</f>
        <v/>
      </c>
      <c r="F720" s="128" t="str">
        <f>IF(Produits!F601="","",Produits!F601)</f>
        <v/>
      </c>
      <c r="J720" s="140" t="str">
        <f>IF($J$1="","",HLOOKUP($J$1,$M$1:$AAV$1000,720,0))</f>
        <v/>
      </c>
    </row>
    <row r="721" spans="1:10" x14ac:dyDescent="0.25">
      <c r="A721" s="127" t="str">
        <f>IF(Produits!A602="","",Produits!A602)</f>
        <v/>
      </c>
      <c r="B721" s="127" t="str">
        <f>IF(Produits!B602="","",Produits!B602)</f>
        <v/>
      </c>
      <c r="C721" s="127" t="str">
        <f>IF(Produits!C602="","",Produits!C602)</f>
        <v/>
      </c>
      <c r="D721" s="127" t="str">
        <f>IF(Produits!D602="","",Produits!D602)</f>
        <v/>
      </c>
      <c r="E721" s="127" t="str">
        <f>IF(Produits!E602="","",Produits!E602)</f>
        <v/>
      </c>
      <c r="F721" s="128" t="str">
        <f>IF(Produits!F602="","",Produits!F602)</f>
        <v/>
      </c>
      <c r="J721" s="140" t="str">
        <f>IF($J$1="","",HLOOKUP($J$1,$M$1:$AAV$1000,721,0))</f>
        <v/>
      </c>
    </row>
    <row r="722" spans="1:10" x14ac:dyDescent="0.25">
      <c r="A722" s="127" t="str">
        <f>IF(Produits!A603="","",Produits!A603)</f>
        <v/>
      </c>
      <c r="B722" s="127" t="str">
        <f>IF(Produits!B603="","",Produits!B603)</f>
        <v/>
      </c>
      <c r="C722" s="127" t="str">
        <f>IF(Produits!C603="","",Produits!C603)</f>
        <v/>
      </c>
      <c r="D722" s="127" t="str">
        <f>IF(Produits!D603="","",Produits!D603)</f>
        <v/>
      </c>
      <c r="E722" s="127" t="str">
        <f>IF(Produits!E603="","",Produits!E603)</f>
        <v/>
      </c>
      <c r="F722" s="128" t="str">
        <f>IF(Produits!F603="","",Produits!F603)</f>
        <v/>
      </c>
      <c r="J722" s="140" t="str">
        <f>IF($J$1="","",HLOOKUP($J$1,$M$1:$AAV$1000,722,0))</f>
        <v/>
      </c>
    </row>
    <row r="723" spans="1:10" x14ac:dyDescent="0.25">
      <c r="A723" s="127" t="str">
        <f>IF(Produits!A604="","",Produits!A604)</f>
        <v/>
      </c>
      <c r="B723" s="127" t="str">
        <f>IF(Produits!B604="","",Produits!B604)</f>
        <v/>
      </c>
      <c r="C723" s="127" t="str">
        <f>IF(Produits!C604="","",Produits!C604)</f>
        <v/>
      </c>
      <c r="D723" s="127" t="str">
        <f>IF(Produits!D604="","",Produits!D604)</f>
        <v/>
      </c>
      <c r="E723" s="127" t="str">
        <f>IF(Produits!E604="","",Produits!E604)</f>
        <v/>
      </c>
      <c r="F723" s="128" t="str">
        <f>IF(Produits!F604="","",Produits!F604)</f>
        <v/>
      </c>
      <c r="J723" s="140" t="str">
        <f>IF($J$1="","",HLOOKUP($J$1,$M$1:$AAV$1000,723,0))</f>
        <v/>
      </c>
    </row>
    <row r="724" spans="1:10" x14ac:dyDescent="0.25">
      <c r="A724" s="127" t="str">
        <f>IF(Produits!A605="","",Produits!A605)</f>
        <v/>
      </c>
      <c r="B724" s="127" t="str">
        <f>IF(Produits!B605="","",Produits!B605)</f>
        <v/>
      </c>
      <c r="C724" s="127" t="str">
        <f>IF(Produits!C605="","",Produits!C605)</f>
        <v/>
      </c>
      <c r="D724" s="127" t="str">
        <f>IF(Produits!D605="","",Produits!D605)</f>
        <v/>
      </c>
      <c r="E724" s="127" t="str">
        <f>IF(Produits!E605="","",Produits!E605)</f>
        <v/>
      </c>
      <c r="F724" s="128" t="str">
        <f>IF(Produits!F605="","",Produits!F605)</f>
        <v/>
      </c>
      <c r="J724" s="140" t="str">
        <f>IF($J$1="","",HLOOKUP($J$1,$M$1:$AAV$1000,724,0))</f>
        <v/>
      </c>
    </row>
    <row r="725" spans="1:10" x14ac:dyDescent="0.25">
      <c r="A725" s="127" t="str">
        <f>IF(Produits!A606="","",Produits!A606)</f>
        <v/>
      </c>
      <c r="B725" s="127" t="str">
        <f>IF(Produits!B606="","",Produits!B606)</f>
        <v/>
      </c>
      <c r="C725" s="127" t="str">
        <f>IF(Produits!C606="","",Produits!C606)</f>
        <v/>
      </c>
      <c r="D725" s="127" t="str">
        <f>IF(Produits!D606="","",Produits!D606)</f>
        <v/>
      </c>
      <c r="E725" s="127" t="str">
        <f>IF(Produits!E606="","",Produits!E606)</f>
        <v/>
      </c>
      <c r="F725" s="128" t="str">
        <f>IF(Produits!F606="","",Produits!F606)</f>
        <v/>
      </c>
      <c r="J725" s="140" t="str">
        <f>IF($J$1="","",HLOOKUP($J$1,$M$1:$AAV$1000,725,0))</f>
        <v/>
      </c>
    </row>
    <row r="726" spans="1:10" x14ac:dyDescent="0.25">
      <c r="A726" s="127" t="str">
        <f>IF(Produits!A607="","",Produits!A607)</f>
        <v/>
      </c>
      <c r="B726" s="127" t="str">
        <f>IF(Produits!B607="","",Produits!B607)</f>
        <v/>
      </c>
      <c r="C726" s="127" t="str">
        <f>IF(Produits!C607="","",Produits!C607)</f>
        <v/>
      </c>
      <c r="D726" s="127" t="str">
        <f>IF(Produits!D607="","",Produits!D607)</f>
        <v/>
      </c>
      <c r="E726" s="127" t="str">
        <f>IF(Produits!E607="","",Produits!E607)</f>
        <v/>
      </c>
      <c r="F726" s="128" t="str">
        <f>IF(Produits!F607="","",Produits!F607)</f>
        <v/>
      </c>
      <c r="J726" s="140" t="str">
        <f>IF($J$1="","",HLOOKUP($J$1,$M$1:$AAV$1000,726,0))</f>
        <v/>
      </c>
    </row>
    <row r="727" spans="1:10" x14ac:dyDescent="0.25">
      <c r="A727" s="127" t="str">
        <f>IF(Produits!A608="","",Produits!A608)</f>
        <v/>
      </c>
      <c r="B727" s="127" t="str">
        <f>IF(Produits!B608="","",Produits!B608)</f>
        <v/>
      </c>
      <c r="C727" s="127" t="str">
        <f>IF(Produits!C608="","",Produits!C608)</f>
        <v/>
      </c>
      <c r="D727" s="127" t="str">
        <f>IF(Produits!D608="","",Produits!D608)</f>
        <v/>
      </c>
      <c r="E727" s="127" t="str">
        <f>IF(Produits!E608="","",Produits!E608)</f>
        <v/>
      </c>
      <c r="F727" s="128" t="str">
        <f>IF(Produits!F608="","",Produits!F608)</f>
        <v/>
      </c>
      <c r="J727" s="140" t="str">
        <f>IF($J$1="","",HLOOKUP($J$1,$M$1:$AAV$1000,727,0))</f>
        <v/>
      </c>
    </row>
    <row r="728" spans="1:10" x14ac:dyDescent="0.25">
      <c r="A728" s="127" t="str">
        <f>IF(Produits!A609="","",Produits!A609)</f>
        <v/>
      </c>
      <c r="B728" s="127" t="str">
        <f>IF(Produits!B609="","",Produits!B609)</f>
        <v/>
      </c>
      <c r="C728" s="127" t="str">
        <f>IF(Produits!C609="","",Produits!C609)</f>
        <v/>
      </c>
      <c r="D728" s="127" t="str">
        <f>IF(Produits!D609="","",Produits!D609)</f>
        <v/>
      </c>
      <c r="E728" s="127" t="str">
        <f>IF(Produits!E609="","",Produits!E609)</f>
        <v/>
      </c>
      <c r="F728" s="128" t="str">
        <f>IF(Produits!F609="","",Produits!F609)</f>
        <v/>
      </c>
      <c r="J728" s="140" t="str">
        <f>IF($J$1="","",HLOOKUP($J$1,$M$1:$AAV$1000,728,0))</f>
        <v/>
      </c>
    </row>
    <row r="729" spans="1:10" x14ac:dyDescent="0.25">
      <c r="A729" s="127" t="str">
        <f>IF(Produits!A610="","",Produits!A610)</f>
        <v/>
      </c>
      <c r="B729" s="127" t="str">
        <f>IF(Produits!B610="","",Produits!B610)</f>
        <v/>
      </c>
      <c r="C729" s="127" t="str">
        <f>IF(Produits!C610="","",Produits!C610)</f>
        <v/>
      </c>
      <c r="D729" s="127" t="str">
        <f>IF(Produits!D610="","",Produits!D610)</f>
        <v/>
      </c>
      <c r="E729" s="127" t="str">
        <f>IF(Produits!E610="","",Produits!E610)</f>
        <v/>
      </c>
      <c r="F729" s="128" t="str">
        <f>IF(Produits!F610="","",Produits!F610)</f>
        <v/>
      </c>
      <c r="J729" s="140" t="str">
        <f>IF($J$1="","",HLOOKUP($J$1,$M$1:$AAV$1000,729,0))</f>
        <v/>
      </c>
    </row>
    <row r="730" spans="1:10" x14ac:dyDescent="0.25">
      <c r="A730" s="127" t="str">
        <f>IF(Produits!A611="","",Produits!A611)</f>
        <v/>
      </c>
      <c r="B730" s="127" t="str">
        <f>IF(Produits!B611="","",Produits!B611)</f>
        <v/>
      </c>
      <c r="C730" s="127" t="str">
        <f>IF(Produits!C611="","",Produits!C611)</f>
        <v/>
      </c>
      <c r="D730" s="127" t="str">
        <f>IF(Produits!D611="","",Produits!D611)</f>
        <v/>
      </c>
      <c r="E730" s="127" t="str">
        <f>IF(Produits!E611="","",Produits!E611)</f>
        <v/>
      </c>
      <c r="F730" s="128" t="str">
        <f>IF(Produits!F611="","",Produits!F611)</f>
        <v/>
      </c>
      <c r="J730" s="140" t="str">
        <f>IF($J$1="","",HLOOKUP($J$1,$M$1:$AAV$1000,730,0))</f>
        <v/>
      </c>
    </row>
    <row r="731" spans="1:10" x14ac:dyDescent="0.25">
      <c r="A731" s="127" t="str">
        <f>IF(Produits!A612="","",Produits!A612)</f>
        <v/>
      </c>
      <c r="B731" s="127" t="str">
        <f>IF(Produits!B612="","",Produits!B612)</f>
        <v/>
      </c>
      <c r="C731" s="127" t="str">
        <f>IF(Produits!C612="","",Produits!C612)</f>
        <v/>
      </c>
      <c r="D731" s="127" t="str">
        <f>IF(Produits!D612="","",Produits!D612)</f>
        <v/>
      </c>
      <c r="E731" s="127" t="str">
        <f>IF(Produits!E612="","",Produits!E612)</f>
        <v/>
      </c>
      <c r="F731" s="128" t="str">
        <f>IF(Produits!F612="","",Produits!F612)</f>
        <v/>
      </c>
      <c r="J731" s="140" t="str">
        <f>IF($J$1="","",HLOOKUP($J$1,$M$1:$AAV$1000,731,0))</f>
        <v/>
      </c>
    </row>
    <row r="732" spans="1:10" x14ac:dyDescent="0.25">
      <c r="A732" s="127" t="str">
        <f>IF(Produits!A613="","",Produits!A613)</f>
        <v/>
      </c>
      <c r="B732" s="127" t="str">
        <f>IF(Produits!B613="","",Produits!B613)</f>
        <v/>
      </c>
      <c r="C732" s="127" t="str">
        <f>IF(Produits!C613="","",Produits!C613)</f>
        <v/>
      </c>
      <c r="D732" s="127" t="str">
        <f>IF(Produits!D613="","",Produits!D613)</f>
        <v/>
      </c>
      <c r="E732" s="127" t="str">
        <f>IF(Produits!E613="","",Produits!E613)</f>
        <v/>
      </c>
      <c r="F732" s="128" t="str">
        <f>IF(Produits!F613="","",Produits!F613)</f>
        <v/>
      </c>
      <c r="J732" s="140" t="str">
        <f>IF($J$1="","",HLOOKUP($J$1,$M$1:$AAV$1000,732,0))</f>
        <v/>
      </c>
    </row>
    <row r="733" spans="1:10" x14ac:dyDescent="0.25">
      <c r="A733" s="127" t="str">
        <f>IF(Produits!A614="","",Produits!A614)</f>
        <v/>
      </c>
      <c r="B733" s="127" t="str">
        <f>IF(Produits!B614="","",Produits!B614)</f>
        <v/>
      </c>
      <c r="C733" s="127" t="str">
        <f>IF(Produits!C614="","",Produits!C614)</f>
        <v/>
      </c>
      <c r="D733" s="127" t="str">
        <f>IF(Produits!D614="","",Produits!D614)</f>
        <v/>
      </c>
      <c r="E733" s="127" t="str">
        <f>IF(Produits!E614="","",Produits!E614)</f>
        <v/>
      </c>
      <c r="F733" s="128" t="str">
        <f>IF(Produits!F614="","",Produits!F614)</f>
        <v/>
      </c>
      <c r="J733" s="140" t="str">
        <f>IF($J$1="","",HLOOKUP($J$1,$M$1:$AAV$1000,733,0))</f>
        <v/>
      </c>
    </row>
    <row r="734" spans="1:10" x14ac:dyDescent="0.25">
      <c r="A734" s="127" t="str">
        <f>IF(Produits!A615="","",Produits!A615)</f>
        <v/>
      </c>
      <c r="B734" s="127" t="str">
        <f>IF(Produits!B615="","",Produits!B615)</f>
        <v/>
      </c>
      <c r="C734" s="127" t="str">
        <f>IF(Produits!C615="","",Produits!C615)</f>
        <v/>
      </c>
      <c r="D734" s="127" t="str">
        <f>IF(Produits!D615="","",Produits!D615)</f>
        <v/>
      </c>
      <c r="E734" s="127" t="str">
        <f>IF(Produits!E615="","",Produits!E615)</f>
        <v/>
      </c>
      <c r="F734" s="128" t="str">
        <f>IF(Produits!F615="","",Produits!F615)</f>
        <v/>
      </c>
      <c r="J734" s="140" t="str">
        <f>IF($J$1="","",HLOOKUP($J$1,$M$1:$AAV$1000,734,0))</f>
        <v/>
      </c>
    </row>
    <row r="735" spans="1:10" x14ac:dyDescent="0.25">
      <c r="A735" s="127" t="str">
        <f>IF(Produits!A616="","",Produits!A616)</f>
        <v/>
      </c>
      <c r="B735" s="127" t="str">
        <f>IF(Produits!B616="","",Produits!B616)</f>
        <v/>
      </c>
      <c r="C735" s="127" t="str">
        <f>IF(Produits!C616="","",Produits!C616)</f>
        <v/>
      </c>
      <c r="D735" s="127" t="str">
        <f>IF(Produits!D616="","",Produits!D616)</f>
        <v/>
      </c>
      <c r="E735" s="127" t="str">
        <f>IF(Produits!E616="","",Produits!E616)</f>
        <v/>
      </c>
      <c r="F735" s="128" t="str">
        <f>IF(Produits!F616="","",Produits!F616)</f>
        <v/>
      </c>
      <c r="J735" s="140" t="str">
        <f>IF($J$1="","",HLOOKUP($J$1,$M$1:$AAV$1000,735,0))</f>
        <v/>
      </c>
    </row>
    <row r="736" spans="1:10" x14ac:dyDescent="0.25">
      <c r="A736" s="127" t="str">
        <f>IF(Produits!A617="","",Produits!A617)</f>
        <v/>
      </c>
      <c r="B736" s="127" t="str">
        <f>IF(Produits!B617="","",Produits!B617)</f>
        <v/>
      </c>
      <c r="C736" s="127" t="str">
        <f>IF(Produits!C617="","",Produits!C617)</f>
        <v/>
      </c>
      <c r="D736" s="127" t="str">
        <f>IF(Produits!D617="","",Produits!D617)</f>
        <v/>
      </c>
      <c r="E736" s="127" t="str">
        <f>IF(Produits!E617="","",Produits!E617)</f>
        <v/>
      </c>
      <c r="F736" s="128" t="str">
        <f>IF(Produits!F617="","",Produits!F617)</f>
        <v/>
      </c>
      <c r="J736" s="140" t="str">
        <f>IF($J$1="","",HLOOKUP($J$1,$M$1:$AAV$1000,736,0))</f>
        <v/>
      </c>
    </row>
    <row r="737" spans="1:10" x14ac:dyDescent="0.25">
      <c r="A737" s="127" t="str">
        <f>IF(Produits!A618="","",Produits!A618)</f>
        <v/>
      </c>
      <c r="B737" s="127" t="str">
        <f>IF(Produits!B618="","",Produits!B618)</f>
        <v/>
      </c>
      <c r="C737" s="127" t="str">
        <f>IF(Produits!C618="","",Produits!C618)</f>
        <v/>
      </c>
      <c r="D737" s="127" t="str">
        <f>IF(Produits!D618="","",Produits!D618)</f>
        <v/>
      </c>
      <c r="E737" s="127" t="str">
        <f>IF(Produits!E618="","",Produits!E618)</f>
        <v/>
      </c>
      <c r="F737" s="128" t="str">
        <f>IF(Produits!F618="","",Produits!F618)</f>
        <v/>
      </c>
      <c r="J737" s="140" t="str">
        <f>IF($J$1="","",HLOOKUP($J$1,$M$1:$AAV$1000,737,0))</f>
        <v/>
      </c>
    </row>
    <row r="738" spans="1:10" x14ac:dyDescent="0.25">
      <c r="A738" s="127" t="str">
        <f>IF(Produits!A619="","",Produits!A619)</f>
        <v/>
      </c>
      <c r="B738" s="127" t="str">
        <f>IF(Produits!B619="","",Produits!B619)</f>
        <v/>
      </c>
      <c r="C738" s="127" t="str">
        <f>IF(Produits!C619="","",Produits!C619)</f>
        <v/>
      </c>
      <c r="D738" s="127" t="str">
        <f>IF(Produits!D619="","",Produits!D619)</f>
        <v/>
      </c>
      <c r="E738" s="127" t="str">
        <f>IF(Produits!E619="","",Produits!E619)</f>
        <v/>
      </c>
      <c r="F738" s="128" t="str">
        <f>IF(Produits!F619="","",Produits!F619)</f>
        <v/>
      </c>
      <c r="J738" s="140" t="str">
        <f>IF($J$1="","",HLOOKUP($J$1,$M$1:$AAV$1000,738,0))</f>
        <v/>
      </c>
    </row>
    <row r="739" spans="1:10" x14ac:dyDescent="0.25">
      <c r="A739" s="127" t="str">
        <f>IF(Produits!A620="","",Produits!A620)</f>
        <v/>
      </c>
      <c r="B739" s="127" t="str">
        <f>IF(Produits!B620="","",Produits!B620)</f>
        <v/>
      </c>
      <c r="C739" s="127" t="str">
        <f>IF(Produits!C620="","",Produits!C620)</f>
        <v/>
      </c>
      <c r="D739" s="127" t="str">
        <f>IF(Produits!D620="","",Produits!D620)</f>
        <v/>
      </c>
      <c r="E739" s="127" t="str">
        <f>IF(Produits!E620="","",Produits!E620)</f>
        <v/>
      </c>
      <c r="F739" s="128" t="str">
        <f>IF(Produits!F620="","",Produits!F620)</f>
        <v/>
      </c>
      <c r="J739" s="140" t="str">
        <f>IF($J$1="","",HLOOKUP($J$1,$M$1:$AAV$1000,739,0))</f>
        <v/>
      </c>
    </row>
    <row r="740" spans="1:10" x14ac:dyDescent="0.25">
      <c r="A740" s="127" t="str">
        <f>IF(Produits!A621="","",Produits!A621)</f>
        <v/>
      </c>
      <c r="B740" s="127" t="str">
        <f>IF(Produits!B621="","",Produits!B621)</f>
        <v/>
      </c>
      <c r="C740" s="127" t="str">
        <f>IF(Produits!C621="","",Produits!C621)</f>
        <v/>
      </c>
      <c r="D740" s="127" t="str">
        <f>IF(Produits!D621="","",Produits!D621)</f>
        <v/>
      </c>
      <c r="E740" s="127" t="str">
        <f>IF(Produits!E621="","",Produits!E621)</f>
        <v/>
      </c>
      <c r="F740" s="128" t="str">
        <f>IF(Produits!F621="","",Produits!F621)</f>
        <v/>
      </c>
      <c r="J740" s="140" t="str">
        <f>IF($J$1="","",HLOOKUP($J$1,$M$1:$AAV$1000,740,0))</f>
        <v/>
      </c>
    </row>
    <row r="741" spans="1:10" x14ac:dyDescent="0.25">
      <c r="A741" s="127" t="str">
        <f>IF(Produits!A622="","",Produits!A622)</f>
        <v/>
      </c>
      <c r="B741" s="127" t="str">
        <f>IF(Produits!B622="","",Produits!B622)</f>
        <v/>
      </c>
      <c r="C741" s="127" t="str">
        <f>IF(Produits!C622="","",Produits!C622)</f>
        <v/>
      </c>
      <c r="D741" s="127" t="str">
        <f>IF(Produits!D622="","",Produits!D622)</f>
        <v/>
      </c>
      <c r="E741" s="127" t="str">
        <f>IF(Produits!E622="","",Produits!E622)</f>
        <v/>
      </c>
      <c r="F741" s="128" t="str">
        <f>IF(Produits!F622="","",Produits!F622)</f>
        <v/>
      </c>
      <c r="J741" s="140" t="str">
        <f>IF($J$1="","",HLOOKUP($J$1,$M$1:$AAV$1000,741,0))</f>
        <v/>
      </c>
    </row>
    <row r="742" spans="1:10" x14ac:dyDescent="0.25">
      <c r="A742" s="127" t="str">
        <f>IF(Produits!A623="","",Produits!A623)</f>
        <v/>
      </c>
      <c r="B742" s="127" t="str">
        <f>IF(Produits!B623="","",Produits!B623)</f>
        <v/>
      </c>
      <c r="C742" s="127" t="str">
        <f>IF(Produits!C623="","",Produits!C623)</f>
        <v/>
      </c>
      <c r="D742" s="127" t="str">
        <f>IF(Produits!D623="","",Produits!D623)</f>
        <v/>
      </c>
      <c r="E742" s="127" t="str">
        <f>IF(Produits!E623="","",Produits!E623)</f>
        <v/>
      </c>
      <c r="F742" s="128" t="str">
        <f>IF(Produits!F623="","",Produits!F623)</f>
        <v/>
      </c>
      <c r="J742" s="140" t="str">
        <f>IF($J$1="","",HLOOKUP($J$1,$M$1:$AAV$1000,742,0))</f>
        <v/>
      </c>
    </row>
    <row r="743" spans="1:10" x14ac:dyDescent="0.25">
      <c r="A743" s="127" t="str">
        <f>IF(Produits!A624="","",Produits!A624)</f>
        <v/>
      </c>
      <c r="B743" s="127" t="str">
        <f>IF(Produits!B624="","",Produits!B624)</f>
        <v/>
      </c>
      <c r="C743" s="127" t="str">
        <f>IF(Produits!C624="","",Produits!C624)</f>
        <v/>
      </c>
      <c r="D743" s="127" t="str">
        <f>IF(Produits!D624="","",Produits!D624)</f>
        <v/>
      </c>
      <c r="E743" s="127" t="str">
        <f>IF(Produits!E624="","",Produits!E624)</f>
        <v/>
      </c>
      <c r="F743" s="128" t="str">
        <f>IF(Produits!F624="","",Produits!F624)</f>
        <v/>
      </c>
      <c r="J743" s="140" t="str">
        <f>IF($J$1="","",HLOOKUP($J$1,$M$1:$AAV$1000,743,0))</f>
        <v/>
      </c>
    </row>
    <row r="744" spans="1:10" x14ac:dyDescent="0.25">
      <c r="A744" s="127" t="str">
        <f>IF(Produits!A625="","",Produits!A625)</f>
        <v/>
      </c>
      <c r="B744" s="127" t="str">
        <f>IF(Produits!B625="","",Produits!B625)</f>
        <v/>
      </c>
      <c r="C744" s="127" t="str">
        <f>IF(Produits!C625="","",Produits!C625)</f>
        <v/>
      </c>
      <c r="D744" s="127" t="str">
        <f>IF(Produits!D625="","",Produits!D625)</f>
        <v/>
      </c>
      <c r="E744" s="127" t="str">
        <f>IF(Produits!E625="","",Produits!E625)</f>
        <v/>
      </c>
      <c r="F744" s="128" t="str">
        <f>IF(Produits!F625="","",Produits!F625)</f>
        <v/>
      </c>
      <c r="J744" s="140" t="str">
        <f>IF($J$1="","",HLOOKUP($J$1,$M$1:$AAV$1000,744,0))</f>
        <v/>
      </c>
    </row>
    <row r="745" spans="1:10" x14ac:dyDescent="0.25">
      <c r="A745" s="127" t="str">
        <f>IF(Produits!A626="","",Produits!A626)</f>
        <v/>
      </c>
      <c r="B745" s="127" t="str">
        <f>IF(Produits!B626="","",Produits!B626)</f>
        <v/>
      </c>
      <c r="C745" s="127" t="str">
        <f>IF(Produits!C626="","",Produits!C626)</f>
        <v/>
      </c>
      <c r="D745" s="127" t="str">
        <f>IF(Produits!D626="","",Produits!D626)</f>
        <v/>
      </c>
      <c r="E745" s="127" t="str">
        <f>IF(Produits!E626="","",Produits!E626)</f>
        <v/>
      </c>
      <c r="F745" s="128" t="str">
        <f>IF(Produits!F626="","",Produits!F626)</f>
        <v/>
      </c>
      <c r="J745" s="140" t="str">
        <f>IF($J$1="","",HLOOKUP($J$1,$M$1:$AAV$1000,745,0))</f>
        <v/>
      </c>
    </row>
    <row r="746" spans="1:10" x14ac:dyDescent="0.25">
      <c r="A746" s="127" t="str">
        <f>IF(Produits!A627="","",Produits!A627)</f>
        <v/>
      </c>
      <c r="B746" s="127" t="str">
        <f>IF(Produits!B627="","",Produits!B627)</f>
        <v/>
      </c>
      <c r="C746" s="127" t="str">
        <f>IF(Produits!C627="","",Produits!C627)</f>
        <v/>
      </c>
      <c r="D746" s="127" t="str">
        <f>IF(Produits!D627="","",Produits!D627)</f>
        <v/>
      </c>
      <c r="E746" s="127" t="str">
        <f>IF(Produits!E627="","",Produits!E627)</f>
        <v/>
      </c>
      <c r="F746" s="128" t="str">
        <f>IF(Produits!F627="","",Produits!F627)</f>
        <v/>
      </c>
      <c r="J746" s="140" t="str">
        <f>IF($J$1="","",HLOOKUP($J$1,$M$1:$AAV$1000,746,0))</f>
        <v/>
      </c>
    </row>
    <row r="747" spans="1:10" x14ac:dyDescent="0.25">
      <c r="A747" s="127" t="str">
        <f>IF(Produits!A628="","",Produits!A628)</f>
        <v/>
      </c>
      <c r="B747" s="127" t="str">
        <f>IF(Produits!B628="","",Produits!B628)</f>
        <v/>
      </c>
      <c r="C747" s="127" t="str">
        <f>IF(Produits!C628="","",Produits!C628)</f>
        <v/>
      </c>
      <c r="D747" s="127" t="str">
        <f>IF(Produits!D628="","",Produits!D628)</f>
        <v/>
      </c>
      <c r="E747" s="127" t="str">
        <f>IF(Produits!E628="","",Produits!E628)</f>
        <v/>
      </c>
      <c r="F747" s="128" t="str">
        <f>IF(Produits!F628="","",Produits!F628)</f>
        <v/>
      </c>
      <c r="J747" s="140" t="str">
        <f>IF($J$1="","",HLOOKUP($J$1,$M$1:$AAV$1000,747,0))</f>
        <v/>
      </c>
    </row>
    <row r="748" spans="1:10" x14ac:dyDescent="0.25">
      <c r="A748" s="127" t="str">
        <f>IF(Produits!A629="","",Produits!A629)</f>
        <v/>
      </c>
      <c r="B748" s="127" t="str">
        <f>IF(Produits!B629="","",Produits!B629)</f>
        <v/>
      </c>
      <c r="C748" s="127" t="str">
        <f>IF(Produits!C629="","",Produits!C629)</f>
        <v/>
      </c>
      <c r="D748" s="127" t="str">
        <f>IF(Produits!D629="","",Produits!D629)</f>
        <v/>
      </c>
      <c r="E748" s="127" t="str">
        <f>IF(Produits!E629="","",Produits!E629)</f>
        <v/>
      </c>
      <c r="F748" s="128" t="str">
        <f>IF(Produits!F629="","",Produits!F629)</f>
        <v/>
      </c>
      <c r="J748" s="140" t="str">
        <f>IF($J$1="","",HLOOKUP($J$1,$M$1:$AAV$1000,748,0))</f>
        <v/>
      </c>
    </row>
    <row r="749" spans="1:10" x14ac:dyDescent="0.25">
      <c r="A749" s="127" t="str">
        <f>IF(Produits!A630="","",Produits!A630)</f>
        <v/>
      </c>
      <c r="B749" s="127" t="str">
        <f>IF(Produits!B630="","",Produits!B630)</f>
        <v/>
      </c>
      <c r="C749" s="127" t="str">
        <f>IF(Produits!C630="","",Produits!C630)</f>
        <v/>
      </c>
      <c r="D749" s="127" t="str">
        <f>IF(Produits!D630="","",Produits!D630)</f>
        <v/>
      </c>
      <c r="E749" s="127" t="str">
        <f>IF(Produits!E630="","",Produits!E630)</f>
        <v/>
      </c>
      <c r="F749" s="128" t="str">
        <f>IF(Produits!F630="","",Produits!F630)</f>
        <v/>
      </c>
      <c r="J749" s="140" t="str">
        <f>IF($J$1="","",HLOOKUP($J$1,$M$1:$AAV$1000,749,0))</f>
        <v/>
      </c>
    </row>
    <row r="750" spans="1:10" x14ac:dyDescent="0.25">
      <c r="A750" s="127" t="str">
        <f>IF(Produits!A631="","",Produits!A631)</f>
        <v/>
      </c>
      <c r="B750" s="127" t="str">
        <f>IF(Produits!B631="","",Produits!B631)</f>
        <v/>
      </c>
      <c r="C750" s="127" t="str">
        <f>IF(Produits!C631="","",Produits!C631)</f>
        <v/>
      </c>
      <c r="D750" s="127" t="str">
        <f>IF(Produits!D631="","",Produits!D631)</f>
        <v/>
      </c>
      <c r="E750" s="127" t="str">
        <f>IF(Produits!E631="","",Produits!E631)</f>
        <v/>
      </c>
      <c r="F750" s="128" t="str">
        <f>IF(Produits!F631="","",Produits!F631)</f>
        <v/>
      </c>
      <c r="J750" s="140" t="str">
        <f>IF($J$1="","",HLOOKUP($J$1,$M$1:$AAV$1000,750,0))</f>
        <v/>
      </c>
    </row>
    <row r="751" spans="1:10" x14ac:dyDescent="0.25">
      <c r="A751" s="127" t="str">
        <f>IF(Produits!A632="","",Produits!A632)</f>
        <v/>
      </c>
      <c r="B751" s="127" t="str">
        <f>IF(Produits!B632="","",Produits!B632)</f>
        <v/>
      </c>
      <c r="C751" s="127" t="str">
        <f>IF(Produits!C632="","",Produits!C632)</f>
        <v/>
      </c>
      <c r="D751" s="127" t="str">
        <f>IF(Produits!D632="","",Produits!D632)</f>
        <v/>
      </c>
      <c r="E751" s="127" t="str">
        <f>IF(Produits!E632="","",Produits!E632)</f>
        <v/>
      </c>
      <c r="F751" s="128" t="str">
        <f>IF(Produits!F632="","",Produits!F632)</f>
        <v/>
      </c>
      <c r="J751" s="140" t="str">
        <f>IF($J$1="","",HLOOKUP($J$1,$M$1:$AAV$1000,751,0))</f>
        <v/>
      </c>
    </row>
    <row r="752" spans="1:10" x14ac:dyDescent="0.25">
      <c r="A752" s="127" t="str">
        <f>IF(Produits!A633="","",Produits!A633)</f>
        <v/>
      </c>
      <c r="B752" s="127" t="str">
        <f>IF(Produits!B633="","",Produits!B633)</f>
        <v/>
      </c>
      <c r="C752" s="127" t="str">
        <f>IF(Produits!C633="","",Produits!C633)</f>
        <v/>
      </c>
      <c r="D752" s="127" t="str">
        <f>IF(Produits!D633="","",Produits!D633)</f>
        <v/>
      </c>
      <c r="E752" s="127" t="str">
        <f>IF(Produits!E633="","",Produits!E633)</f>
        <v/>
      </c>
      <c r="F752" s="128" t="str">
        <f>IF(Produits!F633="","",Produits!F633)</f>
        <v/>
      </c>
      <c r="J752" s="140" t="str">
        <f>IF($J$1="","",HLOOKUP($J$1,$M$1:$AAV$1000,752,0))</f>
        <v/>
      </c>
    </row>
    <row r="753" spans="1:10" x14ac:dyDescent="0.25">
      <c r="A753" s="127" t="str">
        <f>IF(Produits!A634="","",Produits!A634)</f>
        <v/>
      </c>
      <c r="B753" s="127" t="str">
        <f>IF(Produits!B634="","",Produits!B634)</f>
        <v/>
      </c>
      <c r="C753" s="127" t="str">
        <f>IF(Produits!C634="","",Produits!C634)</f>
        <v/>
      </c>
      <c r="D753" s="127" t="str">
        <f>IF(Produits!D634="","",Produits!D634)</f>
        <v/>
      </c>
      <c r="E753" s="127" t="str">
        <f>IF(Produits!E634="","",Produits!E634)</f>
        <v/>
      </c>
      <c r="F753" s="128" t="str">
        <f>IF(Produits!F634="","",Produits!F634)</f>
        <v/>
      </c>
      <c r="J753" s="140" t="str">
        <f>IF($J$1="","",HLOOKUP($J$1,$M$1:$AAV$1000,753,0))</f>
        <v/>
      </c>
    </row>
    <row r="754" spans="1:10" x14ac:dyDescent="0.25">
      <c r="A754" s="127" t="str">
        <f>IF(Produits!A635="","",Produits!A635)</f>
        <v/>
      </c>
      <c r="B754" s="127" t="str">
        <f>IF(Produits!B635="","",Produits!B635)</f>
        <v/>
      </c>
      <c r="C754" s="127" t="str">
        <f>IF(Produits!C635="","",Produits!C635)</f>
        <v/>
      </c>
      <c r="D754" s="127" t="str">
        <f>IF(Produits!D635="","",Produits!D635)</f>
        <v/>
      </c>
      <c r="E754" s="127" t="str">
        <f>IF(Produits!E635="","",Produits!E635)</f>
        <v/>
      </c>
      <c r="F754" s="128" t="str">
        <f>IF(Produits!F635="","",Produits!F635)</f>
        <v/>
      </c>
      <c r="J754" s="140" t="str">
        <f>IF($J$1="","",HLOOKUP($J$1,$M$1:$AAV$1000,754,0))</f>
        <v/>
      </c>
    </row>
    <row r="755" spans="1:10" x14ac:dyDescent="0.25">
      <c r="A755" s="127" t="str">
        <f>IF(Produits!A636="","",Produits!A636)</f>
        <v/>
      </c>
      <c r="B755" s="127" t="str">
        <f>IF(Produits!B636="","",Produits!B636)</f>
        <v/>
      </c>
      <c r="C755" s="127" t="str">
        <f>IF(Produits!C636="","",Produits!C636)</f>
        <v/>
      </c>
      <c r="D755" s="127" t="str">
        <f>IF(Produits!D636="","",Produits!D636)</f>
        <v/>
      </c>
      <c r="E755" s="127" t="str">
        <f>IF(Produits!E636="","",Produits!E636)</f>
        <v/>
      </c>
      <c r="F755" s="128" t="str">
        <f>IF(Produits!F636="","",Produits!F636)</f>
        <v/>
      </c>
      <c r="J755" s="140" t="str">
        <f>IF($J$1="","",HLOOKUP($J$1,$M$1:$AAV$1000,755,0))</f>
        <v/>
      </c>
    </row>
    <row r="756" spans="1:10" x14ac:dyDescent="0.25">
      <c r="A756" s="127" t="str">
        <f>IF(Produits!A637="","",Produits!A637)</f>
        <v/>
      </c>
      <c r="B756" s="127" t="str">
        <f>IF(Produits!B637="","",Produits!B637)</f>
        <v/>
      </c>
      <c r="C756" s="127" t="str">
        <f>IF(Produits!C637="","",Produits!C637)</f>
        <v/>
      </c>
      <c r="D756" s="127" t="str">
        <f>IF(Produits!D637="","",Produits!D637)</f>
        <v/>
      </c>
      <c r="E756" s="127" t="str">
        <f>IF(Produits!E637="","",Produits!E637)</f>
        <v/>
      </c>
      <c r="F756" s="128" t="str">
        <f>IF(Produits!F637="","",Produits!F637)</f>
        <v/>
      </c>
      <c r="J756" s="140" t="str">
        <f>IF($J$1="","",HLOOKUP($J$1,$M$1:$AAV$1000,756,0))</f>
        <v/>
      </c>
    </row>
    <row r="757" spans="1:10" x14ac:dyDescent="0.25">
      <c r="A757" s="127" t="str">
        <f>IF(Produits!A638="","",Produits!A638)</f>
        <v/>
      </c>
      <c r="B757" s="127" t="str">
        <f>IF(Produits!B638="","",Produits!B638)</f>
        <v/>
      </c>
      <c r="C757" s="127" t="str">
        <f>IF(Produits!C638="","",Produits!C638)</f>
        <v/>
      </c>
      <c r="D757" s="127" t="str">
        <f>IF(Produits!D638="","",Produits!D638)</f>
        <v/>
      </c>
      <c r="E757" s="127" t="str">
        <f>IF(Produits!E638="","",Produits!E638)</f>
        <v/>
      </c>
      <c r="F757" s="128" t="str">
        <f>IF(Produits!F638="","",Produits!F638)</f>
        <v/>
      </c>
      <c r="J757" s="140" t="str">
        <f>IF($J$1="","",HLOOKUP($J$1,$M$1:$AAV$1000,757,0))</f>
        <v/>
      </c>
    </row>
    <row r="758" spans="1:10" x14ac:dyDescent="0.25">
      <c r="A758" s="127" t="str">
        <f>IF(Produits!A639="","",Produits!A639)</f>
        <v/>
      </c>
      <c r="B758" s="127" t="str">
        <f>IF(Produits!B639="","",Produits!B639)</f>
        <v/>
      </c>
      <c r="C758" s="127" t="str">
        <f>IF(Produits!C639="","",Produits!C639)</f>
        <v/>
      </c>
      <c r="D758" s="127" t="str">
        <f>IF(Produits!D639="","",Produits!D639)</f>
        <v/>
      </c>
      <c r="E758" s="127" t="str">
        <f>IF(Produits!E639="","",Produits!E639)</f>
        <v/>
      </c>
      <c r="F758" s="128" t="str">
        <f>IF(Produits!F639="","",Produits!F639)</f>
        <v/>
      </c>
      <c r="J758" s="140" t="str">
        <f>IF($J$1="","",HLOOKUP($J$1,$M$1:$AAV$1000,758,0))</f>
        <v/>
      </c>
    </row>
    <row r="759" spans="1:10" x14ac:dyDescent="0.25">
      <c r="A759" s="127" t="str">
        <f>IF(Produits!A640="","",Produits!A640)</f>
        <v/>
      </c>
      <c r="B759" s="127" t="str">
        <f>IF(Produits!B640="","",Produits!B640)</f>
        <v/>
      </c>
      <c r="C759" s="127" t="str">
        <f>IF(Produits!C640="","",Produits!C640)</f>
        <v/>
      </c>
      <c r="D759" s="127" t="str">
        <f>IF(Produits!D640="","",Produits!D640)</f>
        <v/>
      </c>
      <c r="E759" s="127" t="str">
        <f>IF(Produits!E640="","",Produits!E640)</f>
        <v/>
      </c>
      <c r="F759" s="128" t="str">
        <f>IF(Produits!F640="","",Produits!F640)</f>
        <v/>
      </c>
      <c r="J759" s="140" t="str">
        <f>IF($J$1="","",HLOOKUP($J$1,$M$1:$AAV$1000,759,0))</f>
        <v/>
      </c>
    </row>
    <row r="760" spans="1:10" x14ac:dyDescent="0.25">
      <c r="A760" s="127" t="str">
        <f>IF(Produits!A641="","",Produits!A641)</f>
        <v/>
      </c>
      <c r="B760" s="127" t="str">
        <f>IF(Produits!B641="","",Produits!B641)</f>
        <v/>
      </c>
      <c r="C760" s="127" t="str">
        <f>IF(Produits!C641="","",Produits!C641)</f>
        <v/>
      </c>
      <c r="D760" s="127" t="str">
        <f>IF(Produits!D641="","",Produits!D641)</f>
        <v/>
      </c>
      <c r="E760" s="127" t="str">
        <f>IF(Produits!E641="","",Produits!E641)</f>
        <v/>
      </c>
      <c r="F760" s="128" t="str">
        <f>IF(Produits!F641="","",Produits!F641)</f>
        <v/>
      </c>
      <c r="J760" s="140" t="str">
        <f>IF($J$1="","",HLOOKUP($J$1,$M$1:$AAV$1000,760,0))</f>
        <v/>
      </c>
    </row>
    <row r="761" spans="1:10" x14ac:dyDescent="0.25">
      <c r="A761" s="127" t="str">
        <f>IF(Produits!A642="","",Produits!A642)</f>
        <v/>
      </c>
      <c r="B761" s="127" t="str">
        <f>IF(Produits!B642="","",Produits!B642)</f>
        <v/>
      </c>
      <c r="C761" s="127" t="str">
        <f>IF(Produits!C642="","",Produits!C642)</f>
        <v/>
      </c>
      <c r="D761" s="127" t="str">
        <f>IF(Produits!D642="","",Produits!D642)</f>
        <v/>
      </c>
      <c r="E761" s="127" t="str">
        <f>IF(Produits!E642="","",Produits!E642)</f>
        <v/>
      </c>
      <c r="F761" s="128" t="str">
        <f>IF(Produits!F642="","",Produits!F642)</f>
        <v/>
      </c>
      <c r="J761" s="140" t="str">
        <f>IF($J$1="","",HLOOKUP($J$1,$M$1:$AAV$1000,761,0))</f>
        <v/>
      </c>
    </row>
    <row r="762" spans="1:10" x14ac:dyDescent="0.25">
      <c r="A762" s="127" t="str">
        <f>IF(Produits!A643="","",Produits!A643)</f>
        <v/>
      </c>
      <c r="B762" s="127" t="str">
        <f>IF(Produits!B643="","",Produits!B643)</f>
        <v/>
      </c>
      <c r="C762" s="127" t="str">
        <f>IF(Produits!C643="","",Produits!C643)</f>
        <v/>
      </c>
      <c r="D762" s="127" t="str">
        <f>IF(Produits!D643="","",Produits!D643)</f>
        <v/>
      </c>
      <c r="E762" s="127" t="str">
        <f>IF(Produits!E643="","",Produits!E643)</f>
        <v/>
      </c>
      <c r="F762" s="128" t="str">
        <f>IF(Produits!F643="","",Produits!F643)</f>
        <v/>
      </c>
      <c r="J762" s="140" t="str">
        <f>IF($J$1="","",HLOOKUP($J$1,$M$1:$AAV$1000,762,0))</f>
        <v/>
      </c>
    </row>
    <row r="763" spans="1:10" x14ac:dyDescent="0.25">
      <c r="A763" s="127" t="str">
        <f>IF(Produits!A644="","",Produits!A644)</f>
        <v/>
      </c>
      <c r="B763" s="127" t="str">
        <f>IF(Produits!B644="","",Produits!B644)</f>
        <v/>
      </c>
      <c r="C763" s="127" t="str">
        <f>IF(Produits!C644="","",Produits!C644)</f>
        <v/>
      </c>
      <c r="D763" s="127" t="str">
        <f>IF(Produits!D644="","",Produits!D644)</f>
        <v/>
      </c>
      <c r="E763" s="127" t="str">
        <f>IF(Produits!E644="","",Produits!E644)</f>
        <v/>
      </c>
      <c r="F763" s="128" t="str">
        <f>IF(Produits!F644="","",Produits!F644)</f>
        <v/>
      </c>
      <c r="J763" s="140" t="str">
        <f>IF($J$1="","",HLOOKUP($J$1,$M$1:$AAV$1000,763,0))</f>
        <v/>
      </c>
    </row>
    <row r="764" spans="1:10" x14ac:dyDescent="0.25">
      <c r="A764" s="127" t="str">
        <f>IF(Produits!A645="","",Produits!A645)</f>
        <v/>
      </c>
      <c r="B764" s="127" t="str">
        <f>IF(Produits!B645="","",Produits!B645)</f>
        <v/>
      </c>
      <c r="C764" s="127" t="str">
        <f>IF(Produits!C645="","",Produits!C645)</f>
        <v/>
      </c>
      <c r="D764" s="127" t="str">
        <f>IF(Produits!D645="","",Produits!D645)</f>
        <v/>
      </c>
      <c r="E764" s="127" t="str">
        <f>IF(Produits!E645="","",Produits!E645)</f>
        <v/>
      </c>
      <c r="F764" s="128" t="str">
        <f>IF(Produits!F645="","",Produits!F645)</f>
        <v/>
      </c>
      <c r="J764" s="140" t="str">
        <f>IF($J$1="","",HLOOKUP($J$1,$M$1:$AAV$1000,764,0))</f>
        <v/>
      </c>
    </row>
    <row r="765" spans="1:10" x14ac:dyDescent="0.25">
      <c r="A765" s="127" t="str">
        <f>IF(Produits!A646="","",Produits!A646)</f>
        <v/>
      </c>
      <c r="B765" s="127" t="str">
        <f>IF(Produits!B646="","",Produits!B646)</f>
        <v/>
      </c>
      <c r="C765" s="127" t="str">
        <f>IF(Produits!C646="","",Produits!C646)</f>
        <v/>
      </c>
      <c r="D765" s="127" t="str">
        <f>IF(Produits!D646="","",Produits!D646)</f>
        <v/>
      </c>
      <c r="E765" s="127" t="str">
        <f>IF(Produits!E646="","",Produits!E646)</f>
        <v/>
      </c>
      <c r="F765" s="128" t="str">
        <f>IF(Produits!F646="","",Produits!F646)</f>
        <v/>
      </c>
      <c r="J765" s="140" t="str">
        <f>IF($J$1="","",HLOOKUP($J$1,$M$1:$AAV$1000,765,0))</f>
        <v/>
      </c>
    </row>
    <row r="766" spans="1:10" x14ac:dyDescent="0.25">
      <c r="A766" s="127" t="str">
        <f>IF(Produits!A647="","",Produits!A647)</f>
        <v/>
      </c>
      <c r="B766" s="127" t="str">
        <f>IF(Produits!B647="","",Produits!B647)</f>
        <v/>
      </c>
      <c r="C766" s="127" t="str">
        <f>IF(Produits!C647="","",Produits!C647)</f>
        <v/>
      </c>
      <c r="D766" s="127" t="str">
        <f>IF(Produits!D647="","",Produits!D647)</f>
        <v/>
      </c>
      <c r="E766" s="127" t="str">
        <f>IF(Produits!E647="","",Produits!E647)</f>
        <v/>
      </c>
      <c r="F766" s="128" t="str">
        <f>IF(Produits!F647="","",Produits!F647)</f>
        <v/>
      </c>
      <c r="J766" s="140" t="str">
        <f>IF($J$1="","",HLOOKUP($J$1,$M$1:$AAV$1000,766,0))</f>
        <v/>
      </c>
    </row>
    <row r="767" spans="1:10" x14ac:dyDescent="0.25">
      <c r="A767" s="127" t="str">
        <f>IF(Produits!A648="","",Produits!A648)</f>
        <v/>
      </c>
      <c r="B767" s="127" t="str">
        <f>IF(Produits!B648="","",Produits!B648)</f>
        <v/>
      </c>
      <c r="C767" s="127" t="str">
        <f>IF(Produits!C648="","",Produits!C648)</f>
        <v/>
      </c>
      <c r="D767" s="127" t="str">
        <f>IF(Produits!D648="","",Produits!D648)</f>
        <v/>
      </c>
      <c r="E767" s="127" t="str">
        <f>IF(Produits!E648="","",Produits!E648)</f>
        <v/>
      </c>
      <c r="F767" s="128" t="str">
        <f>IF(Produits!F648="","",Produits!F648)</f>
        <v/>
      </c>
      <c r="J767" s="140" t="str">
        <f>IF($J$1="","",HLOOKUP($J$1,$M$1:$AAV$1000,767,0))</f>
        <v/>
      </c>
    </row>
    <row r="768" spans="1:10" x14ac:dyDescent="0.25">
      <c r="A768" s="127" t="str">
        <f>IF(Produits!A649="","",Produits!A649)</f>
        <v/>
      </c>
      <c r="B768" s="127" t="str">
        <f>IF(Produits!B649="","",Produits!B649)</f>
        <v/>
      </c>
      <c r="C768" s="127" t="str">
        <f>IF(Produits!C649="","",Produits!C649)</f>
        <v/>
      </c>
      <c r="D768" s="127" t="str">
        <f>IF(Produits!D649="","",Produits!D649)</f>
        <v/>
      </c>
      <c r="E768" s="127" t="str">
        <f>IF(Produits!E649="","",Produits!E649)</f>
        <v/>
      </c>
      <c r="F768" s="128" t="str">
        <f>IF(Produits!F649="","",Produits!F649)</f>
        <v/>
      </c>
      <c r="J768" s="140" t="str">
        <f>IF($J$1="","",HLOOKUP($J$1,$M$1:$AAV$1000,768,0))</f>
        <v/>
      </c>
    </row>
    <row r="769" spans="1:10" x14ac:dyDescent="0.25">
      <c r="A769" s="127" t="str">
        <f>IF(Produits!A650="","",Produits!A650)</f>
        <v/>
      </c>
      <c r="B769" s="127" t="str">
        <f>IF(Produits!B650="","",Produits!B650)</f>
        <v/>
      </c>
      <c r="C769" s="127" t="str">
        <f>IF(Produits!C650="","",Produits!C650)</f>
        <v/>
      </c>
      <c r="D769" s="127" t="str">
        <f>IF(Produits!D650="","",Produits!D650)</f>
        <v/>
      </c>
      <c r="E769" s="127" t="str">
        <f>IF(Produits!E650="","",Produits!E650)</f>
        <v/>
      </c>
      <c r="F769" s="128" t="str">
        <f>IF(Produits!F650="","",Produits!F650)</f>
        <v/>
      </c>
      <c r="J769" s="140" t="str">
        <f>IF($J$1="","",HLOOKUP($J$1,$M$1:$AAV$1000,769,0))</f>
        <v/>
      </c>
    </row>
    <row r="770" spans="1:10" x14ac:dyDescent="0.25">
      <c r="A770" s="127" t="str">
        <f>IF(Produits!A651="","",Produits!A651)</f>
        <v/>
      </c>
      <c r="B770" s="127" t="str">
        <f>IF(Produits!B651="","",Produits!B651)</f>
        <v/>
      </c>
      <c r="C770" s="127" t="str">
        <f>IF(Produits!C651="","",Produits!C651)</f>
        <v/>
      </c>
      <c r="D770" s="127" t="str">
        <f>IF(Produits!D651="","",Produits!D651)</f>
        <v/>
      </c>
      <c r="E770" s="127" t="str">
        <f>IF(Produits!E651="","",Produits!E651)</f>
        <v/>
      </c>
      <c r="F770" s="128" t="str">
        <f>IF(Produits!F651="","",Produits!F651)</f>
        <v/>
      </c>
      <c r="J770" s="140" t="str">
        <f>IF($J$1="","",HLOOKUP($J$1,$M$1:$AAV$1000,770,0))</f>
        <v/>
      </c>
    </row>
    <row r="771" spans="1:10" x14ac:dyDescent="0.25">
      <c r="A771" s="127" t="str">
        <f>IF(Produits!A652="","",Produits!A652)</f>
        <v/>
      </c>
      <c r="B771" s="127" t="str">
        <f>IF(Produits!B652="","",Produits!B652)</f>
        <v/>
      </c>
      <c r="C771" s="127" t="str">
        <f>IF(Produits!C652="","",Produits!C652)</f>
        <v/>
      </c>
      <c r="D771" s="127" t="str">
        <f>IF(Produits!D652="","",Produits!D652)</f>
        <v/>
      </c>
      <c r="E771" s="127" t="str">
        <f>IF(Produits!E652="","",Produits!E652)</f>
        <v/>
      </c>
      <c r="F771" s="128" t="str">
        <f>IF(Produits!F652="","",Produits!F652)</f>
        <v/>
      </c>
      <c r="J771" s="140" t="str">
        <f>IF($J$1="","",HLOOKUP($J$1,$M$1:$AAV$1000,771,0))</f>
        <v/>
      </c>
    </row>
    <row r="772" spans="1:10" x14ac:dyDescent="0.25">
      <c r="A772" s="127" t="str">
        <f>IF(Produits!A653="","",Produits!A653)</f>
        <v/>
      </c>
      <c r="B772" s="127" t="str">
        <f>IF(Produits!B653="","",Produits!B653)</f>
        <v/>
      </c>
      <c r="C772" s="127" t="str">
        <f>IF(Produits!C653="","",Produits!C653)</f>
        <v/>
      </c>
      <c r="D772" s="127" t="str">
        <f>IF(Produits!D653="","",Produits!D653)</f>
        <v/>
      </c>
      <c r="E772" s="127" t="str">
        <f>IF(Produits!E653="","",Produits!E653)</f>
        <v/>
      </c>
      <c r="F772" s="128" t="str">
        <f>IF(Produits!F653="","",Produits!F653)</f>
        <v/>
      </c>
      <c r="J772" s="140" t="str">
        <f>IF($J$1="","",HLOOKUP($J$1,$M$1:$AAV$1000,772,0))</f>
        <v/>
      </c>
    </row>
    <row r="773" spans="1:10" x14ac:dyDescent="0.25">
      <c r="A773" s="127" t="str">
        <f>IF(Produits!A654="","",Produits!A654)</f>
        <v/>
      </c>
      <c r="B773" s="127" t="str">
        <f>IF(Produits!B654="","",Produits!B654)</f>
        <v/>
      </c>
      <c r="C773" s="127" t="str">
        <f>IF(Produits!C654="","",Produits!C654)</f>
        <v/>
      </c>
      <c r="D773" s="127" t="str">
        <f>IF(Produits!D654="","",Produits!D654)</f>
        <v/>
      </c>
      <c r="E773" s="127" t="str">
        <f>IF(Produits!E654="","",Produits!E654)</f>
        <v/>
      </c>
      <c r="F773" s="128" t="str">
        <f>IF(Produits!F654="","",Produits!F654)</f>
        <v/>
      </c>
      <c r="J773" s="140" t="str">
        <f>IF($J$1="","",HLOOKUP($J$1,$M$1:$AAV$1000,773,0))</f>
        <v/>
      </c>
    </row>
    <row r="774" spans="1:10" x14ac:dyDescent="0.25">
      <c r="A774" s="127" t="str">
        <f>IF(Produits!A655="","",Produits!A655)</f>
        <v/>
      </c>
      <c r="B774" s="127" t="str">
        <f>IF(Produits!B655="","",Produits!B655)</f>
        <v/>
      </c>
      <c r="C774" s="127" t="str">
        <f>IF(Produits!C655="","",Produits!C655)</f>
        <v/>
      </c>
      <c r="D774" s="127" t="str">
        <f>IF(Produits!D655="","",Produits!D655)</f>
        <v/>
      </c>
      <c r="E774" s="127" t="str">
        <f>IF(Produits!E655="","",Produits!E655)</f>
        <v/>
      </c>
      <c r="F774" s="128" t="str">
        <f>IF(Produits!F655="","",Produits!F655)</f>
        <v/>
      </c>
      <c r="J774" s="140" t="str">
        <f>IF($J$1="","",HLOOKUP($J$1,$M$1:$AAV$1000,774,0))</f>
        <v/>
      </c>
    </row>
    <row r="775" spans="1:10" x14ac:dyDescent="0.25">
      <c r="A775" s="127" t="str">
        <f>IF(Produits!A656="","",Produits!A656)</f>
        <v/>
      </c>
      <c r="B775" s="127" t="str">
        <f>IF(Produits!B656="","",Produits!B656)</f>
        <v/>
      </c>
      <c r="C775" s="127" t="str">
        <f>IF(Produits!C656="","",Produits!C656)</f>
        <v/>
      </c>
      <c r="D775" s="127" t="str">
        <f>IF(Produits!D656="","",Produits!D656)</f>
        <v/>
      </c>
      <c r="E775" s="127" t="str">
        <f>IF(Produits!E656="","",Produits!E656)</f>
        <v/>
      </c>
      <c r="F775" s="128" t="str">
        <f>IF(Produits!F656="","",Produits!F656)</f>
        <v/>
      </c>
      <c r="J775" s="140" t="str">
        <f>IF($J$1="","",HLOOKUP($J$1,$M$1:$AAV$1000,775,0))</f>
        <v/>
      </c>
    </row>
    <row r="776" spans="1:10" x14ac:dyDescent="0.25">
      <c r="A776" s="127" t="str">
        <f>IF(Produits!A657="","",Produits!A657)</f>
        <v/>
      </c>
      <c r="B776" s="127" t="str">
        <f>IF(Produits!B657="","",Produits!B657)</f>
        <v/>
      </c>
      <c r="C776" s="127" t="str">
        <f>IF(Produits!C657="","",Produits!C657)</f>
        <v/>
      </c>
      <c r="D776" s="127" t="str">
        <f>IF(Produits!D657="","",Produits!D657)</f>
        <v/>
      </c>
      <c r="E776" s="127" t="str">
        <f>IF(Produits!E657="","",Produits!E657)</f>
        <v/>
      </c>
      <c r="F776" s="128" t="str">
        <f>IF(Produits!F657="","",Produits!F657)</f>
        <v/>
      </c>
      <c r="J776" s="140" t="str">
        <f>IF($J$1="","",HLOOKUP($J$1,$M$1:$AAV$1000,776,0))</f>
        <v/>
      </c>
    </row>
    <row r="777" spans="1:10" x14ac:dyDescent="0.25">
      <c r="A777" s="127" t="str">
        <f>IF(Produits!A658="","",Produits!A658)</f>
        <v/>
      </c>
      <c r="B777" s="127" t="str">
        <f>IF(Produits!B658="","",Produits!B658)</f>
        <v/>
      </c>
      <c r="C777" s="127" t="str">
        <f>IF(Produits!C658="","",Produits!C658)</f>
        <v/>
      </c>
      <c r="D777" s="127" t="str">
        <f>IF(Produits!D658="","",Produits!D658)</f>
        <v/>
      </c>
      <c r="E777" s="127" t="str">
        <f>IF(Produits!E658="","",Produits!E658)</f>
        <v/>
      </c>
      <c r="F777" s="128" t="str">
        <f>IF(Produits!F658="","",Produits!F658)</f>
        <v/>
      </c>
      <c r="J777" s="140" t="str">
        <f>IF($J$1="","",HLOOKUP($J$1,$M$1:$AAV$1000,777,0))</f>
        <v/>
      </c>
    </row>
    <row r="778" spans="1:10" x14ac:dyDescent="0.25">
      <c r="A778" s="127" t="str">
        <f>IF(Produits!A659="","",Produits!A659)</f>
        <v/>
      </c>
      <c r="B778" s="127" t="str">
        <f>IF(Produits!B659="","",Produits!B659)</f>
        <v/>
      </c>
      <c r="C778" s="127" t="str">
        <f>IF(Produits!C659="","",Produits!C659)</f>
        <v/>
      </c>
      <c r="D778" s="127" t="str">
        <f>IF(Produits!D659="","",Produits!D659)</f>
        <v/>
      </c>
      <c r="E778" s="127" t="str">
        <f>IF(Produits!E659="","",Produits!E659)</f>
        <v/>
      </c>
      <c r="F778" s="128" t="str">
        <f>IF(Produits!F659="","",Produits!F659)</f>
        <v/>
      </c>
      <c r="J778" s="140" t="str">
        <f>IF($J$1="","",HLOOKUP($J$1,$M$1:$AAV$1000,778,0))</f>
        <v/>
      </c>
    </row>
    <row r="779" spans="1:10" x14ac:dyDescent="0.25">
      <c r="A779" s="127" t="str">
        <f>IF(Produits!A660="","",Produits!A660)</f>
        <v/>
      </c>
      <c r="B779" s="127" t="str">
        <f>IF(Produits!B660="","",Produits!B660)</f>
        <v/>
      </c>
      <c r="C779" s="127" t="str">
        <f>IF(Produits!C660="","",Produits!C660)</f>
        <v/>
      </c>
      <c r="D779" s="127" t="str">
        <f>IF(Produits!D660="","",Produits!D660)</f>
        <v/>
      </c>
      <c r="E779" s="127" t="str">
        <f>IF(Produits!E660="","",Produits!E660)</f>
        <v/>
      </c>
      <c r="F779" s="128" t="str">
        <f>IF(Produits!F660="","",Produits!F660)</f>
        <v/>
      </c>
      <c r="J779" s="140" t="str">
        <f>IF($J$1="","",HLOOKUP($J$1,$M$1:$AAV$1000,779,0))</f>
        <v/>
      </c>
    </row>
    <row r="780" spans="1:10" x14ac:dyDescent="0.25">
      <c r="A780" s="127" t="str">
        <f>IF(Produits!A661="","",Produits!A661)</f>
        <v/>
      </c>
      <c r="B780" s="127" t="str">
        <f>IF(Produits!B661="","",Produits!B661)</f>
        <v/>
      </c>
      <c r="C780" s="127" t="str">
        <f>IF(Produits!C661="","",Produits!C661)</f>
        <v/>
      </c>
      <c r="D780" s="127" t="str">
        <f>IF(Produits!D661="","",Produits!D661)</f>
        <v/>
      </c>
      <c r="E780" s="127" t="str">
        <f>IF(Produits!E661="","",Produits!E661)</f>
        <v/>
      </c>
      <c r="F780" s="128" t="str">
        <f>IF(Produits!F661="","",Produits!F661)</f>
        <v/>
      </c>
      <c r="J780" s="140" t="str">
        <f>IF($J$1="","",HLOOKUP($J$1,$M$1:$AAV$1000,780,0))</f>
        <v/>
      </c>
    </row>
    <row r="781" spans="1:10" x14ac:dyDescent="0.25">
      <c r="A781" s="127" t="str">
        <f>IF(Produits!A662="","",Produits!A662)</f>
        <v/>
      </c>
      <c r="B781" s="127" t="str">
        <f>IF(Produits!B662="","",Produits!B662)</f>
        <v/>
      </c>
      <c r="C781" s="127" t="str">
        <f>IF(Produits!C662="","",Produits!C662)</f>
        <v/>
      </c>
      <c r="D781" s="127" t="str">
        <f>IF(Produits!D662="","",Produits!D662)</f>
        <v/>
      </c>
      <c r="E781" s="127" t="str">
        <f>IF(Produits!E662="","",Produits!E662)</f>
        <v/>
      </c>
      <c r="F781" s="128" t="str">
        <f>IF(Produits!F662="","",Produits!F662)</f>
        <v/>
      </c>
      <c r="J781" s="140" t="str">
        <f>IF($J$1="","",HLOOKUP($J$1,$M$1:$AAV$1000,781,0))</f>
        <v/>
      </c>
    </row>
    <row r="782" spans="1:10" x14ac:dyDescent="0.25">
      <c r="A782" s="127" t="str">
        <f>IF(Produits!A663="","",Produits!A663)</f>
        <v/>
      </c>
      <c r="B782" s="127" t="str">
        <f>IF(Produits!B663="","",Produits!B663)</f>
        <v/>
      </c>
      <c r="C782" s="127" t="str">
        <f>IF(Produits!C663="","",Produits!C663)</f>
        <v/>
      </c>
      <c r="D782" s="127" t="str">
        <f>IF(Produits!D663="","",Produits!D663)</f>
        <v/>
      </c>
      <c r="E782" s="127" t="str">
        <f>IF(Produits!E663="","",Produits!E663)</f>
        <v/>
      </c>
      <c r="F782" s="128" t="str">
        <f>IF(Produits!F663="","",Produits!F663)</f>
        <v/>
      </c>
      <c r="J782" s="140" t="str">
        <f>IF($J$1="","",HLOOKUP($J$1,$M$1:$AAV$1000,782,0))</f>
        <v/>
      </c>
    </row>
    <row r="783" spans="1:10" x14ac:dyDescent="0.25">
      <c r="A783" s="127" t="str">
        <f>IF(Produits!A664="","",Produits!A664)</f>
        <v/>
      </c>
      <c r="B783" s="127" t="str">
        <f>IF(Produits!B664="","",Produits!B664)</f>
        <v/>
      </c>
      <c r="C783" s="127" t="str">
        <f>IF(Produits!C664="","",Produits!C664)</f>
        <v/>
      </c>
      <c r="D783" s="127" t="str">
        <f>IF(Produits!D664="","",Produits!D664)</f>
        <v/>
      </c>
      <c r="E783" s="127" t="str">
        <f>IF(Produits!E664="","",Produits!E664)</f>
        <v/>
      </c>
      <c r="F783" s="128" t="str">
        <f>IF(Produits!F664="","",Produits!F664)</f>
        <v/>
      </c>
      <c r="J783" s="140" t="str">
        <f>IF($J$1="","",HLOOKUP($J$1,$M$1:$AAV$1000,783,0))</f>
        <v/>
      </c>
    </row>
    <row r="784" spans="1:10" x14ac:dyDescent="0.25">
      <c r="A784" s="127" t="str">
        <f>IF(Produits!A665="","",Produits!A665)</f>
        <v/>
      </c>
      <c r="B784" s="127" t="str">
        <f>IF(Produits!B665="","",Produits!B665)</f>
        <v/>
      </c>
      <c r="C784" s="127" t="str">
        <f>IF(Produits!C665="","",Produits!C665)</f>
        <v/>
      </c>
      <c r="D784" s="127" t="str">
        <f>IF(Produits!D665="","",Produits!D665)</f>
        <v/>
      </c>
      <c r="E784" s="127" t="str">
        <f>IF(Produits!E665="","",Produits!E665)</f>
        <v/>
      </c>
      <c r="F784" s="128" t="str">
        <f>IF(Produits!F665="","",Produits!F665)</f>
        <v/>
      </c>
      <c r="J784" s="140" t="str">
        <f>IF($J$1="","",HLOOKUP($J$1,$M$1:$AAV$1000,784,0))</f>
        <v/>
      </c>
    </row>
    <row r="785" spans="1:10" x14ac:dyDescent="0.25">
      <c r="A785" s="127" t="str">
        <f>IF(Produits!A666="","",Produits!A666)</f>
        <v/>
      </c>
      <c r="B785" s="127" t="str">
        <f>IF(Produits!B666="","",Produits!B666)</f>
        <v/>
      </c>
      <c r="C785" s="127" t="str">
        <f>IF(Produits!C666="","",Produits!C666)</f>
        <v/>
      </c>
      <c r="D785" s="127" t="str">
        <f>IF(Produits!D666="","",Produits!D666)</f>
        <v/>
      </c>
      <c r="E785" s="127" t="str">
        <f>IF(Produits!E666="","",Produits!E666)</f>
        <v/>
      </c>
      <c r="F785" s="128" t="str">
        <f>IF(Produits!F666="","",Produits!F666)</f>
        <v/>
      </c>
      <c r="J785" s="140" t="str">
        <f>IF($J$1="","",HLOOKUP($J$1,$M$1:$AAV$1000,785,0))</f>
        <v/>
      </c>
    </row>
    <row r="786" spans="1:10" x14ac:dyDescent="0.25">
      <c r="A786" s="127" t="str">
        <f>IF(Produits!A667="","",Produits!A667)</f>
        <v/>
      </c>
      <c r="B786" s="127" t="str">
        <f>IF(Produits!B667="","",Produits!B667)</f>
        <v/>
      </c>
      <c r="C786" s="127" t="str">
        <f>IF(Produits!C667="","",Produits!C667)</f>
        <v/>
      </c>
      <c r="D786" s="127" t="str">
        <f>IF(Produits!D667="","",Produits!D667)</f>
        <v/>
      </c>
      <c r="E786" s="127" t="str">
        <f>IF(Produits!E667="","",Produits!E667)</f>
        <v/>
      </c>
      <c r="F786" s="128" t="str">
        <f>IF(Produits!F667="","",Produits!F667)</f>
        <v/>
      </c>
      <c r="J786" s="140" t="str">
        <f>IF($J$1="","",HLOOKUP($J$1,$M$1:$AAV$1000,786,0))</f>
        <v/>
      </c>
    </row>
    <row r="787" spans="1:10" x14ac:dyDescent="0.25">
      <c r="A787" s="127" t="str">
        <f>IF(Produits!A668="","",Produits!A668)</f>
        <v/>
      </c>
      <c r="B787" s="127" t="str">
        <f>IF(Produits!B668="","",Produits!B668)</f>
        <v/>
      </c>
      <c r="C787" s="127" t="str">
        <f>IF(Produits!C668="","",Produits!C668)</f>
        <v/>
      </c>
      <c r="D787" s="127" t="str">
        <f>IF(Produits!D668="","",Produits!D668)</f>
        <v/>
      </c>
      <c r="E787" s="127" t="str">
        <f>IF(Produits!E668="","",Produits!E668)</f>
        <v/>
      </c>
      <c r="F787" s="128" t="str">
        <f>IF(Produits!F668="","",Produits!F668)</f>
        <v/>
      </c>
      <c r="J787" s="140" t="str">
        <f>IF($J$1="","",HLOOKUP($J$1,$M$1:$AAV$1000,787,0))</f>
        <v/>
      </c>
    </row>
    <row r="788" spans="1:10" x14ac:dyDescent="0.25">
      <c r="A788" s="127" t="str">
        <f>IF(Produits!A669="","",Produits!A669)</f>
        <v/>
      </c>
      <c r="B788" s="127" t="str">
        <f>IF(Produits!B669="","",Produits!B669)</f>
        <v/>
      </c>
      <c r="C788" s="127" t="str">
        <f>IF(Produits!C669="","",Produits!C669)</f>
        <v/>
      </c>
      <c r="D788" s="127" t="str">
        <f>IF(Produits!D669="","",Produits!D669)</f>
        <v/>
      </c>
      <c r="E788" s="127" t="str">
        <f>IF(Produits!E669="","",Produits!E669)</f>
        <v/>
      </c>
      <c r="F788" s="128" t="str">
        <f>IF(Produits!F669="","",Produits!F669)</f>
        <v/>
      </c>
      <c r="J788" s="140" t="str">
        <f>IF($J$1="","",HLOOKUP($J$1,$M$1:$AAV$1000,788,0))</f>
        <v/>
      </c>
    </row>
    <row r="789" spans="1:10" x14ac:dyDescent="0.25">
      <c r="A789" s="127" t="str">
        <f>IF(Produits!A670="","",Produits!A670)</f>
        <v/>
      </c>
      <c r="B789" s="127" t="str">
        <f>IF(Produits!B670="","",Produits!B670)</f>
        <v/>
      </c>
      <c r="C789" s="127" t="str">
        <f>IF(Produits!C670="","",Produits!C670)</f>
        <v/>
      </c>
      <c r="D789" s="127" t="str">
        <f>IF(Produits!D670="","",Produits!D670)</f>
        <v/>
      </c>
      <c r="E789" s="127" t="str">
        <f>IF(Produits!E670="","",Produits!E670)</f>
        <v/>
      </c>
      <c r="F789" s="128" t="str">
        <f>IF(Produits!F670="","",Produits!F670)</f>
        <v/>
      </c>
      <c r="J789" s="140" t="str">
        <f>IF($J$1="","",HLOOKUP($J$1,$M$1:$AAV$1000,789,0))</f>
        <v/>
      </c>
    </row>
    <row r="790" spans="1:10" x14ac:dyDescent="0.25">
      <c r="A790" s="127" t="str">
        <f>IF(Produits!A671="","",Produits!A671)</f>
        <v/>
      </c>
      <c r="B790" s="127" t="str">
        <f>IF(Produits!B671="","",Produits!B671)</f>
        <v/>
      </c>
      <c r="C790" s="127" t="str">
        <f>IF(Produits!C671="","",Produits!C671)</f>
        <v/>
      </c>
      <c r="D790" s="127" t="str">
        <f>IF(Produits!D671="","",Produits!D671)</f>
        <v/>
      </c>
      <c r="E790" s="127" t="str">
        <f>IF(Produits!E671="","",Produits!E671)</f>
        <v/>
      </c>
      <c r="F790" s="128" t="str">
        <f>IF(Produits!F671="","",Produits!F671)</f>
        <v/>
      </c>
      <c r="J790" s="140" t="str">
        <f>IF($J$1="","",HLOOKUP($J$1,$M$1:$AAV$1000,790,0))</f>
        <v/>
      </c>
    </row>
    <row r="791" spans="1:10" x14ac:dyDescent="0.25">
      <c r="A791" s="127" t="str">
        <f>IF(Produits!A672="","",Produits!A672)</f>
        <v/>
      </c>
      <c r="B791" s="127" t="str">
        <f>IF(Produits!B672="","",Produits!B672)</f>
        <v/>
      </c>
      <c r="C791" s="127" t="str">
        <f>IF(Produits!C672="","",Produits!C672)</f>
        <v/>
      </c>
      <c r="D791" s="127" t="str">
        <f>IF(Produits!D672="","",Produits!D672)</f>
        <v/>
      </c>
      <c r="E791" s="127" t="str">
        <f>IF(Produits!E672="","",Produits!E672)</f>
        <v/>
      </c>
      <c r="F791" s="128" t="str">
        <f>IF(Produits!F672="","",Produits!F672)</f>
        <v/>
      </c>
      <c r="J791" s="140" t="str">
        <f>IF($J$1="","",HLOOKUP($J$1,$M$1:$AAV$1000,791,0))</f>
        <v/>
      </c>
    </row>
    <row r="792" spans="1:10" x14ac:dyDescent="0.25">
      <c r="A792" s="127" t="str">
        <f>IF(Produits!A673="","",Produits!A673)</f>
        <v/>
      </c>
      <c r="B792" s="127" t="str">
        <f>IF(Produits!B673="","",Produits!B673)</f>
        <v/>
      </c>
      <c r="C792" s="127" t="str">
        <f>IF(Produits!C673="","",Produits!C673)</f>
        <v/>
      </c>
      <c r="D792" s="127" t="str">
        <f>IF(Produits!D673="","",Produits!D673)</f>
        <v/>
      </c>
      <c r="E792" s="127" t="str">
        <f>IF(Produits!E673="","",Produits!E673)</f>
        <v/>
      </c>
      <c r="F792" s="128" t="str">
        <f>IF(Produits!F673="","",Produits!F673)</f>
        <v/>
      </c>
      <c r="J792" s="140" t="str">
        <f>IF($J$1="","",HLOOKUP($J$1,$M$1:$AAV$1000,792,0))</f>
        <v/>
      </c>
    </row>
    <row r="793" spans="1:10" x14ac:dyDescent="0.25">
      <c r="A793" s="127" t="str">
        <f>IF(Produits!A674="","",Produits!A674)</f>
        <v/>
      </c>
      <c r="B793" s="127" t="str">
        <f>IF(Produits!B674="","",Produits!B674)</f>
        <v/>
      </c>
      <c r="C793" s="127" t="str">
        <f>IF(Produits!C674="","",Produits!C674)</f>
        <v/>
      </c>
      <c r="D793" s="127" t="str">
        <f>IF(Produits!D674="","",Produits!D674)</f>
        <v/>
      </c>
      <c r="E793" s="127" t="str">
        <f>IF(Produits!E674="","",Produits!E674)</f>
        <v/>
      </c>
      <c r="F793" s="128" t="str">
        <f>IF(Produits!F674="","",Produits!F674)</f>
        <v/>
      </c>
      <c r="J793" s="140" t="str">
        <f>IF($J$1="","",HLOOKUP($J$1,$M$1:$AAV$1000,793,0))</f>
        <v/>
      </c>
    </row>
    <row r="794" spans="1:10" x14ac:dyDescent="0.25">
      <c r="A794" s="127" t="str">
        <f>IF(Produits!A675="","",Produits!A675)</f>
        <v/>
      </c>
      <c r="B794" s="127" t="str">
        <f>IF(Produits!B675="","",Produits!B675)</f>
        <v/>
      </c>
      <c r="C794" s="127" t="str">
        <f>IF(Produits!C675="","",Produits!C675)</f>
        <v/>
      </c>
      <c r="D794" s="127" t="str">
        <f>IF(Produits!D675="","",Produits!D675)</f>
        <v/>
      </c>
      <c r="E794" s="127" t="str">
        <f>IF(Produits!E675="","",Produits!E675)</f>
        <v/>
      </c>
      <c r="F794" s="128" t="str">
        <f>IF(Produits!F675="","",Produits!F675)</f>
        <v/>
      </c>
      <c r="J794" s="140" t="str">
        <f>IF($J$1="","",HLOOKUP($J$1,$M$1:$AAV$1000,794,0))</f>
        <v/>
      </c>
    </row>
    <row r="795" spans="1:10" x14ac:dyDescent="0.25">
      <c r="A795" s="127" t="str">
        <f>IF(Produits!A676="","",Produits!A676)</f>
        <v/>
      </c>
      <c r="B795" s="127" t="str">
        <f>IF(Produits!B676="","",Produits!B676)</f>
        <v/>
      </c>
      <c r="C795" s="127" t="str">
        <f>IF(Produits!C676="","",Produits!C676)</f>
        <v/>
      </c>
      <c r="D795" s="127" t="str">
        <f>IF(Produits!D676="","",Produits!D676)</f>
        <v/>
      </c>
      <c r="E795" s="127" t="str">
        <f>IF(Produits!E676="","",Produits!E676)</f>
        <v/>
      </c>
      <c r="F795" s="128" t="str">
        <f>IF(Produits!F676="","",Produits!F676)</f>
        <v/>
      </c>
      <c r="J795" s="140" t="str">
        <f>IF($J$1="","",HLOOKUP($J$1,$M$1:$AAV$1000,795,0))</f>
        <v/>
      </c>
    </row>
    <row r="796" spans="1:10" x14ac:dyDescent="0.25">
      <c r="A796" s="127" t="str">
        <f>IF(Produits!A677="","",Produits!A677)</f>
        <v/>
      </c>
      <c r="B796" s="127" t="str">
        <f>IF(Produits!B677="","",Produits!B677)</f>
        <v/>
      </c>
      <c r="C796" s="127" t="str">
        <f>IF(Produits!C677="","",Produits!C677)</f>
        <v/>
      </c>
      <c r="D796" s="127" t="str">
        <f>IF(Produits!D677="","",Produits!D677)</f>
        <v/>
      </c>
      <c r="E796" s="127" t="str">
        <f>IF(Produits!E677="","",Produits!E677)</f>
        <v/>
      </c>
      <c r="F796" s="128" t="str">
        <f>IF(Produits!F677="","",Produits!F677)</f>
        <v/>
      </c>
      <c r="J796" s="140" t="str">
        <f>IF($J$1="","",HLOOKUP($J$1,$M$1:$AAV$1000,796,0))</f>
        <v/>
      </c>
    </row>
    <row r="797" spans="1:10" x14ac:dyDescent="0.25">
      <c r="A797" s="127" t="str">
        <f>IF(Produits!A678="","",Produits!A678)</f>
        <v/>
      </c>
      <c r="B797" s="127" t="str">
        <f>IF(Produits!B678="","",Produits!B678)</f>
        <v/>
      </c>
      <c r="C797" s="127" t="str">
        <f>IF(Produits!C678="","",Produits!C678)</f>
        <v/>
      </c>
      <c r="D797" s="127" t="str">
        <f>IF(Produits!D678="","",Produits!D678)</f>
        <v/>
      </c>
      <c r="E797" s="127" t="str">
        <f>IF(Produits!E678="","",Produits!E678)</f>
        <v/>
      </c>
      <c r="F797" s="128" t="str">
        <f>IF(Produits!F678="","",Produits!F678)</f>
        <v/>
      </c>
      <c r="J797" s="140" t="str">
        <f>IF($J$1="","",HLOOKUP($J$1,$M$1:$AAV$1000,797,0))</f>
        <v/>
      </c>
    </row>
    <row r="798" spans="1:10" x14ac:dyDescent="0.25">
      <c r="A798" s="127" t="str">
        <f>IF(Produits!A679="","",Produits!A679)</f>
        <v/>
      </c>
      <c r="B798" s="127" t="str">
        <f>IF(Produits!B679="","",Produits!B679)</f>
        <v/>
      </c>
      <c r="C798" s="127" t="str">
        <f>IF(Produits!C679="","",Produits!C679)</f>
        <v/>
      </c>
      <c r="D798" s="127" t="str">
        <f>IF(Produits!D679="","",Produits!D679)</f>
        <v/>
      </c>
      <c r="E798" s="127" t="str">
        <f>IF(Produits!E679="","",Produits!E679)</f>
        <v/>
      </c>
      <c r="F798" s="128" t="str">
        <f>IF(Produits!F679="","",Produits!F679)</f>
        <v/>
      </c>
      <c r="J798" s="140" t="str">
        <f>IF($J$1="","",HLOOKUP($J$1,$M$1:$AAV$1000,798,0))</f>
        <v/>
      </c>
    </row>
    <row r="799" spans="1:10" x14ac:dyDescent="0.25">
      <c r="A799" s="127" t="str">
        <f>IF(Produits!A680="","",Produits!A680)</f>
        <v/>
      </c>
      <c r="B799" s="127" t="str">
        <f>IF(Produits!B680="","",Produits!B680)</f>
        <v/>
      </c>
      <c r="C799" s="127" t="str">
        <f>IF(Produits!C680="","",Produits!C680)</f>
        <v/>
      </c>
      <c r="D799" s="127" t="str">
        <f>IF(Produits!D680="","",Produits!D680)</f>
        <v/>
      </c>
      <c r="E799" s="127" t="str">
        <f>IF(Produits!E680="","",Produits!E680)</f>
        <v/>
      </c>
      <c r="F799" s="128" t="str">
        <f>IF(Produits!F680="","",Produits!F680)</f>
        <v/>
      </c>
      <c r="J799" s="140" t="str">
        <f>IF($J$1="","",HLOOKUP($J$1,$M$1:$AAV$1000,799,0))</f>
        <v/>
      </c>
    </row>
    <row r="800" spans="1:10" x14ac:dyDescent="0.25">
      <c r="A800" s="127" t="str">
        <f>IF(Produits!A681="","",Produits!A681)</f>
        <v/>
      </c>
      <c r="B800" s="127" t="str">
        <f>IF(Produits!B681="","",Produits!B681)</f>
        <v/>
      </c>
      <c r="C800" s="127" t="str">
        <f>IF(Produits!C681="","",Produits!C681)</f>
        <v/>
      </c>
      <c r="D800" s="127" t="str">
        <f>IF(Produits!D681="","",Produits!D681)</f>
        <v/>
      </c>
      <c r="E800" s="127" t="str">
        <f>IF(Produits!E681="","",Produits!E681)</f>
        <v/>
      </c>
      <c r="F800" s="128" t="str">
        <f>IF(Produits!F681="","",Produits!F681)</f>
        <v/>
      </c>
      <c r="J800" s="140" t="str">
        <f>IF($J$1="","",HLOOKUP($J$1,$M$1:$AAV$1000,800,0))</f>
        <v/>
      </c>
    </row>
    <row r="801" spans="1:10" x14ac:dyDescent="0.25">
      <c r="A801" s="127" t="str">
        <f>IF(Produits!A682="","",Produits!A682)</f>
        <v/>
      </c>
      <c r="B801" s="127" t="str">
        <f>IF(Produits!B682="","",Produits!B682)</f>
        <v/>
      </c>
      <c r="C801" s="127" t="str">
        <f>IF(Produits!C682="","",Produits!C682)</f>
        <v/>
      </c>
      <c r="D801" s="127" t="str">
        <f>IF(Produits!D682="","",Produits!D682)</f>
        <v/>
      </c>
      <c r="E801" s="127" t="str">
        <f>IF(Produits!E682="","",Produits!E682)</f>
        <v/>
      </c>
      <c r="F801" s="128" t="str">
        <f>IF(Produits!F682="","",Produits!F682)</f>
        <v/>
      </c>
      <c r="J801" s="140" t="str">
        <f>IF($J$1="","",HLOOKUP($J$1,$M$1:$AAV$1000,801,0))</f>
        <v/>
      </c>
    </row>
    <row r="802" spans="1:10" x14ac:dyDescent="0.25">
      <c r="A802" s="127" t="str">
        <f>IF(Produits!A683="","",Produits!A683)</f>
        <v/>
      </c>
      <c r="B802" s="127" t="str">
        <f>IF(Produits!B683="","",Produits!B683)</f>
        <v/>
      </c>
      <c r="C802" s="127" t="str">
        <f>IF(Produits!C683="","",Produits!C683)</f>
        <v/>
      </c>
      <c r="D802" s="127" t="str">
        <f>IF(Produits!D683="","",Produits!D683)</f>
        <v/>
      </c>
      <c r="E802" s="127" t="str">
        <f>IF(Produits!E683="","",Produits!E683)</f>
        <v/>
      </c>
      <c r="F802" s="128" t="str">
        <f>IF(Produits!F683="","",Produits!F683)</f>
        <v/>
      </c>
      <c r="J802" s="140" t="str">
        <f>IF($J$1="","",HLOOKUP($J$1,$M$1:$AAV$1000,802,0))</f>
        <v/>
      </c>
    </row>
    <row r="803" spans="1:10" x14ac:dyDescent="0.25">
      <c r="A803" s="127" t="str">
        <f>IF(Produits!A684="","",Produits!A684)</f>
        <v/>
      </c>
      <c r="B803" s="127" t="str">
        <f>IF(Produits!B684="","",Produits!B684)</f>
        <v/>
      </c>
      <c r="C803" s="127" t="str">
        <f>IF(Produits!C684="","",Produits!C684)</f>
        <v/>
      </c>
      <c r="D803" s="127" t="str">
        <f>IF(Produits!D684="","",Produits!D684)</f>
        <v/>
      </c>
      <c r="E803" s="127" t="str">
        <f>IF(Produits!E684="","",Produits!E684)</f>
        <v/>
      </c>
      <c r="F803" s="128" t="str">
        <f>IF(Produits!F684="","",Produits!F684)</f>
        <v/>
      </c>
      <c r="J803" s="140" t="str">
        <f>IF($J$1="","",HLOOKUP($J$1,$M$1:$AAV$1000,803,0))</f>
        <v/>
      </c>
    </row>
    <row r="804" spans="1:10" x14ac:dyDescent="0.25">
      <c r="A804" s="127" t="str">
        <f>IF(Produits!A685="","",Produits!A685)</f>
        <v/>
      </c>
      <c r="B804" s="127" t="str">
        <f>IF(Produits!B685="","",Produits!B685)</f>
        <v/>
      </c>
      <c r="C804" s="127" t="str">
        <f>IF(Produits!C685="","",Produits!C685)</f>
        <v/>
      </c>
      <c r="D804" s="127" t="str">
        <f>IF(Produits!D685="","",Produits!D685)</f>
        <v/>
      </c>
      <c r="E804" s="127" t="str">
        <f>IF(Produits!E685="","",Produits!E685)</f>
        <v/>
      </c>
      <c r="F804" s="128" t="str">
        <f>IF(Produits!F685="","",Produits!F685)</f>
        <v/>
      </c>
      <c r="J804" s="140" t="str">
        <f>IF($J$1="","",HLOOKUP($J$1,$M$1:$AAV$1000,804,0))</f>
        <v/>
      </c>
    </row>
    <row r="805" spans="1:10" x14ac:dyDescent="0.25">
      <c r="A805" s="127" t="str">
        <f>IF(Produits!A686="","",Produits!A686)</f>
        <v/>
      </c>
      <c r="B805" s="127" t="str">
        <f>IF(Produits!B686="","",Produits!B686)</f>
        <v/>
      </c>
      <c r="C805" s="127" t="str">
        <f>IF(Produits!C686="","",Produits!C686)</f>
        <v/>
      </c>
      <c r="D805" s="127" t="str">
        <f>IF(Produits!D686="","",Produits!D686)</f>
        <v/>
      </c>
      <c r="E805" s="127" t="str">
        <f>IF(Produits!E686="","",Produits!E686)</f>
        <v/>
      </c>
      <c r="F805" s="128" t="str">
        <f>IF(Produits!F686="","",Produits!F686)</f>
        <v/>
      </c>
      <c r="J805" s="140" t="str">
        <f>IF($J$1="","",HLOOKUP($J$1,$M$1:$AAV$1000,805,0))</f>
        <v/>
      </c>
    </row>
    <row r="806" spans="1:10" x14ac:dyDescent="0.25">
      <c r="A806" s="127" t="str">
        <f>IF(Produits!A687="","",Produits!A687)</f>
        <v/>
      </c>
      <c r="B806" s="127" t="str">
        <f>IF(Produits!B687="","",Produits!B687)</f>
        <v/>
      </c>
      <c r="C806" s="127" t="str">
        <f>IF(Produits!C687="","",Produits!C687)</f>
        <v/>
      </c>
      <c r="D806" s="127" t="str">
        <f>IF(Produits!D687="","",Produits!D687)</f>
        <v/>
      </c>
      <c r="E806" s="127" t="str">
        <f>IF(Produits!E687="","",Produits!E687)</f>
        <v/>
      </c>
      <c r="F806" s="128" t="str">
        <f>IF(Produits!F687="","",Produits!F687)</f>
        <v/>
      </c>
      <c r="J806" s="140" t="str">
        <f>IF($J$1="","",HLOOKUP($J$1,$M$1:$AAV$1000,806,0))</f>
        <v/>
      </c>
    </row>
    <row r="807" spans="1:10" x14ac:dyDescent="0.25">
      <c r="A807" s="127" t="str">
        <f>IF(Produits!A688="","",Produits!A688)</f>
        <v/>
      </c>
      <c r="B807" s="127" t="str">
        <f>IF(Produits!B688="","",Produits!B688)</f>
        <v/>
      </c>
      <c r="C807" s="127" t="str">
        <f>IF(Produits!C688="","",Produits!C688)</f>
        <v/>
      </c>
      <c r="D807" s="127" t="str">
        <f>IF(Produits!D688="","",Produits!D688)</f>
        <v/>
      </c>
      <c r="E807" s="127" t="str">
        <f>IF(Produits!E688="","",Produits!E688)</f>
        <v/>
      </c>
      <c r="F807" s="128" t="str">
        <f>IF(Produits!F688="","",Produits!F688)</f>
        <v/>
      </c>
      <c r="J807" s="140" t="str">
        <f>IF($J$1="","",HLOOKUP($J$1,$M$1:$AAV$1000,807,0))</f>
        <v/>
      </c>
    </row>
    <row r="808" spans="1:10" x14ac:dyDescent="0.25">
      <c r="A808" s="127" t="str">
        <f>IF(Produits!A689="","",Produits!A689)</f>
        <v/>
      </c>
      <c r="B808" s="127" t="str">
        <f>IF(Produits!B689="","",Produits!B689)</f>
        <v/>
      </c>
      <c r="C808" s="127" t="str">
        <f>IF(Produits!C689="","",Produits!C689)</f>
        <v/>
      </c>
      <c r="D808" s="127" t="str">
        <f>IF(Produits!D689="","",Produits!D689)</f>
        <v/>
      </c>
      <c r="E808" s="127" t="str">
        <f>IF(Produits!E689="","",Produits!E689)</f>
        <v/>
      </c>
      <c r="F808" s="128" t="str">
        <f>IF(Produits!F689="","",Produits!F689)</f>
        <v/>
      </c>
      <c r="J808" s="140" t="str">
        <f>IF($J$1="","",HLOOKUP($J$1,$M$1:$AAV$1000,808,0))</f>
        <v/>
      </c>
    </row>
    <row r="809" spans="1:10" x14ac:dyDescent="0.25">
      <c r="A809" s="127" t="str">
        <f>IF(Produits!A690="","",Produits!A690)</f>
        <v/>
      </c>
      <c r="B809" s="127" t="str">
        <f>IF(Produits!B690="","",Produits!B690)</f>
        <v/>
      </c>
      <c r="C809" s="127" t="str">
        <f>IF(Produits!C690="","",Produits!C690)</f>
        <v/>
      </c>
      <c r="D809" s="127" t="str">
        <f>IF(Produits!D690="","",Produits!D690)</f>
        <v/>
      </c>
      <c r="E809" s="127" t="str">
        <f>IF(Produits!E690="","",Produits!E690)</f>
        <v/>
      </c>
      <c r="F809" s="128" t="str">
        <f>IF(Produits!F690="","",Produits!F690)</f>
        <v/>
      </c>
      <c r="J809" s="140" t="str">
        <f>IF($J$1="","",HLOOKUP($J$1,$M$1:$AAV$1000,809,0))</f>
        <v/>
      </c>
    </row>
    <row r="810" spans="1:10" x14ac:dyDescent="0.25">
      <c r="A810" s="127" t="str">
        <f>IF(Produits!A691="","",Produits!A691)</f>
        <v/>
      </c>
      <c r="B810" s="127" t="str">
        <f>IF(Produits!B691="","",Produits!B691)</f>
        <v/>
      </c>
      <c r="C810" s="127" t="str">
        <f>IF(Produits!C691="","",Produits!C691)</f>
        <v/>
      </c>
      <c r="D810" s="127" t="str">
        <f>IF(Produits!D691="","",Produits!D691)</f>
        <v/>
      </c>
      <c r="E810" s="127" t="str">
        <f>IF(Produits!E691="","",Produits!E691)</f>
        <v/>
      </c>
      <c r="F810" s="128" t="str">
        <f>IF(Produits!F691="","",Produits!F691)</f>
        <v/>
      </c>
      <c r="J810" s="140" t="str">
        <f>IF($J$1="","",HLOOKUP($J$1,$M$1:$AAV$1000,810,0))</f>
        <v/>
      </c>
    </row>
    <row r="811" spans="1:10" x14ac:dyDescent="0.25">
      <c r="A811" s="127" t="str">
        <f>IF(Produits!A692="","",Produits!A692)</f>
        <v/>
      </c>
      <c r="B811" s="127" t="str">
        <f>IF(Produits!B692="","",Produits!B692)</f>
        <v/>
      </c>
      <c r="C811" s="127" t="str">
        <f>IF(Produits!C692="","",Produits!C692)</f>
        <v/>
      </c>
      <c r="D811" s="127" t="str">
        <f>IF(Produits!D692="","",Produits!D692)</f>
        <v/>
      </c>
      <c r="E811" s="127" t="str">
        <f>IF(Produits!E692="","",Produits!E692)</f>
        <v/>
      </c>
      <c r="F811" s="128" t="str">
        <f>IF(Produits!F692="","",Produits!F692)</f>
        <v/>
      </c>
      <c r="J811" s="140" t="str">
        <f>IF($J$1="","",HLOOKUP($J$1,$M$1:$AAV$1000,811,0))</f>
        <v/>
      </c>
    </row>
    <row r="812" spans="1:10" x14ac:dyDescent="0.25">
      <c r="A812" s="127" t="str">
        <f>IF(Produits!A693="","",Produits!A693)</f>
        <v/>
      </c>
      <c r="B812" s="127" t="str">
        <f>IF(Produits!B693="","",Produits!B693)</f>
        <v/>
      </c>
      <c r="C812" s="127" t="str">
        <f>IF(Produits!C693="","",Produits!C693)</f>
        <v/>
      </c>
      <c r="D812" s="127" t="str">
        <f>IF(Produits!D693="","",Produits!D693)</f>
        <v/>
      </c>
      <c r="E812" s="127" t="str">
        <f>IF(Produits!E693="","",Produits!E693)</f>
        <v/>
      </c>
      <c r="F812" s="128" t="str">
        <f>IF(Produits!F693="","",Produits!F693)</f>
        <v/>
      </c>
      <c r="J812" s="140" t="str">
        <f>IF($J$1="","",HLOOKUP($J$1,$M$1:$AAV$1000,812,0))</f>
        <v/>
      </c>
    </row>
    <row r="813" spans="1:10" x14ac:dyDescent="0.25">
      <c r="A813" s="127" t="str">
        <f>IF(Produits!A694="","",Produits!A694)</f>
        <v/>
      </c>
      <c r="B813" s="127" t="str">
        <f>IF(Produits!B694="","",Produits!B694)</f>
        <v/>
      </c>
      <c r="C813" s="127" t="str">
        <f>IF(Produits!C694="","",Produits!C694)</f>
        <v/>
      </c>
      <c r="D813" s="127" t="str">
        <f>IF(Produits!D694="","",Produits!D694)</f>
        <v/>
      </c>
      <c r="E813" s="127" t="str">
        <f>IF(Produits!E694="","",Produits!E694)</f>
        <v/>
      </c>
      <c r="F813" s="128" t="str">
        <f>IF(Produits!F694="","",Produits!F694)</f>
        <v/>
      </c>
      <c r="J813" s="140" t="str">
        <f>IF($J$1="","",HLOOKUP($J$1,$M$1:$AAV$1000,813,0))</f>
        <v/>
      </c>
    </row>
    <row r="814" spans="1:10" x14ac:dyDescent="0.25">
      <c r="A814" s="127" t="str">
        <f>IF(Produits!A695="","",Produits!A695)</f>
        <v/>
      </c>
      <c r="B814" s="127" t="str">
        <f>IF(Produits!B695="","",Produits!B695)</f>
        <v/>
      </c>
      <c r="C814" s="127" t="str">
        <f>IF(Produits!C695="","",Produits!C695)</f>
        <v/>
      </c>
      <c r="D814" s="127" t="str">
        <f>IF(Produits!D695="","",Produits!D695)</f>
        <v/>
      </c>
      <c r="E814" s="127" t="str">
        <f>IF(Produits!E695="","",Produits!E695)</f>
        <v/>
      </c>
      <c r="F814" s="128" t="str">
        <f>IF(Produits!F695="","",Produits!F695)</f>
        <v/>
      </c>
      <c r="J814" s="140" t="str">
        <f>IF($J$1="","",HLOOKUP($J$1,$M$1:$AAV$1000,814,0))</f>
        <v/>
      </c>
    </row>
    <row r="815" spans="1:10" x14ac:dyDescent="0.25">
      <c r="A815" s="127" t="str">
        <f>IF(Produits!A696="","",Produits!A696)</f>
        <v/>
      </c>
      <c r="B815" s="127" t="str">
        <f>IF(Produits!B696="","",Produits!B696)</f>
        <v/>
      </c>
      <c r="C815" s="127" t="str">
        <f>IF(Produits!C696="","",Produits!C696)</f>
        <v/>
      </c>
      <c r="D815" s="127" t="str">
        <f>IF(Produits!D696="","",Produits!D696)</f>
        <v/>
      </c>
      <c r="E815" s="127" t="str">
        <f>IF(Produits!E696="","",Produits!E696)</f>
        <v/>
      </c>
      <c r="F815" s="128" t="str">
        <f>IF(Produits!F696="","",Produits!F696)</f>
        <v/>
      </c>
      <c r="J815" s="140" t="str">
        <f>IF($J$1="","",HLOOKUP($J$1,$M$1:$AAV$1000,815,0))</f>
        <v/>
      </c>
    </row>
    <row r="816" spans="1:10" x14ac:dyDescent="0.25">
      <c r="A816" s="127" t="str">
        <f>IF(Produits!A697="","",Produits!A697)</f>
        <v/>
      </c>
      <c r="B816" s="127" t="str">
        <f>IF(Produits!B697="","",Produits!B697)</f>
        <v/>
      </c>
      <c r="C816" s="127" t="str">
        <f>IF(Produits!C697="","",Produits!C697)</f>
        <v/>
      </c>
      <c r="D816" s="127" t="str">
        <f>IF(Produits!D697="","",Produits!D697)</f>
        <v/>
      </c>
      <c r="E816" s="127" t="str">
        <f>IF(Produits!E697="","",Produits!E697)</f>
        <v/>
      </c>
      <c r="F816" s="128" t="str">
        <f>IF(Produits!F697="","",Produits!F697)</f>
        <v/>
      </c>
      <c r="J816" s="140" t="str">
        <f>IF($J$1="","",HLOOKUP($J$1,$M$1:$AAV$1000,816,0))</f>
        <v/>
      </c>
    </row>
    <row r="817" spans="1:10" x14ac:dyDescent="0.25">
      <c r="A817" s="127" t="str">
        <f>IF(Produits!A698="","",Produits!A698)</f>
        <v/>
      </c>
      <c r="B817" s="127" t="str">
        <f>IF(Produits!B698="","",Produits!B698)</f>
        <v/>
      </c>
      <c r="C817" s="127" t="str">
        <f>IF(Produits!C698="","",Produits!C698)</f>
        <v/>
      </c>
      <c r="D817" s="127" t="str">
        <f>IF(Produits!D698="","",Produits!D698)</f>
        <v/>
      </c>
      <c r="E817" s="127" t="str">
        <f>IF(Produits!E698="","",Produits!E698)</f>
        <v/>
      </c>
      <c r="F817" s="128" t="str">
        <f>IF(Produits!F698="","",Produits!F698)</f>
        <v/>
      </c>
      <c r="J817" s="140" t="str">
        <f>IF($J$1="","",HLOOKUP($J$1,$M$1:$AAV$1000,817,0))</f>
        <v/>
      </c>
    </row>
    <row r="818" spans="1:10" x14ac:dyDescent="0.25">
      <c r="A818" s="127" t="str">
        <f>IF(Produits!A699="","",Produits!A699)</f>
        <v/>
      </c>
      <c r="B818" s="127" t="str">
        <f>IF(Produits!B699="","",Produits!B699)</f>
        <v/>
      </c>
      <c r="C818" s="127" t="str">
        <f>IF(Produits!C699="","",Produits!C699)</f>
        <v/>
      </c>
      <c r="D818" s="127" t="str">
        <f>IF(Produits!D699="","",Produits!D699)</f>
        <v/>
      </c>
      <c r="E818" s="127" t="str">
        <f>IF(Produits!E699="","",Produits!E699)</f>
        <v/>
      </c>
      <c r="F818" s="128" t="str">
        <f>IF(Produits!F699="","",Produits!F699)</f>
        <v/>
      </c>
      <c r="J818" s="140" t="str">
        <f>IF($J$1="","",HLOOKUP($J$1,$M$1:$AAV$1000,818,0))</f>
        <v/>
      </c>
    </row>
    <row r="819" spans="1:10" x14ac:dyDescent="0.25">
      <c r="A819" s="127" t="str">
        <f>IF(Produits!A700="","",Produits!A700)</f>
        <v/>
      </c>
      <c r="B819" s="127" t="str">
        <f>IF(Produits!B700="","",Produits!B700)</f>
        <v/>
      </c>
      <c r="C819" s="127" t="str">
        <f>IF(Produits!C700="","",Produits!C700)</f>
        <v/>
      </c>
      <c r="D819" s="127" t="str">
        <f>IF(Produits!D700="","",Produits!D700)</f>
        <v/>
      </c>
      <c r="E819" s="127" t="str">
        <f>IF(Produits!E700="","",Produits!E700)</f>
        <v/>
      </c>
      <c r="F819" s="128" t="str">
        <f>IF(Produits!F700="","",Produits!F700)</f>
        <v/>
      </c>
      <c r="J819" s="140" t="str">
        <f>IF($J$1="","",HLOOKUP($J$1,$M$1:$AAV$1000,819,0))</f>
        <v/>
      </c>
    </row>
    <row r="820" spans="1:10" x14ac:dyDescent="0.25">
      <c r="A820" s="127" t="str">
        <f>IF(Produits!A701="","",Produits!A701)</f>
        <v/>
      </c>
      <c r="B820" s="127" t="str">
        <f>IF(Produits!B701="","",Produits!B701)</f>
        <v/>
      </c>
      <c r="C820" s="127" t="str">
        <f>IF(Produits!C701="","",Produits!C701)</f>
        <v/>
      </c>
      <c r="D820" s="127" t="str">
        <f>IF(Produits!D701="","",Produits!D701)</f>
        <v/>
      </c>
      <c r="E820" s="127" t="str">
        <f>IF(Produits!E701="","",Produits!E701)</f>
        <v/>
      </c>
      <c r="F820" s="128" t="str">
        <f>IF(Produits!F701="","",Produits!F701)</f>
        <v/>
      </c>
      <c r="J820" s="140" t="str">
        <f>IF($J$1="","",HLOOKUP($J$1,$M$1:$AAV$1000,820,0))</f>
        <v/>
      </c>
    </row>
    <row r="821" spans="1:10" x14ac:dyDescent="0.25">
      <c r="A821" s="127" t="str">
        <f>IF(Produits!A702="","",Produits!A702)</f>
        <v/>
      </c>
      <c r="B821" s="127" t="str">
        <f>IF(Produits!B702="","",Produits!B702)</f>
        <v/>
      </c>
      <c r="C821" s="127" t="str">
        <f>IF(Produits!C702="","",Produits!C702)</f>
        <v/>
      </c>
      <c r="D821" s="127" t="str">
        <f>IF(Produits!D702="","",Produits!D702)</f>
        <v/>
      </c>
      <c r="E821" s="127" t="str">
        <f>IF(Produits!E702="","",Produits!E702)</f>
        <v/>
      </c>
      <c r="F821" s="128" t="str">
        <f>IF(Produits!F702="","",Produits!F702)</f>
        <v/>
      </c>
      <c r="J821" s="140" t="str">
        <f>IF($J$1="","",HLOOKUP($J$1,$M$1:$AAV$1000,821,0))</f>
        <v/>
      </c>
    </row>
    <row r="822" spans="1:10" x14ac:dyDescent="0.25">
      <c r="A822" s="127" t="str">
        <f>IF(Produits!A703="","",Produits!A703)</f>
        <v/>
      </c>
      <c r="B822" s="127" t="str">
        <f>IF(Produits!B703="","",Produits!B703)</f>
        <v/>
      </c>
      <c r="C822" s="127" t="str">
        <f>IF(Produits!C703="","",Produits!C703)</f>
        <v/>
      </c>
      <c r="D822" s="127" t="str">
        <f>IF(Produits!D703="","",Produits!D703)</f>
        <v/>
      </c>
      <c r="E822" s="127" t="str">
        <f>IF(Produits!E703="","",Produits!E703)</f>
        <v/>
      </c>
      <c r="F822" s="128" t="str">
        <f>IF(Produits!F703="","",Produits!F703)</f>
        <v/>
      </c>
      <c r="J822" s="140" t="str">
        <f>IF($J$1="","",HLOOKUP($J$1,$M$1:$AAV$1000,822,0))</f>
        <v/>
      </c>
    </row>
    <row r="823" spans="1:10" x14ac:dyDescent="0.25">
      <c r="A823" s="127" t="str">
        <f>IF(Produits!A704="","",Produits!A704)</f>
        <v/>
      </c>
      <c r="B823" s="127" t="str">
        <f>IF(Produits!B704="","",Produits!B704)</f>
        <v/>
      </c>
      <c r="C823" s="127" t="str">
        <f>IF(Produits!C704="","",Produits!C704)</f>
        <v/>
      </c>
      <c r="D823" s="127" t="str">
        <f>IF(Produits!D704="","",Produits!D704)</f>
        <v/>
      </c>
      <c r="E823" s="127" t="str">
        <f>IF(Produits!E704="","",Produits!E704)</f>
        <v/>
      </c>
      <c r="F823" s="128" t="str">
        <f>IF(Produits!F704="","",Produits!F704)</f>
        <v/>
      </c>
      <c r="J823" s="140" t="str">
        <f>IF($J$1="","",HLOOKUP($J$1,$M$1:$AAV$1000,823,0))</f>
        <v/>
      </c>
    </row>
    <row r="824" spans="1:10" x14ac:dyDescent="0.25">
      <c r="A824" s="127" t="str">
        <f>IF(Produits!A705="","",Produits!A705)</f>
        <v/>
      </c>
      <c r="B824" s="127" t="str">
        <f>IF(Produits!B705="","",Produits!B705)</f>
        <v/>
      </c>
      <c r="C824" s="127" t="str">
        <f>IF(Produits!C705="","",Produits!C705)</f>
        <v/>
      </c>
      <c r="D824" s="127" t="str">
        <f>IF(Produits!D705="","",Produits!D705)</f>
        <v/>
      </c>
      <c r="E824" s="127" t="str">
        <f>IF(Produits!E705="","",Produits!E705)</f>
        <v/>
      </c>
      <c r="F824" s="128" t="str">
        <f>IF(Produits!F705="","",Produits!F705)</f>
        <v/>
      </c>
      <c r="J824" s="140" t="str">
        <f>IF($J$1="","",HLOOKUP($J$1,$M$1:$AAV$1000,824,0))</f>
        <v/>
      </c>
    </row>
    <row r="825" spans="1:10" x14ac:dyDescent="0.25">
      <c r="A825" s="127" t="str">
        <f>IF(Produits!A706="","",Produits!A706)</f>
        <v/>
      </c>
      <c r="B825" s="127" t="str">
        <f>IF(Produits!B706="","",Produits!B706)</f>
        <v/>
      </c>
      <c r="C825" s="127" t="str">
        <f>IF(Produits!C706="","",Produits!C706)</f>
        <v/>
      </c>
      <c r="D825" s="127" t="str">
        <f>IF(Produits!D706="","",Produits!D706)</f>
        <v/>
      </c>
      <c r="E825" s="127" t="str">
        <f>IF(Produits!E706="","",Produits!E706)</f>
        <v/>
      </c>
      <c r="F825" s="128" t="str">
        <f>IF(Produits!F706="","",Produits!F706)</f>
        <v/>
      </c>
      <c r="J825" s="140" t="str">
        <f>IF($J$1="","",HLOOKUP($J$1,$M$1:$AAV$1000,825,0))</f>
        <v/>
      </c>
    </row>
    <row r="826" spans="1:10" x14ac:dyDescent="0.25">
      <c r="A826" s="127" t="str">
        <f>IF(Produits!A707="","",Produits!A707)</f>
        <v/>
      </c>
      <c r="B826" s="127" t="str">
        <f>IF(Produits!B707="","",Produits!B707)</f>
        <v/>
      </c>
      <c r="C826" s="127" t="str">
        <f>IF(Produits!C707="","",Produits!C707)</f>
        <v/>
      </c>
      <c r="D826" s="127" t="str">
        <f>IF(Produits!D707="","",Produits!D707)</f>
        <v/>
      </c>
      <c r="E826" s="127" t="str">
        <f>IF(Produits!E707="","",Produits!E707)</f>
        <v/>
      </c>
      <c r="F826" s="128" t="str">
        <f>IF(Produits!F707="","",Produits!F707)</f>
        <v/>
      </c>
      <c r="J826" s="140" t="str">
        <f>IF($J$1="","",HLOOKUP($J$1,$M$1:$AAV$1000,826,0))</f>
        <v/>
      </c>
    </row>
    <row r="827" spans="1:10" x14ac:dyDescent="0.25">
      <c r="A827" s="127" t="str">
        <f>IF(Produits!A708="","",Produits!A708)</f>
        <v/>
      </c>
      <c r="B827" s="127" t="str">
        <f>IF(Produits!B708="","",Produits!B708)</f>
        <v/>
      </c>
      <c r="C827" s="127" t="str">
        <f>IF(Produits!C708="","",Produits!C708)</f>
        <v/>
      </c>
      <c r="D827" s="127" t="str">
        <f>IF(Produits!D708="","",Produits!D708)</f>
        <v/>
      </c>
      <c r="E827" s="127" t="str">
        <f>IF(Produits!E708="","",Produits!E708)</f>
        <v/>
      </c>
      <c r="F827" s="128" t="str">
        <f>IF(Produits!F708="","",Produits!F708)</f>
        <v/>
      </c>
      <c r="J827" s="140" t="str">
        <f>IF($J$1="","",HLOOKUP($J$1,$M$1:$AAV$1000,827,0))</f>
        <v/>
      </c>
    </row>
    <row r="828" spans="1:10" x14ac:dyDescent="0.25">
      <c r="A828" s="127" t="str">
        <f>IF(Produits!A709="","",Produits!A709)</f>
        <v/>
      </c>
      <c r="B828" s="127" t="str">
        <f>IF(Produits!B709="","",Produits!B709)</f>
        <v/>
      </c>
      <c r="C828" s="127" t="str">
        <f>IF(Produits!C709="","",Produits!C709)</f>
        <v/>
      </c>
      <c r="D828" s="127" t="str">
        <f>IF(Produits!D709="","",Produits!D709)</f>
        <v/>
      </c>
      <c r="E828" s="127" t="str">
        <f>IF(Produits!E709="","",Produits!E709)</f>
        <v/>
      </c>
      <c r="F828" s="128" t="str">
        <f>IF(Produits!F709="","",Produits!F709)</f>
        <v/>
      </c>
      <c r="J828" s="140" t="str">
        <f>IF($J$1="","",HLOOKUP($J$1,$M$1:$AAV$1000,828,0))</f>
        <v/>
      </c>
    </row>
    <row r="829" spans="1:10" x14ac:dyDescent="0.25">
      <c r="A829" s="127" t="str">
        <f>IF(Produits!A710="","",Produits!A710)</f>
        <v/>
      </c>
      <c r="B829" s="127" t="str">
        <f>IF(Produits!B710="","",Produits!B710)</f>
        <v/>
      </c>
      <c r="C829" s="127" t="str">
        <f>IF(Produits!C710="","",Produits!C710)</f>
        <v/>
      </c>
      <c r="D829" s="127" t="str">
        <f>IF(Produits!D710="","",Produits!D710)</f>
        <v/>
      </c>
      <c r="E829" s="127" t="str">
        <f>IF(Produits!E710="","",Produits!E710)</f>
        <v/>
      </c>
      <c r="F829" s="128" t="str">
        <f>IF(Produits!F710="","",Produits!F710)</f>
        <v/>
      </c>
      <c r="J829" s="140" t="str">
        <f>IF($J$1="","",HLOOKUP($J$1,$M$1:$AAV$1000,829,0))</f>
        <v/>
      </c>
    </row>
    <row r="830" spans="1:10" x14ac:dyDescent="0.25">
      <c r="A830" s="127" t="str">
        <f>IF(Produits!A711="","",Produits!A711)</f>
        <v/>
      </c>
      <c r="B830" s="127" t="str">
        <f>IF(Produits!B711="","",Produits!B711)</f>
        <v/>
      </c>
      <c r="C830" s="127" t="str">
        <f>IF(Produits!C711="","",Produits!C711)</f>
        <v/>
      </c>
      <c r="D830" s="127" t="str">
        <f>IF(Produits!D711="","",Produits!D711)</f>
        <v/>
      </c>
      <c r="E830" s="127" t="str">
        <f>IF(Produits!E711="","",Produits!E711)</f>
        <v/>
      </c>
      <c r="F830" s="128" t="str">
        <f>IF(Produits!F711="","",Produits!F711)</f>
        <v/>
      </c>
      <c r="J830" s="140" t="str">
        <f>IF($J$1="","",HLOOKUP($J$1,$M$1:$AAV$1000,830,0))</f>
        <v/>
      </c>
    </row>
    <row r="831" spans="1:10" x14ac:dyDescent="0.25">
      <c r="A831" s="127" t="str">
        <f>IF(Produits!A712="","",Produits!A712)</f>
        <v/>
      </c>
      <c r="B831" s="127" t="str">
        <f>IF(Produits!B712="","",Produits!B712)</f>
        <v/>
      </c>
      <c r="C831" s="127" t="str">
        <f>IF(Produits!C712="","",Produits!C712)</f>
        <v/>
      </c>
      <c r="D831" s="127" t="str">
        <f>IF(Produits!D712="","",Produits!D712)</f>
        <v/>
      </c>
      <c r="E831" s="127" t="str">
        <f>IF(Produits!E712="","",Produits!E712)</f>
        <v/>
      </c>
      <c r="F831" s="128" t="str">
        <f>IF(Produits!F712="","",Produits!F712)</f>
        <v/>
      </c>
      <c r="J831" s="140" t="str">
        <f>IF($J$1="","",HLOOKUP($J$1,$M$1:$AAV$1000,831,0))</f>
        <v/>
      </c>
    </row>
    <row r="832" spans="1:10" x14ac:dyDescent="0.25">
      <c r="A832" s="127" t="str">
        <f>IF(Produits!A713="","",Produits!A713)</f>
        <v/>
      </c>
      <c r="B832" s="127" t="str">
        <f>IF(Produits!B713="","",Produits!B713)</f>
        <v/>
      </c>
      <c r="C832" s="127" t="str">
        <f>IF(Produits!C713="","",Produits!C713)</f>
        <v/>
      </c>
      <c r="D832" s="127" t="str">
        <f>IF(Produits!D713="","",Produits!D713)</f>
        <v/>
      </c>
      <c r="E832" s="127" t="str">
        <f>IF(Produits!E713="","",Produits!E713)</f>
        <v/>
      </c>
      <c r="F832" s="128" t="str">
        <f>IF(Produits!F713="","",Produits!F713)</f>
        <v/>
      </c>
      <c r="J832" s="140" t="str">
        <f>IF($J$1="","",HLOOKUP($J$1,$M$1:$AAV$1000,832,0))</f>
        <v/>
      </c>
    </row>
    <row r="833" spans="1:10" x14ac:dyDescent="0.25">
      <c r="A833" s="127" t="str">
        <f>IF(Produits!A714="","",Produits!A714)</f>
        <v/>
      </c>
      <c r="B833" s="127" t="str">
        <f>IF(Produits!B714="","",Produits!B714)</f>
        <v/>
      </c>
      <c r="C833" s="127" t="str">
        <f>IF(Produits!C714="","",Produits!C714)</f>
        <v/>
      </c>
      <c r="D833" s="127" t="str">
        <f>IF(Produits!D714="","",Produits!D714)</f>
        <v/>
      </c>
      <c r="E833" s="127" t="str">
        <f>IF(Produits!E714="","",Produits!E714)</f>
        <v/>
      </c>
      <c r="F833" s="128" t="str">
        <f>IF(Produits!F714="","",Produits!F714)</f>
        <v/>
      </c>
      <c r="J833" s="140" t="str">
        <f>IF($J$1="","",HLOOKUP($J$1,$M$1:$AAV$1000,833,0))</f>
        <v/>
      </c>
    </row>
    <row r="834" spans="1:10" x14ac:dyDescent="0.25">
      <c r="A834" s="127" t="str">
        <f>IF(Produits!A715="","",Produits!A715)</f>
        <v/>
      </c>
      <c r="B834" s="127" t="str">
        <f>IF(Produits!B715="","",Produits!B715)</f>
        <v/>
      </c>
      <c r="C834" s="127" t="str">
        <f>IF(Produits!C715="","",Produits!C715)</f>
        <v/>
      </c>
      <c r="D834" s="127" t="str">
        <f>IF(Produits!D715="","",Produits!D715)</f>
        <v/>
      </c>
      <c r="E834" s="127" t="str">
        <f>IF(Produits!E715="","",Produits!E715)</f>
        <v/>
      </c>
      <c r="F834" s="128" t="str">
        <f>IF(Produits!F715="","",Produits!F715)</f>
        <v/>
      </c>
      <c r="J834" s="140" t="str">
        <f>IF($J$1="","",HLOOKUP($J$1,$M$1:$AAV$1000,834,0))</f>
        <v/>
      </c>
    </row>
    <row r="835" spans="1:10" x14ac:dyDescent="0.25">
      <c r="A835" s="127" t="str">
        <f>IF(Produits!A716="","",Produits!A716)</f>
        <v/>
      </c>
      <c r="B835" s="127" t="str">
        <f>IF(Produits!B716="","",Produits!B716)</f>
        <v/>
      </c>
      <c r="C835" s="127" t="str">
        <f>IF(Produits!C716="","",Produits!C716)</f>
        <v/>
      </c>
      <c r="D835" s="127" t="str">
        <f>IF(Produits!D716="","",Produits!D716)</f>
        <v/>
      </c>
      <c r="E835" s="127" t="str">
        <f>IF(Produits!E716="","",Produits!E716)</f>
        <v/>
      </c>
      <c r="F835" s="128" t="str">
        <f>IF(Produits!F716="","",Produits!F716)</f>
        <v/>
      </c>
      <c r="J835" s="140" t="str">
        <f>IF($J$1="","",HLOOKUP($J$1,$M$1:$AAV$1000,835,0))</f>
        <v/>
      </c>
    </row>
    <row r="836" spans="1:10" x14ac:dyDescent="0.25">
      <c r="A836" s="127" t="str">
        <f>IF(Produits!A717="","",Produits!A717)</f>
        <v/>
      </c>
      <c r="B836" s="127" t="str">
        <f>IF(Produits!B717="","",Produits!B717)</f>
        <v/>
      </c>
      <c r="C836" s="127" t="str">
        <f>IF(Produits!C717="","",Produits!C717)</f>
        <v/>
      </c>
      <c r="D836" s="127" t="str">
        <f>IF(Produits!D717="","",Produits!D717)</f>
        <v/>
      </c>
      <c r="E836" s="127" t="str">
        <f>IF(Produits!E717="","",Produits!E717)</f>
        <v/>
      </c>
      <c r="F836" s="128" t="str">
        <f>IF(Produits!F717="","",Produits!F717)</f>
        <v/>
      </c>
      <c r="J836" s="140" t="str">
        <f>IF($J$1="","",HLOOKUP($J$1,$M$1:$AAV$1000,836,0))</f>
        <v/>
      </c>
    </row>
    <row r="837" spans="1:10" x14ac:dyDescent="0.25">
      <c r="A837" s="127" t="str">
        <f>IF(Produits!A718="","",Produits!A718)</f>
        <v/>
      </c>
      <c r="B837" s="127" t="str">
        <f>IF(Produits!B718="","",Produits!B718)</f>
        <v/>
      </c>
      <c r="C837" s="127" t="str">
        <f>IF(Produits!C718="","",Produits!C718)</f>
        <v/>
      </c>
      <c r="D837" s="127" t="str">
        <f>IF(Produits!D718="","",Produits!D718)</f>
        <v/>
      </c>
      <c r="E837" s="127" t="str">
        <f>IF(Produits!E718="","",Produits!E718)</f>
        <v/>
      </c>
      <c r="F837" s="128" t="str">
        <f>IF(Produits!F718="","",Produits!F718)</f>
        <v/>
      </c>
      <c r="J837" s="140" t="str">
        <f>IF($J$1="","",HLOOKUP($J$1,$M$1:$AAV$1000,837,0))</f>
        <v/>
      </c>
    </row>
    <row r="838" spans="1:10" x14ac:dyDescent="0.25">
      <c r="A838" s="127" t="str">
        <f>IF(Produits!A719="","",Produits!A719)</f>
        <v/>
      </c>
      <c r="B838" s="127" t="str">
        <f>IF(Produits!B719="","",Produits!B719)</f>
        <v/>
      </c>
      <c r="C838" s="127" t="str">
        <f>IF(Produits!C719="","",Produits!C719)</f>
        <v/>
      </c>
      <c r="D838" s="127" t="str">
        <f>IF(Produits!D719="","",Produits!D719)</f>
        <v/>
      </c>
      <c r="E838" s="127" t="str">
        <f>IF(Produits!E719="","",Produits!E719)</f>
        <v/>
      </c>
      <c r="F838" s="128" t="str">
        <f>IF(Produits!F719="","",Produits!F719)</f>
        <v/>
      </c>
      <c r="J838" s="140" t="str">
        <f>IF($J$1="","",HLOOKUP($J$1,$M$1:$AAV$1000,838,0))</f>
        <v/>
      </c>
    </row>
    <row r="839" spans="1:10" x14ac:dyDescent="0.25">
      <c r="A839" s="127" t="str">
        <f>IF(Produits!A720="","",Produits!A720)</f>
        <v/>
      </c>
      <c r="B839" s="127" t="str">
        <f>IF(Produits!B720="","",Produits!B720)</f>
        <v/>
      </c>
      <c r="C839" s="127" t="str">
        <f>IF(Produits!C720="","",Produits!C720)</f>
        <v/>
      </c>
      <c r="D839" s="127" t="str">
        <f>IF(Produits!D720="","",Produits!D720)</f>
        <v/>
      </c>
      <c r="E839" s="127" t="str">
        <f>IF(Produits!E720="","",Produits!E720)</f>
        <v/>
      </c>
      <c r="F839" s="128" t="str">
        <f>IF(Produits!F720="","",Produits!F720)</f>
        <v/>
      </c>
      <c r="J839" s="140" t="str">
        <f>IF($J$1="","",HLOOKUP($J$1,$M$1:$AAV$1000,839,0))</f>
        <v/>
      </c>
    </row>
    <row r="840" spans="1:10" x14ac:dyDescent="0.25">
      <c r="A840" s="127" t="str">
        <f>IF(Produits!A721="","",Produits!A721)</f>
        <v/>
      </c>
      <c r="B840" s="127" t="str">
        <f>IF(Produits!B721="","",Produits!B721)</f>
        <v/>
      </c>
      <c r="C840" s="127" t="str">
        <f>IF(Produits!C721="","",Produits!C721)</f>
        <v/>
      </c>
      <c r="D840" s="127" t="str">
        <f>IF(Produits!D721="","",Produits!D721)</f>
        <v/>
      </c>
      <c r="E840" s="127" t="str">
        <f>IF(Produits!E721="","",Produits!E721)</f>
        <v/>
      </c>
      <c r="F840" s="128" t="str">
        <f>IF(Produits!F721="","",Produits!F721)</f>
        <v/>
      </c>
      <c r="J840" s="140" t="str">
        <f>IF($J$1="","",HLOOKUP($J$1,$M$1:$AAV$1000,840,0))</f>
        <v/>
      </c>
    </row>
    <row r="841" spans="1:10" x14ac:dyDescent="0.25">
      <c r="A841" s="127" t="str">
        <f>IF(Produits!A722="","",Produits!A722)</f>
        <v/>
      </c>
      <c r="B841" s="127" t="str">
        <f>IF(Produits!B722="","",Produits!B722)</f>
        <v/>
      </c>
      <c r="C841" s="127" t="str">
        <f>IF(Produits!C722="","",Produits!C722)</f>
        <v/>
      </c>
      <c r="D841" s="127" t="str">
        <f>IF(Produits!D722="","",Produits!D722)</f>
        <v/>
      </c>
      <c r="E841" s="127" t="str">
        <f>IF(Produits!E722="","",Produits!E722)</f>
        <v/>
      </c>
      <c r="F841" s="128" t="str">
        <f>IF(Produits!F722="","",Produits!F722)</f>
        <v/>
      </c>
      <c r="J841" s="140" t="str">
        <f>IF($J$1="","",HLOOKUP($J$1,$M$1:$AAV$1000,841,0))</f>
        <v/>
      </c>
    </row>
    <row r="842" spans="1:10" x14ac:dyDescent="0.25">
      <c r="A842" s="127" t="str">
        <f>IF(Produits!A723="","",Produits!A723)</f>
        <v/>
      </c>
      <c r="B842" s="127" t="str">
        <f>IF(Produits!B723="","",Produits!B723)</f>
        <v/>
      </c>
      <c r="C842" s="127" t="str">
        <f>IF(Produits!C723="","",Produits!C723)</f>
        <v/>
      </c>
      <c r="D842" s="127" t="str">
        <f>IF(Produits!D723="","",Produits!D723)</f>
        <v/>
      </c>
      <c r="E842" s="127" t="str">
        <f>IF(Produits!E723="","",Produits!E723)</f>
        <v/>
      </c>
      <c r="F842" s="128" t="str">
        <f>IF(Produits!F723="","",Produits!F723)</f>
        <v/>
      </c>
      <c r="J842" s="140" t="str">
        <f>IF($J$1="","",HLOOKUP($J$1,$M$1:$AAV$1000,842,0))</f>
        <v/>
      </c>
    </row>
    <row r="843" spans="1:10" x14ac:dyDescent="0.25">
      <c r="A843" s="127" t="str">
        <f>IF(Produits!A724="","",Produits!A724)</f>
        <v/>
      </c>
      <c r="B843" s="127" t="str">
        <f>IF(Produits!B724="","",Produits!B724)</f>
        <v/>
      </c>
      <c r="C843" s="127" t="str">
        <f>IF(Produits!C724="","",Produits!C724)</f>
        <v/>
      </c>
      <c r="D843" s="127" t="str">
        <f>IF(Produits!D724="","",Produits!D724)</f>
        <v/>
      </c>
      <c r="E843" s="127" t="str">
        <f>IF(Produits!E724="","",Produits!E724)</f>
        <v/>
      </c>
      <c r="F843" s="128" t="str">
        <f>IF(Produits!F724="","",Produits!F724)</f>
        <v/>
      </c>
      <c r="J843" s="140" t="str">
        <f>IF($J$1="","",HLOOKUP($J$1,$M$1:$AAV$1000,843,0))</f>
        <v/>
      </c>
    </row>
    <row r="844" spans="1:10" x14ac:dyDescent="0.25">
      <c r="A844" s="127" t="str">
        <f>IF(Produits!A725="","",Produits!A725)</f>
        <v/>
      </c>
      <c r="B844" s="127" t="str">
        <f>IF(Produits!B725="","",Produits!B725)</f>
        <v/>
      </c>
      <c r="C844" s="127" t="str">
        <f>IF(Produits!C725="","",Produits!C725)</f>
        <v/>
      </c>
      <c r="D844" s="127" t="str">
        <f>IF(Produits!D725="","",Produits!D725)</f>
        <v/>
      </c>
      <c r="E844" s="127" t="str">
        <f>IF(Produits!E725="","",Produits!E725)</f>
        <v/>
      </c>
      <c r="F844" s="128" t="str">
        <f>IF(Produits!F725="","",Produits!F725)</f>
        <v/>
      </c>
      <c r="J844" s="140" t="str">
        <f>IF($J$1="","",HLOOKUP($J$1,$M$1:$AAV$1000,844,0))</f>
        <v/>
      </c>
    </row>
    <row r="845" spans="1:10" x14ac:dyDescent="0.25">
      <c r="A845" s="127" t="str">
        <f>IF(Produits!A726="","",Produits!A726)</f>
        <v/>
      </c>
      <c r="B845" s="127" t="str">
        <f>IF(Produits!B726="","",Produits!B726)</f>
        <v/>
      </c>
      <c r="C845" s="127" t="str">
        <f>IF(Produits!C726="","",Produits!C726)</f>
        <v/>
      </c>
      <c r="D845" s="127" t="str">
        <f>IF(Produits!D726="","",Produits!D726)</f>
        <v/>
      </c>
      <c r="E845" s="127" t="str">
        <f>IF(Produits!E726="","",Produits!E726)</f>
        <v/>
      </c>
      <c r="F845" s="128" t="str">
        <f>IF(Produits!F726="","",Produits!F726)</f>
        <v/>
      </c>
      <c r="J845" s="140" t="str">
        <f>IF($J$1="","",HLOOKUP($J$1,$M$1:$AAV$1000,845,0))</f>
        <v/>
      </c>
    </row>
    <row r="846" spans="1:10" x14ac:dyDescent="0.25">
      <c r="A846" s="127" t="str">
        <f>IF(Produits!A727="","",Produits!A727)</f>
        <v/>
      </c>
      <c r="B846" s="127" t="str">
        <f>IF(Produits!B727="","",Produits!B727)</f>
        <v/>
      </c>
      <c r="C846" s="127" t="str">
        <f>IF(Produits!C727="","",Produits!C727)</f>
        <v/>
      </c>
      <c r="D846" s="127" t="str">
        <f>IF(Produits!D727="","",Produits!D727)</f>
        <v/>
      </c>
      <c r="E846" s="127" t="str">
        <f>IF(Produits!E727="","",Produits!E727)</f>
        <v/>
      </c>
      <c r="F846" s="128" t="str">
        <f>IF(Produits!F727="","",Produits!F727)</f>
        <v/>
      </c>
      <c r="J846" s="140" t="str">
        <f>IF($J$1="","",HLOOKUP($J$1,$M$1:$AAV$1000,846,0))</f>
        <v/>
      </c>
    </row>
    <row r="847" spans="1:10" x14ac:dyDescent="0.25">
      <c r="A847" s="127" t="str">
        <f>IF(Produits!A728="","",Produits!A728)</f>
        <v/>
      </c>
      <c r="B847" s="127" t="str">
        <f>IF(Produits!B728="","",Produits!B728)</f>
        <v/>
      </c>
      <c r="C847" s="127" t="str">
        <f>IF(Produits!C728="","",Produits!C728)</f>
        <v/>
      </c>
      <c r="D847" s="127" t="str">
        <f>IF(Produits!D728="","",Produits!D728)</f>
        <v/>
      </c>
      <c r="E847" s="127" t="str">
        <f>IF(Produits!E728="","",Produits!E728)</f>
        <v/>
      </c>
      <c r="F847" s="128" t="str">
        <f>IF(Produits!F728="","",Produits!F728)</f>
        <v/>
      </c>
      <c r="J847" s="140" t="str">
        <f>IF($J$1="","",HLOOKUP($J$1,$M$1:$AAV$1000,847,0))</f>
        <v/>
      </c>
    </row>
    <row r="848" spans="1:10" x14ac:dyDescent="0.25">
      <c r="A848" s="127" t="str">
        <f>IF(Produits!A729="","",Produits!A729)</f>
        <v/>
      </c>
      <c r="B848" s="127" t="str">
        <f>IF(Produits!B729="","",Produits!B729)</f>
        <v/>
      </c>
      <c r="C848" s="127" t="str">
        <f>IF(Produits!C729="","",Produits!C729)</f>
        <v/>
      </c>
      <c r="D848" s="127" t="str">
        <f>IF(Produits!D729="","",Produits!D729)</f>
        <v/>
      </c>
      <c r="E848" s="127" t="str">
        <f>IF(Produits!E729="","",Produits!E729)</f>
        <v/>
      </c>
      <c r="F848" s="128" t="str">
        <f>IF(Produits!F729="","",Produits!F729)</f>
        <v/>
      </c>
      <c r="J848" s="140" t="str">
        <f>IF($J$1="","",HLOOKUP($J$1,$M$1:$AAV$1000,848,0))</f>
        <v/>
      </c>
    </row>
    <row r="849" spans="1:10" x14ac:dyDescent="0.25">
      <c r="A849" s="127" t="str">
        <f>IF(Produits!A730="","",Produits!A730)</f>
        <v/>
      </c>
      <c r="B849" s="127" t="str">
        <f>IF(Produits!B730="","",Produits!B730)</f>
        <v/>
      </c>
      <c r="C849" s="127" t="str">
        <f>IF(Produits!C730="","",Produits!C730)</f>
        <v/>
      </c>
      <c r="D849" s="127" t="str">
        <f>IF(Produits!D730="","",Produits!D730)</f>
        <v/>
      </c>
      <c r="E849" s="127" t="str">
        <f>IF(Produits!E730="","",Produits!E730)</f>
        <v/>
      </c>
      <c r="F849" s="128" t="str">
        <f>IF(Produits!F730="","",Produits!F730)</f>
        <v/>
      </c>
      <c r="J849" s="140" t="str">
        <f>IF($J$1="","",HLOOKUP($J$1,$M$1:$AAV$1000,849,0))</f>
        <v/>
      </c>
    </row>
    <row r="850" spans="1:10" x14ac:dyDescent="0.25">
      <c r="A850" s="127" t="str">
        <f>IF(Produits!A731="","",Produits!A731)</f>
        <v/>
      </c>
      <c r="B850" s="127" t="str">
        <f>IF(Produits!B731="","",Produits!B731)</f>
        <v/>
      </c>
      <c r="C850" s="127" t="str">
        <f>IF(Produits!C731="","",Produits!C731)</f>
        <v/>
      </c>
      <c r="D850" s="127" t="str">
        <f>IF(Produits!D731="","",Produits!D731)</f>
        <v/>
      </c>
      <c r="E850" s="127" t="str">
        <f>IF(Produits!E731="","",Produits!E731)</f>
        <v/>
      </c>
      <c r="F850" s="128" t="str">
        <f>IF(Produits!F731="","",Produits!F731)</f>
        <v/>
      </c>
      <c r="J850" s="140" t="str">
        <f>IF($J$1="","",HLOOKUP($J$1,$M$1:$AAV$1000,850,0))</f>
        <v/>
      </c>
    </row>
    <row r="851" spans="1:10" x14ac:dyDescent="0.25">
      <c r="A851" s="127" t="str">
        <f>IF(Produits!A732="","",Produits!A732)</f>
        <v/>
      </c>
      <c r="B851" s="127" t="str">
        <f>IF(Produits!B732="","",Produits!B732)</f>
        <v/>
      </c>
      <c r="C851" s="127" t="str">
        <f>IF(Produits!C732="","",Produits!C732)</f>
        <v/>
      </c>
      <c r="D851" s="127" t="str">
        <f>IF(Produits!D732="","",Produits!D732)</f>
        <v/>
      </c>
      <c r="E851" s="127" t="str">
        <f>IF(Produits!E732="","",Produits!E732)</f>
        <v/>
      </c>
      <c r="F851" s="128" t="str">
        <f>IF(Produits!F732="","",Produits!F732)</f>
        <v/>
      </c>
      <c r="J851" s="140" t="str">
        <f>IF($J$1="","",HLOOKUP($J$1,$M$1:$AAV$1000,851,0))</f>
        <v/>
      </c>
    </row>
    <row r="852" spans="1:10" x14ac:dyDescent="0.25">
      <c r="A852" s="127" t="str">
        <f>IF(Produits!A733="","",Produits!A733)</f>
        <v/>
      </c>
      <c r="B852" s="127" t="str">
        <f>IF(Produits!B733="","",Produits!B733)</f>
        <v/>
      </c>
      <c r="C852" s="127" t="str">
        <f>IF(Produits!C733="","",Produits!C733)</f>
        <v/>
      </c>
      <c r="D852" s="127" t="str">
        <f>IF(Produits!D733="","",Produits!D733)</f>
        <v/>
      </c>
      <c r="E852" s="127" t="str">
        <f>IF(Produits!E733="","",Produits!E733)</f>
        <v/>
      </c>
      <c r="F852" s="128" t="str">
        <f>IF(Produits!F733="","",Produits!F733)</f>
        <v/>
      </c>
      <c r="J852" s="140" t="str">
        <f>IF($J$1="","",HLOOKUP($J$1,$M$1:$AAV$1000,852,0))</f>
        <v/>
      </c>
    </row>
    <row r="853" spans="1:10" x14ac:dyDescent="0.25">
      <c r="A853" s="127" t="str">
        <f>IF(Produits!A734="","",Produits!A734)</f>
        <v/>
      </c>
      <c r="B853" s="127" t="str">
        <f>IF(Produits!B734="","",Produits!B734)</f>
        <v/>
      </c>
      <c r="C853" s="127" t="str">
        <f>IF(Produits!C734="","",Produits!C734)</f>
        <v/>
      </c>
      <c r="D853" s="127" t="str">
        <f>IF(Produits!D734="","",Produits!D734)</f>
        <v/>
      </c>
      <c r="E853" s="127" t="str">
        <f>IF(Produits!E734="","",Produits!E734)</f>
        <v/>
      </c>
      <c r="F853" s="128" t="str">
        <f>IF(Produits!F734="","",Produits!F734)</f>
        <v/>
      </c>
      <c r="J853" s="140" t="str">
        <f>IF($J$1="","",HLOOKUP($J$1,$M$1:$AAV$1000,853,0))</f>
        <v/>
      </c>
    </row>
    <row r="854" spans="1:10" x14ac:dyDescent="0.25">
      <c r="A854" s="127" t="str">
        <f>IF(Produits!A735="","",Produits!A735)</f>
        <v/>
      </c>
      <c r="B854" s="127" t="str">
        <f>IF(Produits!B735="","",Produits!B735)</f>
        <v/>
      </c>
      <c r="C854" s="127" t="str">
        <f>IF(Produits!C735="","",Produits!C735)</f>
        <v/>
      </c>
      <c r="D854" s="127" t="str">
        <f>IF(Produits!D735="","",Produits!D735)</f>
        <v/>
      </c>
      <c r="E854" s="127" t="str">
        <f>IF(Produits!E735="","",Produits!E735)</f>
        <v/>
      </c>
      <c r="F854" s="128" t="str">
        <f>IF(Produits!F735="","",Produits!F735)</f>
        <v/>
      </c>
      <c r="J854" s="140" t="str">
        <f>IF($J$1="","",HLOOKUP($J$1,$M$1:$AAV$1000,854,0))</f>
        <v/>
      </c>
    </row>
    <row r="855" spans="1:10" x14ac:dyDescent="0.25">
      <c r="A855" s="127" t="str">
        <f>IF(Produits!A736="","",Produits!A736)</f>
        <v/>
      </c>
      <c r="B855" s="127" t="str">
        <f>IF(Produits!B736="","",Produits!B736)</f>
        <v/>
      </c>
      <c r="C855" s="127" t="str">
        <f>IF(Produits!C736="","",Produits!C736)</f>
        <v/>
      </c>
      <c r="D855" s="127" t="str">
        <f>IF(Produits!D736="","",Produits!D736)</f>
        <v/>
      </c>
      <c r="E855" s="127" t="str">
        <f>IF(Produits!E736="","",Produits!E736)</f>
        <v/>
      </c>
      <c r="F855" s="128" t="str">
        <f>IF(Produits!F736="","",Produits!F736)</f>
        <v/>
      </c>
      <c r="J855" s="140" t="str">
        <f>IF($J$1="","",HLOOKUP($J$1,$M$1:$AAV$1000,855,0))</f>
        <v/>
      </c>
    </row>
    <row r="856" spans="1:10" x14ac:dyDescent="0.25">
      <c r="A856" s="127" t="str">
        <f>IF(Produits!A737="","",Produits!A737)</f>
        <v/>
      </c>
      <c r="B856" s="127" t="str">
        <f>IF(Produits!B737="","",Produits!B737)</f>
        <v/>
      </c>
      <c r="C856" s="127" t="str">
        <f>IF(Produits!C737="","",Produits!C737)</f>
        <v/>
      </c>
      <c r="D856" s="127" t="str">
        <f>IF(Produits!D737="","",Produits!D737)</f>
        <v/>
      </c>
      <c r="E856" s="127" t="str">
        <f>IF(Produits!E737="","",Produits!E737)</f>
        <v/>
      </c>
      <c r="F856" s="128" t="str">
        <f>IF(Produits!F737="","",Produits!F737)</f>
        <v/>
      </c>
      <c r="J856" s="140" t="str">
        <f>IF($J$1="","",HLOOKUP($J$1,$M$1:$AAV$1000,856,0))</f>
        <v/>
      </c>
    </row>
    <row r="857" spans="1:10" x14ac:dyDescent="0.25">
      <c r="A857" s="127" t="str">
        <f>IF(Produits!A738="","",Produits!A738)</f>
        <v/>
      </c>
      <c r="B857" s="127" t="str">
        <f>IF(Produits!B738="","",Produits!B738)</f>
        <v/>
      </c>
      <c r="C857" s="127" t="str">
        <f>IF(Produits!C738="","",Produits!C738)</f>
        <v/>
      </c>
      <c r="D857" s="127" t="str">
        <f>IF(Produits!D738="","",Produits!D738)</f>
        <v/>
      </c>
      <c r="E857" s="127" t="str">
        <f>IF(Produits!E738="","",Produits!E738)</f>
        <v/>
      </c>
      <c r="F857" s="128" t="str">
        <f>IF(Produits!F738="","",Produits!F738)</f>
        <v/>
      </c>
      <c r="J857" s="140" t="str">
        <f>IF($J$1="","",HLOOKUP($J$1,$M$1:$AAV$1000,857,0))</f>
        <v/>
      </c>
    </row>
    <row r="858" spans="1:10" x14ac:dyDescent="0.25">
      <c r="A858" s="127" t="str">
        <f>IF(Produits!A739="","",Produits!A739)</f>
        <v/>
      </c>
      <c r="B858" s="127" t="str">
        <f>IF(Produits!B739="","",Produits!B739)</f>
        <v/>
      </c>
      <c r="C858" s="127" t="str">
        <f>IF(Produits!C739="","",Produits!C739)</f>
        <v/>
      </c>
      <c r="D858" s="127" t="str">
        <f>IF(Produits!D739="","",Produits!D739)</f>
        <v/>
      </c>
      <c r="E858" s="127" t="str">
        <f>IF(Produits!E739="","",Produits!E739)</f>
        <v/>
      </c>
      <c r="F858" s="128" t="str">
        <f>IF(Produits!F739="","",Produits!F739)</f>
        <v/>
      </c>
      <c r="J858" s="140" t="str">
        <f>IF($J$1="","",HLOOKUP($J$1,$M$1:$AAV$1000,858,0))</f>
        <v/>
      </c>
    </row>
    <row r="859" spans="1:10" x14ac:dyDescent="0.25">
      <c r="A859" s="127" t="str">
        <f>IF(Produits!A740="","",Produits!A740)</f>
        <v/>
      </c>
      <c r="B859" s="127" t="str">
        <f>IF(Produits!B740="","",Produits!B740)</f>
        <v/>
      </c>
      <c r="C859" s="127" t="str">
        <f>IF(Produits!C740="","",Produits!C740)</f>
        <v/>
      </c>
      <c r="D859" s="127" t="str">
        <f>IF(Produits!D740="","",Produits!D740)</f>
        <v/>
      </c>
      <c r="E859" s="127" t="str">
        <f>IF(Produits!E740="","",Produits!E740)</f>
        <v/>
      </c>
      <c r="F859" s="128" t="str">
        <f>IF(Produits!F740="","",Produits!F740)</f>
        <v/>
      </c>
      <c r="J859" s="140" t="str">
        <f>IF($J$1="","",HLOOKUP($J$1,$M$1:$AAV$1000,859,0))</f>
        <v/>
      </c>
    </row>
    <row r="860" spans="1:10" x14ac:dyDescent="0.25">
      <c r="A860" s="127" t="str">
        <f>IF(Produits!A741="","",Produits!A741)</f>
        <v/>
      </c>
      <c r="B860" s="127" t="str">
        <f>IF(Produits!B741="","",Produits!B741)</f>
        <v/>
      </c>
      <c r="C860" s="127" t="str">
        <f>IF(Produits!C741="","",Produits!C741)</f>
        <v/>
      </c>
      <c r="D860" s="127" t="str">
        <f>IF(Produits!D741="","",Produits!D741)</f>
        <v/>
      </c>
      <c r="E860" s="127" t="str">
        <f>IF(Produits!E741="","",Produits!E741)</f>
        <v/>
      </c>
      <c r="F860" s="128" t="str">
        <f>IF(Produits!F741="","",Produits!F741)</f>
        <v/>
      </c>
      <c r="J860" s="140" t="str">
        <f>IF($J$1="","",HLOOKUP($J$1,$M$1:$AAV$1000,860,0))</f>
        <v/>
      </c>
    </row>
    <row r="861" spans="1:10" x14ac:dyDescent="0.25">
      <c r="A861" s="127" t="str">
        <f>IF(Produits!A742="","",Produits!A742)</f>
        <v/>
      </c>
      <c r="B861" s="127" t="str">
        <f>IF(Produits!B742="","",Produits!B742)</f>
        <v/>
      </c>
      <c r="C861" s="127" t="str">
        <f>IF(Produits!C742="","",Produits!C742)</f>
        <v/>
      </c>
      <c r="D861" s="127" t="str">
        <f>IF(Produits!D742="","",Produits!D742)</f>
        <v/>
      </c>
      <c r="E861" s="127" t="str">
        <f>IF(Produits!E742="","",Produits!E742)</f>
        <v/>
      </c>
      <c r="F861" s="128" t="str">
        <f>IF(Produits!F742="","",Produits!F742)</f>
        <v/>
      </c>
      <c r="J861" s="140" t="str">
        <f>IF($J$1="","",HLOOKUP($J$1,$M$1:$AAV$1000,861,0))</f>
        <v/>
      </c>
    </row>
    <row r="862" spans="1:10" x14ac:dyDescent="0.25">
      <c r="A862" s="127" t="str">
        <f>IF(Produits!A743="","",Produits!A743)</f>
        <v/>
      </c>
      <c r="B862" s="127" t="str">
        <f>IF(Produits!B743="","",Produits!B743)</f>
        <v/>
      </c>
      <c r="C862" s="127" t="str">
        <f>IF(Produits!C743="","",Produits!C743)</f>
        <v/>
      </c>
      <c r="D862" s="127" t="str">
        <f>IF(Produits!D743="","",Produits!D743)</f>
        <v/>
      </c>
      <c r="E862" s="127" t="str">
        <f>IF(Produits!E743="","",Produits!E743)</f>
        <v/>
      </c>
      <c r="F862" s="128" t="str">
        <f>IF(Produits!F743="","",Produits!F743)</f>
        <v/>
      </c>
      <c r="J862" s="140" t="str">
        <f>IF($J$1="","",HLOOKUP($J$1,$M$1:$AAV$1000,862,0))</f>
        <v/>
      </c>
    </row>
    <row r="863" spans="1:10" x14ac:dyDescent="0.25">
      <c r="A863" s="127" t="str">
        <f>IF(Produits!A744="","",Produits!A744)</f>
        <v/>
      </c>
      <c r="B863" s="127" t="str">
        <f>IF(Produits!B744="","",Produits!B744)</f>
        <v/>
      </c>
      <c r="C863" s="127" t="str">
        <f>IF(Produits!C744="","",Produits!C744)</f>
        <v/>
      </c>
      <c r="D863" s="127" t="str">
        <f>IF(Produits!D744="","",Produits!D744)</f>
        <v/>
      </c>
      <c r="E863" s="127" t="str">
        <f>IF(Produits!E744="","",Produits!E744)</f>
        <v/>
      </c>
      <c r="F863" s="128" t="str">
        <f>IF(Produits!F744="","",Produits!F744)</f>
        <v/>
      </c>
      <c r="J863" s="140" t="str">
        <f>IF($J$1="","",HLOOKUP($J$1,$M$1:$AAV$1000,863,0))</f>
        <v/>
      </c>
    </row>
    <row r="864" spans="1:10" x14ac:dyDescent="0.25">
      <c r="A864" s="127" t="str">
        <f>IF(Produits!A745="","",Produits!A745)</f>
        <v/>
      </c>
      <c r="B864" s="127" t="str">
        <f>IF(Produits!B745="","",Produits!B745)</f>
        <v/>
      </c>
      <c r="C864" s="127" t="str">
        <f>IF(Produits!C745="","",Produits!C745)</f>
        <v/>
      </c>
      <c r="D864" s="127" t="str">
        <f>IF(Produits!D745="","",Produits!D745)</f>
        <v/>
      </c>
      <c r="E864" s="127" t="str">
        <f>IF(Produits!E745="","",Produits!E745)</f>
        <v/>
      </c>
      <c r="F864" s="128" t="str">
        <f>IF(Produits!F745="","",Produits!F745)</f>
        <v/>
      </c>
      <c r="J864" s="140" t="str">
        <f>IF($J$1="","",HLOOKUP($J$1,$M$1:$AAV$1000,864,0))</f>
        <v/>
      </c>
    </row>
    <row r="865" spans="1:10" x14ac:dyDescent="0.25">
      <c r="A865" s="127" t="str">
        <f>IF(Produits!A746="","",Produits!A746)</f>
        <v/>
      </c>
      <c r="B865" s="127" t="str">
        <f>IF(Produits!B746="","",Produits!B746)</f>
        <v/>
      </c>
      <c r="C865" s="127" t="str">
        <f>IF(Produits!C746="","",Produits!C746)</f>
        <v/>
      </c>
      <c r="D865" s="127" t="str">
        <f>IF(Produits!D746="","",Produits!D746)</f>
        <v/>
      </c>
      <c r="E865" s="127" t="str">
        <f>IF(Produits!E746="","",Produits!E746)</f>
        <v/>
      </c>
      <c r="F865" s="128" t="str">
        <f>IF(Produits!F746="","",Produits!F746)</f>
        <v/>
      </c>
      <c r="J865" s="140" t="str">
        <f>IF($J$1="","",HLOOKUP($J$1,$M$1:$AAV$1000,865,0))</f>
        <v/>
      </c>
    </row>
    <row r="866" spans="1:10" x14ac:dyDescent="0.25">
      <c r="A866" s="127" t="str">
        <f>IF(Produits!A747="","",Produits!A747)</f>
        <v/>
      </c>
      <c r="B866" s="127" t="str">
        <f>IF(Produits!B747="","",Produits!B747)</f>
        <v/>
      </c>
      <c r="C866" s="127" t="str">
        <f>IF(Produits!C747="","",Produits!C747)</f>
        <v/>
      </c>
      <c r="D866" s="127" t="str">
        <f>IF(Produits!D747="","",Produits!D747)</f>
        <v/>
      </c>
      <c r="E866" s="127" t="str">
        <f>IF(Produits!E747="","",Produits!E747)</f>
        <v/>
      </c>
      <c r="F866" s="128" t="str">
        <f>IF(Produits!F747="","",Produits!F747)</f>
        <v/>
      </c>
      <c r="J866" s="140" t="str">
        <f>IF($J$1="","",HLOOKUP($J$1,$M$1:$AAV$1000,866,0))</f>
        <v/>
      </c>
    </row>
    <row r="867" spans="1:10" x14ac:dyDescent="0.25">
      <c r="A867" s="127" t="str">
        <f>IF(Produits!A748="","",Produits!A748)</f>
        <v/>
      </c>
      <c r="B867" s="127" t="str">
        <f>IF(Produits!B748="","",Produits!B748)</f>
        <v/>
      </c>
      <c r="C867" s="127" t="str">
        <f>IF(Produits!C748="","",Produits!C748)</f>
        <v/>
      </c>
      <c r="D867" s="127" t="str">
        <f>IF(Produits!D748="","",Produits!D748)</f>
        <v/>
      </c>
      <c r="E867" s="127" t="str">
        <f>IF(Produits!E748="","",Produits!E748)</f>
        <v/>
      </c>
      <c r="F867" s="128" t="str">
        <f>IF(Produits!F748="","",Produits!F748)</f>
        <v/>
      </c>
      <c r="J867" s="140" t="str">
        <f>IF($J$1="","",HLOOKUP($J$1,$M$1:$AAV$1000,867,0))</f>
        <v/>
      </c>
    </row>
    <row r="868" spans="1:10" x14ac:dyDescent="0.25">
      <c r="A868" s="127" t="str">
        <f>IF(Produits!A749="","",Produits!A749)</f>
        <v/>
      </c>
      <c r="B868" s="127" t="str">
        <f>IF(Produits!B749="","",Produits!B749)</f>
        <v/>
      </c>
      <c r="C868" s="127" t="str">
        <f>IF(Produits!C749="","",Produits!C749)</f>
        <v/>
      </c>
      <c r="D868" s="127" t="str">
        <f>IF(Produits!D749="","",Produits!D749)</f>
        <v/>
      </c>
      <c r="E868" s="127" t="str">
        <f>IF(Produits!E749="","",Produits!E749)</f>
        <v/>
      </c>
      <c r="F868" s="128" t="str">
        <f>IF(Produits!F749="","",Produits!F749)</f>
        <v/>
      </c>
      <c r="J868" s="140" t="str">
        <f>IF($J$1="","",HLOOKUP($J$1,$M$1:$AAV$1000,868,0))</f>
        <v/>
      </c>
    </row>
    <row r="869" spans="1:10" x14ac:dyDescent="0.25">
      <c r="A869" s="127" t="str">
        <f>IF(Produits!A750="","",Produits!A750)</f>
        <v/>
      </c>
      <c r="B869" s="127" t="str">
        <f>IF(Produits!B750="","",Produits!B750)</f>
        <v/>
      </c>
      <c r="C869" s="127" t="str">
        <f>IF(Produits!C750="","",Produits!C750)</f>
        <v/>
      </c>
      <c r="D869" s="127" t="str">
        <f>IF(Produits!D750="","",Produits!D750)</f>
        <v/>
      </c>
      <c r="E869" s="127" t="str">
        <f>IF(Produits!E750="","",Produits!E750)</f>
        <v/>
      </c>
      <c r="F869" s="128" t="str">
        <f>IF(Produits!F750="","",Produits!F750)</f>
        <v/>
      </c>
      <c r="J869" s="140" t="str">
        <f>IF($J$1="","",HLOOKUP($J$1,$M$1:$AAV$1000,869,0))</f>
        <v/>
      </c>
    </row>
    <row r="870" spans="1:10" x14ac:dyDescent="0.25">
      <c r="A870" s="127" t="str">
        <f>IF(Produits!A751="","",Produits!A751)</f>
        <v/>
      </c>
      <c r="B870" s="127" t="str">
        <f>IF(Produits!B751="","",Produits!B751)</f>
        <v/>
      </c>
      <c r="C870" s="127" t="str">
        <f>IF(Produits!C751="","",Produits!C751)</f>
        <v/>
      </c>
      <c r="D870" s="127" t="str">
        <f>IF(Produits!D751="","",Produits!D751)</f>
        <v/>
      </c>
      <c r="E870" s="127" t="str">
        <f>IF(Produits!E751="","",Produits!E751)</f>
        <v/>
      </c>
      <c r="F870" s="128" t="str">
        <f>IF(Produits!F751="","",Produits!F751)</f>
        <v/>
      </c>
      <c r="J870" s="140" t="str">
        <f>IF($J$1="","",HLOOKUP($J$1,$M$1:$AAV$1000,870,0))</f>
        <v/>
      </c>
    </row>
    <row r="871" spans="1:10" x14ac:dyDescent="0.25">
      <c r="A871" s="127" t="str">
        <f>IF(Produits!A752="","",Produits!A752)</f>
        <v/>
      </c>
      <c r="B871" s="127" t="str">
        <f>IF(Produits!B752="","",Produits!B752)</f>
        <v/>
      </c>
      <c r="C871" s="127" t="str">
        <f>IF(Produits!C752="","",Produits!C752)</f>
        <v/>
      </c>
      <c r="D871" s="127" t="str">
        <f>IF(Produits!D752="","",Produits!D752)</f>
        <v/>
      </c>
      <c r="E871" s="127" t="str">
        <f>IF(Produits!E752="","",Produits!E752)</f>
        <v/>
      </c>
      <c r="F871" s="128" t="str">
        <f>IF(Produits!F752="","",Produits!F752)</f>
        <v/>
      </c>
      <c r="J871" s="140" t="str">
        <f>IF($J$1="","",HLOOKUP($J$1,$M$1:$AAV$1000,871,0))</f>
        <v/>
      </c>
    </row>
    <row r="872" spans="1:10" x14ac:dyDescent="0.25">
      <c r="A872" s="127" t="str">
        <f>IF(Produits!A753="","",Produits!A753)</f>
        <v/>
      </c>
      <c r="B872" s="127" t="str">
        <f>IF(Produits!B753="","",Produits!B753)</f>
        <v/>
      </c>
      <c r="C872" s="127" t="str">
        <f>IF(Produits!C753="","",Produits!C753)</f>
        <v/>
      </c>
      <c r="D872" s="127" t="str">
        <f>IF(Produits!D753="","",Produits!D753)</f>
        <v/>
      </c>
      <c r="E872" s="127" t="str">
        <f>IF(Produits!E753="","",Produits!E753)</f>
        <v/>
      </c>
      <c r="F872" s="128" t="str">
        <f>IF(Produits!F753="","",Produits!F753)</f>
        <v/>
      </c>
      <c r="J872" s="140" t="str">
        <f>IF($J$1="","",HLOOKUP($J$1,$M$1:$AAV$1000,872,0))</f>
        <v/>
      </c>
    </row>
    <row r="873" spans="1:10" x14ac:dyDescent="0.25">
      <c r="A873" s="127" t="str">
        <f>IF(Produits!A754="","",Produits!A754)</f>
        <v/>
      </c>
      <c r="B873" s="127" t="str">
        <f>IF(Produits!B754="","",Produits!B754)</f>
        <v/>
      </c>
      <c r="C873" s="127" t="str">
        <f>IF(Produits!C754="","",Produits!C754)</f>
        <v/>
      </c>
      <c r="D873" s="127" t="str">
        <f>IF(Produits!D754="","",Produits!D754)</f>
        <v/>
      </c>
      <c r="E873" s="127" t="str">
        <f>IF(Produits!E754="","",Produits!E754)</f>
        <v/>
      </c>
      <c r="F873" s="128" t="str">
        <f>IF(Produits!F754="","",Produits!F754)</f>
        <v/>
      </c>
      <c r="J873" s="140" t="str">
        <f>IF($J$1="","",HLOOKUP($J$1,$M$1:$AAV$1000,873,0))</f>
        <v/>
      </c>
    </row>
    <row r="874" spans="1:10" x14ac:dyDescent="0.25">
      <c r="A874" s="127" t="str">
        <f>IF(Produits!A755="","",Produits!A755)</f>
        <v/>
      </c>
      <c r="B874" s="127" t="str">
        <f>IF(Produits!B755="","",Produits!B755)</f>
        <v/>
      </c>
      <c r="C874" s="127" t="str">
        <f>IF(Produits!C755="","",Produits!C755)</f>
        <v/>
      </c>
      <c r="D874" s="127" t="str">
        <f>IF(Produits!D755="","",Produits!D755)</f>
        <v/>
      </c>
      <c r="E874" s="127" t="str">
        <f>IF(Produits!E755="","",Produits!E755)</f>
        <v/>
      </c>
      <c r="F874" s="128" t="str">
        <f>IF(Produits!F755="","",Produits!F755)</f>
        <v/>
      </c>
      <c r="J874" s="140" t="str">
        <f>IF($J$1="","",HLOOKUP($J$1,$M$1:$AAV$1000,874,0))</f>
        <v/>
      </c>
    </row>
    <row r="875" spans="1:10" x14ac:dyDescent="0.25">
      <c r="A875" s="127" t="str">
        <f>IF(Produits!A756="","",Produits!A756)</f>
        <v/>
      </c>
      <c r="B875" s="127" t="str">
        <f>IF(Produits!B756="","",Produits!B756)</f>
        <v/>
      </c>
      <c r="C875" s="127" t="str">
        <f>IF(Produits!C756="","",Produits!C756)</f>
        <v/>
      </c>
      <c r="D875" s="127" t="str">
        <f>IF(Produits!D756="","",Produits!D756)</f>
        <v/>
      </c>
      <c r="E875" s="127" t="str">
        <f>IF(Produits!E756="","",Produits!E756)</f>
        <v/>
      </c>
      <c r="F875" s="128" t="str">
        <f>IF(Produits!F756="","",Produits!F756)</f>
        <v/>
      </c>
      <c r="J875" s="140" t="str">
        <f>IF($J$1="","",HLOOKUP($J$1,$M$1:$AAV$1000,875,0))</f>
        <v/>
      </c>
    </row>
    <row r="876" spans="1:10" x14ac:dyDescent="0.25">
      <c r="A876" s="127" t="str">
        <f>IF(Produits!A757="","",Produits!A757)</f>
        <v/>
      </c>
      <c r="B876" s="127" t="str">
        <f>IF(Produits!B757="","",Produits!B757)</f>
        <v/>
      </c>
      <c r="C876" s="127" t="str">
        <f>IF(Produits!C757="","",Produits!C757)</f>
        <v/>
      </c>
      <c r="D876" s="127" t="str">
        <f>IF(Produits!D757="","",Produits!D757)</f>
        <v/>
      </c>
      <c r="E876" s="127" t="str">
        <f>IF(Produits!E757="","",Produits!E757)</f>
        <v/>
      </c>
      <c r="F876" s="128" t="str">
        <f>IF(Produits!F757="","",Produits!F757)</f>
        <v/>
      </c>
      <c r="J876" s="140" t="str">
        <f>IF($J$1="","",HLOOKUP($J$1,$M$1:$AAV$1000,876,0))</f>
        <v/>
      </c>
    </row>
    <row r="877" spans="1:10" x14ac:dyDescent="0.25">
      <c r="A877" s="127" t="str">
        <f>IF(Produits!A758="","",Produits!A758)</f>
        <v/>
      </c>
      <c r="B877" s="127" t="str">
        <f>IF(Produits!B758="","",Produits!B758)</f>
        <v/>
      </c>
      <c r="C877" s="127" t="str">
        <f>IF(Produits!C758="","",Produits!C758)</f>
        <v/>
      </c>
      <c r="D877" s="127" t="str">
        <f>IF(Produits!D758="","",Produits!D758)</f>
        <v/>
      </c>
      <c r="E877" s="127" t="str">
        <f>IF(Produits!E758="","",Produits!E758)</f>
        <v/>
      </c>
      <c r="F877" s="128" t="str">
        <f>IF(Produits!F758="","",Produits!F758)</f>
        <v/>
      </c>
      <c r="J877" s="140" t="str">
        <f>IF($J$1="","",HLOOKUP($J$1,$M$1:$AAV$1000,877,0))</f>
        <v/>
      </c>
    </row>
    <row r="878" spans="1:10" x14ac:dyDescent="0.25">
      <c r="A878" s="127" t="str">
        <f>IF(Produits!A759="","",Produits!A759)</f>
        <v/>
      </c>
      <c r="B878" s="127" t="str">
        <f>IF(Produits!B759="","",Produits!B759)</f>
        <v/>
      </c>
      <c r="C878" s="127" t="str">
        <f>IF(Produits!C759="","",Produits!C759)</f>
        <v/>
      </c>
      <c r="D878" s="127" t="str">
        <f>IF(Produits!D759="","",Produits!D759)</f>
        <v/>
      </c>
      <c r="E878" s="127" t="str">
        <f>IF(Produits!E759="","",Produits!E759)</f>
        <v/>
      </c>
      <c r="F878" s="128" t="str">
        <f>IF(Produits!F759="","",Produits!F759)</f>
        <v/>
      </c>
      <c r="J878" s="140" t="str">
        <f>IF($J$1="","",HLOOKUP($J$1,$M$1:$AAV$1000,878,0))</f>
        <v/>
      </c>
    </row>
    <row r="879" spans="1:10" x14ac:dyDescent="0.25">
      <c r="A879" s="127" t="str">
        <f>IF(Produits!A760="","",Produits!A760)</f>
        <v/>
      </c>
      <c r="B879" s="127" t="str">
        <f>IF(Produits!B760="","",Produits!B760)</f>
        <v/>
      </c>
      <c r="C879" s="127" t="str">
        <f>IF(Produits!C760="","",Produits!C760)</f>
        <v/>
      </c>
      <c r="D879" s="127" t="str">
        <f>IF(Produits!D760="","",Produits!D760)</f>
        <v/>
      </c>
      <c r="E879" s="127" t="str">
        <f>IF(Produits!E760="","",Produits!E760)</f>
        <v/>
      </c>
      <c r="F879" s="128" t="str">
        <f>IF(Produits!F760="","",Produits!F760)</f>
        <v/>
      </c>
      <c r="J879" s="140" t="str">
        <f>IF($J$1="","",HLOOKUP($J$1,$M$1:$AAV$1000,879,0))</f>
        <v/>
      </c>
    </row>
    <row r="880" spans="1:10" x14ac:dyDescent="0.25">
      <c r="A880" s="127" t="str">
        <f>IF(Produits!A761="","",Produits!A761)</f>
        <v/>
      </c>
      <c r="B880" s="127" t="str">
        <f>IF(Produits!B761="","",Produits!B761)</f>
        <v/>
      </c>
      <c r="C880" s="127" t="str">
        <f>IF(Produits!C761="","",Produits!C761)</f>
        <v/>
      </c>
      <c r="D880" s="127" t="str">
        <f>IF(Produits!D761="","",Produits!D761)</f>
        <v/>
      </c>
      <c r="E880" s="127" t="str">
        <f>IF(Produits!E761="","",Produits!E761)</f>
        <v/>
      </c>
      <c r="F880" s="128" t="str">
        <f>IF(Produits!F761="","",Produits!F761)</f>
        <v/>
      </c>
      <c r="J880" s="140" t="str">
        <f>IF($J$1="","",HLOOKUP($J$1,$M$1:$AAV$1000,880,0))</f>
        <v/>
      </c>
    </row>
    <row r="881" spans="1:10" x14ac:dyDescent="0.25">
      <c r="A881" s="127" t="str">
        <f>IF(Produits!A762="","",Produits!A762)</f>
        <v/>
      </c>
      <c r="B881" s="127" t="str">
        <f>IF(Produits!B762="","",Produits!B762)</f>
        <v/>
      </c>
      <c r="C881" s="127" t="str">
        <f>IF(Produits!C762="","",Produits!C762)</f>
        <v/>
      </c>
      <c r="D881" s="127" t="str">
        <f>IF(Produits!D762="","",Produits!D762)</f>
        <v/>
      </c>
      <c r="E881" s="127" t="str">
        <f>IF(Produits!E762="","",Produits!E762)</f>
        <v/>
      </c>
      <c r="F881" s="128" t="str">
        <f>IF(Produits!F762="","",Produits!F762)</f>
        <v/>
      </c>
      <c r="J881" s="140" t="str">
        <f>IF($J$1="","",HLOOKUP($J$1,$M$1:$AAV$1000,881,0))</f>
        <v/>
      </c>
    </row>
    <row r="882" spans="1:10" x14ac:dyDescent="0.25">
      <c r="A882" s="127" t="str">
        <f>IF(Produits!A763="","",Produits!A763)</f>
        <v/>
      </c>
      <c r="B882" s="127" t="str">
        <f>IF(Produits!B763="","",Produits!B763)</f>
        <v/>
      </c>
      <c r="C882" s="127" t="str">
        <f>IF(Produits!C763="","",Produits!C763)</f>
        <v/>
      </c>
      <c r="D882" s="127" t="str">
        <f>IF(Produits!D763="","",Produits!D763)</f>
        <v/>
      </c>
      <c r="E882" s="127" t="str">
        <f>IF(Produits!E763="","",Produits!E763)</f>
        <v/>
      </c>
      <c r="F882" s="128" t="str">
        <f>IF(Produits!F763="","",Produits!F763)</f>
        <v/>
      </c>
      <c r="J882" s="140" t="str">
        <f>IF($J$1="","",HLOOKUP($J$1,$M$1:$AAV$1000,882,0))</f>
        <v/>
      </c>
    </row>
    <row r="883" spans="1:10" x14ac:dyDescent="0.25">
      <c r="A883" s="127" t="str">
        <f>IF(Produits!A764="","",Produits!A764)</f>
        <v/>
      </c>
      <c r="B883" s="127" t="str">
        <f>IF(Produits!B764="","",Produits!B764)</f>
        <v/>
      </c>
      <c r="C883" s="127" t="str">
        <f>IF(Produits!C764="","",Produits!C764)</f>
        <v/>
      </c>
      <c r="D883" s="127" t="str">
        <f>IF(Produits!D764="","",Produits!D764)</f>
        <v/>
      </c>
      <c r="E883" s="127" t="str">
        <f>IF(Produits!E764="","",Produits!E764)</f>
        <v/>
      </c>
      <c r="F883" s="128" t="str">
        <f>IF(Produits!F764="","",Produits!F764)</f>
        <v/>
      </c>
      <c r="J883" s="140" t="str">
        <f>IF($J$1="","",HLOOKUP($J$1,$M$1:$AAV$1000,883,0))</f>
        <v/>
      </c>
    </row>
    <row r="884" spans="1:10" x14ac:dyDescent="0.25">
      <c r="A884" s="127" t="str">
        <f>IF(Produits!A765="","",Produits!A765)</f>
        <v/>
      </c>
      <c r="B884" s="127" t="str">
        <f>IF(Produits!B765="","",Produits!B765)</f>
        <v/>
      </c>
      <c r="C884" s="127" t="str">
        <f>IF(Produits!C765="","",Produits!C765)</f>
        <v/>
      </c>
      <c r="D884" s="127" t="str">
        <f>IF(Produits!D765="","",Produits!D765)</f>
        <v/>
      </c>
      <c r="E884" s="127" t="str">
        <f>IF(Produits!E765="","",Produits!E765)</f>
        <v/>
      </c>
      <c r="F884" s="128" t="str">
        <f>IF(Produits!F765="","",Produits!F765)</f>
        <v/>
      </c>
      <c r="J884" s="140" t="str">
        <f>IF($J$1="","",HLOOKUP($J$1,$M$1:$AAV$1000,884,0))</f>
        <v/>
      </c>
    </row>
    <row r="885" spans="1:10" x14ac:dyDescent="0.25">
      <c r="A885" s="127" t="str">
        <f>IF(Produits!A766="","",Produits!A766)</f>
        <v/>
      </c>
      <c r="B885" s="127" t="str">
        <f>IF(Produits!B766="","",Produits!B766)</f>
        <v/>
      </c>
      <c r="C885" s="127" t="str">
        <f>IF(Produits!C766="","",Produits!C766)</f>
        <v/>
      </c>
      <c r="D885" s="127" t="str">
        <f>IF(Produits!D766="","",Produits!D766)</f>
        <v/>
      </c>
      <c r="E885" s="127" t="str">
        <f>IF(Produits!E766="","",Produits!E766)</f>
        <v/>
      </c>
      <c r="F885" s="128" t="str">
        <f>IF(Produits!F766="","",Produits!F766)</f>
        <v/>
      </c>
      <c r="J885" s="140" t="str">
        <f>IF($J$1="","",HLOOKUP($J$1,$M$1:$AAV$1000,885,0))</f>
        <v/>
      </c>
    </row>
    <row r="886" spans="1:10" x14ac:dyDescent="0.25">
      <c r="A886" s="127" t="str">
        <f>IF(Produits!A767="","",Produits!A767)</f>
        <v/>
      </c>
      <c r="B886" s="127" t="str">
        <f>IF(Produits!B767="","",Produits!B767)</f>
        <v/>
      </c>
      <c r="C886" s="127" t="str">
        <f>IF(Produits!C767="","",Produits!C767)</f>
        <v/>
      </c>
      <c r="D886" s="127" t="str">
        <f>IF(Produits!D767="","",Produits!D767)</f>
        <v/>
      </c>
      <c r="E886" s="127" t="str">
        <f>IF(Produits!E767="","",Produits!E767)</f>
        <v/>
      </c>
      <c r="F886" s="128" t="str">
        <f>IF(Produits!F767="","",Produits!F767)</f>
        <v/>
      </c>
      <c r="J886" s="140" t="str">
        <f>IF($J$1="","",HLOOKUP($J$1,$M$1:$AAV$1000,886,0))</f>
        <v/>
      </c>
    </row>
    <row r="887" spans="1:10" x14ac:dyDescent="0.25">
      <c r="A887" s="127" t="str">
        <f>IF(Produits!A768="","",Produits!A768)</f>
        <v/>
      </c>
      <c r="B887" s="127" t="str">
        <f>IF(Produits!B768="","",Produits!B768)</f>
        <v/>
      </c>
      <c r="C887" s="127" t="str">
        <f>IF(Produits!C768="","",Produits!C768)</f>
        <v/>
      </c>
      <c r="D887" s="127" t="str">
        <f>IF(Produits!D768="","",Produits!D768)</f>
        <v/>
      </c>
      <c r="E887" s="127" t="str">
        <f>IF(Produits!E768="","",Produits!E768)</f>
        <v/>
      </c>
      <c r="F887" s="128" t="str">
        <f>IF(Produits!F768="","",Produits!F768)</f>
        <v/>
      </c>
      <c r="J887" s="140" t="str">
        <f>IF($J$1="","",HLOOKUP($J$1,$M$1:$AAV$1000,887,0))</f>
        <v/>
      </c>
    </row>
    <row r="888" spans="1:10" x14ac:dyDescent="0.25">
      <c r="A888" s="127" t="str">
        <f>IF(Produits!A769="","",Produits!A769)</f>
        <v/>
      </c>
      <c r="B888" s="127" t="str">
        <f>IF(Produits!B769="","",Produits!B769)</f>
        <v/>
      </c>
      <c r="C888" s="127" t="str">
        <f>IF(Produits!C769="","",Produits!C769)</f>
        <v/>
      </c>
      <c r="D888" s="127" t="str">
        <f>IF(Produits!D769="","",Produits!D769)</f>
        <v/>
      </c>
      <c r="E888" s="127" t="str">
        <f>IF(Produits!E769="","",Produits!E769)</f>
        <v/>
      </c>
      <c r="F888" s="128" t="str">
        <f>IF(Produits!F769="","",Produits!F769)</f>
        <v/>
      </c>
      <c r="J888" s="140" t="str">
        <f>IF($J$1="","",HLOOKUP($J$1,$M$1:$AAV$1000,888,0))</f>
        <v/>
      </c>
    </row>
    <row r="889" spans="1:10" x14ac:dyDescent="0.25">
      <c r="A889" s="127" t="str">
        <f>IF(Produits!A770="","",Produits!A770)</f>
        <v/>
      </c>
      <c r="B889" s="127" t="str">
        <f>IF(Produits!B770="","",Produits!B770)</f>
        <v/>
      </c>
      <c r="C889" s="127" t="str">
        <f>IF(Produits!C770="","",Produits!C770)</f>
        <v/>
      </c>
      <c r="D889" s="127" t="str">
        <f>IF(Produits!D770="","",Produits!D770)</f>
        <v/>
      </c>
      <c r="E889" s="127" t="str">
        <f>IF(Produits!E770="","",Produits!E770)</f>
        <v/>
      </c>
      <c r="F889" s="128" t="str">
        <f>IF(Produits!F770="","",Produits!F770)</f>
        <v/>
      </c>
      <c r="J889" s="140" t="str">
        <f>IF($J$1="","",HLOOKUP($J$1,$M$1:$AAV$1000,889,0))</f>
        <v/>
      </c>
    </row>
    <row r="890" spans="1:10" x14ac:dyDescent="0.25">
      <c r="A890" s="127" t="str">
        <f>IF(Produits!A771="","",Produits!A771)</f>
        <v/>
      </c>
      <c r="B890" s="127" t="str">
        <f>IF(Produits!B771="","",Produits!B771)</f>
        <v/>
      </c>
      <c r="C890" s="127" t="str">
        <f>IF(Produits!C771="","",Produits!C771)</f>
        <v/>
      </c>
      <c r="D890" s="127" t="str">
        <f>IF(Produits!D771="","",Produits!D771)</f>
        <v/>
      </c>
      <c r="E890" s="127" t="str">
        <f>IF(Produits!E771="","",Produits!E771)</f>
        <v/>
      </c>
      <c r="F890" s="128" t="str">
        <f>IF(Produits!F771="","",Produits!F771)</f>
        <v/>
      </c>
      <c r="J890" s="140" t="str">
        <f>IF($J$1="","",HLOOKUP($J$1,$M$1:$AAV$1000,890,0))</f>
        <v/>
      </c>
    </row>
    <row r="891" spans="1:10" x14ac:dyDescent="0.25">
      <c r="A891" s="127" t="str">
        <f>IF(Produits!A772="","",Produits!A772)</f>
        <v/>
      </c>
      <c r="B891" s="127" t="str">
        <f>IF(Produits!B772="","",Produits!B772)</f>
        <v/>
      </c>
      <c r="C891" s="127" t="str">
        <f>IF(Produits!C772="","",Produits!C772)</f>
        <v/>
      </c>
      <c r="D891" s="127" t="str">
        <f>IF(Produits!D772="","",Produits!D772)</f>
        <v/>
      </c>
      <c r="E891" s="127" t="str">
        <f>IF(Produits!E772="","",Produits!E772)</f>
        <v/>
      </c>
      <c r="F891" s="128" t="str">
        <f>IF(Produits!F772="","",Produits!F772)</f>
        <v/>
      </c>
      <c r="J891" s="140" t="str">
        <f>IF($J$1="","",HLOOKUP($J$1,$M$1:$AAV$1000,891,0))</f>
        <v/>
      </c>
    </row>
    <row r="892" spans="1:10" x14ac:dyDescent="0.25">
      <c r="A892" s="127" t="str">
        <f>IF(Produits!A773="","",Produits!A773)</f>
        <v/>
      </c>
      <c r="B892" s="127" t="str">
        <f>IF(Produits!B773="","",Produits!B773)</f>
        <v/>
      </c>
      <c r="C892" s="127" t="str">
        <f>IF(Produits!C773="","",Produits!C773)</f>
        <v/>
      </c>
      <c r="D892" s="127" t="str">
        <f>IF(Produits!D773="","",Produits!D773)</f>
        <v/>
      </c>
      <c r="E892" s="127" t="str">
        <f>IF(Produits!E773="","",Produits!E773)</f>
        <v/>
      </c>
      <c r="F892" s="128" t="str">
        <f>IF(Produits!F773="","",Produits!F773)</f>
        <v/>
      </c>
      <c r="J892" s="140" t="str">
        <f>IF($J$1="","",HLOOKUP($J$1,$M$1:$AAV$1000,892,0))</f>
        <v/>
      </c>
    </row>
    <row r="893" spans="1:10" x14ac:dyDescent="0.25">
      <c r="A893" s="127" t="str">
        <f>IF(Produits!A774="","",Produits!A774)</f>
        <v/>
      </c>
      <c r="B893" s="127" t="str">
        <f>IF(Produits!B774="","",Produits!B774)</f>
        <v/>
      </c>
      <c r="C893" s="127" t="str">
        <f>IF(Produits!C774="","",Produits!C774)</f>
        <v/>
      </c>
      <c r="D893" s="127" t="str">
        <f>IF(Produits!D774="","",Produits!D774)</f>
        <v/>
      </c>
      <c r="E893" s="127" t="str">
        <f>IF(Produits!E774="","",Produits!E774)</f>
        <v/>
      </c>
      <c r="F893" s="128" t="str">
        <f>IF(Produits!F774="","",Produits!F774)</f>
        <v/>
      </c>
      <c r="J893" s="140" t="str">
        <f>IF($J$1="","",HLOOKUP($J$1,$M$1:$AAV$1000,893,0))</f>
        <v/>
      </c>
    </row>
    <row r="894" spans="1:10" x14ac:dyDescent="0.25">
      <c r="A894" s="127" t="str">
        <f>IF(Produits!A775="","",Produits!A775)</f>
        <v/>
      </c>
      <c r="B894" s="127" t="str">
        <f>IF(Produits!B775="","",Produits!B775)</f>
        <v/>
      </c>
      <c r="C894" s="127" t="str">
        <f>IF(Produits!C775="","",Produits!C775)</f>
        <v/>
      </c>
      <c r="D894" s="127" t="str">
        <f>IF(Produits!D775="","",Produits!D775)</f>
        <v/>
      </c>
      <c r="E894" s="127" t="str">
        <f>IF(Produits!E775="","",Produits!E775)</f>
        <v/>
      </c>
      <c r="F894" s="128" t="str">
        <f>IF(Produits!F775="","",Produits!F775)</f>
        <v/>
      </c>
      <c r="J894" s="140" t="str">
        <f>IF($J$1="","",HLOOKUP($J$1,$M$1:$AAV$1000,894,0))</f>
        <v/>
      </c>
    </row>
    <row r="895" spans="1:10" x14ac:dyDescent="0.25">
      <c r="A895" s="127" t="str">
        <f>IF(Produits!A776="","",Produits!A776)</f>
        <v/>
      </c>
      <c r="B895" s="127" t="str">
        <f>IF(Produits!B776="","",Produits!B776)</f>
        <v/>
      </c>
      <c r="C895" s="127" t="str">
        <f>IF(Produits!C776="","",Produits!C776)</f>
        <v/>
      </c>
      <c r="D895" s="127" t="str">
        <f>IF(Produits!D776="","",Produits!D776)</f>
        <v/>
      </c>
      <c r="E895" s="127" t="str">
        <f>IF(Produits!E776="","",Produits!E776)</f>
        <v/>
      </c>
      <c r="F895" s="128" t="str">
        <f>IF(Produits!F776="","",Produits!F776)</f>
        <v/>
      </c>
      <c r="J895" s="140" t="str">
        <f>IF($J$1="","",HLOOKUP($J$1,$M$1:$AAV$1000,895,0))</f>
        <v/>
      </c>
    </row>
    <row r="896" spans="1:10" x14ac:dyDescent="0.25">
      <c r="A896" s="127" t="str">
        <f>IF(Produits!A777="","",Produits!A777)</f>
        <v/>
      </c>
      <c r="B896" s="127" t="str">
        <f>IF(Produits!B777="","",Produits!B777)</f>
        <v/>
      </c>
      <c r="C896" s="127" t="str">
        <f>IF(Produits!C777="","",Produits!C777)</f>
        <v/>
      </c>
      <c r="D896" s="127" t="str">
        <f>IF(Produits!D777="","",Produits!D777)</f>
        <v/>
      </c>
      <c r="E896" s="127" t="str">
        <f>IF(Produits!E777="","",Produits!E777)</f>
        <v/>
      </c>
      <c r="F896" s="128" t="str">
        <f>IF(Produits!F777="","",Produits!F777)</f>
        <v/>
      </c>
      <c r="J896" s="140" t="str">
        <f>IF($J$1="","",HLOOKUP($J$1,$M$1:$AAV$1000,896,0))</f>
        <v/>
      </c>
    </row>
    <row r="897" spans="1:10" x14ac:dyDescent="0.25">
      <c r="A897" s="127" t="str">
        <f>IF(Produits!A778="","",Produits!A778)</f>
        <v/>
      </c>
      <c r="B897" s="127" t="str">
        <f>IF(Produits!B778="","",Produits!B778)</f>
        <v/>
      </c>
      <c r="C897" s="127" t="str">
        <f>IF(Produits!C778="","",Produits!C778)</f>
        <v/>
      </c>
      <c r="D897" s="127" t="str">
        <f>IF(Produits!D778="","",Produits!D778)</f>
        <v/>
      </c>
      <c r="E897" s="127" t="str">
        <f>IF(Produits!E778="","",Produits!E778)</f>
        <v/>
      </c>
      <c r="F897" s="128" t="str">
        <f>IF(Produits!F778="","",Produits!F778)</f>
        <v/>
      </c>
      <c r="J897" s="140" t="str">
        <f>IF($J$1="","",HLOOKUP($J$1,$M$1:$AAV$1000,897,0))</f>
        <v/>
      </c>
    </row>
    <row r="898" spans="1:10" x14ac:dyDescent="0.25">
      <c r="A898" s="127" t="str">
        <f>IF(Produits!A779="","",Produits!A779)</f>
        <v/>
      </c>
      <c r="B898" s="127" t="str">
        <f>IF(Produits!B779="","",Produits!B779)</f>
        <v/>
      </c>
      <c r="C898" s="127" t="str">
        <f>IF(Produits!C779="","",Produits!C779)</f>
        <v/>
      </c>
      <c r="D898" s="127" t="str">
        <f>IF(Produits!D779="","",Produits!D779)</f>
        <v/>
      </c>
      <c r="E898" s="127" t="str">
        <f>IF(Produits!E779="","",Produits!E779)</f>
        <v/>
      </c>
      <c r="F898" s="128" t="str">
        <f>IF(Produits!F779="","",Produits!F779)</f>
        <v/>
      </c>
      <c r="J898" s="140" t="str">
        <f>IF($J$1="","",HLOOKUP($J$1,$M$1:$AAV$1000,898,0))</f>
        <v/>
      </c>
    </row>
    <row r="899" spans="1:10" x14ac:dyDescent="0.25">
      <c r="A899" s="127" t="str">
        <f>IF(Produits!A780="","",Produits!A780)</f>
        <v/>
      </c>
      <c r="B899" s="127" t="str">
        <f>IF(Produits!B780="","",Produits!B780)</f>
        <v/>
      </c>
      <c r="C899" s="127" t="str">
        <f>IF(Produits!C780="","",Produits!C780)</f>
        <v/>
      </c>
      <c r="D899" s="127" t="str">
        <f>IF(Produits!D780="","",Produits!D780)</f>
        <v/>
      </c>
      <c r="E899" s="127" t="str">
        <f>IF(Produits!E780="","",Produits!E780)</f>
        <v/>
      </c>
      <c r="F899" s="128" t="str">
        <f>IF(Produits!F780="","",Produits!F780)</f>
        <v/>
      </c>
      <c r="J899" s="140" t="str">
        <f>IF($J$1="","",HLOOKUP($J$1,$M$1:$AAV$1000,899,0))</f>
        <v/>
      </c>
    </row>
    <row r="900" spans="1:10" x14ac:dyDescent="0.25">
      <c r="A900" s="127" t="str">
        <f>IF(Produits!A781="","",Produits!A781)</f>
        <v/>
      </c>
      <c r="B900" s="127" t="str">
        <f>IF(Produits!B781="","",Produits!B781)</f>
        <v/>
      </c>
      <c r="C900" s="127" t="str">
        <f>IF(Produits!C781="","",Produits!C781)</f>
        <v/>
      </c>
      <c r="D900" s="127" t="str">
        <f>IF(Produits!D781="","",Produits!D781)</f>
        <v/>
      </c>
      <c r="E900" s="127" t="str">
        <f>IF(Produits!E781="","",Produits!E781)</f>
        <v/>
      </c>
      <c r="F900" s="128" t="str">
        <f>IF(Produits!F781="","",Produits!F781)</f>
        <v/>
      </c>
      <c r="J900" s="140" t="str">
        <f>IF($J$1="","",HLOOKUP($J$1,$M$1:$AAV$1000,900,0))</f>
        <v/>
      </c>
    </row>
    <row r="901" spans="1:10" x14ac:dyDescent="0.25">
      <c r="A901" s="127" t="str">
        <f>IF(Produits!A782="","",Produits!A782)</f>
        <v/>
      </c>
      <c r="B901" s="127" t="str">
        <f>IF(Produits!B782="","",Produits!B782)</f>
        <v/>
      </c>
      <c r="C901" s="127" t="str">
        <f>IF(Produits!C782="","",Produits!C782)</f>
        <v/>
      </c>
      <c r="D901" s="127" t="str">
        <f>IF(Produits!D782="","",Produits!D782)</f>
        <v/>
      </c>
      <c r="E901" s="127" t="str">
        <f>IF(Produits!E782="","",Produits!E782)</f>
        <v/>
      </c>
      <c r="F901" s="128" t="str">
        <f>IF(Produits!F782="","",Produits!F782)</f>
        <v/>
      </c>
      <c r="J901" s="140" t="str">
        <f>IF($J$1="","",HLOOKUP($J$1,$M$1:$AAV$1000,901,0))</f>
        <v/>
      </c>
    </row>
    <row r="902" spans="1:10" x14ac:dyDescent="0.25">
      <c r="A902" s="127" t="str">
        <f>IF(Produits!A783="","",Produits!A783)</f>
        <v/>
      </c>
      <c r="B902" s="127" t="str">
        <f>IF(Produits!B783="","",Produits!B783)</f>
        <v/>
      </c>
      <c r="C902" s="127" t="str">
        <f>IF(Produits!C783="","",Produits!C783)</f>
        <v/>
      </c>
      <c r="D902" s="127" t="str">
        <f>IF(Produits!D783="","",Produits!D783)</f>
        <v/>
      </c>
      <c r="E902" s="127" t="str">
        <f>IF(Produits!E783="","",Produits!E783)</f>
        <v/>
      </c>
      <c r="F902" s="128" t="str">
        <f>IF(Produits!F783="","",Produits!F783)</f>
        <v/>
      </c>
      <c r="J902" s="140" t="str">
        <f>IF($J$1="","",HLOOKUP($J$1,$M$1:$AAV$1000,902,0))</f>
        <v/>
      </c>
    </row>
    <row r="903" spans="1:10" x14ac:dyDescent="0.25">
      <c r="A903" s="127" t="str">
        <f>IF(Produits!A784="","",Produits!A784)</f>
        <v/>
      </c>
      <c r="B903" s="127" t="str">
        <f>IF(Produits!B784="","",Produits!B784)</f>
        <v/>
      </c>
      <c r="C903" s="127" t="str">
        <f>IF(Produits!C784="","",Produits!C784)</f>
        <v/>
      </c>
      <c r="D903" s="127" t="str">
        <f>IF(Produits!D784="","",Produits!D784)</f>
        <v/>
      </c>
      <c r="E903" s="127" t="str">
        <f>IF(Produits!E784="","",Produits!E784)</f>
        <v/>
      </c>
      <c r="F903" s="128" t="str">
        <f>IF(Produits!F784="","",Produits!F784)</f>
        <v/>
      </c>
      <c r="J903" s="140" t="str">
        <f>IF($J$1="","",HLOOKUP($J$1,$M$1:$AAV$1000,903,0))</f>
        <v/>
      </c>
    </row>
    <row r="904" spans="1:10" x14ac:dyDescent="0.25">
      <c r="A904" s="127" t="str">
        <f>IF(Produits!A785="","",Produits!A785)</f>
        <v/>
      </c>
      <c r="B904" s="127" t="str">
        <f>IF(Produits!B785="","",Produits!B785)</f>
        <v/>
      </c>
      <c r="C904" s="127" t="str">
        <f>IF(Produits!C785="","",Produits!C785)</f>
        <v/>
      </c>
      <c r="D904" s="127" t="str">
        <f>IF(Produits!D785="","",Produits!D785)</f>
        <v/>
      </c>
      <c r="E904" s="127" t="str">
        <f>IF(Produits!E785="","",Produits!E785)</f>
        <v/>
      </c>
      <c r="F904" s="128" t="str">
        <f>IF(Produits!F785="","",Produits!F785)</f>
        <v/>
      </c>
      <c r="J904" s="140" t="str">
        <f>IF($J$1="","",HLOOKUP($J$1,$M$1:$AAV$1000,904,0))</f>
        <v/>
      </c>
    </row>
    <row r="905" spans="1:10" x14ac:dyDescent="0.25">
      <c r="A905" s="127" t="str">
        <f>IF(Produits!A786="","",Produits!A786)</f>
        <v/>
      </c>
      <c r="B905" s="127" t="str">
        <f>IF(Produits!B786="","",Produits!B786)</f>
        <v/>
      </c>
      <c r="C905" s="127" t="str">
        <f>IF(Produits!C786="","",Produits!C786)</f>
        <v/>
      </c>
      <c r="D905" s="127" t="str">
        <f>IF(Produits!D786="","",Produits!D786)</f>
        <v/>
      </c>
      <c r="E905" s="127" t="str">
        <f>IF(Produits!E786="","",Produits!E786)</f>
        <v/>
      </c>
      <c r="F905" s="128" t="str">
        <f>IF(Produits!F786="","",Produits!F786)</f>
        <v/>
      </c>
      <c r="J905" s="140" t="str">
        <f>IF($J$1="","",HLOOKUP($J$1,$M$1:$AAV$1000,905,0))</f>
        <v/>
      </c>
    </row>
    <row r="906" spans="1:10" x14ac:dyDescent="0.25">
      <c r="A906" s="127" t="str">
        <f>IF(Produits!A787="","",Produits!A787)</f>
        <v/>
      </c>
      <c r="B906" s="127" t="str">
        <f>IF(Produits!B787="","",Produits!B787)</f>
        <v/>
      </c>
      <c r="C906" s="127" t="str">
        <f>IF(Produits!C787="","",Produits!C787)</f>
        <v/>
      </c>
      <c r="D906" s="127" t="str">
        <f>IF(Produits!D787="","",Produits!D787)</f>
        <v/>
      </c>
      <c r="E906" s="127" t="str">
        <f>IF(Produits!E787="","",Produits!E787)</f>
        <v/>
      </c>
      <c r="F906" s="128" t="str">
        <f>IF(Produits!F787="","",Produits!F787)</f>
        <v/>
      </c>
      <c r="J906" s="140" t="str">
        <f>IF($J$1="","",HLOOKUP($J$1,$M$1:$AAV$1000,906,0))</f>
        <v/>
      </c>
    </row>
    <row r="907" spans="1:10" x14ac:dyDescent="0.25">
      <c r="A907" s="127" t="str">
        <f>IF(Produits!A788="","",Produits!A788)</f>
        <v/>
      </c>
      <c r="B907" s="127" t="str">
        <f>IF(Produits!B788="","",Produits!B788)</f>
        <v/>
      </c>
      <c r="C907" s="127" t="str">
        <f>IF(Produits!C788="","",Produits!C788)</f>
        <v/>
      </c>
      <c r="D907" s="127" t="str">
        <f>IF(Produits!D788="","",Produits!D788)</f>
        <v/>
      </c>
      <c r="E907" s="127" t="str">
        <f>IF(Produits!E788="","",Produits!E788)</f>
        <v/>
      </c>
      <c r="F907" s="128" t="str">
        <f>IF(Produits!F788="","",Produits!F788)</f>
        <v/>
      </c>
      <c r="J907" s="140" t="str">
        <f>IF($J$1="","",HLOOKUP($J$1,$M$1:$AAV$1000,907,0))</f>
        <v/>
      </c>
    </row>
    <row r="908" spans="1:10" x14ac:dyDescent="0.25">
      <c r="A908" s="127" t="str">
        <f>IF(Produits!A789="","",Produits!A789)</f>
        <v/>
      </c>
      <c r="B908" s="127" t="str">
        <f>IF(Produits!B789="","",Produits!B789)</f>
        <v/>
      </c>
      <c r="C908" s="127" t="str">
        <f>IF(Produits!C789="","",Produits!C789)</f>
        <v/>
      </c>
      <c r="D908" s="127" t="str">
        <f>IF(Produits!D789="","",Produits!D789)</f>
        <v/>
      </c>
      <c r="E908" s="127" t="str">
        <f>IF(Produits!E789="","",Produits!E789)</f>
        <v/>
      </c>
      <c r="F908" s="128" t="str">
        <f>IF(Produits!F789="","",Produits!F789)</f>
        <v/>
      </c>
      <c r="J908" s="140" t="str">
        <f>IF($J$1="","",HLOOKUP($J$1,$M$1:$AAV$1000,908,0))</f>
        <v/>
      </c>
    </row>
    <row r="909" spans="1:10" x14ac:dyDescent="0.25">
      <c r="A909" s="127" t="str">
        <f>IF(Produits!A790="","",Produits!A790)</f>
        <v/>
      </c>
      <c r="B909" s="127" t="str">
        <f>IF(Produits!B790="","",Produits!B790)</f>
        <v/>
      </c>
      <c r="C909" s="127" t="str">
        <f>IF(Produits!C790="","",Produits!C790)</f>
        <v/>
      </c>
      <c r="D909" s="127" t="str">
        <f>IF(Produits!D790="","",Produits!D790)</f>
        <v/>
      </c>
      <c r="E909" s="127" t="str">
        <f>IF(Produits!E790="","",Produits!E790)</f>
        <v/>
      </c>
      <c r="F909" s="128" t="str">
        <f>IF(Produits!F790="","",Produits!F790)</f>
        <v/>
      </c>
      <c r="J909" s="140" t="str">
        <f>IF($J$1="","",HLOOKUP($J$1,$M$1:$AAV$1000,909,0))</f>
        <v/>
      </c>
    </row>
    <row r="910" spans="1:10" x14ac:dyDescent="0.25">
      <c r="A910" s="127" t="str">
        <f>IF(Produits!A791="","",Produits!A791)</f>
        <v/>
      </c>
      <c r="B910" s="127" t="str">
        <f>IF(Produits!B791="","",Produits!B791)</f>
        <v/>
      </c>
      <c r="C910" s="127" t="str">
        <f>IF(Produits!C791="","",Produits!C791)</f>
        <v/>
      </c>
      <c r="D910" s="127" t="str">
        <f>IF(Produits!D791="","",Produits!D791)</f>
        <v/>
      </c>
      <c r="E910" s="127" t="str">
        <f>IF(Produits!E791="","",Produits!E791)</f>
        <v/>
      </c>
      <c r="F910" s="128" t="str">
        <f>IF(Produits!F791="","",Produits!F791)</f>
        <v/>
      </c>
      <c r="J910" s="140" t="str">
        <f>IF($J$1="","",HLOOKUP($J$1,$M$1:$AAV$1000,910,0))</f>
        <v/>
      </c>
    </row>
    <row r="911" spans="1:10" x14ac:dyDescent="0.25">
      <c r="A911" s="127" t="str">
        <f>IF(Produits!A792="","",Produits!A792)</f>
        <v/>
      </c>
      <c r="B911" s="127" t="str">
        <f>IF(Produits!B792="","",Produits!B792)</f>
        <v/>
      </c>
      <c r="C911" s="127" t="str">
        <f>IF(Produits!C792="","",Produits!C792)</f>
        <v/>
      </c>
      <c r="D911" s="127" t="str">
        <f>IF(Produits!D792="","",Produits!D792)</f>
        <v/>
      </c>
      <c r="E911" s="127" t="str">
        <f>IF(Produits!E792="","",Produits!E792)</f>
        <v/>
      </c>
      <c r="F911" s="128" t="str">
        <f>IF(Produits!F792="","",Produits!F792)</f>
        <v/>
      </c>
      <c r="J911" s="140" t="str">
        <f>IF($J$1="","",HLOOKUP($J$1,$M$1:$AAV$1000,911,0))</f>
        <v/>
      </c>
    </row>
    <row r="912" spans="1:10" x14ac:dyDescent="0.25">
      <c r="A912" s="127" t="str">
        <f>IF(Produits!A793="","",Produits!A793)</f>
        <v/>
      </c>
      <c r="B912" s="127" t="str">
        <f>IF(Produits!B793="","",Produits!B793)</f>
        <v/>
      </c>
      <c r="C912" s="127" t="str">
        <f>IF(Produits!C793="","",Produits!C793)</f>
        <v/>
      </c>
      <c r="D912" s="127" t="str">
        <f>IF(Produits!D793="","",Produits!D793)</f>
        <v/>
      </c>
      <c r="E912" s="127" t="str">
        <f>IF(Produits!E793="","",Produits!E793)</f>
        <v/>
      </c>
      <c r="F912" s="128" t="str">
        <f>IF(Produits!F793="","",Produits!F793)</f>
        <v/>
      </c>
      <c r="J912" s="140" t="str">
        <f>IF($J$1="","",HLOOKUP($J$1,$M$1:$AAV$1000,912,0))</f>
        <v/>
      </c>
    </row>
    <row r="913" spans="1:10" x14ac:dyDescent="0.25">
      <c r="A913" s="127" t="str">
        <f>IF(Produits!A794="","",Produits!A794)</f>
        <v/>
      </c>
      <c r="B913" s="127" t="str">
        <f>IF(Produits!B794="","",Produits!B794)</f>
        <v/>
      </c>
      <c r="C913" s="127" t="str">
        <f>IF(Produits!C794="","",Produits!C794)</f>
        <v/>
      </c>
      <c r="D913" s="127" t="str">
        <f>IF(Produits!D794="","",Produits!D794)</f>
        <v/>
      </c>
      <c r="E913" s="127" t="str">
        <f>IF(Produits!E794="","",Produits!E794)</f>
        <v/>
      </c>
      <c r="F913" s="128" t="str">
        <f>IF(Produits!F794="","",Produits!F794)</f>
        <v/>
      </c>
      <c r="J913" s="140" t="str">
        <f>IF($J$1="","",HLOOKUP($J$1,$M$1:$AAV$1000,913,0))</f>
        <v/>
      </c>
    </row>
    <row r="914" spans="1:10" x14ac:dyDescent="0.25">
      <c r="A914" s="127" t="str">
        <f>IF(Produits!A795="","",Produits!A795)</f>
        <v/>
      </c>
      <c r="B914" s="127" t="str">
        <f>IF(Produits!B795="","",Produits!B795)</f>
        <v/>
      </c>
      <c r="C914" s="127" t="str">
        <f>IF(Produits!C795="","",Produits!C795)</f>
        <v/>
      </c>
      <c r="D914" s="127" t="str">
        <f>IF(Produits!D795="","",Produits!D795)</f>
        <v/>
      </c>
      <c r="E914" s="127" t="str">
        <f>IF(Produits!E795="","",Produits!E795)</f>
        <v/>
      </c>
      <c r="F914" s="128" t="str">
        <f>IF(Produits!F795="","",Produits!F795)</f>
        <v/>
      </c>
      <c r="J914" s="140" t="str">
        <f>IF($J$1="","",HLOOKUP($J$1,$M$1:$AAV$1000,914,0))</f>
        <v/>
      </c>
    </row>
    <row r="915" spans="1:10" x14ac:dyDescent="0.25">
      <c r="A915" s="127" t="str">
        <f>IF(Produits!A796="","",Produits!A796)</f>
        <v/>
      </c>
      <c r="B915" s="127" t="str">
        <f>IF(Produits!B796="","",Produits!B796)</f>
        <v/>
      </c>
      <c r="C915" s="127" t="str">
        <f>IF(Produits!C796="","",Produits!C796)</f>
        <v/>
      </c>
      <c r="D915" s="127" t="str">
        <f>IF(Produits!D796="","",Produits!D796)</f>
        <v/>
      </c>
      <c r="E915" s="127" t="str">
        <f>IF(Produits!E796="","",Produits!E796)</f>
        <v/>
      </c>
      <c r="F915" s="128" t="str">
        <f>IF(Produits!F796="","",Produits!F796)</f>
        <v/>
      </c>
      <c r="J915" s="140" t="str">
        <f>IF($J$1="","",HLOOKUP($J$1,$M$1:$AAV$1000,915,0))</f>
        <v/>
      </c>
    </row>
    <row r="916" spans="1:10" x14ac:dyDescent="0.25">
      <c r="A916" s="127" t="str">
        <f>IF(Produits!A797="","",Produits!A797)</f>
        <v/>
      </c>
      <c r="B916" s="127" t="str">
        <f>IF(Produits!B797="","",Produits!B797)</f>
        <v/>
      </c>
      <c r="C916" s="127" t="str">
        <f>IF(Produits!C797="","",Produits!C797)</f>
        <v/>
      </c>
      <c r="D916" s="127" t="str">
        <f>IF(Produits!D797="","",Produits!D797)</f>
        <v/>
      </c>
      <c r="E916" s="127" t="str">
        <f>IF(Produits!E797="","",Produits!E797)</f>
        <v/>
      </c>
      <c r="F916" s="128" t="str">
        <f>IF(Produits!F797="","",Produits!F797)</f>
        <v/>
      </c>
      <c r="J916" s="140" t="str">
        <f>IF($J$1="","",HLOOKUP($J$1,$M$1:$AAV$1000,916,0))</f>
        <v/>
      </c>
    </row>
    <row r="917" spans="1:10" x14ac:dyDescent="0.25">
      <c r="A917" s="127" t="str">
        <f>IF(Produits!A798="","",Produits!A798)</f>
        <v/>
      </c>
      <c r="B917" s="127" t="str">
        <f>IF(Produits!B798="","",Produits!B798)</f>
        <v/>
      </c>
      <c r="C917" s="127" t="str">
        <f>IF(Produits!C798="","",Produits!C798)</f>
        <v/>
      </c>
      <c r="D917" s="127" t="str">
        <f>IF(Produits!D798="","",Produits!D798)</f>
        <v/>
      </c>
      <c r="E917" s="127" t="str">
        <f>IF(Produits!E798="","",Produits!E798)</f>
        <v/>
      </c>
      <c r="F917" s="128" t="str">
        <f>IF(Produits!F798="","",Produits!F798)</f>
        <v/>
      </c>
      <c r="J917" s="140" t="str">
        <f>IF($J$1="","",HLOOKUP($J$1,$M$1:$AAV$1000,917,0))</f>
        <v/>
      </c>
    </row>
    <row r="918" spans="1:10" x14ac:dyDescent="0.25">
      <c r="A918" s="127" t="str">
        <f>IF(Produits!A799="","",Produits!A799)</f>
        <v/>
      </c>
      <c r="B918" s="127" t="str">
        <f>IF(Produits!B799="","",Produits!B799)</f>
        <v/>
      </c>
      <c r="C918" s="127" t="str">
        <f>IF(Produits!C799="","",Produits!C799)</f>
        <v/>
      </c>
      <c r="D918" s="127" t="str">
        <f>IF(Produits!D799="","",Produits!D799)</f>
        <v/>
      </c>
      <c r="E918" s="127" t="str">
        <f>IF(Produits!E799="","",Produits!E799)</f>
        <v/>
      </c>
      <c r="F918" s="128" t="str">
        <f>IF(Produits!F799="","",Produits!F799)</f>
        <v/>
      </c>
      <c r="J918" s="140" t="str">
        <f>IF($J$1="","",HLOOKUP($J$1,$M$1:$AAV$1000,918,0))</f>
        <v/>
      </c>
    </row>
    <row r="919" spans="1:10" x14ac:dyDescent="0.25">
      <c r="A919" s="127" t="str">
        <f>IF(Produits!A800="","",Produits!A800)</f>
        <v/>
      </c>
      <c r="B919" s="127" t="str">
        <f>IF(Produits!B800="","",Produits!B800)</f>
        <v/>
      </c>
      <c r="C919" s="127" t="str">
        <f>IF(Produits!C800="","",Produits!C800)</f>
        <v/>
      </c>
      <c r="D919" s="127" t="str">
        <f>IF(Produits!D800="","",Produits!D800)</f>
        <v/>
      </c>
      <c r="E919" s="127" t="str">
        <f>IF(Produits!E800="","",Produits!E800)</f>
        <v/>
      </c>
      <c r="F919" s="128" t="str">
        <f>IF(Produits!F800="","",Produits!F800)</f>
        <v/>
      </c>
      <c r="J919" s="140" t="str">
        <f>IF($J$1="","",HLOOKUP($J$1,$M$1:$AAV$1000,919,0))</f>
        <v/>
      </c>
    </row>
    <row r="920" spans="1:10" x14ac:dyDescent="0.25">
      <c r="A920" s="127" t="str">
        <f>IF(Produits!A801="","",Produits!A801)</f>
        <v/>
      </c>
      <c r="B920" s="127" t="str">
        <f>IF(Produits!B801="","",Produits!B801)</f>
        <v/>
      </c>
      <c r="C920" s="127" t="str">
        <f>IF(Produits!C801="","",Produits!C801)</f>
        <v/>
      </c>
      <c r="D920" s="127" t="str">
        <f>IF(Produits!D801="","",Produits!D801)</f>
        <v/>
      </c>
      <c r="E920" s="127" t="str">
        <f>IF(Produits!E801="","",Produits!E801)</f>
        <v/>
      </c>
      <c r="F920" s="128" t="str">
        <f>IF(Produits!F801="","",Produits!F801)</f>
        <v/>
      </c>
      <c r="J920" s="140" t="str">
        <f>IF($J$1="","",HLOOKUP($J$1,$M$1:$AAV$1000,920,0))</f>
        <v/>
      </c>
    </row>
    <row r="921" spans="1:10" x14ac:dyDescent="0.25">
      <c r="A921" s="127" t="str">
        <f>IF(Produits!A802="","",Produits!A802)</f>
        <v/>
      </c>
      <c r="B921" s="127" t="str">
        <f>IF(Produits!B802="","",Produits!B802)</f>
        <v/>
      </c>
      <c r="C921" s="127" t="str">
        <f>IF(Produits!C802="","",Produits!C802)</f>
        <v/>
      </c>
      <c r="D921" s="127" t="str">
        <f>IF(Produits!D802="","",Produits!D802)</f>
        <v/>
      </c>
      <c r="E921" s="127" t="str">
        <f>IF(Produits!E802="","",Produits!E802)</f>
        <v/>
      </c>
      <c r="F921" s="128" t="str">
        <f>IF(Produits!F802="","",Produits!F802)</f>
        <v/>
      </c>
      <c r="J921" s="140" t="str">
        <f>IF($J$1="","",HLOOKUP($J$1,$M$1:$AAV$1000,921,0))</f>
        <v/>
      </c>
    </row>
    <row r="922" spans="1:10" x14ac:dyDescent="0.25">
      <c r="A922" s="127" t="str">
        <f>IF(Produits!A803="","",Produits!A803)</f>
        <v/>
      </c>
      <c r="B922" s="127" t="str">
        <f>IF(Produits!B803="","",Produits!B803)</f>
        <v/>
      </c>
      <c r="C922" s="127" t="str">
        <f>IF(Produits!C803="","",Produits!C803)</f>
        <v/>
      </c>
      <c r="D922" s="127" t="str">
        <f>IF(Produits!D803="","",Produits!D803)</f>
        <v/>
      </c>
      <c r="E922" s="127" t="str">
        <f>IF(Produits!E803="","",Produits!E803)</f>
        <v/>
      </c>
      <c r="F922" s="128" t="str">
        <f>IF(Produits!F803="","",Produits!F803)</f>
        <v/>
      </c>
      <c r="J922" s="140" t="str">
        <f>IF($J$1="","",HLOOKUP($J$1,$M$1:$AAV$1000,922,0))</f>
        <v/>
      </c>
    </row>
    <row r="923" spans="1:10" x14ac:dyDescent="0.25">
      <c r="A923" s="127" t="str">
        <f>IF(Produits!A804="","",Produits!A804)</f>
        <v/>
      </c>
      <c r="B923" s="127" t="str">
        <f>IF(Produits!B804="","",Produits!B804)</f>
        <v/>
      </c>
      <c r="C923" s="127" t="str">
        <f>IF(Produits!C804="","",Produits!C804)</f>
        <v/>
      </c>
      <c r="D923" s="127" t="str">
        <f>IF(Produits!D804="","",Produits!D804)</f>
        <v/>
      </c>
      <c r="E923" s="127" t="str">
        <f>IF(Produits!E804="","",Produits!E804)</f>
        <v/>
      </c>
      <c r="F923" s="128" t="str">
        <f>IF(Produits!F804="","",Produits!F804)</f>
        <v/>
      </c>
      <c r="J923" s="140" t="str">
        <f>IF($J$1="","",HLOOKUP($J$1,$M$1:$AAV$1000,923,0))</f>
        <v/>
      </c>
    </row>
    <row r="924" spans="1:10" x14ac:dyDescent="0.25">
      <c r="A924" s="127" t="str">
        <f>IF(Produits!A805="","",Produits!A805)</f>
        <v/>
      </c>
      <c r="B924" s="127" t="str">
        <f>IF(Produits!B805="","",Produits!B805)</f>
        <v/>
      </c>
      <c r="C924" s="127" t="str">
        <f>IF(Produits!C805="","",Produits!C805)</f>
        <v/>
      </c>
      <c r="D924" s="127" t="str">
        <f>IF(Produits!D805="","",Produits!D805)</f>
        <v/>
      </c>
      <c r="E924" s="127" t="str">
        <f>IF(Produits!E805="","",Produits!E805)</f>
        <v/>
      </c>
      <c r="F924" s="128" t="str">
        <f>IF(Produits!F805="","",Produits!F805)</f>
        <v/>
      </c>
      <c r="J924" s="140" t="str">
        <f>IF($J$1="","",HLOOKUP($J$1,$M$1:$AAV$1000,924,0))</f>
        <v/>
      </c>
    </row>
    <row r="925" spans="1:10" x14ac:dyDescent="0.25">
      <c r="A925" s="127" t="str">
        <f>IF(Produits!A806="","",Produits!A806)</f>
        <v/>
      </c>
      <c r="B925" s="127" t="str">
        <f>IF(Produits!B806="","",Produits!B806)</f>
        <v/>
      </c>
      <c r="C925" s="127" t="str">
        <f>IF(Produits!C806="","",Produits!C806)</f>
        <v/>
      </c>
      <c r="D925" s="127" t="str">
        <f>IF(Produits!D806="","",Produits!D806)</f>
        <v/>
      </c>
      <c r="E925" s="127" t="str">
        <f>IF(Produits!E806="","",Produits!E806)</f>
        <v/>
      </c>
      <c r="F925" s="128" t="str">
        <f>IF(Produits!F806="","",Produits!F806)</f>
        <v/>
      </c>
      <c r="J925" s="140" t="str">
        <f>IF($J$1="","",HLOOKUP($J$1,$M$1:$AAV$1000,925,0))</f>
        <v/>
      </c>
    </row>
    <row r="926" spans="1:10" x14ac:dyDescent="0.25">
      <c r="A926" s="127" t="str">
        <f>IF(Produits!A807="","",Produits!A807)</f>
        <v/>
      </c>
      <c r="B926" s="127" t="str">
        <f>IF(Produits!B807="","",Produits!B807)</f>
        <v/>
      </c>
      <c r="C926" s="127" t="str">
        <f>IF(Produits!C807="","",Produits!C807)</f>
        <v/>
      </c>
      <c r="D926" s="127" t="str">
        <f>IF(Produits!D807="","",Produits!D807)</f>
        <v/>
      </c>
      <c r="E926" s="127" t="str">
        <f>IF(Produits!E807="","",Produits!E807)</f>
        <v/>
      </c>
      <c r="F926" s="128" t="str">
        <f>IF(Produits!F807="","",Produits!F807)</f>
        <v/>
      </c>
      <c r="J926" s="140" t="str">
        <f>IF($J$1="","",HLOOKUP($J$1,$M$1:$AAV$1000,926,0))</f>
        <v/>
      </c>
    </row>
    <row r="927" spans="1:10" x14ac:dyDescent="0.25">
      <c r="A927" s="127" t="str">
        <f>IF(Produits!A808="","",Produits!A808)</f>
        <v/>
      </c>
      <c r="B927" s="127" t="str">
        <f>IF(Produits!B808="","",Produits!B808)</f>
        <v/>
      </c>
      <c r="C927" s="127" t="str">
        <f>IF(Produits!C808="","",Produits!C808)</f>
        <v/>
      </c>
      <c r="D927" s="127" t="str">
        <f>IF(Produits!D808="","",Produits!D808)</f>
        <v/>
      </c>
      <c r="E927" s="127" t="str">
        <f>IF(Produits!E808="","",Produits!E808)</f>
        <v/>
      </c>
      <c r="F927" s="128" t="str">
        <f>IF(Produits!F808="","",Produits!F808)</f>
        <v/>
      </c>
      <c r="J927" s="140" t="str">
        <f>IF($J$1="","",HLOOKUP($J$1,$M$1:$AAV$1000,927,0))</f>
        <v/>
      </c>
    </row>
    <row r="928" spans="1:10" x14ac:dyDescent="0.25">
      <c r="A928" s="127" t="str">
        <f>IF(Produits!A809="","",Produits!A809)</f>
        <v/>
      </c>
      <c r="B928" s="127" t="str">
        <f>IF(Produits!B809="","",Produits!B809)</f>
        <v/>
      </c>
      <c r="C928" s="127" t="str">
        <f>IF(Produits!C809="","",Produits!C809)</f>
        <v/>
      </c>
      <c r="D928" s="127" t="str">
        <f>IF(Produits!D809="","",Produits!D809)</f>
        <v/>
      </c>
      <c r="E928" s="127" t="str">
        <f>IF(Produits!E809="","",Produits!E809)</f>
        <v/>
      </c>
      <c r="F928" s="128" t="str">
        <f>IF(Produits!F809="","",Produits!F809)</f>
        <v/>
      </c>
      <c r="J928" s="140" t="str">
        <f>IF($J$1="","",HLOOKUP($J$1,$M$1:$AAV$1000,928,0))</f>
        <v/>
      </c>
    </row>
    <row r="929" spans="1:10" x14ac:dyDescent="0.25">
      <c r="A929" s="127" t="str">
        <f>IF(Produits!A810="","",Produits!A810)</f>
        <v/>
      </c>
      <c r="B929" s="127" t="str">
        <f>IF(Produits!B810="","",Produits!B810)</f>
        <v/>
      </c>
      <c r="C929" s="127" t="str">
        <f>IF(Produits!C810="","",Produits!C810)</f>
        <v/>
      </c>
      <c r="D929" s="127" t="str">
        <f>IF(Produits!D810="","",Produits!D810)</f>
        <v/>
      </c>
      <c r="E929" s="127" t="str">
        <f>IF(Produits!E810="","",Produits!E810)</f>
        <v/>
      </c>
      <c r="F929" s="128" t="str">
        <f>IF(Produits!F810="","",Produits!F810)</f>
        <v/>
      </c>
      <c r="J929" s="140" t="str">
        <f>IF($J$1="","",HLOOKUP($J$1,$M$1:$AAV$1000,929,0))</f>
        <v/>
      </c>
    </row>
    <row r="930" spans="1:10" x14ac:dyDescent="0.25">
      <c r="A930" s="127" t="str">
        <f>IF(Produits!A811="","",Produits!A811)</f>
        <v/>
      </c>
      <c r="B930" s="127" t="str">
        <f>IF(Produits!B811="","",Produits!B811)</f>
        <v/>
      </c>
      <c r="C930" s="127" t="str">
        <f>IF(Produits!C811="","",Produits!C811)</f>
        <v/>
      </c>
      <c r="D930" s="127" t="str">
        <f>IF(Produits!D811="","",Produits!D811)</f>
        <v/>
      </c>
      <c r="E930" s="127" t="str">
        <f>IF(Produits!E811="","",Produits!E811)</f>
        <v/>
      </c>
      <c r="F930" s="128" t="str">
        <f>IF(Produits!F811="","",Produits!F811)</f>
        <v/>
      </c>
      <c r="J930" s="140" t="str">
        <f>IF($J$1="","",HLOOKUP($J$1,$M$1:$AAV$1000,930,0))</f>
        <v/>
      </c>
    </row>
    <row r="931" spans="1:10" x14ac:dyDescent="0.25">
      <c r="A931" s="127" t="str">
        <f>IF(Produits!A812="","",Produits!A812)</f>
        <v/>
      </c>
      <c r="B931" s="127" t="str">
        <f>IF(Produits!B812="","",Produits!B812)</f>
        <v/>
      </c>
      <c r="C931" s="127" t="str">
        <f>IF(Produits!C812="","",Produits!C812)</f>
        <v/>
      </c>
      <c r="D931" s="127" t="str">
        <f>IF(Produits!D812="","",Produits!D812)</f>
        <v/>
      </c>
      <c r="E931" s="127" t="str">
        <f>IF(Produits!E812="","",Produits!E812)</f>
        <v/>
      </c>
      <c r="F931" s="128" t="str">
        <f>IF(Produits!F812="","",Produits!F812)</f>
        <v/>
      </c>
      <c r="J931" s="140" t="str">
        <f>IF($J$1="","",HLOOKUP($J$1,$M$1:$AAV$1000,931,0))</f>
        <v/>
      </c>
    </row>
    <row r="932" spans="1:10" x14ac:dyDescent="0.25">
      <c r="A932" s="127" t="str">
        <f>IF(Produits!A813="","",Produits!A813)</f>
        <v/>
      </c>
      <c r="B932" s="127" t="str">
        <f>IF(Produits!B813="","",Produits!B813)</f>
        <v/>
      </c>
      <c r="C932" s="127" t="str">
        <f>IF(Produits!C813="","",Produits!C813)</f>
        <v/>
      </c>
      <c r="D932" s="127" t="str">
        <f>IF(Produits!D813="","",Produits!D813)</f>
        <v/>
      </c>
      <c r="E932" s="127" t="str">
        <f>IF(Produits!E813="","",Produits!E813)</f>
        <v/>
      </c>
      <c r="F932" s="128" t="str">
        <f>IF(Produits!F813="","",Produits!F813)</f>
        <v/>
      </c>
      <c r="J932" s="140" t="str">
        <f>IF($J$1="","",HLOOKUP($J$1,$M$1:$AAV$1000,932,0))</f>
        <v/>
      </c>
    </row>
    <row r="933" spans="1:10" x14ac:dyDescent="0.25">
      <c r="A933" s="127" t="str">
        <f>IF(Produits!A814="","",Produits!A814)</f>
        <v/>
      </c>
      <c r="B933" s="127" t="str">
        <f>IF(Produits!B814="","",Produits!B814)</f>
        <v/>
      </c>
      <c r="C933" s="127" t="str">
        <f>IF(Produits!C814="","",Produits!C814)</f>
        <v/>
      </c>
      <c r="D933" s="127" t="str">
        <f>IF(Produits!D814="","",Produits!D814)</f>
        <v/>
      </c>
      <c r="E933" s="127" t="str">
        <f>IF(Produits!E814="","",Produits!E814)</f>
        <v/>
      </c>
      <c r="F933" s="128" t="str">
        <f>IF(Produits!F814="","",Produits!F814)</f>
        <v/>
      </c>
      <c r="J933" s="140" t="str">
        <f>IF($J$1="","",HLOOKUP($J$1,$M$1:$AAV$1000,933,0))</f>
        <v/>
      </c>
    </row>
    <row r="934" spans="1:10" x14ac:dyDescent="0.25">
      <c r="A934" s="127" t="str">
        <f>IF(Produits!A815="","",Produits!A815)</f>
        <v/>
      </c>
      <c r="B934" s="127" t="str">
        <f>IF(Produits!B815="","",Produits!B815)</f>
        <v/>
      </c>
      <c r="C934" s="127" t="str">
        <f>IF(Produits!C815="","",Produits!C815)</f>
        <v/>
      </c>
      <c r="D934" s="127" t="str">
        <f>IF(Produits!D815="","",Produits!D815)</f>
        <v/>
      </c>
      <c r="E934" s="127" t="str">
        <f>IF(Produits!E815="","",Produits!E815)</f>
        <v/>
      </c>
      <c r="F934" s="128" t="str">
        <f>IF(Produits!F815="","",Produits!F815)</f>
        <v/>
      </c>
      <c r="J934" s="140" t="str">
        <f>IF($J$1="","",HLOOKUP($J$1,$M$1:$AAV$1000,934,0))</f>
        <v/>
      </c>
    </row>
    <row r="935" spans="1:10" x14ac:dyDescent="0.25">
      <c r="A935" s="127" t="str">
        <f>IF(Produits!A816="","",Produits!A816)</f>
        <v/>
      </c>
      <c r="B935" s="127" t="str">
        <f>IF(Produits!B816="","",Produits!B816)</f>
        <v/>
      </c>
      <c r="C935" s="127" t="str">
        <f>IF(Produits!C816="","",Produits!C816)</f>
        <v/>
      </c>
      <c r="D935" s="127" t="str">
        <f>IF(Produits!D816="","",Produits!D816)</f>
        <v/>
      </c>
      <c r="E935" s="127" t="str">
        <f>IF(Produits!E816="","",Produits!E816)</f>
        <v/>
      </c>
      <c r="F935" s="128" t="str">
        <f>IF(Produits!F816="","",Produits!F816)</f>
        <v/>
      </c>
      <c r="J935" s="140" t="str">
        <f>IF($J$1="","",HLOOKUP($J$1,$M$1:$AAV$1000,935,0))</f>
        <v/>
      </c>
    </row>
    <row r="936" spans="1:10" x14ac:dyDescent="0.25">
      <c r="A936" s="127" t="str">
        <f>IF(Produits!A817="","",Produits!A817)</f>
        <v/>
      </c>
      <c r="B936" s="127" t="str">
        <f>IF(Produits!B817="","",Produits!B817)</f>
        <v/>
      </c>
      <c r="C936" s="127" t="str">
        <f>IF(Produits!C817="","",Produits!C817)</f>
        <v/>
      </c>
      <c r="D936" s="127" t="str">
        <f>IF(Produits!D817="","",Produits!D817)</f>
        <v/>
      </c>
      <c r="E936" s="127" t="str">
        <f>IF(Produits!E817="","",Produits!E817)</f>
        <v/>
      </c>
      <c r="F936" s="128" t="str">
        <f>IF(Produits!F817="","",Produits!F817)</f>
        <v/>
      </c>
      <c r="J936" s="140" t="str">
        <f>IF($J$1="","",HLOOKUP($J$1,$M$1:$AAV$1000,936,0))</f>
        <v/>
      </c>
    </row>
    <row r="937" spans="1:10" x14ac:dyDescent="0.25">
      <c r="A937" s="127" t="str">
        <f>IF(Produits!A818="","",Produits!A818)</f>
        <v/>
      </c>
      <c r="B937" s="127" t="str">
        <f>IF(Produits!B818="","",Produits!B818)</f>
        <v/>
      </c>
      <c r="C937" s="127" t="str">
        <f>IF(Produits!C818="","",Produits!C818)</f>
        <v/>
      </c>
      <c r="D937" s="127" t="str">
        <f>IF(Produits!D818="","",Produits!D818)</f>
        <v/>
      </c>
      <c r="E937" s="127" t="str">
        <f>IF(Produits!E818="","",Produits!E818)</f>
        <v/>
      </c>
      <c r="F937" s="128" t="str">
        <f>IF(Produits!F818="","",Produits!F818)</f>
        <v/>
      </c>
      <c r="J937" s="140" t="str">
        <f>IF($J$1="","",HLOOKUP($J$1,$M$1:$AAV$1000,937,0))</f>
        <v/>
      </c>
    </row>
    <row r="938" spans="1:10" x14ac:dyDescent="0.25">
      <c r="A938" s="127" t="str">
        <f>IF(Produits!A819="","",Produits!A819)</f>
        <v/>
      </c>
      <c r="B938" s="127" t="str">
        <f>IF(Produits!B819="","",Produits!B819)</f>
        <v/>
      </c>
      <c r="C938" s="127" t="str">
        <f>IF(Produits!C819="","",Produits!C819)</f>
        <v/>
      </c>
      <c r="D938" s="127" t="str">
        <f>IF(Produits!D819="","",Produits!D819)</f>
        <v/>
      </c>
      <c r="E938" s="127" t="str">
        <f>IF(Produits!E819="","",Produits!E819)</f>
        <v/>
      </c>
      <c r="F938" s="128" t="str">
        <f>IF(Produits!F819="","",Produits!F819)</f>
        <v/>
      </c>
      <c r="J938" s="140" t="str">
        <f>IF($J$1="","",HLOOKUP($J$1,$M$1:$AAV$1000,938,0))</f>
        <v/>
      </c>
    </row>
    <row r="939" spans="1:10" x14ac:dyDescent="0.25">
      <c r="A939" s="127" t="str">
        <f>IF(Produits!A820="","",Produits!A820)</f>
        <v/>
      </c>
      <c r="B939" s="127" t="str">
        <f>IF(Produits!B820="","",Produits!B820)</f>
        <v/>
      </c>
      <c r="C939" s="127" t="str">
        <f>IF(Produits!C820="","",Produits!C820)</f>
        <v/>
      </c>
      <c r="D939" s="127" t="str">
        <f>IF(Produits!D820="","",Produits!D820)</f>
        <v/>
      </c>
      <c r="E939" s="127" t="str">
        <f>IF(Produits!E820="","",Produits!E820)</f>
        <v/>
      </c>
      <c r="F939" s="128" t="str">
        <f>IF(Produits!F820="","",Produits!F820)</f>
        <v/>
      </c>
      <c r="J939" s="140" t="str">
        <f>IF($J$1="","",HLOOKUP($J$1,$M$1:$AAV$1000,939,0))</f>
        <v/>
      </c>
    </row>
    <row r="940" spans="1:10" x14ac:dyDescent="0.25">
      <c r="A940" s="127" t="str">
        <f>IF(Produits!A821="","",Produits!A821)</f>
        <v/>
      </c>
      <c r="B940" s="127" t="str">
        <f>IF(Produits!B821="","",Produits!B821)</f>
        <v/>
      </c>
      <c r="C940" s="127" t="str">
        <f>IF(Produits!C821="","",Produits!C821)</f>
        <v/>
      </c>
      <c r="D940" s="127" t="str">
        <f>IF(Produits!D821="","",Produits!D821)</f>
        <v/>
      </c>
      <c r="E940" s="127" t="str">
        <f>IF(Produits!E821="","",Produits!E821)</f>
        <v/>
      </c>
      <c r="F940" s="128" t="str">
        <f>IF(Produits!F821="","",Produits!F821)</f>
        <v/>
      </c>
      <c r="J940" s="140" t="str">
        <f>IF($J$1="","",HLOOKUP($J$1,$M$1:$AAV$1000,940,0))</f>
        <v/>
      </c>
    </row>
    <row r="941" spans="1:10" x14ac:dyDescent="0.25">
      <c r="A941" s="127" t="str">
        <f>IF(Produits!A822="","",Produits!A822)</f>
        <v/>
      </c>
      <c r="B941" s="127" t="str">
        <f>IF(Produits!B822="","",Produits!B822)</f>
        <v/>
      </c>
      <c r="C941" s="127" t="str">
        <f>IF(Produits!C822="","",Produits!C822)</f>
        <v/>
      </c>
      <c r="D941" s="127" t="str">
        <f>IF(Produits!D822="","",Produits!D822)</f>
        <v/>
      </c>
      <c r="E941" s="127" t="str">
        <f>IF(Produits!E822="","",Produits!E822)</f>
        <v/>
      </c>
      <c r="F941" s="128" t="str">
        <f>IF(Produits!F822="","",Produits!F822)</f>
        <v/>
      </c>
      <c r="J941" s="140" t="str">
        <f>IF($J$1="","",HLOOKUP($J$1,$M$1:$AAV$1000,941,0))</f>
        <v/>
      </c>
    </row>
    <row r="942" spans="1:10" x14ac:dyDescent="0.25">
      <c r="A942" s="127" t="str">
        <f>IF(Produits!A823="","",Produits!A823)</f>
        <v/>
      </c>
      <c r="B942" s="127" t="str">
        <f>IF(Produits!B823="","",Produits!B823)</f>
        <v/>
      </c>
      <c r="C942" s="127" t="str">
        <f>IF(Produits!C823="","",Produits!C823)</f>
        <v/>
      </c>
      <c r="D942" s="127" t="str">
        <f>IF(Produits!D823="","",Produits!D823)</f>
        <v/>
      </c>
      <c r="E942" s="127" t="str">
        <f>IF(Produits!E823="","",Produits!E823)</f>
        <v/>
      </c>
      <c r="F942" s="128" t="str">
        <f>IF(Produits!F823="","",Produits!F823)</f>
        <v/>
      </c>
      <c r="J942" s="140" t="str">
        <f>IF($J$1="","",HLOOKUP($J$1,$M$1:$AAV$1000,942,0))</f>
        <v/>
      </c>
    </row>
    <row r="943" spans="1:10" x14ac:dyDescent="0.25">
      <c r="A943" s="127" t="str">
        <f>IF(Produits!A824="","",Produits!A824)</f>
        <v/>
      </c>
      <c r="B943" s="127" t="str">
        <f>IF(Produits!B824="","",Produits!B824)</f>
        <v/>
      </c>
      <c r="C943" s="127" t="str">
        <f>IF(Produits!C824="","",Produits!C824)</f>
        <v/>
      </c>
      <c r="D943" s="127" t="str">
        <f>IF(Produits!D824="","",Produits!D824)</f>
        <v/>
      </c>
      <c r="E943" s="127" t="str">
        <f>IF(Produits!E824="","",Produits!E824)</f>
        <v/>
      </c>
      <c r="F943" s="128" t="str">
        <f>IF(Produits!F824="","",Produits!F824)</f>
        <v/>
      </c>
      <c r="J943" s="140" t="str">
        <f>IF($J$1="","",HLOOKUP($J$1,$M$1:$AAV$1000,943,0))</f>
        <v/>
      </c>
    </row>
    <row r="944" spans="1:10" x14ac:dyDescent="0.25">
      <c r="A944" s="127" t="str">
        <f>IF(Produits!A825="","",Produits!A825)</f>
        <v/>
      </c>
      <c r="B944" s="127" t="str">
        <f>IF(Produits!B825="","",Produits!B825)</f>
        <v/>
      </c>
      <c r="C944" s="127" t="str">
        <f>IF(Produits!C825="","",Produits!C825)</f>
        <v/>
      </c>
      <c r="D944" s="127" t="str">
        <f>IF(Produits!D825="","",Produits!D825)</f>
        <v/>
      </c>
      <c r="E944" s="127" t="str">
        <f>IF(Produits!E825="","",Produits!E825)</f>
        <v/>
      </c>
      <c r="F944" s="128" t="str">
        <f>IF(Produits!F825="","",Produits!F825)</f>
        <v/>
      </c>
      <c r="J944" s="140" t="str">
        <f>IF($J$1="","",HLOOKUP($J$1,$M$1:$AAV$1000,944,0))</f>
        <v/>
      </c>
    </row>
    <row r="945" spans="1:10" x14ac:dyDescent="0.25">
      <c r="A945" s="127" t="str">
        <f>IF(Produits!A826="","",Produits!A826)</f>
        <v/>
      </c>
      <c r="B945" s="127" t="str">
        <f>IF(Produits!B826="","",Produits!B826)</f>
        <v/>
      </c>
      <c r="C945" s="127" t="str">
        <f>IF(Produits!C826="","",Produits!C826)</f>
        <v/>
      </c>
      <c r="D945" s="127" t="str">
        <f>IF(Produits!D826="","",Produits!D826)</f>
        <v/>
      </c>
      <c r="E945" s="127" t="str">
        <f>IF(Produits!E826="","",Produits!E826)</f>
        <v/>
      </c>
      <c r="F945" s="128" t="str">
        <f>IF(Produits!F826="","",Produits!F826)</f>
        <v/>
      </c>
      <c r="J945" s="140" t="str">
        <f>IF($J$1="","",HLOOKUP($J$1,$M$1:$AAV$1000,945,0))</f>
        <v/>
      </c>
    </row>
    <row r="946" spans="1:10" x14ac:dyDescent="0.25">
      <c r="A946" s="127" t="str">
        <f>IF(Produits!A827="","",Produits!A827)</f>
        <v/>
      </c>
      <c r="B946" s="127" t="str">
        <f>IF(Produits!B827="","",Produits!B827)</f>
        <v/>
      </c>
      <c r="C946" s="127" t="str">
        <f>IF(Produits!C827="","",Produits!C827)</f>
        <v/>
      </c>
      <c r="D946" s="127" t="str">
        <f>IF(Produits!D827="","",Produits!D827)</f>
        <v/>
      </c>
      <c r="E946" s="127" t="str">
        <f>IF(Produits!E827="","",Produits!E827)</f>
        <v/>
      </c>
      <c r="F946" s="128" t="str">
        <f>IF(Produits!F827="","",Produits!F827)</f>
        <v/>
      </c>
      <c r="J946" s="140" t="str">
        <f>IF($J$1="","",HLOOKUP($J$1,$M$1:$AAV$1000,946,0))</f>
        <v/>
      </c>
    </row>
    <row r="947" spans="1:10" x14ac:dyDescent="0.25">
      <c r="A947" s="127" t="str">
        <f>IF(Produits!A828="","",Produits!A828)</f>
        <v/>
      </c>
      <c r="B947" s="127" t="str">
        <f>IF(Produits!B828="","",Produits!B828)</f>
        <v/>
      </c>
      <c r="C947" s="127" t="str">
        <f>IF(Produits!C828="","",Produits!C828)</f>
        <v/>
      </c>
      <c r="D947" s="127" t="str">
        <f>IF(Produits!D828="","",Produits!D828)</f>
        <v/>
      </c>
      <c r="E947" s="127" t="str">
        <f>IF(Produits!E828="","",Produits!E828)</f>
        <v/>
      </c>
      <c r="F947" s="128" t="str">
        <f>IF(Produits!F828="","",Produits!F828)</f>
        <v/>
      </c>
      <c r="J947" s="140" t="str">
        <f>IF($J$1="","",HLOOKUP($J$1,$M$1:$AAV$1000,947,0))</f>
        <v/>
      </c>
    </row>
    <row r="948" spans="1:10" x14ac:dyDescent="0.25">
      <c r="A948" s="127" t="str">
        <f>IF(Produits!A829="","",Produits!A829)</f>
        <v/>
      </c>
      <c r="B948" s="127" t="str">
        <f>IF(Produits!B829="","",Produits!B829)</f>
        <v/>
      </c>
      <c r="C948" s="127" t="str">
        <f>IF(Produits!C829="","",Produits!C829)</f>
        <v/>
      </c>
      <c r="D948" s="127" t="str">
        <f>IF(Produits!D829="","",Produits!D829)</f>
        <v/>
      </c>
      <c r="E948" s="127" t="str">
        <f>IF(Produits!E829="","",Produits!E829)</f>
        <v/>
      </c>
      <c r="F948" s="128" t="str">
        <f>IF(Produits!F829="","",Produits!F829)</f>
        <v/>
      </c>
      <c r="J948" s="140" t="str">
        <f>IF($J$1="","",HLOOKUP($J$1,$M$1:$AAV$1000,948,0))</f>
        <v/>
      </c>
    </row>
    <row r="949" spans="1:10" x14ac:dyDescent="0.25">
      <c r="A949" s="127" t="str">
        <f>IF(Produits!A830="","",Produits!A830)</f>
        <v/>
      </c>
      <c r="B949" s="127" t="str">
        <f>IF(Produits!B830="","",Produits!B830)</f>
        <v/>
      </c>
      <c r="C949" s="127" t="str">
        <f>IF(Produits!C830="","",Produits!C830)</f>
        <v/>
      </c>
      <c r="D949" s="127" t="str">
        <f>IF(Produits!D830="","",Produits!D830)</f>
        <v/>
      </c>
      <c r="E949" s="127" t="str">
        <f>IF(Produits!E830="","",Produits!E830)</f>
        <v/>
      </c>
      <c r="F949" s="128" t="str">
        <f>IF(Produits!F830="","",Produits!F830)</f>
        <v/>
      </c>
      <c r="J949" s="140" t="str">
        <f>IF($J$1="","",HLOOKUP($J$1,$M$1:$AAV$1000,949,0))</f>
        <v/>
      </c>
    </row>
    <row r="950" spans="1:10" x14ac:dyDescent="0.25">
      <c r="A950" s="127" t="str">
        <f>IF(Produits!A831="","",Produits!A831)</f>
        <v/>
      </c>
      <c r="B950" s="127" t="str">
        <f>IF(Produits!B831="","",Produits!B831)</f>
        <v/>
      </c>
      <c r="C950" s="127" t="str">
        <f>IF(Produits!C831="","",Produits!C831)</f>
        <v/>
      </c>
      <c r="D950" s="127" t="str">
        <f>IF(Produits!D831="","",Produits!D831)</f>
        <v/>
      </c>
      <c r="E950" s="127" t="str">
        <f>IF(Produits!E831="","",Produits!E831)</f>
        <v/>
      </c>
      <c r="F950" s="128" t="str">
        <f>IF(Produits!F831="","",Produits!F831)</f>
        <v/>
      </c>
      <c r="J950" s="140" t="str">
        <f>IF($J$1="","",HLOOKUP($J$1,$M$1:$AAV$1000,950,0))</f>
        <v/>
      </c>
    </row>
    <row r="951" spans="1:10" x14ac:dyDescent="0.25">
      <c r="A951" s="127" t="str">
        <f>IF(Produits!A832="","",Produits!A832)</f>
        <v/>
      </c>
      <c r="B951" s="127" t="str">
        <f>IF(Produits!B832="","",Produits!B832)</f>
        <v/>
      </c>
      <c r="C951" s="127" t="str">
        <f>IF(Produits!C832="","",Produits!C832)</f>
        <v/>
      </c>
      <c r="D951" s="127" t="str">
        <f>IF(Produits!D832="","",Produits!D832)</f>
        <v/>
      </c>
      <c r="E951" s="127" t="str">
        <f>IF(Produits!E832="","",Produits!E832)</f>
        <v/>
      </c>
      <c r="F951" s="128" t="str">
        <f>IF(Produits!F832="","",Produits!F832)</f>
        <v/>
      </c>
      <c r="J951" s="140" t="str">
        <f>IF($J$1="","",HLOOKUP($J$1,$M$1:$AAV$1000,951,0))</f>
        <v/>
      </c>
    </row>
    <row r="952" spans="1:10" x14ac:dyDescent="0.25">
      <c r="A952" s="127" t="str">
        <f>IF(Produits!A833="","",Produits!A833)</f>
        <v/>
      </c>
      <c r="B952" s="127" t="str">
        <f>IF(Produits!B833="","",Produits!B833)</f>
        <v/>
      </c>
      <c r="C952" s="127" t="str">
        <f>IF(Produits!C833="","",Produits!C833)</f>
        <v/>
      </c>
      <c r="D952" s="127" t="str">
        <f>IF(Produits!D833="","",Produits!D833)</f>
        <v/>
      </c>
      <c r="E952" s="127" t="str">
        <f>IF(Produits!E833="","",Produits!E833)</f>
        <v/>
      </c>
      <c r="F952" s="128" t="str">
        <f>IF(Produits!F833="","",Produits!F833)</f>
        <v/>
      </c>
      <c r="J952" s="140" t="str">
        <f>IF($J$1="","",HLOOKUP($J$1,$M$1:$AAV$1000,952,0))</f>
        <v/>
      </c>
    </row>
    <row r="953" spans="1:10" x14ac:dyDescent="0.25">
      <c r="A953" s="127" t="str">
        <f>IF(Produits!A834="","",Produits!A834)</f>
        <v/>
      </c>
      <c r="B953" s="127" t="str">
        <f>IF(Produits!B834="","",Produits!B834)</f>
        <v/>
      </c>
      <c r="C953" s="127" t="str">
        <f>IF(Produits!C834="","",Produits!C834)</f>
        <v/>
      </c>
      <c r="D953" s="127" t="str">
        <f>IF(Produits!D834="","",Produits!D834)</f>
        <v/>
      </c>
      <c r="E953" s="127" t="str">
        <f>IF(Produits!E834="","",Produits!E834)</f>
        <v/>
      </c>
      <c r="F953" s="128" t="str">
        <f>IF(Produits!F834="","",Produits!F834)</f>
        <v/>
      </c>
      <c r="J953" s="140" t="str">
        <f>IF($J$1="","",HLOOKUP($J$1,$M$1:$AAV$1000,953,0))</f>
        <v/>
      </c>
    </row>
    <row r="954" spans="1:10" x14ac:dyDescent="0.25">
      <c r="A954" s="127" t="str">
        <f>IF(Produits!A835="","",Produits!A835)</f>
        <v/>
      </c>
      <c r="B954" s="127" t="str">
        <f>IF(Produits!B835="","",Produits!B835)</f>
        <v/>
      </c>
      <c r="C954" s="127" t="str">
        <f>IF(Produits!C835="","",Produits!C835)</f>
        <v/>
      </c>
      <c r="D954" s="127" t="str">
        <f>IF(Produits!D835="","",Produits!D835)</f>
        <v/>
      </c>
      <c r="E954" s="127" t="str">
        <f>IF(Produits!E835="","",Produits!E835)</f>
        <v/>
      </c>
      <c r="F954" s="128" t="str">
        <f>IF(Produits!F835="","",Produits!F835)</f>
        <v/>
      </c>
      <c r="J954" s="140" t="str">
        <f>IF($J$1="","",HLOOKUP($J$1,$M$1:$AAV$1000,954,0))</f>
        <v/>
      </c>
    </row>
    <row r="955" spans="1:10" x14ac:dyDescent="0.25">
      <c r="A955" s="127" t="str">
        <f>IF(Produits!A836="","",Produits!A836)</f>
        <v/>
      </c>
      <c r="B955" s="127" t="str">
        <f>IF(Produits!B836="","",Produits!B836)</f>
        <v/>
      </c>
      <c r="C955" s="127" t="str">
        <f>IF(Produits!C836="","",Produits!C836)</f>
        <v/>
      </c>
      <c r="D955" s="127" t="str">
        <f>IF(Produits!D836="","",Produits!D836)</f>
        <v/>
      </c>
      <c r="E955" s="127" t="str">
        <f>IF(Produits!E836="","",Produits!E836)</f>
        <v/>
      </c>
      <c r="F955" s="128" t="str">
        <f>IF(Produits!F836="","",Produits!F836)</f>
        <v/>
      </c>
      <c r="J955" s="140" t="str">
        <f>IF($J$1="","",HLOOKUP($J$1,$M$1:$AAV$1000,955,0))</f>
        <v/>
      </c>
    </row>
    <row r="956" spans="1:10" x14ac:dyDescent="0.25">
      <c r="A956" s="127" t="str">
        <f>IF(Produits!A837="","",Produits!A837)</f>
        <v/>
      </c>
      <c r="B956" s="127" t="str">
        <f>IF(Produits!B837="","",Produits!B837)</f>
        <v/>
      </c>
      <c r="C956" s="127" t="str">
        <f>IF(Produits!C837="","",Produits!C837)</f>
        <v/>
      </c>
      <c r="D956" s="127" t="str">
        <f>IF(Produits!D837="","",Produits!D837)</f>
        <v/>
      </c>
      <c r="E956" s="127" t="str">
        <f>IF(Produits!E837="","",Produits!E837)</f>
        <v/>
      </c>
      <c r="F956" s="128" t="str">
        <f>IF(Produits!F837="","",Produits!F837)</f>
        <v/>
      </c>
      <c r="J956" s="140" t="str">
        <f>IF($J$1="","",HLOOKUP($J$1,$M$1:$AAV$1000,956,0))</f>
        <v/>
      </c>
    </row>
    <row r="957" spans="1:10" x14ac:dyDescent="0.25">
      <c r="A957" s="127" t="str">
        <f>IF(Produits!A838="","",Produits!A838)</f>
        <v/>
      </c>
      <c r="B957" s="127" t="str">
        <f>IF(Produits!B838="","",Produits!B838)</f>
        <v/>
      </c>
      <c r="C957" s="127" t="str">
        <f>IF(Produits!C838="","",Produits!C838)</f>
        <v/>
      </c>
      <c r="D957" s="127" t="str">
        <f>IF(Produits!D838="","",Produits!D838)</f>
        <v/>
      </c>
      <c r="E957" s="127" t="str">
        <f>IF(Produits!E838="","",Produits!E838)</f>
        <v/>
      </c>
      <c r="F957" s="128" t="str">
        <f>IF(Produits!F838="","",Produits!F838)</f>
        <v/>
      </c>
      <c r="J957" s="140" t="str">
        <f>IF($J$1="","",HLOOKUP($J$1,$M$1:$AAV$1000,957,0))</f>
        <v/>
      </c>
    </row>
    <row r="958" spans="1:10" x14ac:dyDescent="0.25">
      <c r="A958" s="127" t="str">
        <f>IF(Produits!A839="","",Produits!A839)</f>
        <v/>
      </c>
      <c r="B958" s="127" t="str">
        <f>IF(Produits!B839="","",Produits!B839)</f>
        <v/>
      </c>
      <c r="C958" s="127" t="str">
        <f>IF(Produits!C839="","",Produits!C839)</f>
        <v/>
      </c>
      <c r="D958" s="127" t="str">
        <f>IF(Produits!D839="","",Produits!D839)</f>
        <v/>
      </c>
      <c r="E958" s="127" t="str">
        <f>IF(Produits!E839="","",Produits!E839)</f>
        <v/>
      </c>
      <c r="F958" s="128" t="str">
        <f>IF(Produits!F839="","",Produits!F839)</f>
        <v/>
      </c>
      <c r="J958" s="140" t="str">
        <f>IF($J$1="","",HLOOKUP($J$1,$M$1:$AAV$1000,958,0))</f>
        <v/>
      </c>
    </row>
    <row r="959" spans="1:10" x14ac:dyDescent="0.25">
      <c r="A959" s="127" t="str">
        <f>IF(Produits!A840="","",Produits!A840)</f>
        <v/>
      </c>
      <c r="B959" s="127" t="str">
        <f>IF(Produits!B840="","",Produits!B840)</f>
        <v/>
      </c>
      <c r="C959" s="127" t="str">
        <f>IF(Produits!C840="","",Produits!C840)</f>
        <v/>
      </c>
      <c r="D959" s="127" t="str">
        <f>IF(Produits!D840="","",Produits!D840)</f>
        <v/>
      </c>
      <c r="E959" s="127" t="str">
        <f>IF(Produits!E840="","",Produits!E840)</f>
        <v/>
      </c>
      <c r="F959" s="128" t="str">
        <f>IF(Produits!F840="","",Produits!F840)</f>
        <v/>
      </c>
      <c r="J959" s="140" t="str">
        <f>IF($J$1="","",HLOOKUP($J$1,$M$1:$AAV$1000,959,0))</f>
        <v/>
      </c>
    </row>
    <row r="960" spans="1:10" x14ac:dyDescent="0.25">
      <c r="A960" s="127" t="str">
        <f>IF(Produits!A841="","",Produits!A841)</f>
        <v/>
      </c>
      <c r="B960" s="127" t="str">
        <f>IF(Produits!B841="","",Produits!B841)</f>
        <v/>
      </c>
      <c r="C960" s="127" t="str">
        <f>IF(Produits!C841="","",Produits!C841)</f>
        <v/>
      </c>
      <c r="D960" s="127" t="str">
        <f>IF(Produits!D841="","",Produits!D841)</f>
        <v/>
      </c>
      <c r="E960" s="127" t="str">
        <f>IF(Produits!E841="","",Produits!E841)</f>
        <v/>
      </c>
      <c r="F960" s="128" t="str">
        <f>IF(Produits!F841="","",Produits!F841)</f>
        <v/>
      </c>
      <c r="J960" s="140" t="str">
        <f>IF($J$1="","",HLOOKUP($J$1,$M$1:$AAV$1000,960,0))</f>
        <v/>
      </c>
    </row>
    <row r="961" spans="1:10" x14ac:dyDescent="0.25">
      <c r="A961" s="127" t="str">
        <f>IF(Produits!A842="","",Produits!A842)</f>
        <v/>
      </c>
      <c r="B961" s="127" t="str">
        <f>IF(Produits!B842="","",Produits!B842)</f>
        <v/>
      </c>
      <c r="C961" s="127" t="str">
        <f>IF(Produits!C842="","",Produits!C842)</f>
        <v/>
      </c>
      <c r="D961" s="127" t="str">
        <f>IF(Produits!D842="","",Produits!D842)</f>
        <v/>
      </c>
      <c r="E961" s="127" t="str">
        <f>IF(Produits!E842="","",Produits!E842)</f>
        <v/>
      </c>
      <c r="F961" s="128" t="str">
        <f>IF(Produits!F842="","",Produits!F842)</f>
        <v/>
      </c>
      <c r="J961" s="140" t="str">
        <f>IF($J$1="","",HLOOKUP($J$1,$M$1:$AAV$1000,961,0))</f>
        <v/>
      </c>
    </row>
    <row r="962" spans="1:10" x14ac:dyDescent="0.25">
      <c r="A962" s="127" t="str">
        <f>IF(Produits!A843="","",Produits!A843)</f>
        <v/>
      </c>
      <c r="B962" s="127" t="str">
        <f>IF(Produits!B843="","",Produits!B843)</f>
        <v/>
      </c>
      <c r="C962" s="127" t="str">
        <f>IF(Produits!C843="","",Produits!C843)</f>
        <v/>
      </c>
      <c r="D962" s="127" t="str">
        <f>IF(Produits!D843="","",Produits!D843)</f>
        <v/>
      </c>
      <c r="E962" s="127" t="str">
        <f>IF(Produits!E843="","",Produits!E843)</f>
        <v/>
      </c>
      <c r="F962" s="128" t="str">
        <f>IF(Produits!F843="","",Produits!F843)</f>
        <v/>
      </c>
      <c r="J962" s="140" t="str">
        <f>IF($J$1="","",HLOOKUP($J$1,$M$1:$AAV$1000,962,0))</f>
        <v/>
      </c>
    </row>
    <row r="963" spans="1:10" x14ac:dyDescent="0.25">
      <c r="A963" s="127" t="str">
        <f>IF(Produits!A844="","",Produits!A844)</f>
        <v/>
      </c>
      <c r="B963" s="127" t="str">
        <f>IF(Produits!B844="","",Produits!B844)</f>
        <v/>
      </c>
      <c r="C963" s="127" t="str">
        <f>IF(Produits!C844="","",Produits!C844)</f>
        <v/>
      </c>
      <c r="D963" s="127" t="str">
        <f>IF(Produits!D844="","",Produits!D844)</f>
        <v/>
      </c>
      <c r="E963" s="127" t="str">
        <f>IF(Produits!E844="","",Produits!E844)</f>
        <v/>
      </c>
      <c r="F963" s="128" t="str">
        <f>IF(Produits!F844="","",Produits!F844)</f>
        <v/>
      </c>
      <c r="J963" s="140" t="str">
        <f>IF($J$1="","",HLOOKUP($J$1,$M$1:$AAV$1000,963,0))</f>
        <v/>
      </c>
    </row>
    <row r="964" spans="1:10" x14ac:dyDescent="0.25">
      <c r="A964" s="127" t="str">
        <f>IF(Produits!A845="","",Produits!A845)</f>
        <v/>
      </c>
      <c r="B964" s="127" t="str">
        <f>IF(Produits!B845="","",Produits!B845)</f>
        <v/>
      </c>
      <c r="C964" s="127" t="str">
        <f>IF(Produits!C845="","",Produits!C845)</f>
        <v/>
      </c>
      <c r="D964" s="127" t="str">
        <f>IF(Produits!D845="","",Produits!D845)</f>
        <v/>
      </c>
      <c r="E964" s="127" t="str">
        <f>IF(Produits!E845="","",Produits!E845)</f>
        <v/>
      </c>
      <c r="F964" s="128" t="str">
        <f>IF(Produits!F845="","",Produits!F845)</f>
        <v/>
      </c>
      <c r="J964" s="140" t="str">
        <f>IF($J$1="","",HLOOKUP($J$1,$M$1:$AAV$1000,964,0))</f>
        <v/>
      </c>
    </row>
    <row r="965" spans="1:10" x14ac:dyDescent="0.25">
      <c r="A965" s="127" t="str">
        <f>IF(Produits!A846="","",Produits!A846)</f>
        <v/>
      </c>
      <c r="B965" s="127" t="str">
        <f>IF(Produits!B846="","",Produits!B846)</f>
        <v/>
      </c>
      <c r="C965" s="127" t="str">
        <f>IF(Produits!C846="","",Produits!C846)</f>
        <v/>
      </c>
      <c r="D965" s="127" t="str">
        <f>IF(Produits!D846="","",Produits!D846)</f>
        <v/>
      </c>
      <c r="E965" s="127" t="str">
        <f>IF(Produits!E846="","",Produits!E846)</f>
        <v/>
      </c>
      <c r="F965" s="128" t="str">
        <f>IF(Produits!F846="","",Produits!F846)</f>
        <v/>
      </c>
      <c r="J965" s="140" t="str">
        <f>IF($J$1="","",HLOOKUP($J$1,$M$1:$AAV$1000,965,0))</f>
        <v/>
      </c>
    </row>
    <row r="966" spans="1:10" x14ac:dyDescent="0.25">
      <c r="A966" s="127" t="str">
        <f>IF(Produits!A847="","",Produits!A847)</f>
        <v/>
      </c>
      <c r="B966" s="127" t="str">
        <f>IF(Produits!B847="","",Produits!B847)</f>
        <v/>
      </c>
      <c r="C966" s="127" t="str">
        <f>IF(Produits!C847="","",Produits!C847)</f>
        <v/>
      </c>
      <c r="D966" s="127" t="str">
        <f>IF(Produits!D847="","",Produits!D847)</f>
        <v/>
      </c>
      <c r="E966" s="127" t="str">
        <f>IF(Produits!E847="","",Produits!E847)</f>
        <v/>
      </c>
      <c r="F966" s="128" t="str">
        <f>IF(Produits!F847="","",Produits!F847)</f>
        <v/>
      </c>
      <c r="J966" s="140" t="str">
        <f>IF($J$1="","",HLOOKUP($J$1,$M$1:$AAV$1000,966,0))</f>
        <v/>
      </c>
    </row>
    <row r="967" spans="1:10" x14ac:dyDescent="0.25">
      <c r="A967" s="127" t="str">
        <f>IF(Produits!A848="","",Produits!A848)</f>
        <v/>
      </c>
      <c r="B967" s="127" t="str">
        <f>IF(Produits!B848="","",Produits!B848)</f>
        <v/>
      </c>
      <c r="C967" s="127" t="str">
        <f>IF(Produits!C848="","",Produits!C848)</f>
        <v/>
      </c>
      <c r="D967" s="127" t="str">
        <f>IF(Produits!D848="","",Produits!D848)</f>
        <v/>
      </c>
      <c r="E967" s="127" t="str">
        <f>IF(Produits!E848="","",Produits!E848)</f>
        <v/>
      </c>
      <c r="F967" s="128" t="str">
        <f>IF(Produits!F848="","",Produits!F848)</f>
        <v/>
      </c>
      <c r="J967" s="140" t="str">
        <f>IF($J$1="","",HLOOKUP($J$1,$M$1:$AAV$1000,967,0))</f>
        <v/>
      </c>
    </row>
    <row r="968" spans="1:10" x14ac:dyDescent="0.25">
      <c r="A968" s="127" t="str">
        <f>IF(Produits!A849="","",Produits!A849)</f>
        <v/>
      </c>
      <c r="B968" s="127" t="str">
        <f>IF(Produits!B849="","",Produits!B849)</f>
        <v/>
      </c>
      <c r="C968" s="127" t="str">
        <f>IF(Produits!C849="","",Produits!C849)</f>
        <v/>
      </c>
      <c r="D968" s="127" t="str">
        <f>IF(Produits!D849="","",Produits!D849)</f>
        <v/>
      </c>
      <c r="E968" s="127" t="str">
        <f>IF(Produits!E849="","",Produits!E849)</f>
        <v/>
      </c>
      <c r="F968" s="128" t="str">
        <f>IF(Produits!F849="","",Produits!F849)</f>
        <v/>
      </c>
      <c r="J968" s="140" t="str">
        <f>IF($J$1="","",HLOOKUP($J$1,$M$1:$AAV$1000,968,0))</f>
        <v/>
      </c>
    </row>
    <row r="969" spans="1:10" x14ac:dyDescent="0.25">
      <c r="A969" s="127" t="str">
        <f>IF(Produits!A850="","",Produits!A850)</f>
        <v/>
      </c>
      <c r="B969" s="127" t="str">
        <f>IF(Produits!B850="","",Produits!B850)</f>
        <v/>
      </c>
      <c r="C969" s="127" t="str">
        <f>IF(Produits!C850="","",Produits!C850)</f>
        <v/>
      </c>
      <c r="D969" s="127" t="str">
        <f>IF(Produits!D850="","",Produits!D850)</f>
        <v/>
      </c>
      <c r="E969" s="127" t="str">
        <f>IF(Produits!E850="","",Produits!E850)</f>
        <v/>
      </c>
      <c r="F969" s="128" t="str">
        <f>IF(Produits!F850="","",Produits!F850)</f>
        <v/>
      </c>
      <c r="J969" s="140" t="str">
        <f>IF($J$1="","",HLOOKUP($J$1,$M$1:$AAV$1000,969,0))</f>
        <v/>
      </c>
    </row>
    <row r="970" spans="1:10" x14ac:dyDescent="0.25">
      <c r="A970" s="127" t="str">
        <f>IF(Produits!A851="","",Produits!A851)</f>
        <v/>
      </c>
      <c r="B970" s="127" t="str">
        <f>IF(Produits!B851="","",Produits!B851)</f>
        <v/>
      </c>
      <c r="C970" s="127" t="str">
        <f>IF(Produits!C851="","",Produits!C851)</f>
        <v/>
      </c>
      <c r="D970" s="127" t="str">
        <f>IF(Produits!D851="","",Produits!D851)</f>
        <v/>
      </c>
      <c r="E970" s="127" t="str">
        <f>IF(Produits!E851="","",Produits!E851)</f>
        <v/>
      </c>
      <c r="F970" s="128" t="str">
        <f>IF(Produits!F851="","",Produits!F851)</f>
        <v/>
      </c>
      <c r="J970" s="140" t="str">
        <f>IF($J$1="","",HLOOKUP($J$1,$M$1:$AAV$1000,970,0))</f>
        <v/>
      </c>
    </row>
    <row r="971" spans="1:10" x14ac:dyDescent="0.25">
      <c r="A971" s="127" t="str">
        <f>IF(Produits!A852="","",Produits!A852)</f>
        <v/>
      </c>
      <c r="B971" s="127" t="str">
        <f>IF(Produits!B852="","",Produits!B852)</f>
        <v/>
      </c>
      <c r="C971" s="127" t="str">
        <f>IF(Produits!C852="","",Produits!C852)</f>
        <v/>
      </c>
      <c r="D971" s="127" t="str">
        <f>IF(Produits!D852="","",Produits!D852)</f>
        <v/>
      </c>
      <c r="E971" s="127" t="str">
        <f>IF(Produits!E852="","",Produits!E852)</f>
        <v/>
      </c>
      <c r="F971" s="128" t="str">
        <f>IF(Produits!F852="","",Produits!F852)</f>
        <v/>
      </c>
      <c r="J971" s="140" t="str">
        <f>IF($J$1="","",HLOOKUP($J$1,$M$1:$AAV$1000,971,0))</f>
        <v/>
      </c>
    </row>
    <row r="972" spans="1:10" x14ac:dyDescent="0.25">
      <c r="A972" s="127" t="str">
        <f>IF(Produits!A853="","",Produits!A853)</f>
        <v/>
      </c>
      <c r="B972" s="127" t="str">
        <f>IF(Produits!B853="","",Produits!B853)</f>
        <v/>
      </c>
      <c r="C972" s="127" t="str">
        <f>IF(Produits!C853="","",Produits!C853)</f>
        <v/>
      </c>
      <c r="D972" s="127" t="str">
        <f>IF(Produits!D853="","",Produits!D853)</f>
        <v/>
      </c>
      <c r="E972" s="127" t="str">
        <f>IF(Produits!E853="","",Produits!E853)</f>
        <v/>
      </c>
      <c r="F972" s="128" t="str">
        <f>IF(Produits!F853="","",Produits!F853)</f>
        <v/>
      </c>
      <c r="J972" s="140" t="str">
        <f>IF($J$1="","",HLOOKUP($J$1,$M$1:$AAV$1000,972,0))</f>
        <v/>
      </c>
    </row>
    <row r="973" spans="1:10" x14ac:dyDescent="0.25">
      <c r="A973" s="127" t="str">
        <f>IF(Produits!A854="","",Produits!A854)</f>
        <v/>
      </c>
      <c r="B973" s="127" t="str">
        <f>IF(Produits!B854="","",Produits!B854)</f>
        <v/>
      </c>
      <c r="C973" s="127" t="str">
        <f>IF(Produits!C854="","",Produits!C854)</f>
        <v/>
      </c>
      <c r="D973" s="127" t="str">
        <f>IF(Produits!D854="","",Produits!D854)</f>
        <v/>
      </c>
      <c r="E973" s="127" t="str">
        <f>IF(Produits!E854="","",Produits!E854)</f>
        <v/>
      </c>
      <c r="F973" s="128" t="str">
        <f>IF(Produits!F854="","",Produits!F854)</f>
        <v/>
      </c>
      <c r="J973" s="140" t="str">
        <f>IF($J$1="","",HLOOKUP($J$1,$M$1:$AAV$1000,973,0))</f>
        <v/>
      </c>
    </row>
    <row r="974" spans="1:10" x14ac:dyDescent="0.25">
      <c r="A974" s="127" t="str">
        <f>IF(Produits!A855="","",Produits!A855)</f>
        <v/>
      </c>
      <c r="B974" s="127" t="str">
        <f>IF(Produits!B855="","",Produits!B855)</f>
        <v/>
      </c>
      <c r="C974" s="127" t="str">
        <f>IF(Produits!C855="","",Produits!C855)</f>
        <v/>
      </c>
      <c r="D974" s="127" t="str">
        <f>IF(Produits!D855="","",Produits!D855)</f>
        <v/>
      </c>
      <c r="E974" s="127" t="str">
        <f>IF(Produits!E855="","",Produits!E855)</f>
        <v/>
      </c>
      <c r="F974" s="128" t="str">
        <f>IF(Produits!F855="","",Produits!F855)</f>
        <v/>
      </c>
      <c r="J974" s="140" t="str">
        <f>IF($J$1="","",HLOOKUP($J$1,$M$1:$AAV$1000,974,0))</f>
        <v/>
      </c>
    </row>
    <row r="975" spans="1:10" x14ac:dyDescent="0.25">
      <c r="A975" s="127" t="str">
        <f>IF(Produits!A856="","",Produits!A856)</f>
        <v/>
      </c>
      <c r="B975" s="127" t="str">
        <f>IF(Produits!B856="","",Produits!B856)</f>
        <v/>
      </c>
      <c r="C975" s="127" t="str">
        <f>IF(Produits!C856="","",Produits!C856)</f>
        <v/>
      </c>
      <c r="D975" s="127" t="str">
        <f>IF(Produits!D856="","",Produits!D856)</f>
        <v/>
      </c>
      <c r="E975" s="127" t="str">
        <f>IF(Produits!E856="","",Produits!E856)</f>
        <v/>
      </c>
      <c r="F975" s="128" t="str">
        <f>IF(Produits!F856="","",Produits!F856)</f>
        <v/>
      </c>
      <c r="J975" s="140" t="str">
        <f>IF($J$1="","",HLOOKUP($J$1,$M$1:$AAV$1000,975,0))</f>
        <v/>
      </c>
    </row>
    <row r="976" spans="1:10" x14ac:dyDescent="0.25">
      <c r="A976" s="127" t="str">
        <f>IF(Produits!A857="","",Produits!A857)</f>
        <v/>
      </c>
      <c r="B976" s="127" t="str">
        <f>IF(Produits!B857="","",Produits!B857)</f>
        <v/>
      </c>
      <c r="C976" s="127" t="str">
        <f>IF(Produits!C857="","",Produits!C857)</f>
        <v/>
      </c>
      <c r="D976" s="127" t="str">
        <f>IF(Produits!D857="","",Produits!D857)</f>
        <v/>
      </c>
      <c r="E976" s="127" t="str">
        <f>IF(Produits!E857="","",Produits!E857)</f>
        <v/>
      </c>
      <c r="F976" s="128" t="str">
        <f>IF(Produits!F857="","",Produits!F857)</f>
        <v/>
      </c>
      <c r="J976" s="140" t="str">
        <f>IF($J$1="","",HLOOKUP($J$1,$M$1:$AAV$1000,976,0))</f>
        <v/>
      </c>
    </row>
    <row r="977" spans="1:10" x14ac:dyDescent="0.25">
      <c r="A977" s="127" t="str">
        <f>IF(Produits!A858="","",Produits!A858)</f>
        <v/>
      </c>
      <c r="B977" s="127" t="str">
        <f>IF(Produits!B858="","",Produits!B858)</f>
        <v/>
      </c>
      <c r="C977" s="127" t="str">
        <f>IF(Produits!C858="","",Produits!C858)</f>
        <v/>
      </c>
      <c r="D977" s="127" t="str">
        <f>IF(Produits!D858="","",Produits!D858)</f>
        <v/>
      </c>
      <c r="E977" s="127" t="str">
        <f>IF(Produits!E858="","",Produits!E858)</f>
        <v/>
      </c>
      <c r="F977" s="128" t="str">
        <f>IF(Produits!F858="","",Produits!F858)</f>
        <v/>
      </c>
      <c r="J977" s="140" t="str">
        <f>IF($J$1="","",HLOOKUP($J$1,$M$1:$AAV$1000,977,0))</f>
        <v/>
      </c>
    </row>
    <row r="978" spans="1:10" x14ac:dyDescent="0.25">
      <c r="A978" s="127" t="str">
        <f>IF(Produits!A859="","",Produits!A859)</f>
        <v/>
      </c>
      <c r="B978" s="127" t="str">
        <f>IF(Produits!B859="","",Produits!B859)</f>
        <v/>
      </c>
      <c r="C978" s="127" t="str">
        <f>IF(Produits!C859="","",Produits!C859)</f>
        <v/>
      </c>
      <c r="D978" s="127" t="str">
        <f>IF(Produits!D859="","",Produits!D859)</f>
        <v/>
      </c>
      <c r="E978" s="127" t="str">
        <f>IF(Produits!E859="","",Produits!E859)</f>
        <v/>
      </c>
      <c r="F978" s="128" t="str">
        <f>IF(Produits!F859="","",Produits!F859)</f>
        <v/>
      </c>
      <c r="J978" s="140" t="str">
        <f>IF($J$1="","",HLOOKUP($J$1,$M$1:$AAV$1000,978,0))</f>
        <v/>
      </c>
    </row>
    <row r="979" spans="1:10" x14ac:dyDescent="0.25">
      <c r="A979" s="127" t="str">
        <f>IF(Produits!A860="","",Produits!A860)</f>
        <v/>
      </c>
      <c r="B979" s="127" t="str">
        <f>IF(Produits!B860="","",Produits!B860)</f>
        <v/>
      </c>
      <c r="C979" s="127" t="str">
        <f>IF(Produits!C860="","",Produits!C860)</f>
        <v/>
      </c>
      <c r="D979" s="127" t="str">
        <f>IF(Produits!D860="","",Produits!D860)</f>
        <v/>
      </c>
      <c r="E979" s="127" t="str">
        <f>IF(Produits!E860="","",Produits!E860)</f>
        <v/>
      </c>
      <c r="F979" s="128" t="str">
        <f>IF(Produits!F860="","",Produits!F860)</f>
        <v/>
      </c>
      <c r="J979" s="140" t="str">
        <f>IF($J$1="","",HLOOKUP($J$1,$M$1:$AAV$1000,979,0))</f>
        <v/>
      </c>
    </row>
    <row r="980" spans="1:10" x14ac:dyDescent="0.25">
      <c r="A980" s="127" t="str">
        <f>IF(Produits!A861="","",Produits!A861)</f>
        <v/>
      </c>
      <c r="B980" s="127" t="str">
        <f>IF(Produits!B861="","",Produits!B861)</f>
        <v/>
      </c>
      <c r="C980" s="127" t="str">
        <f>IF(Produits!C861="","",Produits!C861)</f>
        <v/>
      </c>
      <c r="D980" s="127" t="str">
        <f>IF(Produits!D861="","",Produits!D861)</f>
        <v/>
      </c>
      <c r="E980" s="127" t="str">
        <f>IF(Produits!E861="","",Produits!E861)</f>
        <v/>
      </c>
      <c r="F980" s="128" t="str">
        <f>IF(Produits!F861="","",Produits!F861)</f>
        <v/>
      </c>
      <c r="J980" s="140" t="str">
        <f>IF($J$1="","",HLOOKUP($J$1,$M$1:$AAV$1000,980,0))</f>
        <v/>
      </c>
    </row>
    <row r="981" spans="1:10" x14ac:dyDescent="0.25">
      <c r="A981" s="127" t="str">
        <f>IF(Produits!A862="","",Produits!A862)</f>
        <v/>
      </c>
      <c r="B981" s="127" t="str">
        <f>IF(Produits!B862="","",Produits!B862)</f>
        <v/>
      </c>
      <c r="C981" s="127" t="str">
        <f>IF(Produits!C862="","",Produits!C862)</f>
        <v/>
      </c>
      <c r="D981" s="127" t="str">
        <f>IF(Produits!D862="","",Produits!D862)</f>
        <v/>
      </c>
      <c r="E981" s="127" t="str">
        <f>IF(Produits!E862="","",Produits!E862)</f>
        <v/>
      </c>
      <c r="F981" s="128" t="str">
        <f>IF(Produits!F862="","",Produits!F862)</f>
        <v/>
      </c>
      <c r="J981" s="140" t="str">
        <f>IF($J$1="","",HLOOKUP($J$1,$M$1:$AAV$1000,981,0))</f>
        <v/>
      </c>
    </row>
    <row r="982" spans="1:10" x14ac:dyDescent="0.25">
      <c r="A982" s="127" t="str">
        <f>IF(Produits!A863="","",Produits!A863)</f>
        <v/>
      </c>
      <c r="B982" s="127" t="str">
        <f>IF(Produits!B863="","",Produits!B863)</f>
        <v/>
      </c>
      <c r="C982" s="127" t="str">
        <f>IF(Produits!C863="","",Produits!C863)</f>
        <v/>
      </c>
      <c r="D982" s="127" t="str">
        <f>IF(Produits!D863="","",Produits!D863)</f>
        <v/>
      </c>
      <c r="E982" s="127" t="str">
        <f>IF(Produits!E863="","",Produits!E863)</f>
        <v/>
      </c>
      <c r="F982" s="128" t="str">
        <f>IF(Produits!F863="","",Produits!F863)</f>
        <v/>
      </c>
      <c r="J982" s="140" t="str">
        <f>IF($J$1="","",HLOOKUP($J$1,$M$1:$AAV$1000,982,0))</f>
        <v/>
      </c>
    </row>
    <row r="983" spans="1:10" x14ac:dyDescent="0.25">
      <c r="A983" s="127" t="str">
        <f>IF(Produits!A864="","",Produits!A864)</f>
        <v/>
      </c>
      <c r="B983" s="127" t="str">
        <f>IF(Produits!B864="","",Produits!B864)</f>
        <v/>
      </c>
      <c r="C983" s="127" t="str">
        <f>IF(Produits!C864="","",Produits!C864)</f>
        <v/>
      </c>
      <c r="D983" s="127" t="str">
        <f>IF(Produits!D864="","",Produits!D864)</f>
        <v/>
      </c>
      <c r="E983" s="127" t="str">
        <f>IF(Produits!E864="","",Produits!E864)</f>
        <v/>
      </c>
      <c r="F983" s="128" t="str">
        <f>IF(Produits!F864="","",Produits!F864)</f>
        <v/>
      </c>
      <c r="J983" s="140" t="str">
        <f>IF($J$1="","",HLOOKUP($J$1,$M$1:$AAV$1000,983,0))</f>
        <v/>
      </c>
    </row>
    <row r="984" spans="1:10" x14ac:dyDescent="0.25">
      <c r="A984" s="127" t="str">
        <f>IF(Produits!A865="","",Produits!A865)</f>
        <v/>
      </c>
      <c r="B984" s="127" t="str">
        <f>IF(Produits!B865="","",Produits!B865)</f>
        <v/>
      </c>
      <c r="C984" s="127" t="str">
        <f>IF(Produits!C865="","",Produits!C865)</f>
        <v/>
      </c>
      <c r="D984" s="127" t="str">
        <f>IF(Produits!D865="","",Produits!D865)</f>
        <v/>
      </c>
      <c r="E984" s="127" t="str">
        <f>IF(Produits!E865="","",Produits!E865)</f>
        <v/>
      </c>
      <c r="F984" s="128" t="str">
        <f>IF(Produits!F865="","",Produits!F865)</f>
        <v/>
      </c>
      <c r="J984" s="140" t="str">
        <f>IF($J$1="","",HLOOKUP($J$1,$M$1:$AAV$1000,984,0))</f>
        <v/>
      </c>
    </row>
    <row r="985" spans="1:10" x14ac:dyDescent="0.25">
      <c r="A985" s="127" t="str">
        <f>IF(Produits!A866="","",Produits!A866)</f>
        <v/>
      </c>
      <c r="B985" s="127" t="str">
        <f>IF(Produits!B866="","",Produits!B866)</f>
        <v/>
      </c>
      <c r="C985" s="127" t="str">
        <f>IF(Produits!C866="","",Produits!C866)</f>
        <v/>
      </c>
      <c r="D985" s="127" t="str">
        <f>IF(Produits!D866="","",Produits!D866)</f>
        <v/>
      </c>
      <c r="E985" s="127" t="str">
        <f>IF(Produits!E866="","",Produits!E866)</f>
        <v/>
      </c>
      <c r="F985" s="128" t="str">
        <f>IF(Produits!F866="","",Produits!F866)</f>
        <v/>
      </c>
      <c r="J985" s="140" t="str">
        <f>IF($J$1="","",HLOOKUP($J$1,$M$1:$AAV$1000,985,0))</f>
        <v/>
      </c>
    </row>
    <row r="986" spans="1:10" x14ac:dyDescent="0.25">
      <c r="A986" s="127" t="str">
        <f>IF(Produits!A867="","",Produits!A867)</f>
        <v/>
      </c>
      <c r="B986" s="127" t="str">
        <f>IF(Produits!B867="","",Produits!B867)</f>
        <v/>
      </c>
      <c r="C986" s="127" t="str">
        <f>IF(Produits!C867="","",Produits!C867)</f>
        <v/>
      </c>
      <c r="D986" s="127" t="str">
        <f>IF(Produits!D867="","",Produits!D867)</f>
        <v/>
      </c>
      <c r="E986" s="127" t="str">
        <f>IF(Produits!E867="","",Produits!E867)</f>
        <v/>
      </c>
      <c r="F986" s="128" t="str">
        <f>IF(Produits!F867="","",Produits!F867)</f>
        <v/>
      </c>
      <c r="J986" s="140" t="str">
        <f>IF($J$1="","",HLOOKUP($J$1,$M$1:$AAV$1000,986,0))</f>
        <v/>
      </c>
    </row>
    <row r="987" spans="1:10" x14ac:dyDescent="0.25">
      <c r="A987" s="127" t="str">
        <f>IF(Produits!A868="","",Produits!A868)</f>
        <v/>
      </c>
      <c r="B987" s="127" t="str">
        <f>IF(Produits!B868="","",Produits!B868)</f>
        <v/>
      </c>
      <c r="C987" s="127" t="str">
        <f>IF(Produits!C868="","",Produits!C868)</f>
        <v/>
      </c>
      <c r="D987" s="127" t="str">
        <f>IF(Produits!D868="","",Produits!D868)</f>
        <v/>
      </c>
      <c r="E987" s="127" t="str">
        <f>IF(Produits!E868="","",Produits!E868)</f>
        <v/>
      </c>
      <c r="F987" s="128" t="str">
        <f>IF(Produits!F868="","",Produits!F868)</f>
        <v/>
      </c>
      <c r="J987" s="140" t="str">
        <f>IF($J$1="","",HLOOKUP($J$1,$M$1:$AAV$1000,987,0))</f>
        <v/>
      </c>
    </row>
    <row r="988" spans="1:10" x14ac:dyDescent="0.25">
      <c r="A988" s="127" t="str">
        <f>IF(Produits!A869="","",Produits!A869)</f>
        <v/>
      </c>
      <c r="B988" s="127" t="str">
        <f>IF(Produits!B869="","",Produits!B869)</f>
        <v/>
      </c>
      <c r="C988" s="127" t="str">
        <f>IF(Produits!C869="","",Produits!C869)</f>
        <v/>
      </c>
      <c r="D988" s="127" t="str">
        <f>IF(Produits!D869="","",Produits!D869)</f>
        <v/>
      </c>
      <c r="E988" s="127" t="str">
        <f>IF(Produits!E869="","",Produits!E869)</f>
        <v/>
      </c>
      <c r="F988" s="128" t="str">
        <f>IF(Produits!F869="","",Produits!F869)</f>
        <v/>
      </c>
      <c r="J988" s="140" t="str">
        <f>IF($J$1="","",HLOOKUP($J$1,$M$1:$AAV$1000,988,0))</f>
        <v/>
      </c>
    </row>
    <row r="989" spans="1:10" x14ac:dyDescent="0.25">
      <c r="A989" s="127" t="str">
        <f>IF(Produits!A870="","",Produits!A870)</f>
        <v/>
      </c>
      <c r="B989" s="127" t="str">
        <f>IF(Produits!B870="","",Produits!B870)</f>
        <v/>
      </c>
      <c r="C989" s="127" t="str">
        <f>IF(Produits!C870="","",Produits!C870)</f>
        <v/>
      </c>
      <c r="D989" s="127" t="str">
        <f>IF(Produits!D870="","",Produits!D870)</f>
        <v/>
      </c>
      <c r="E989" s="127" t="str">
        <f>IF(Produits!E870="","",Produits!E870)</f>
        <v/>
      </c>
      <c r="F989" s="128" t="str">
        <f>IF(Produits!F870="","",Produits!F870)</f>
        <v/>
      </c>
      <c r="J989" s="140" t="str">
        <f>IF($J$1="","",HLOOKUP($J$1,$M$1:$AAV$1000,989,0))</f>
        <v/>
      </c>
    </row>
    <row r="990" spans="1:10" x14ac:dyDescent="0.25">
      <c r="A990" s="127" t="str">
        <f>IF(Produits!A871="","",Produits!A871)</f>
        <v/>
      </c>
      <c r="B990" s="127" t="str">
        <f>IF(Produits!B871="","",Produits!B871)</f>
        <v/>
      </c>
      <c r="C990" s="127" t="str">
        <f>IF(Produits!C871="","",Produits!C871)</f>
        <v/>
      </c>
      <c r="D990" s="127" t="str">
        <f>IF(Produits!D871="","",Produits!D871)</f>
        <v/>
      </c>
      <c r="E990" s="127" t="str">
        <f>IF(Produits!E871="","",Produits!E871)</f>
        <v/>
      </c>
      <c r="F990" s="128" t="str">
        <f>IF(Produits!F871="","",Produits!F871)</f>
        <v/>
      </c>
      <c r="J990" s="140" t="str">
        <f>IF($J$1="","",HLOOKUP($J$1,$M$1:$AAV$1000,990,0))</f>
        <v/>
      </c>
    </row>
    <row r="991" spans="1:10" x14ac:dyDescent="0.25">
      <c r="A991" s="127" t="str">
        <f>IF(Produits!A872="","",Produits!A872)</f>
        <v/>
      </c>
      <c r="B991" s="127" t="str">
        <f>IF(Produits!B872="","",Produits!B872)</f>
        <v/>
      </c>
      <c r="C991" s="127" t="str">
        <f>IF(Produits!C872="","",Produits!C872)</f>
        <v/>
      </c>
      <c r="D991" s="127" t="str">
        <f>IF(Produits!D872="","",Produits!D872)</f>
        <v/>
      </c>
      <c r="E991" s="127" t="str">
        <f>IF(Produits!E872="","",Produits!E872)</f>
        <v/>
      </c>
      <c r="F991" s="128" t="str">
        <f>IF(Produits!F872="","",Produits!F872)</f>
        <v/>
      </c>
      <c r="J991" s="140" t="str">
        <f>IF($J$1="","",HLOOKUP($J$1,$M$1:$AAV$1000,991,0))</f>
        <v/>
      </c>
    </row>
    <row r="992" spans="1:10" x14ac:dyDescent="0.25">
      <c r="A992" s="127" t="str">
        <f>IF(Produits!A873="","",Produits!A873)</f>
        <v/>
      </c>
      <c r="B992" s="127" t="str">
        <f>IF(Produits!B873="","",Produits!B873)</f>
        <v/>
      </c>
      <c r="C992" s="127" t="str">
        <f>IF(Produits!C873="","",Produits!C873)</f>
        <v/>
      </c>
      <c r="D992" s="127" t="str">
        <f>IF(Produits!D873="","",Produits!D873)</f>
        <v/>
      </c>
      <c r="E992" s="127" t="str">
        <f>IF(Produits!E873="","",Produits!E873)</f>
        <v/>
      </c>
      <c r="F992" s="128" t="str">
        <f>IF(Produits!F873="","",Produits!F873)</f>
        <v/>
      </c>
      <c r="J992" s="140" t="str">
        <f>IF($J$1="","",HLOOKUP($J$1,$M$1:$AAV$1000,992,0))</f>
        <v/>
      </c>
    </row>
    <row r="993" spans="1:10" x14ac:dyDescent="0.25">
      <c r="A993" s="127" t="str">
        <f>IF(Produits!A874="","",Produits!A874)</f>
        <v/>
      </c>
      <c r="B993" s="127" t="str">
        <f>IF(Produits!B874="","",Produits!B874)</f>
        <v/>
      </c>
      <c r="C993" s="127" t="str">
        <f>IF(Produits!C874="","",Produits!C874)</f>
        <v/>
      </c>
      <c r="D993" s="127" t="str">
        <f>IF(Produits!D874="","",Produits!D874)</f>
        <v/>
      </c>
      <c r="E993" s="127" t="str">
        <f>IF(Produits!E874="","",Produits!E874)</f>
        <v/>
      </c>
      <c r="F993" s="128" t="str">
        <f>IF(Produits!F874="","",Produits!F874)</f>
        <v/>
      </c>
      <c r="J993" s="140" t="str">
        <f>IF($J$1="","",HLOOKUP($J$1,$M$1:$AAV$1000,993,0))</f>
        <v/>
      </c>
    </row>
    <row r="994" spans="1:10" x14ac:dyDescent="0.25">
      <c r="A994" s="127" t="str">
        <f>IF(Produits!A875="","",Produits!A875)</f>
        <v/>
      </c>
      <c r="B994" s="127" t="str">
        <f>IF(Produits!B875="","",Produits!B875)</f>
        <v/>
      </c>
      <c r="C994" s="127" t="str">
        <f>IF(Produits!C875="","",Produits!C875)</f>
        <v/>
      </c>
      <c r="D994" s="127" t="str">
        <f>IF(Produits!D875="","",Produits!D875)</f>
        <v/>
      </c>
      <c r="E994" s="127" t="str">
        <f>IF(Produits!E875="","",Produits!E875)</f>
        <v/>
      </c>
      <c r="F994" s="128" t="str">
        <f>IF(Produits!F875="","",Produits!F875)</f>
        <v/>
      </c>
      <c r="J994" s="140" t="str">
        <f>IF($J$1="","",HLOOKUP($J$1,$M$1:$AAV$1000,994,0))</f>
        <v/>
      </c>
    </row>
    <row r="995" spans="1:10" x14ac:dyDescent="0.25">
      <c r="A995" s="127" t="str">
        <f>IF(Produits!A876="","",Produits!A876)</f>
        <v/>
      </c>
      <c r="B995" s="127" t="str">
        <f>IF(Produits!B876="","",Produits!B876)</f>
        <v/>
      </c>
      <c r="C995" s="127" t="str">
        <f>IF(Produits!C876="","",Produits!C876)</f>
        <v/>
      </c>
      <c r="D995" s="127" t="str">
        <f>IF(Produits!D876="","",Produits!D876)</f>
        <v/>
      </c>
      <c r="E995" s="127" t="str">
        <f>IF(Produits!E876="","",Produits!E876)</f>
        <v/>
      </c>
      <c r="F995" s="128" t="str">
        <f>IF(Produits!F876="","",Produits!F876)</f>
        <v/>
      </c>
      <c r="J995" s="140" t="str">
        <f>IF($J$1="","",HLOOKUP($J$1,$M$1:$AAV$1000,995,0))</f>
        <v/>
      </c>
    </row>
    <row r="996" spans="1:10" x14ac:dyDescent="0.25">
      <c r="A996" s="127" t="str">
        <f>IF(Produits!A877="","",Produits!A877)</f>
        <v/>
      </c>
      <c r="B996" s="127" t="str">
        <f>IF(Produits!B877="","",Produits!B877)</f>
        <v/>
      </c>
      <c r="C996" s="127" t="str">
        <f>IF(Produits!C877="","",Produits!C877)</f>
        <v/>
      </c>
      <c r="D996" s="127" t="str">
        <f>IF(Produits!D877="","",Produits!D877)</f>
        <v/>
      </c>
      <c r="E996" s="127" t="str">
        <f>IF(Produits!E877="","",Produits!E877)</f>
        <v/>
      </c>
      <c r="F996" s="128" t="str">
        <f>IF(Produits!F877="","",Produits!F877)</f>
        <v/>
      </c>
      <c r="J996" s="140" t="str">
        <f>IF($J$1="","",HLOOKUP($J$1,$M$1:$AAV$1000,996,0))</f>
        <v/>
      </c>
    </row>
    <row r="997" spans="1:10" x14ac:dyDescent="0.25">
      <c r="A997" s="127" t="str">
        <f>IF(Produits!A878="","",Produits!A878)</f>
        <v/>
      </c>
      <c r="B997" s="127" t="str">
        <f>IF(Produits!B878="","",Produits!B878)</f>
        <v/>
      </c>
      <c r="C997" s="127" t="str">
        <f>IF(Produits!C878="","",Produits!C878)</f>
        <v/>
      </c>
      <c r="D997" s="127" t="str">
        <f>IF(Produits!D878="","",Produits!D878)</f>
        <v/>
      </c>
      <c r="E997" s="127" t="str">
        <f>IF(Produits!E878="","",Produits!E878)</f>
        <v/>
      </c>
      <c r="F997" s="128" t="str">
        <f>IF(Produits!F878="","",Produits!F878)</f>
        <v/>
      </c>
      <c r="J997" s="140" t="str">
        <f>IF($J$1="","",HLOOKUP($J$1,$M$1:$AAV$1000,997,0))</f>
        <v/>
      </c>
    </row>
    <row r="998" spans="1:10" x14ac:dyDescent="0.25">
      <c r="A998" s="127" t="str">
        <f>IF(Produits!A879="","",Produits!A879)</f>
        <v/>
      </c>
      <c r="B998" s="127" t="str">
        <f>IF(Produits!B879="","",Produits!B879)</f>
        <v/>
      </c>
      <c r="C998" s="127" t="str">
        <f>IF(Produits!C879="","",Produits!C879)</f>
        <v/>
      </c>
      <c r="D998" s="127" t="str">
        <f>IF(Produits!D879="","",Produits!D879)</f>
        <v/>
      </c>
      <c r="E998" s="127" t="str">
        <f>IF(Produits!E879="","",Produits!E879)</f>
        <v/>
      </c>
      <c r="F998" s="128" t="str">
        <f>IF(Produits!F879="","",Produits!F879)</f>
        <v/>
      </c>
      <c r="J998" s="140" t="str">
        <f>IF($J$1="","",HLOOKUP($J$1,$M$1:$AAV$1000,998,0))</f>
        <v/>
      </c>
    </row>
    <row r="999" spans="1:10" x14ac:dyDescent="0.25">
      <c r="A999" s="127" t="str">
        <f>IF(Produits!A880="","",Produits!A880)</f>
        <v/>
      </c>
      <c r="B999" s="127" t="str">
        <f>IF(Produits!B880="","",Produits!B880)</f>
        <v/>
      </c>
      <c r="C999" s="127" t="str">
        <f>IF(Produits!C880="","",Produits!C880)</f>
        <v/>
      </c>
      <c r="D999" s="127" t="str">
        <f>IF(Produits!D880="","",Produits!D880)</f>
        <v/>
      </c>
      <c r="E999" s="127" t="str">
        <f>IF(Produits!E880="","",Produits!E880)</f>
        <v/>
      </c>
      <c r="F999" s="128" t="str">
        <f>IF(Produits!F880="","",Produits!F880)</f>
        <v/>
      </c>
      <c r="J999" s="140" t="str">
        <f>IF($J$1="","",HLOOKUP($J$1,$M$1:$AAV$1000,999,0))</f>
        <v/>
      </c>
    </row>
    <row r="1000" spans="1:10" x14ac:dyDescent="0.25">
      <c r="A1000" s="127" t="str">
        <f>IF(Produits!A881="","",Produits!A881)</f>
        <v/>
      </c>
      <c r="B1000" s="127" t="str">
        <f>IF(Produits!B881="","",Produits!B881)</f>
        <v/>
      </c>
      <c r="C1000" s="127" t="str">
        <f>IF(Produits!C881="","",Produits!C881)</f>
        <v/>
      </c>
      <c r="D1000" s="127" t="str">
        <f>IF(Produits!D881="","",Produits!D881)</f>
        <v/>
      </c>
      <c r="E1000" s="127" t="str">
        <f>IF(Produits!E881="","",Produits!E881)</f>
        <v/>
      </c>
      <c r="F1000" s="128" t="str">
        <f>IF(Produits!F881="","",Produits!F881)</f>
        <v/>
      </c>
      <c r="J1000" s="140" t="str">
        <f>IF($J$1="","",HLOOKUP($J$1,$M$1:$AAV$1000,1000,0))</f>
        <v/>
      </c>
    </row>
  </sheetData>
  <mergeCells count="7">
    <mergeCell ref="H2:H3"/>
    <mergeCell ref="F2:F3"/>
    <mergeCell ref="A2:A3"/>
    <mergeCell ref="B2:B3"/>
    <mergeCell ref="C2:C3"/>
    <mergeCell ref="D2:D3"/>
    <mergeCell ref="E2:E3"/>
  </mergeCells>
  <conditionalFormatting sqref="J4:J1000">
    <cfRule type="expression" dxfId="3" priority="2">
      <formula>J4=0</formula>
    </cfRule>
  </conditionalFormatting>
  <conditionalFormatting sqref="A1:XFD1048576">
    <cfRule type="expression" dxfId="2" priority="1">
      <formula>ROW(A1)=ActiveRow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8433" r:id="rId4" name="TextBox1">
          <controlPr defaultSize="0" autoLine="0" linkedCell="H2" r:id="rId5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8</xdr:col>
                <xdr:colOff>19050</xdr:colOff>
                <xdr:row>3</xdr:row>
                <xdr:rowOff>9525</xdr:rowOff>
              </to>
            </anchor>
          </controlPr>
        </control>
      </mc:Choice>
      <mc:Fallback>
        <control shapeId="18433" r:id="rId4" name="TextBox1"/>
      </mc:Fallback>
    </mc:AlternateContent>
    <mc:AlternateContent xmlns:mc="http://schemas.openxmlformats.org/markup-compatibility/2006">
      <mc:Choice Requires="x14">
        <control shapeId="18434" r:id="rId6" name="ListBox1">
          <controlPr defaultSize="0" autoFill="0" autoLine="0" r:id="rId7">
            <anchor moveWithCells="1">
              <from>
                <xdr:col>7</xdr:col>
                <xdr:colOff>0</xdr:colOff>
                <xdr:row>3</xdr:row>
                <xdr:rowOff>57150</xdr:rowOff>
              </from>
              <to>
                <xdr:col>8</xdr:col>
                <xdr:colOff>19050</xdr:colOff>
                <xdr:row>9</xdr:row>
                <xdr:rowOff>0</xdr:rowOff>
              </to>
            </anchor>
          </controlPr>
        </control>
      </mc:Choice>
      <mc:Fallback>
        <control shapeId="18434" r:id="rId6" name="ListBox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3">
    <tabColor theme="1"/>
  </sheetPr>
  <dimension ref="A1:AN1000"/>
  <sheetViews>
    <sheetView workbookViewId="0">
      <pane xSplit="12" ySplit="3" topLeftCell="M4" activePane="bottomRight" state="frozen"/>
      <selection pane="topRight" activeCell="M1" sqref="M1"/>
      <selection pane="bottomLeft" activeCell="A4" sqref="A4"/>
      <selection pane="bottomRight"/>
    </sheetView>
  </sheetViews>
  <sheetFormatPr baseColWidth="10" defaultRowHeight="12.75" x14ac:dyDescent="0.25"/>
  <cols>
    <col min="1" max="1" width="12.7109375" style="9" customWidth="1"/>
    <col min="2" max="2" width="8.7109375" style="4" customWidth="1"/>
    <col min="3" max="3" width="12.7109375" style="11" customWidth="1"/>
    <col min="4" max="4" width="41.7109375" style="9" customWidth="1"/>
    <col min="5" max="5" width="41.7109375" style="11" customWidth="1"/>
    <col min="6" max="6" width="6.7109375" style="12" customWidth="1"/>
    <col min="7" max="7" width="4.7109375" style="57" customWidth="1"/>
    <col min="8" max="9" width="12.7109375" style="57" customWidth="1"/>
    <col min="10" max="10" width="12.7109375" style="103" customWidth="1"/>
    <col min="11" max="11" width="4.7109375" style="57" customWidth="1"/>
    <col min="12" max="37" width="10.7109375" style="57" customWidth="1"/>
    <col min="38" max="40" width="10.7109375" style="58" customWidth="1"/>
    <col min="41" max="1789" width="10.7109375" style="3" customWidth="1"/>
    <col min="1790" max="16384" width="11.42578125" style="3"/>
  </cols>
  <sheetData>
    <row r="1" spans="1:40" s="57" customFormat="1" ht="30" customHeight="1" x14ac:dyDescent="0.25">
      <c r="A1" s="78"/>
      <c r="B1" s="65" t="s">
        <v>80</v>
      </c>
      <c r="C1" s="79"/>
      <c r="D1" s="65"/>
      <c r="E1" s="65"/>
      <c r="F1" s="65"/>
      <c r="H1" s="107" t="s">
        <v>83</v>
      </c>
      <c r="I1" s="155" t="s">
        <v>82</v>
      </c>
      <c r="J1" s="156" t="str">
        <f>IF($H$2="","",$H$2)</f>
        <v/>
      </c>
      <c r="K1" s="121"/>
      <c r="L1" s="162" t="s">
        <v>79</v>
      </c>
      <c r="M1" s="146"/>
      <c r="N1" s="146"/>
      <c r="O1" s="146"/>
      <c r="P1" s="146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  <c r="AC1" s="61"/>
      <c r="AD1" s="61"/>
      <c r="AE1" s="61"/>
      <c r="AF1" s="61"/>
      <c r="AG1" s="61"/>
      <c r="AH1" s="61"/>
      <c r="AI1" s="61"/>
      <c r="AJ1" s="61"/>
      <c r="AK1" s="61"/>
    </row>
    <row r="2" spans="1:40" s="64" customFormat="1" ht="15" customHeight="1" x14ac:dyDescent="0.25">
      <c r="A2" s="224" t="str">
        <f>Produits!A2</f>
        <v>Famille</v>
      </c>
      <c r="B2" s="224" t="str">
        <f>Produits!B2</f>
        <v>Sous Famille</v>
      </c>
      <c r="C2" s="224" t="str">
        <f>Produits!C2</f>
        <v>Référence / Fournisseur</v>
      </c>
      <c r="D2" s="224" t="str">
        <f>Produits!D2</f>
        <v>Description (Français)</v>
      </c>
      <c r="E2" s="224" t="str">
        <f>Produits!E2</f>
        <v>Description (English)</v>
      </c>
      <c r="F2" s="224" t="str">
        <f>Produits!F2</f>
        <v>U</v>
      </c>
      <c r="G2" s="62"/>
      <c r="H2" s="223" t="s">
        <v>89</v>
      </c>
      <c r="I2" s="157" t="s">
        <v>0</v>
      </c>
      <c r="J2" s="163" t="str">
        <f>IF($J$1="","",HLOOKUP($J$1,$M$1:$AAY$1000,2,0))</f>
        <v/>
      </c>
      <c r="K2" s="124"/>
      <c r="L2" s="161" t="s">
        <v>0</v>
      </c>
      <c r="M2" s="170"/>
      <c r="N2" s="149"/>
      <c r="O2" s="148"/>
      <c r="P2" s="148"/>
      <c r="Q2" s="111"/>
      <c r="R2" s="111"/>
      <c r="S2" s="111"/>
      <c r="T2" s="111"/>
      <c r="U2" s="111"/>
      <c r="V2" s="106"/>
      <c r="W2" s="105"/>
      <c r="X2" s="105"/>
      <c r="Y2" s="105"/>
      <c r="Z2" s="104"/>
      <c r="AA2" s="102"/>
      <c r="AB2" s="102"/>
      <c r="AC2" s="102"/>
      <c r="AD2" s="102"/>
      <c r="AE2" s="102"/>
      <c r="AF2" s="102"/>
      <c r="AG2" s="102"/>
      <c r="AH2" s="85"/>
      <c r="AI2" s="85"/>
      <c r="AJ2" s="85"/>
      <c r="AK2" s="85"/>
      <c r="AL2" s="63"/>
      <c r="AM2" s="63"/>
      <c r="AN2" s="63"/>
    </row>
    <row r="3" spans="1:40" s="64" customFormat="1" ht="15" customHeight="1" x14ac:dyDescent="0.25">
      <c r="A3" s="225"/>
      <c r="B3" s="225"/>
      <c r="C3" s="225"/>
      <c r="D3" s="225"/>
      <c r="E3" s="225"/>
      <c r="F3" s="225"/>
      <c r="G3" s="62"/>
      <c r="H3" s="223"/>
      <c r="I3" s="159" t="s">
        <v>98</v>
      </c>
      <c r="J3" s="158" t="str">
        <f>IF($J$1="","",HLOOKUP($J$1,$M$1:$AAY$1000,3,0))</f>
        <v/>
      </c>
      <c r="K3" s="151"/>
      <c r="L3" s="160" t="s">
        <v>98</v>
      </c>
      <c r="M3" s="152"/>
      <c r="N3" s="152"/>
      <c r="O3" s="152"/>
      <c r="P3" s="152"/>
      <c r="Q3" s="111"/>
      <c r="R3" s="111"/>
      <c r="S3" s="111"/>
      <c r="T3" s="111"/>
      <c r="U3" s="111"/>
      <c r="V3" s="106"/>
      <c r="W3" s="105"/>
      <c r="X3" s="105"/>
      <c r="Y3" s="105"/>
      <c r="Z3" s="104"/>
      <c r="AA3" s="102"/>
      <c r="AB3" s="102"/>
      <c r="AC3" s="102"/>
      <c r="AD3" s="102"/>
      <c r="AE3" s="102"/>
      <c r="AF3" s="102"/>
      <c r="AG3" s="102"/>
      <c r="AH3" s="85"/>
      <c r="AI3" s="85"/>
      <c r="AJ3" s="85"/>
      <c r="AK3" s="85"/>
      <c r="AL3" s="63"/>
      <c r="AM3" s="63"/>
      <c r="AN3" s="63"/>
    </row>
    <row r="4" spans="1:40" s="1" customFormat="1" x14ac:dyDescent="0.25">
      <c r="A4" s="4" t="str">
        <f>IF(Produits!A4="","",Produits!A4)</f>
        <v>Rail R à ailettes</v>
      </c>
      <c r="B4" s="4" t="str">
        <f>IF(Produits!B4="","",Produits!B4)</f>
        <v>RAL 9010</v>
      </c>
      <c r="C4" s="4" t="str">
        <f>IF(Produits!C4="","",Produits!C4)</f>
        <v>1000,00,0001</v>
      </c>
      <c r="D4" s="4" t="str">
        <f>IF(Produits!D4="","",Produits!D4)</f>
        <v>AA125</v>
      </c>
      <c r="E4" s="4" t="str">
        <f>IF(Produits!E4="","",Produits!E4)</f>
        <v/>
      </c>
      <c r="F4" s="49" t="str">
        <f>IF(Produits!F4="","",Produits!F4)</f>
        <v>3 m</v>
      </c>
      <c r="G4" s="60"/>
      <c r="H4" s="60"/>
      <c r="I4" s="60"/>
      <c r="J4" s="101" t="str">
        <f>IF($J$1="","",HLOOKUP($J$1,$M$1:$AAY$1000,4,0))</f>
        <v/>
      </c>
      <c r="K4" s="60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59"/>
      <c r="AM4" s="59"/>
      <c r="AN4" s="59"/>
    </row>
    <row r="5" spans="1:40" s="8" customFormat="1" x14ac:dyDescent="0.25">
      <c r="A5" s="4" t="str">
        <f>IF(Produits!A5="","",Produits!A5)</f>
        <v>Rail R à ailettes</v>
      </c>
      <c r="B5" s="4" t="str">
        <f>IF(Produits!B5="","",Produits!B5)</f>
        <v>RAL 9010</v>
      </c>
      <c r="C5" s="4" t="str">
        <f>IF(Produits!C5="","",Produits!C5)</f>
        <v>1000,00,0002</v>
      </c>
      <c r="D5" s="4" t="str">
        <f>IF(Produits!D5="","",Produits!D5)</f>
        <v>AA126</v>
      </c>
      <c r="E5" s="4" t="str">
        <f>IF(Produits!E5="","",Produits!E5)</f>
        <v/>
      </c>
      <c r="F5" s="49" t="str">
        <f>IF(Produits!F5="","",Produits!F5)</f>
        <v>1 pcs</v>
      </c>
      <c r="G5" s="32"/>
      <c r="H5" s="32"/>
      <c r="I5" s="32"/>
      <c r="J5" s="101" t="str">
        <f>IF($J$1="","",HLOOKUP($J$1,$M$1:$AAY$1000,5,0))</f>
        <v/>
      </c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3"/>
      <c r="AM5" s="33"/>
      <c r="AN5" s="33"/>
    </row>
    <row r="6" spans="1:40" s="8" customFormat="1" x14ac:dyDescent="0.25">
      <c r="A6" s="4" t="str">
        <f>IF(Produits!A6="","",Produits!A6)</f>
        <v>Rail R à ailettes</v>
      </c>
      <c r="B6" s="4" t="str">
        <f>IF(Produits!B6="","",Produits!B6)</f>
        <v>RAL 9010</v>
      </c>
      <c r="C6" s="4" t="str">
        <f>IF(Produits!C6="","",Produits!C6)</f>
        <v>1000,00,0003</v>
      </c>
      <c r="D6" s="4" t="str">
        <f>IF(Produits!D6="","",Produits!D6)</f>
        <v>AA127</v>
      </c>
      <c r="E6" s="4" t="str">
        <f>IF(Produits!E6="","",Produits!E6)</f>
        <v/>
      </c>
      <c r="F6" s="49" t="str">
        <f>IF(Produits!F6="","",Produits!F6)</f>
        <v>1 pcs</v>
      </c>
      <c r="G6" s="32"/>
      <c r="H6" s="32"/>
      <c r="I6" s="32"/>
      <c r="J6" s="61" t="str">
        <f>IF($J$1="","",HLOOKUP($J$1,$M$1:$AAY$1000,6,0))</f>
        <v/>
      </c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3"/>
      <c r="AM6" s="33"/>
      <c r="AN6" s="33"/>
    </row>
    <row r="7" spans="1:40" s="8" customFormat="1" x14ac:dyDescent="0.25">
      <c r="A7" s="4" t="str">
        <f>IF(Produits!A7="","",Produits!A7)</f>
        <v>Rail R à ailettes</v>
      </c>
      <c r="B7" s="4" t="str">
        <f>IF(Produits!B7="","",Produits!B7)</f>
        <v>RAL 9010</v>
      </c>
      <c r="C7" s="4" t="str">
        <f>IF(Produits!C7="","",Produits!C7)</f>
        <v>1000,00,0004</v>
      </c>
      <c r="D7" s="4" t="str">
        <f>IF(Produits!D7="","",Produits!D7)</f>
        <v>AA128</v>
      </c>
      <c r="E7" s="4" t="str">
        <f>IF(Produits!E7="","",Produits!E7)</f>
        <v/>
      </c>
      <c r="F7" s="49" t="str">
        <f>IF(Produits!F7="","",Produits!F7)</f>
        <v>1 pcs</v>
      </c>
      <c r="G7" s="32"/>
      <c r="H7" s="32"/>
      <c r="I7" s="32"/>
      <c r="J7" s="61" t="str">
        <f>IF($J$1="","",HLOOKUP($J$1,$M$1:$AAY$1000,7,0))</f>
        <v/>
      </c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3"/>
      <c r="AM7" s="33"/>
      <c r="AN7" s="33"/>
    </row>
    <row r="8" spans="1:40" s="8" customFormat="1" x14ac:dyDescent="0.25">
      <c r="A8" s="4" t="str">
        <f>IF(Produits!A8="","",Produits!A8)</f>
        <v>Rail R à ailettes</v>
      </c>
      <c r="B8" s="4" t="str">
        <f>IF(Produits!B8="","",Produits!B8)</f>
        <v>RAL 9010</v>
      </c>
      <c r="C8" s="4" t="str">
        <f>IF(Produits!C8="","",Produits!C8)</f>
        <v>1000,00,0005</v>
      </c>
      <c r="D8" s="4" t="str">
        <f>IF(Produits!D8="","",Produits!D8)</f>
        <v>AA129</v>
      </c>
      <c r="E8" s="4" t="str">
        <f>IF(Produits!E8="","",Produits!E8)</f>
        <v/>
      </c>
      <c r="F8" s="49" t="str">
        <f>IF(Produits!F8="","",Produits!F8)</f>
        <v>1 pcs</v>
      </c>
      <c r="G8" s="32"/>
      <c r="H8" s="32"/>
      <c r="I8" s="32"/>
      <c r="J8" s="61" t="str">
        <f>IF($J$1="","",HLOOKUP($J$1,$M$1:$AAY$1000,8,0))</f>
        <v/>
      </c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3"/>
      <c r="AM8" s="33"/>
      <c r="AN8" s="33"/>
    </row>
    <row r="9" spans="1:40" s="8" customFormat="1" x14ac:dyDescent="0.25">
      <c r="A9" s="4" t="str">
        <f>IF(Produits!A9="","",Produits!A9)</f>
        <v>Rail R à ailettes</v>
      </c>
      <c r="B9" s="4" t="str">
        <f>IF(Produits!B9="","",Produits!B9)</f>
        <v>RAL 9010</v>
      </c>
      <c r="C9" s="4" t="str">
        <f>IF(Produits!C9="","",Produits!C9)</f>
        <v>1000,00,0006</v>
      </c>
      <c r="D9" s="4" t="str">
        <f>IF(Produits!D9="","",Produits!D9)</f>
        <v>AA130</v>
      </c>
      <c r="E9" s="4" t="str">
        <f>IF(Produits!E9="","",Produits!E9)</f>
        <v/>
      </c>
      <c r="F9" s="49" t="str">
        <f>IF(Produits!F9="","",Produits!F9)</f>
        <v>1 pcs</v>
      </c>
      <c r="G9" s="32"/>
      <c r="H9" s="32"/>
      <c r="I9" s="32"/>
      <c r="J9" s="61" t="str">
        <f>IF($J$1="","",HLOOKUP($J$1,$M$1:$AAY$1000,9,0))</f>
        <v/>
      </c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3"/>
      <c r="AM9" s="33"/>
      <c r="AN9" s="33"/>
    </row>
    <row r="10" spans="1:40" s="8" customFormat="1" x14ac:dyDescent="0.25">
      <c r="A10" s="4" t="str">
        <f>IF(Produits!A10="","",Produits!A10)</f>
        <v>Rail R à ailettes</v>
      </c>
      <c r="B10" s="4" t="str">
        <f>IF(Produits!B10="","",Produits!B10)</f>
        <v>RAL 9010</v>
      </c>
      <c r="C10" s="4" t="str">
        <f>IF(Produits!C10="","",Produits!C10)</f>
        <v>1000,00,0007</v>
      </c>
      <c r="D10" s="4" t="str">
        <f>IF(Produits!D10="","",Produits!D10)</f>
        <v>AA131</v>
      </c>
      <c r="E10" s="4" t="str">
        <f>IF(Produits!E10="","",Produits!E10)</f>
        <v/>
      </c>
      <c r="F10" s="49" t="str">
        <f>IF(Produits!F10="","",Produits!F10)</f>
        <v>1 pcs</v>
      </c>
      <c r="G10" s="32"/>
      <c r="H10" s="32"/>
      <c r="I10" s="32"/>
      <c r="J10" s="61" t="str">
        <f>IF($J$1="","",HLOOKUP($J$1,$M$1:$AAY$1000,10,0))</f>
        <v/>
      </c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3"/>
      <c r="AM10" s="33"/>
      <c r="AN10" s="33"/>
    </row>
    <row r="11" spans="1:40" s="8" customFormat="1" x14ac:dyDescent="0.25">
      <c r="A11" s="4" t="str">
        <f>IF(Produits!A11="","",Produits!A11)</f>
        <v>Rail R à ailettes</v>
      </c>
      <c r="B11" s="4" t="str">
        <f>IF(Produits!B11="","",Produits!B11)</f>
        <v>RAL 9010</v>
      </c>
      <c r="C11" s="4" t="str">
        <f>IF(Produits!C11="","",Produits!C11)</f>
        <v>1000,00,0008</v>
      </c>
      <c r="D11" s="4" t="str">
        <f>IF(Produits!D11="","",Produits!D11)</f>
        <v>AA132</v>
      </c>
      <c r="E11" s="4" t="str">
        <f>IF(Produits!E11="","",Produits!E11)</f>
        <v/>
      </c>
      <c r="F11" s="49" t="str">
        <f>IF(Produits!F11="","",Produits!F11)</f>
        <v>1 pcs</v>
      </c>
      <c r="G11" s="32"/>
      <c r="H11" s="32"/>
      <c r="I11" s="32"/>
      <c r="J11" s="61" t="str">
        <f>IF($J$1="","",HLOOKUP($J$1,$M$1:$AAY$1000,11,0))</f>
        <v/>
      </c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3"/>
      <c r="AM11" s="33"/>
      <c r="AN11" s="33"/>
    </row>
    <row r="12" spans="1:40" s="8" customFormat="1" x14ac:dyDescent="0.25">
      <c r="A12" s="4" t="str">
        <f>IF(Produits!A12="","",Produits!A12)</f>
        <v>Rail R à ailettes</v>
      </c>
      <c r="B12" s="4" t="str">
        <f>IF(Produits!B12="","",Produits!B12)</f>
        <v>RAL 9010</v>
      </c>
      <c r="C12" s="4" t="str">
        <f>IF(Produits!C12="","",Produits!C12)</f>
        <v>1000,00,0009</v>
      </c>
      <c r="D12" s="4" t="str">
        <f>IF(Produits!D12="","",Produits!D12)</f>
        <v>AA133</v>
      </c>
      <c r="E12" s="4" t="str">
        <f>IF(Produits!E12="","",Produits!E12)</f>
        <v/>
      </c>
      <c r="F12" s="49" t="str">
        <f>IF(Produits!F12="","",Produits!F12)</f>
        <v>1 pcs</v>
      </c>
      <c r="G12" s="32"/>
      <c r="H12" s="32"/>
      <c r="I12" s="32"/>
      <c r="J12" s="61" t="str">
        <f>IF($J$1="","",HLOOKUP($J$1,$M$1:$AAY$1000,12,0))</f>
        <v/>
      </c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3"/>
      <c r="AM12" s="33"/>
      <c r="AN12" s="33"/>
    </row>
    <row r="13" spans="1:40" s="8" customFormat="1" x14ac:dyDescent="0.25">
      <c r="A13" s="4" t="str">
        <f>IF(Produits!A13="","",Produits!A13)</f>
        <v>Rail R à ailettes</v>
      </c>
      <c r="B13" s="4" t="str">
        <f>IF(Produits!B13="","",Produits!B13)</f>
        <v>RAL 9003</v>
      </c>
      <c r="C13" s="4" t="str">
        <f>IF(Produits!C13="","",Produits!C13)</f>
        <v>1000,00,0010</v>
      </c>
      <c r="D13" s="4" t="str">
        <f>IF(Produits!D13="","",Produits!D13)</f>
        <v>AA134</v>
      </c>
      <c r="E13" s="4" t="str">
        <f>IF(Produits!E13="","",Produits!E13)</f>
        <v/>
      </c>
      <c r="F13" s="49" t="str">
        <f>IF(Produits!F13="","",Produits!F13)</f>
        <v>3 m</v>
      </c>
      <c r="G13" s="32"/>
      <c r="H13" s="32"/>
      <c r="I13" s="32"/>
      <c r="J13" s="61" t="str">
        <f>IF($J$1="","",HLOOKUP($J$1,$M$1:$AAY$1000,13,0))</f>
        <v/>
      </c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3"/>
      <c r="AM13" s="33"/>
      <c r="AN13" s="33"/>
    </row>
    <row r="14" spans="1:40" s="8" customFormat="1" ht="12.75" customHeight="1" x14ac:dyDescent="0.25">
      <c r="A14" s="4" t="str">
        <f>IF(Produits!A14="","",Produits!A14)</f>
        <v>Rail R à ailettes</v>
      </c>
      <c r="B14" s="4" t="str">
        <f>IF(Produits!B14="","",Produits!B14)</f>
        <v>RAL 9003</v>
      </c>
      <c r="C14" s="4" t="str">
        <f>IF(Produits!C14="","",Produits!C14)</f>
        <v>1000,00,0011</v>
      </c>
      <c r="D14" s="4" t="str">
        <f>IF(Produits!D14="","",Produits!D14)</f>
        <v>AA135</v>
      </c>
      <c r="E14" s="4" t="str">
        <f>IF(Produits!E14="","",Produits!E14)</f>
        <v/>
      </c>
      <c r="F14" s="49" t="str">
        <f>IF(Produits!F14="","",Produits!F14)</f>
        <v>1 pcs</v>
      </c>
      <c r="G14" s="32"/>
      <c r="H14" s="32"/>
      <c r="I14" s="32"/>
      <c r="J14" s="61" t="str">
        <f>IF($J$1="","",HLOOKUP($J$1,$M$1:$AAY$1000,14,0))</f>
        <v/>
      </c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3"/>
      <c r="AM14" s="33"/>
      <c r="AN14" s="33"/>
    </row>
    <row r="15" spans="1:40" s="8" customFormat="1" x14ac:dyDescent="0.25">
      <c r="A15" s="4" t="str">
        <f>IF(Produits!A15="","",Produits!A15)</f>
        <v>Rail R à ailettes</v>
      </c>
      <c r="B15" s="4" t="str">
        <f>IF(Produits!B15="","",Produits!B15)</f>
        <v>RAL 9003</v>
      </c>
      <c r="C15" s="4" t="str">
        <f>IF(Produits!C15="","",Produits!C15)</f>
        <v>1000,00,0012</v>
      </c>
      <c r="D15" s="4" t="str">
        <f>IF(Produits!D15="","",Produits!D15)</f>
        <v>AA136</v>
      </c>
      <c r="E15" s="4" t="str">
        <f>IF(Produits!E15="","",Produits!E15)</f>
        <v/>
      </c>
      <c r="F15" s="49" t="str">
        <f>IF(Produits!F15="","",Produits!F15)</f>
        <v>1 pcs</v>
      </c>
      <c r="G15" s="32"/>
      <c r="H15" s="32"/>
      <c r="I15" s="32"/>
      <c r="J15" s="61" t="str">
        <f>IF($J$1="","",HLOOKUP($J$1,$M$1:$AAY$1000,15,0))</f>
        <v/>
      </c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3"/>
      <c r="AM15" s="33"/>
      <c r="AN15" s="33"/>
    </row>
    <row r="16" spans="1:40" s="8" customFormat="1" x14ac:dyDescent="0.25">
      <c r="A16" s="4" t="str">
        <f>IF(Produits!A16="","",Produits!A16)</f>
        <v>Rail R à ailettes</v>
      </c>
      <c r="B16" s="4" t="str">
        <f>IF(Produits!B16="","",Produits!B16)</f>
        <v>RAL 9003</v>
      </c>
      <c r="C16" s="4" t="str">
        <f>IF(Produits!C16="","",Produits!C16)</f>
        <v>1000,00,0013</v>
      </c>
      <c r="D16" s="4" t="str">
        <f>IF(Produits!D16="","",Produits!D16)</f>
        <v>AA137</v>
      </c>
      <c r="E16" s="4" t="str">
        <f>IF(Produits!E16="","",Produits!E16)</f>
        <v/>
      </c>
      <c r="F16" s="49" t="str">
        <f>IF(Produits!F16="","",Produits!F16)</f>
        <v>1 pcs</v>
      </c>
      <c r="G16" s="32"/>
      <c r="H16" s="32"/>
      <c r="I16" s="32"/>
      <c r="J16" s="61" t="str">
        <f>IF($J$1="","",HLOOKUP($J$1,$M$1:$AAY$1000,16,0))</f>
        <v/>
      </c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3"/>
      <c r="AM16" s="33"/>
      <c r="AN16" s="33"/>
    </row>
    <row r="17" spans="1:40" s="8" customFormat="1" x14ac:dyDescent="0.25">
      <c r="A17" s="4" t="str">
        <f>IF(Produits!A17="","",Produits!A17)</f>
        <v>Rail R à ailettes</v>
      </c>
      <c r="B17" s="4" t="str">
        <f>IF(Produits!B17="","",Produits!B17)</f>
        <v>RAL 9003</v>
      </c>
      <c r="C17" s="4" t="str">
        <f>IF(Produits!C17="","",Produits!C17)</f>
        <v>1000,00,0014</v>
      </c>
      <c r="D17" s="4" t="str">
        <f>IF(Produits!D17="","",Produits!D17)</f>
        <v>AA138</v>
      </c>
      <c r="E17" s="4" t="str">
        <f>IF(Produits!E17="","",Produits!E17)</f>
        <v/>
      </c>
      <c r="F17" s="49" t="str">
        <f>IF(Produits!F17="","",Produits!F17)</f>
        <v>1 pcs</v>
      </c>
      <c r="G17" s="32"/>
      <c r="H17" s="32"/>
      <c r="I17" s="32"/>
      <c r="J17" s="61" t="str">
        <f>IF($J$1="","",HLOOKUP($J$1,$M$1:$AAY$1000,17,0))</f>
        <v/>
      </c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3"/>
      <c r="AM17" s="33"/>
      <c r="AN17" s="33"/>
    </row>
    <row r="18" spans="1:40" s="8" customFormat="1" x14ac:dyDescent="0.25">
      <c r="A18" s="4" t="str">
        <f>IF(Produits!A18="","",Produits!A18)</f>
        <v>Rail R à ailettes</v>
      </c>
      <c r="B18" s="4" t="str">
        <f>IF(Produits!B18="","",Produits!B18)</f>
        <v>RAL 9003</v>
      </c>
      <c r="C18" s="4" t="str">
        <f>IF(Produits!C18="","",Produits!C18)</f>
        <v>1000,00,0015</v>
      </c>
      <c r="D18" s="4" t="str">
        <f>IF(Produits!D18="","",Produits!D18)</f>
        <v>AA139</v>
      </c>
      <c r="E18" s="4" t="str">
        <f>IF(Produits!E18="","",Produits!E18)</f>
        <v/>
      </c>
      <c r="F18" s="49" t="str">
        <f>IF(Produits!F18="","",Produits!F18)</f>
        <v>1 pcs</v>
      </c>
      <c r="G18" s="32"/>
      <c r="H18" s="32"/>
      <c r="I18" s="32"/>
      <c r="J18" s="61" t="str">
        <f>IF($J$1="","",HLOOKUP($J$1,$M$1:$AAY$1000,18,0))</f>
        <v/>
      </c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3"/>
      <c r="AM18" s="33"/>
      <c r="AN18" s="33"/>
    </row>
    <row r="19" spans="1:40" s="8" customFormat="1" x14ac:dyDescent="0.25">
      <c r="A19" s="4" t="str">
        <f>IF(Produits!A19="","",Produits!A19)</f>
        <v>Rail R à ailettes</v>
      </c>
      <c r="B19" s="4" t="str">
        <f>IF(Produits!B19="","",Produits!B19)</f>
        <v>RAL 9003</v>
      </c>
      <c r="C19" s="4" t="str">
        <f>IF(Produits!C19="","",Produits!C19)</f>
        <v>1000,00,0016</v>
      </c>
      <c r="D19" s="4" t="str">
        <f>IF(Produits!D19="","",Produits!D19)</f>
        <v>AA140</v>
      </c>
      <c r="E19" s="4" t="str">
        <f>IF(Produits!E19="","",Produits!E19)</f>
        <v/>
      </c>
      <c r="F19" s="49" t="str">
        <f>IF(Produits!F19="","",Produits!F19)</f>
        <v>1 pcs</v>
      </c>
      <c r="G19" s="32"/>
      <c r="H19" s="32"/>
      <c r="I19" s="32"/>
      <c r="J19" s="61" t="str">
        <f>IF($J$1="","",HLOOKUP($J$1,$M$1:$AAY$1000,19,0))</f>
        <v/>
      </c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3"/>
      <c r="AM19" s="33"/>
      <c r="AN19" s="33"/>
    </row>
    <row r="20" spans="1:40" s="8" customFormat="1" x14ac:dyDescent="0.25">
      <c r="A20" s="4" t="str">
        <f>IF(Produits!A20="","",Produits!A20)</f>
        <v>Rail R à ailettes</v>
      </c>
      <c r="B20" s="4" t="str">
        <f>IF(Produits!B20="","",Produits!B20)</f>
        <v>RAL 9003</v>
      </c>
      <c r="C20" s="4" t="str">
        <f>IF(Produits!C20="","",Produits!C20)</f>
        <v>1000,00,0017</v>
      </c>
      <c r="D20" s="4" t="str">
        <f>IF(Produits!D20="","",Produits!D20)</f>
        <v>AA141</v>
      </c>
      <c r="E20" s="4" t="str">
        <f>IF(Produits!E20="","",Produits!E20)</f>
        <v/>
      </c>
      <c r="F20" s="49" t="str">
        <f>IF(Produits!F20="","",Produits!F20)</f>
        <v>1 pcs</v>
      </c>
      <c r="G20" s="32"/>
      <c r="H20" s="32"/>
      <c r="I20" s="32"/>
      <c r="J20" s="61" t="str">
        <f>IF($J$1="","",HLOOKUP($J$1,$M$1:$AAY$1000,20,0))</f>
        <v/>
      </c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3"/>
      <c r="AM20" s="33"/>
      <c r="AN20" s="33"/>
    </row>
    <row r="21" spans="1:40" s="8" customFormat="1" x14ac:dyDescent="0.25">
      <c r="A21" s="4" t="str">
        <f>IF(Produits!A21="","",Produits!A21)</f>
        <v>Rail R à ailettes</v>
      </c>
      <c r="B21" s="4" t="str">
        <f>IF(Produits!B21="","",Produits!B21)</f>
        <v>RAL 9003</v>
      </c>
      <c r="C21" s="4" t="str">
        <f>IF(Produits!C21="","",Produits!C21)</f>
        <v>1000,00,0018</v>
      </c>
      <c r="D21" s="4" t="str">
        <f>IF(Produits!D21="","",Produits!D21)</f>
        <v>AA142</v>
      </c>
      <c r="E21" s="4" t="str">
        <f>IF(Produits!E21="","",Produits!E21)</f>
        <v/>
      </c>
      <c r="F21" s="49" t="str">
        <f>IF(Produits!F21="","",Produits!F21)</f>
        <v>1 pcs</v>
      </c>
      <c r="G21" s="32"/>
      <c r="H21" s="32"/>
      <c r="I21" s="32"/>
      <c r="J21" s="61" t="str">
        <f>IF($J$1="","",HLOOKUP($J$1,$M$1:$AAY$1000,21,0))</f>
        <v/>
      </c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2"/>
      <c r="AK21" s="32"/>
      <c r="AL21" s="33"/>
      <c r="AM21" s="33"/>
      <c r="AN21" s="33"/>
    </row>
    <row r="22" spans="1:40" s="8" customFormat="1" x14ac:dyDescent="0.25">
      <c r="A22" s="4" t="str">
        <f>IF(Produits!A22="","",Produits!A22)</f>
        <v>Rail R à ailettes</v>
      </c>
      <c r="B22" s="4" t="str">
        <f>IF(Produits!B22="","",Produits!B22)</f>
        <v>RAL XXXX</v>
      </c>
      <c r="C22" s="4" t="str">
        <f>IF(Produits!C22="","",Produits!C22)</f>
        <v>1000,00,0019</v>
      </c>
      <c r="D22" s="4" t="str">
        <f>IF(Produits!D22="","",Produits!D22)</f>
        <v>AA143</v>
      </c>
      <c r="E22" s="4" t="str">
        <f>IF(Produits!E22="","",Produits!E22)</f>
        <v/>
      </c>
      <c r="F22" s="49" t="str">
        <f>IF(Produits!F22="","",Produits!F22)</f>
        <v>3 m</v>
      </c>
      <c r="G22" s="32"/>
      <c r="H22" s="32"/>
      <c r="I22" s="32"/>
      <c r="J22" s="61" t="str">
        <f>IF($J$1="","",HLOOKUP($J$1,$M$1:$AAY$1000,22,0))</f>
        <v/>
      </c>
      <c r="K22" s="32"/>
      <c r="L22" s="57"/>
      <c r="M22" s="57"/>
      <c r="N22" s="57"/>
      <c r="O22" s="57"/>
      <c r="P22" s="57"/>
      <c r="Q22" s="57"/>
      <c r="R22" s="57"/>
      <c r="S22" s="57"/>
      <c r="T22" s="57"/>
      <c r="U22" s="57"/>
      <c r="V22" s="57"/>
      <c r="W22" s="57"/>
      <c r="X22" s="57"/>
      <c r="Y22" s="57"/>
      <c r="Z22" s="57"/>
      <c r="AA22" s="57"/>
      <c r="AB22" s="57"/>
      <c r="AC22" s="57"/>
      <c r="AD22" s="57"/>
      <c r="AE22" s="57"/>
      <c r="AF22" s="57"/>
      <c r="AG22" s="57"/>
      <c r="AH22" s="57"/>
      <c r="AI22" s="57"/>
      <c r="AJ22" s="57"/>
      <c r="AK22" s="57"/>
      <c r="AL22" s="33"/>
      <c r="AM22" s="33"/>
      <c r="AN22" s="33"/>
    </row>
    <row r="23" spans="1:40" x14ac:dyDescent="0.25">
      <c r="A23" s="4" t="str">
        <f>IF(Produits!A23="","",Produits!A23)</f>
        <v>Rail R à ailettes</v>
      </c>
      <c r="B23" s="4" t="str">
        <f>IF(Produits!B23="","",Produits!B23)</f>
        <v>RAL XXXX</v>
      </c>
      <c r="C23" s="4" t="str">
        <f>IF(Produits!C23="","",Produits!C23)</f>
        <v>1000,00,0020</v>
      </c>
      <c r="D23" s="4" t="str">
        <f>IF(Produits!D23="","",Produits!D23)</f>
        <v>AA144</v>
      </c>
      <c r="E23" s="4" t="str">
        <f>IF(Produits!E23="","",Produits!E23)</f>
        <v/>
      </c>
      <c r="F23" s="49" t="str">
        <f>IF(Produits!F23="","",Produits!F23)</f>
        <v>1 pcs</v>
      </c>
      <c r="J23" s="61" t="str">
        <f>IF($J$1="","",HLOOKUP($J$1,$M$1:$AAY$1000,23,0))</f>
        <v/>
      </c>
    </row>
    <row r="24" spans="1:40" x14ac:dyDescent="0.25">
      <c r="A24" s="4" t="str">
        <f>IF(Produits!A24="","",Produits!A24)</f>
        <v>Rail R à ailettes</v>
      </c>
      <c r="B24" s="4" t="str">
        <f>IF(Produits!B24="","",Produits!B24)</f>
        <v>RAL XXXX</v>
      </c>
      <c r="C24" s="4" t="str">
        <f>IF(Produits!C24="","",Produits!C24)</f>
        <v>1000,00,0021</v>
      </c>
      <c r="D24" s="4" t="str">
        <f>IF(Produits!D24="","",Produits!D24)</f>
        <v>AA145</v>
      </c>
      <c r="E24" s="4" t="str">
        <f>IF(Produits!E24="","",Produits!E24)</f>
        <v/>
      </c>
      <c r="F24" s="49" t="str">
        <f>IF(Produits!F24="","",Produits!F24)</f>
        <v>1 pcs</v>
      </c>
      <c r="J24" s="61" t="str">
        <f>IF($J$1="","",HLOOKUP($J$1,$M$1:$AAY$1000,24,0))</f>
        <v/>
      </c>
    </row>
    <row r="25" spans="1:40" x14ac:dyDescent="0.25">
      <c r="A25" s="4" t="str">
        <f>IF(Produits!A25="","",Produits!A25)</f>
        <v>Rail R à ailettes</v>
      </c>
      <c r="B25" s="4" t="str">
        <f>IF(Produits!B25="","",Produits!B25)</f>
        <v>RAL XXXX</v>
      </c>
      <c r="C25" s="4" t="str">
        <f>IF(Produits!C25="","",Produits!C25)</f>
        <v>1000,00,0022</v>
      </c>
      <c r="D25" s="4" t="str">
        <f>IF(Produits!D25="","",Produits!D25)</f>
        <v>AA146</v>
      </c>
      <c r="E25" s="4" t="str">
        <f>IF(Produits!E25="","",Produits!E25)</f>
        <v/>
      </c>
      <c r="F25" s="49" t="str">
        <f>IF(Produits!F25="","",Produits!F25)</f>
        <v>1 pcs</v>
      </c>
      <c r="J25" s="61" t="str">
        <f>IF($J$1="","",HLOOKUP($J$1,$M$1:$AAY$1000,25,0))</f>
        <v/>
      </c>
    </row>
    <row r="26" spans="1:40" x14ac:dyDescent="0.25">
      <c r="A26" s="4" t="str">
        <f>IF(Produits!A26="","",Produits!A26)</f>
        <v>Rail R à ailettes</v>
      </c>
      <c r="B26" s="4" t="str">
        <f>IF(Produits!B26="","",Produits!B26)</f>
        <v>RAL XXXX</v>
      </c>
      <c r="C26" s="4" t="str">
        <f>IF(Produits!C26="","",Produits!C26)</f>
        <v>1000,00,0023</v>
      </c>
      <c r="D26" s="4" t="str">
        <f>IF(Produits!D26="","",Produits!D26)</f>
        <v>AA147</v>
      </c>
      <c r="E26" s="4" t="str">
        <f>IF(Produits!E26="","",Produits!E26)</f>
        <v/>
      </c>
      <c r="F26" s="49" t="str">
        <f>IF(Produits!F26="","",Produits!F26)</f>
        <v>1 pcs</v>
      </c>
      <c r="J26" s="61" t="str">
        <f>IF($J$1="","",HLOOKUP($J$1,$M$1:$AAY$1000,26,0))</f>
        <v/>
      </c>
    </row>
    <row r="27" spans="1:40" x14ac:dyDescent="0.25">
      <c r="A27" s="4" t="str">
        <f>IF(Produits!A27="","",Produits!A27)</f>
        <v>Rail R à ailettes</v>
      </c>
      <c r="B27" s="4" t="str">
        <f>IF(Produits!B27="","",Produits!B27)</f>
        <v>RAL XXXX</v>
      </c>
      <c r="C27" s="4" t="str">
        <f>IF(Produits!C27="","",Produits!C27)</f>
        <v>1000,00,0024</v>
      </c>
      <c r="D27" s="4" t="str">
        <f>IF(Produits!D27="","",Produits!D27)</f>
        <v>AA148</v>
      </c>
      <c r="E27" s="4" t="str">
        <f>IF(Produits!E27="","",Produits!E27)</f>
        <v/>
      </c>
      <c r="F27" s="49" t="str">
        <f>IF(Produits!F27="","",Produits!F27)</f>
        <v>1 pcs</v>
      </c>
      <c r="J27" s="61" t="str">
        <f>IF($J$1="","",HLOOKUP($J$1,$M$1:$AAY$1000,27,0))</f>
        <v/>
      </c>
    </row>
    <row r="28" spans="1:40" x14ac:dyDescent="0.25">
      <c r="A28" s="4" t="str">
        <f>IF(Produits!A28="","",Produits!A28)</f>
        <v>Rail R à ailettes</v>
      </c>
      <c r="B28" s="4" t="str">
        <f>IF(Produits!B28="","",Produits!B28)</f>
        <v>RAL XXXX</v>
      </c>
      <c r="C28" s="4" t="str">
        <f>IF(Produits!C28="","",Produits!C28)</f>
        <v>1000,00,0025</v>
      </c>
      <c r="D28" s="4" t="str">
        <f>IF(Produits!D28="","",Produits!D28)</f>
        <v>AA149</v>
      </c>
      <c r="E28" s="4" t="str">
        <f>IF(Produits!E28="","",Produits!E28)</f>
        <v/>
      </c>
      <c r="F28" s="49" t="str">
        <f>IF(Produits!F28="","",Produits!F28)</f>
        <v>1 pcs</v>
      </c>
      <c r="J28" s="61" t="str">
        <f>IF($J$1="","",HLOOKUP($J$1,$M$1:$AAY$1000,28,0))</f>
        <v/>
      </c>
    </row>
    <row r="29" spans="1:40" x14ac:dyDescent="0.25">
      <c r="A29" s="4" t="str">
        <f>IF(Produits!A29="","",Produits!A29)</f>
        <v>Rail R à ailettes</v>
      </c>
      <c r="B29" s="4" t="str">
        <f>IF(Produits!B29="","",Produits!B29)</f>
        <v>RAL XXXX</v>
      </c>
      <c r="C29" s="4" t="str">
        <f>IF(Produits!C29="","",Produits!C29)</f>
        <v>1000,00,0026</v>
      </c>
      <c r="D29" s="4" t="str">
        <f>IF(Produits!D29="","",Produits!D29)</f>
        <v>AA150</v>
      </c>
      <c r="E29" s="4" t="str">
        <f>IF(Produits!E29="","",Produits!E29)</f>
        <v/>
      </c>
      <c r="F29" s="49" t="str">
        <f>IF(Produits!F29="","",Produits!F29)</f>
        <v>1 pcs</v>
      </c>
      <c r="J29" s="61" t="str">
        <f>IF($J$1="","",HLOOKUP($J$1,$M$1:$AAY$1000,29,0))</f>
        <v/>
      </c>
    </row>
    <row r="30" spans="1:40" x14ac:dyDescent="0.25">
      <c r="A30" s="4" t="str">
        <f>IF(Produits!A30="","",Produits!A30)</f>
        <v>Rail R à ailettes</v>
      </c>
      <c r="B30" s="4" t="str">
        <f>IF(Produits!B30="","",Produits!B30)</f>
        <v>RAL XXXX</v>
      </c>
      <c r="C30" s="4" t="str">
        <f>IF(Produits!C30="","",Produits!C30)</f>
        <v>1000,00,0027</v>
      </c>
      <c r="D30" s="4" t="str">
        <f>IF(Produits!D30="","",Produits!D30)</f>
        <v>AA151</v>
      </c>
      <c r="E30" s="4" t="str">
        <f>IF(Produits!E30="","",Produits!E30)</f>
        <v/>
      </c>
      <c r="F30" s="49" t="str">
        <f>IF(Produits!F30="","",Produits!F30)</f>
        <v>1 pcs</v>
      </c>
      <c r="J30" s="61" t="str">
        <f>IF($J$1="","",HLOOKUP($J$1,$M$1:$AAY$1000,30,0))</f>
        <v/>
      </c>
    </row>
    <row r="31" spans="1:40" x14ac:dyDescent="0.25">
      <c r="A31" s="4" t="str">
        <f>IF(Produits!A31="","",Produits!A31)</f>
        <v>Rail R à ailettes</v>
      </c>
      <c r="B31" s="4" t="str">
        <f>IF(Produits!B31="","",Produits!B31)</f>
        <v>BRUT</v>
      </c>
      <c r="C31" s="4" t="str">
        <f>IF(Produits!C31="","",Produits!C31)</f>
        <v>1000,00,0028</v>
      </c>
      <c r="D31" s="4" t="str">
        <f>IF(Produits!D31="","",Produits!D31)</f>
        <v>AA152</v>
      </c>
      <c r="E31" s="4" t="str">
        <f>IF(Produits!E31="","",Produits!E31)</f>
        <v/>
      </c>
      <c r="F31" s="49" t="str">
        <f>IF(Produits!F31="","",Produits!F31)</f>
        <v>3 m</v>
      </c>
      <c r="J31" s="61" t="str">
        <f>IF($J$1="","",HLOOKUP($J$1,$M$1:$AAY$1000,31,0))</f>
        <v/>
      </c>
    </row>
    <row r="32" spans="1:40" x14ac:dyDescent="0.25">
      <c r="A32" s="4" t="str">
        <f>IF(Produits!A32="","",Produits!A32)</f>
        <v>Rail R à ailettes</v>
      </c>
      <c r="B32" s="4" t="str">
        <f>IF(Produits!B32="","",Produits!B32)</f>
        <v>BRUT</v>
      </c>
      <c r="C32" s="4" t="str">
        <f>IF(Produits!C32="","",Produits!C32)</f>
        <v>1000,00,0029</v>
      </c>
      <c r="D32" s="4" t="str">
        <f>IF(Produits!D32="","",Produits!D32)</f>
        <v>AA153</v>
      </c>
      <c r="E32" s="4" t="str">
        <f>IF(Produits!E32="","",Produits!E32)</f>
        <v/>
      </c>
      <c r="F32" s="49" t="str">
        <f>IF(Produits!F32="","",Produits!F32)</f>
        <v>1 pcs</v>
      </c>
      <c r="J32" s="61" t="str">
        <f>IF($J$1="","",HLOOKUP($J$1,$M$1:$AAY$1000,32,0))</f>
        <v/>
      </c>
    </row>
    <row r="33" spans="1:10" x14ac:dyDescent="0.25">
      <c r="A33" s="4" t="str">
        <f>IF(Produits!A33="","",Produits!A33)</f>
        <v>Rail R à ailettes</v>
      </c>
      <c r="B33" s="4" t="str">
        <f>IF(Produits!B33="","",Produits!B33)</f>
        <v>BRUT</v>
      </c>
      <c r="C33" s="4" t="str">
        <f>IF(Produits!C33="","",Produits!C33)</f>
        <v>1000,00,0030</v>
      </c>
      <c r="D33" s="4" t="str">
        <f>IF(Produits!D33="","",Produits!D33)</f>
        <v>AA154</v>
      </c>
      <c r="E33" s="4" t="str">
        <f>IF(Produits!E33="","",Produits!E33)</f>
        <v/>
      </c>
      <c r="F33" s="49" t="str">
        <f>IF(Produits!F33="","",Produits!F33)</f>
        <v>1 pcs</v>
      </c>
      <c r="J33" s="61" t="str">
        <f>IF($J$1="","",HLOOKUP($J$1,$M$1:$AAY$1000,33,0))</f>
        <v/>
      </c>
    </row>
    <row r="34" spans="1:10" x14ac:dyDescent="0.25">
      <c r="A34" s="4" t="str">
        <f>IF(Produits!A34="","",Produits!A34)</f>
        <v>Rail R à ailettes</v>
      </c>
      <c r="B34" s="4" t="str">
        <f>IF(Produits!B34="","",Produits!B34)</f>
        <v>BRUT</v>
      </c>
      <c r="C34" s="4" t="str">
        <f>IF(Produits!C34="","",Produits!C34)</f>
        <v>1000,00,0031</v>
      </c>
      <c r="D34" s="4" t="str">
        <f>IF(Produits!D34="","",Produits!D34)</f>
        <v>AA155</v>
      </c>
      <c r="E34" s="4" t="str">
        <f>IF(Produits!E34="","",Produits!E34)</f>
        <v/>
      </c>
      <c r="F34" s="49" t="str">
        <f>IF(Produits!F34="","",Produits!F34)</f>
        <v>1 pcs</v>
      </c>
      <c r="J34" s="61" t="str">
        <f>IF($J$1="","",HLOOKUP($J$1,$M$1:$AAY$1000,34,0))</f>
        <v/>
      </c>
    </row>
    <row r="35" spans="1:10" x14ac:dyDescent="0.25">
      <c r="A35" s="4" t="str">
        <f>IF(Produits!A35="","",Produits!A35)</f>
        <v>Rail R à ailettes</v>
      </c>
      <c r="B35" s="4" t="str">
        <f>IF(Produits!B35="","",Produits!B35)</f>
        <v>BRUT</v>
      </c>
      <c r="C35" s="4" t="str">
        <f>IF(Produits!C35="","",Produits!C35)</f>
        <v>1000,00,0032</v>
      </c>
      <c r="D35" s="4" t="str">
        <f>IF(Produits!D35="","",Produits!D35)</f>
        <v>AA156</v>
      </c>
      <c r="E35" s="4" t="str">
        <f>IF(Produits!E35="","",Produits!E35)</f>
        <v/>
      </c>
      <c r="F35" s="49" t="str">
        <f>IF(Produits!F35="","",Produits!F35)</f>
        <v>1 pcs</v>
      </c>
      <c r="J35" s="61" t="str">
        <f>IF($J$1="","",HLOOKUP($J$1,$M$1:$AAY$1000,35,0))</f>
        <v/>
      </c>
    </row>
    <row r="36" spans="1:10" x14ac:dyDescent="0.25">
      <c r="A36" s="4" t="str">
        <f>IF(Produits!A36="","",Produits!A36)</f>
        <v>Rail R à ailettes</v>
      </c>
      <c r="B36" s="4" t="str">
        <f>IF(Produits!B36="","",Produits!B36)</f>
        <v>BRUT</v>
      </c>
      <c r="C36" s="4" t="str">
        <f>IF(Produits!C36="","",Produits!C36)</f>
        <v>1000,00,0033</v>
      </c>
      <c r="D36" s="4" t="str">
        <f>IF(Produits!D36="","",Produits!D36)</f>
        <v>AA157</v>
      </c>
      <c r="E36" s="4" t="str">
        <f>IF(Produits!E36="","",Produits!E36)</f>
        <v/>
      </c>
      <c r="F36" s="49" t="str">
        <f>IF(Produits!F36="","",Produits!F36)</f>
        <v>1 pcs</v>
      </c>
      <c r="J36" s="61" t="str">
        <f>IF($J$1="","",HLOOKUP($J$1,$M$1:$AAY$1000,36,0))</f>
        <v/>
      </c>
    </row>
    <row r="37" spans="1:10" x14ac:dyDescent="0.25">
      <c r="A37" s="4" t="str">
        <f>IF(Produits!A37="","",Produits!A37)</f>
        <v>Rail R à ailettes</v>
      </c>
      <c r="B37" s="4" t="str">
        <f>IF(Produits!B37="","",Produits!B37)</f>
        <v>BRUT</v>
      </c>
      <c r="C37" s="4" t="str">
        <f>IF(Produits!C37="","",Produits!C37)</f>
        <v>1000,00,0034</v>
      </c>
      <c r="D37" s="4" t="str">
        <f>IF(Produits!D37="","",Produits!D37)</f>
        <v>AA158</v>
      </c>
      <c r="E37" s="4" t="str">
        <f>IF(Produits!E37="","",Produits!E37)</f>
        <v/>
      </c>
      <c r="F37" s="49" t="str">
        <f>IF(Produits!F37="","",Produits!F37)</f>
        <v>1 pcs</v>
      </c>
      <c r="J37" s="61" t="str">
        <f>IF($J$1="","",HLOOKUP($J$1,$M$1:$AAY$1000,37,0))</f>
        <v/>
      </c>
    </row>
    <row r="38" spans="1:10" x14ac:dyDescent="0.25">
      <c r="A38" s="4" t="str">
        <f>IF(Produits!A38="","",Produits!A38)</f>
        <v>Rail R à ailettes</v>
      </c>
      <c r="B38" s="4" t="str">
        <f>IF(Produits!B38="","",Produits!B38)</f>
        <v>BRUT</v>
      </c>
      <c r="C38" s="4" t="str">
        <f>IF(Produits!C38="","",Produits!C38)</f>
        <v>1000,00,0035</v>
      </c>
      <c r="D38" s="4" t="str">
        <f>IF(Produits!D38="","",Produits!D38)</f>
        <v>AA159</v>
      </c>
      <c r="E38" s="4" t="str">
        <f>IF(Produits!E38="","",Produits!E38)</f>
        <v/>
      </c>
      <c r="F38" s="49" t="str">
        <f>IF(Produits!F38="","",Produits!F38)</f>
        <v>1 pcs</v>
      </c>
      <c r="J38" s="61" t="str">
        <f>IF($J$1="","",HLOOKUP($J$1,$M$1:$AAY$1000,38,0))</f>
        <v/>
      </c>
    </row>
    <row r="39" spans="1:10" x14ac:dyDescent="0.25">
      <c r="A39" s="4" t="str">
        <f>IF(Produits!A39="","",Produits!A39)</f>
        <v>Rail R à ailettes</v>
      </c>
      <c r="B39" s="4" t="str">
        <f>IF(Produits!B39="","",Produits!B39)</f>
        <v>BRUT</v>
      </c>
      <c r="C39" s="4" t="str">
        <f>IF(Produits!C39="","",Produits!C39)</f>
        <v>1000,00,0036</v>
      </c>
      <c r="D39" s="4" t="str">
        <f>IF(Produits!D39="","",Produits!D39)</f>
        <v>AA160</v>
      </c>
      <c r="E39" s="4" t="str">
        <f>IF(Produits!E39="","",Produits!E39)</f>
        <v/>
      </c>
      <c r="F39" s="49" t="str">
        <f>IF(Produits!F39="","",Produits!F39)</f>
        <v>1 pcs</v>
      </c>
      <c r="J39" s="61" t="str">
        <f>IF($J$1="","",HLOOKUP($J$1,$M$1:$AAY$1000,39,0))</f>
        <v/>
      </c>
    </row>
    <row r="40" spans="1:10" x14ac:dyDescent="0.25">
      <c r="A40" s="4" t="str">
        <f>IF(Produits!A40="","",Produits!A40)</f>
        <v xml:space="preserve">Rail R </v>
      </c>
      <c r="B40" s="4" t="str">
        <f>IF(Produits!B40="","",Produits!B40)</f>
        <v>RAL 9010</v>
      </c>
      <c r="C40" s="4" t="str">
        <f>IF(Produits!C40="","",Produits!C40)</f>
        <v>1000,00,0037</v>
      </c>
      <c r="D40" s="4" t="str">
        <f>IF(Produits!D40="","",Produits!D40)</f>
        <v>AA161</v>
      </c>
      <c r="E40" s="4" t="str">
        <f>IF(Produits!E40="","",Produits!E40)</f>
        <v/>
      </c>
      <c r="F40" s="49" t="str">
        <f>IF(Produits!F40="","",Produits!F40)</f>
        <v>3 m</v>
      </c>
      <c r="J40" s="61" t="str">
        <f>IF($J$1="","",HLOOKUP($J$1,$M$1:$AAY$1000,40,0))</f>
        <v/>
      </c>
    </row>
    <row r="41" spans="1:10" x14ac:dyDescent="0.25">
      <c r="A41" s="4" t="str">
        <f>IF(Produits!A41="","",Produits!A41)</f>
        <v xml:space="preserve">Rail R </v>
      </c>
      <c r="B41" s="4" t="str">
        <f>IF(Produits!B41="","",Produits!B41)</f>
        <v>RAL 9010</v>
      </c>
      <c r="C41" s="4" t="str">
        <f>IF(Produits!C41="","",Produits!C41)</f>
        <v>1000,00,0038</v>
      </c>
      <c r="D41" s="4" t="str">
        <f>IF(Produits!D41="","",Produits!D41)</f>
        <v>AA162</v>
      </c>
      <c r="E41" s="4" t="str">
        <f>IF(Produits!E41="","",Produits!E41)</f>
        <v/>
      </c>
      <c r="F41" s="49" t="str">
        <f>IF(Produits!F41="","",Produits!F41)</f>
        <v>1 pcs</v>
      </c>
      <c r="J41" s="61" t="str">
        <f>IF($J$1="","",HLOOKUP($J$1,$M$1:$AAY$1000,41,0))</f>
        <v/>
      </c>
    </row>
    <row r="42" spans="1:10" x14ac:dyDescent="0.25">
      <c r="A42" s="4" t="str">
        <f>IF(Produits!A42="","",Produits!A42)</f>
        <v xml:space="preserve">Rail R </v>
      </c>
      <c r="B42" s="4" t="str">
        <f>IF(Produits!B42="","",Produits!B42)</f>
        <v>RAL 9010</v>
      </c>
      <c r="C42" s="4" t="str">
        <f>IF(Produits!C42="","",Produits!C42)</f>
        <v>1000,00,0039</v>
      </c>
      <c r="D42" s="4" t="str">
        <f>IF(Produits!D42="","",Produits!D42)</f>
        <v>AA163</v>
      </c>
      <c r="E42" s="4" t="str">
        <f>IF(Produits!E42="","",Produits!E42)</f>
        <v/>
      </c>
      <c r="F42" s="49" t="str">
        <f>IF(Produits!F42="","",Produits!F42)</f>
        <v>1 pcs</v>
      </c>
      <c r="J42" s="61" t="str">
        <f>IF($J$1="","",HLOOKUP($J$1,$M$1:$AAY$1000,42,0))</f>
        <v/>
      </c>
    </row>
    <row r="43" spans="1:10" x14ac:dyDescent="0.25">
      <c r="A43" s="4" t="str">
        <f>IF(Produits!A43="","",Produits!A43)</f>
        <v xml:space="preserve">Rail R </v>
      </c>
      <c r="B43" s="4" t="str">
        <f>IF(Produits!B43="","",Produits!B43)</f>
        <v>RAL 9010</v>
      </c>
      <c r="C43" s="4" t="str">
        <f>IF(Produits!C43="","",Produits!C43)</f>
        <v>1000,00,0040</v>
      </c>
      <c r="D43" s="4" t="str">
        <f>IF(Produits!D43="","",Produits!D43)</f>
        <v>AA164</v>
      </c>
      <c r="E43" s="4" t="str">
        <f>IF(Produits!E43="","",Produits!E43)</f>
        <v/>
      </c>
      <c r="F43" s="49" t="str">
        <f>IF(Produits!F43="","",Produits!F43)</f>
        <v>1 pcs</v>
      </c>
      <c r="J43" s="61" t="str">
        <f>IF($J$1="","",HLOOKUP($J$1,$M$1:$AAY$1000,43,0))</f>
        <v/>
      </c>
    </row>
    <row r="44" spans="1:10" x14ac:dyDescent="0.25">
      <c r="A44" s="4" t="str">
        <f>IF(Produits!A44="","",Produits!A44)</f>
        <v xml:space="preserve">Rail R </v>
      </c>
      <c r="B44" s="4" t="str">
        <f>IF(Produits!B44="","",Produits!B44)</f>
        <v>RAL 9010</v>
      </c>
      <c r="C44" s="4" t="str">
        <f>IF(Produits!C44="","",Produits!C44)</f>
        <v>1000,00,0041</v>
      </c>
      <c r="D44" s="4" t="str">
        <f>IF(Produits!D44="","",Produits!D44)</f>
        <v>AA165</v>
      </c>
      <c r="E44" s="4" t="str">
        <f>IF(Produits!E44="","",Produits!E44)</f>
        <v/>
      </c>
      <c r="F44" s="49" t="str">
        <f>IF(Produits!F44="","",Produits!F44)</f>
        <v>1 pcs</v>
      </c>
      <c r="J44" s="61" t="str">
        <f>IF($J$1="","",HLOOKUP($J$1,$M$1:$AAY$1000,44,0))</f>
        <v/>
      </c>
    </row>
    <row r="45" spans="1:10" x14ac:dyDescent="0.25">
      <c r="A45" s="4" t="str">
        <f>IF(Produits!A45="","",Produits!A45)</f>
        <v xml:space="preserve">Rail R </v>
      </c>
      <c r="B45" s="4" t="str">
        <f>IF(Produits!B45="","",Produits!B45)</f>
        <v>RAL 9010</v>
      </c>
      <c r="C45" s="4" t="str">
        <f>IF(Produits!C45="","",Produits!C45)</f>
        <v>1000,00,0042</v>
      </c>
      <c r="D45" s="4" t="str">
        <f>IF(Produits!D45="","",Produits!D45)</f>
        <v>AA166</v>
      </c>
      <c r="E45" s="4" t="str">
        <f>IF(Produits!E45="","",Produits!E45)</f>
        <v/>
      </c>
      <c r="F45" s="49" t="str">
        <f>IF(Produits!F45="","",Produits!F45)</f>
        <v>1 pcs</v>
      </c>
      <c r="J45" s="61" t="str">
        <f>IF($J$1="","",HLOOKUP($J$1,$M$1:$AAY$1000,45,0))</f>
        <v/>
      </c>
    </row>
    <row r="46" spans="1:10" x14ac:dyDescent="0.25">
      <c r="A46" s="4" t="str">
        <f>IF(Produits!A46="","",Produits!A46)</f>
        <v xml:space="preserve">Rail R </v>
      </c>
      <c r="B46" s="4" t="str">
        <f>IF(Produits!B46="","",Produits!B46)</f>
        <v>RAL 9010</v>
      </c>
      <c r="C46" s="4" t="str">
        <f>IF(Produits!C46="","",Produits!C46)</f>
        <v>1000,00,0043</v>
      </c>
      <c r="D46" s="4" t="str">
        <f>IF(Produits!D46="","",Produits!D46)</f>
        <v>AA167</v>
      </c>
      <c r="E46" s="4" t="str">
        <f>IF(Produits!E46="","",Produits!E46)</f>
        <v/>
      </c>
      <c r="F46" s="49" t="str">
        <f>IF(Produits!F46="","",Produits!F46)</f>
        <v>1 pcs</v>
      </c>
      <c r="J46" s="61" t="str">
        <f>IF($J$1="","",HLOOKUP($J$1,$M$1:$AAY$1000,46,0))</f>
        <v/>
      </c>
    </row>
    <row r="47" spans="1:10" x14ac:dyDescent="0.25">
      <c r="A47" s="4" t="str">
        <f>IF(Produits!A47="","",Produits!A47)</f>
        <v xml:space="preserve">Rail R </v>
      </c>
      <c r="B47" s="4" t="str">
        <f>IF(Produits!B47="","",Produits!B47)</f>
        <v>RAL 9010</v>
      </c>
      <c r="C47" s="4" t="str">
        <f>IF(Produits!C47="","",Produits!C47)</f>
        <v>1000,00,0044</v>
      </c>
      <c r="D47" s="4" t="str">
        <f>IF(Produits!D47="","",Produits!D47)</f>
        <v>AA168</v>
      </c>
      <c r="E47" s="4" t="str">
        <f>IF(Produits!E47="","",Produits!E47)</f>
        <v/>
      </c>
      <c r="F47" s="49" t="str">
        <f>IF(Produits!F47="","",Produits!F47)</f>
        <v>1 pcs</v>
      </c>
      <c r="J47" s="61" t="str">
        <f>IF($J$1="","",HLOOKUP($J$1,$M$1:$AAY$1000,47,0))</f>
        <v/>
      </c>
    </row>
    <row r="48" spans="1:10" x14ac:dyDescent="0.25">
      <c r="A48" s="4" t="str">
        <f>IF(Produits!A48="","",Produits!A48)</f>
        <v xml:space="preserve">Rail R </v>
      </c>
      <c r="B48" s="4" t="str">
        <f>IF(Produits!B48="","",Produits!B48)</f>
        <v>RAL 9010</v>
      </c>
      <c r="C48" s="4" t="str">
        <f>IF(Produits!C48="","",Produits!C48)</f>
        <v>1000,00,0045</v>
      </c>
      <c r="D48" s="4" t="str">
        <f>IF(Produits!D48="","",Produits!D48)</f>
        <v>AA169</v>
      </c>
      <c r="E48" s="4" t="str">
        <f>IF(Produits!E48="","",Produits!E48)</f>
        <v/>
      </c>
      <c r="F48" s="49" t="str">
        <f>IF(Produits!F48="","",Produits!F48)</f>
        <v>1 pcs</v>
      </c>
      <c r="J48" s="61" t="str">
        <f>IF($J$1="","",HLOOKUP($J$1,$M$1:$AAY$1000,48,0))</f>
        <v/>
      </c>
    </row>
    <row r="49" spans="1:10" x14ac:dyDescent="0.25">
      <c r="A49" s="4" t="str">
        <f>IF(Produits!A49="","",Produits!A49)</f>
        <v xml:space="preserve">Rail R </v>
      </c>
      <c r="B49" s="4" t="str">
        <f>IF(Produits!B49="","",Produits!B49)</f>
        <v>RAL 9003</v>
      </c>
      <c r="C49" s="4" t="str">
        <f>IF(Produits!C49="","",Produits!C49)</f>
        <v>1000,00,0046</v>
      </c>
      <c r="D49" s="4" t="str">
        <f>IF(Produits!D49="","",Produits!D49)</f>
        <v>AA170</v>
      </c>
      <c r="E49" s="4" t="str">
        <f>IF(Produits!E49="","",Produits!E49)</f>
        <v/>
      </c>
      <c r="F49" s="49" t="str">
        <f>IF(Produits!F49="","",Produits!F49)</f>
        <v>3 m</v>
      </c>
      <c r="J49" s="61" t="str">
        <f>IF($J$1="","",HLOOKUP($J$1,$M$1:$AAY$1000,49,0))</f>
        <v/>
      </c>
    </row>
    <row r="50" spans="1:10" x14ac:dyDescent="0.25">
      <c r="A50" s="4" t="str">
        <f>IF(Produits!A50="","",Produits!A50)</f>
        <v xml:space="preserve">Rail R </v>
      </c>
      <c r="B50" s="4" t="str">
        <f>IF(Produits!B50="","",Produits!B50)</f>
        <v>RAL 9003</v>
      </c>
      <c r="C50" s="4" t="str">
        <f>IF(Produits!C50="","",Produits!C50)</f>
        <v>1000,00,0047</v>
      </c>
      <c r="D50" s="4" t="str">
        <f>IF(Produits!D50="","",Produits!D50)</f>
        <v>AA171</v>
      </c>
      <c r="E50" s="4" t="str">
        <f>IF(Produits!E50="","",Produits!E50)</f>
        <v/>
      </c>
      <c r="F50" s="49" t="str">
        <f>IF(Produits!F50="","",Produits!F50)</f>
        <v>1 pcs</v>
      </c>
      <c r="J50" s="61" t="str">
        <f>IF($J$1="","",HLOOKUP($J$1,$M$1:$AAY$1000,50,0))</f>
        <v/>
      </c>
    </row>
    <row r="51" spans="1:10" x14ac:dyDescent="0.25">
      <c r="A51" s="4" t="str">
        <f>IF(Produits!A51="","",Produits!A51)</f>
        <v xml:space="preserve">Rail R </v>
      </c>
      <c r="B51" s="4" t="str">
        <f>IF(Produits!B51="","",Produits!B51)</f>
        <v>RAL 9003</v>
      </c>
      <c r="C51" s="4" t="str">
        <f>IF(Produits!C51="","",Produits!C51)</f>
        <v>1000,00,0048</v>
      </c>
      <c r="D51" s="4" t="str">
        <f>IF(Produits!D51="","",Produits!D51)</f>
        <v>AA172</v>
      </c>
      <c r="E51" s="4" t="str">
        <f>IF(Produits!E51="","",Produits!E51)</f>
        <v/>
      </c>
      <c r="F51" s="49" t="str">
        <f>IF(Produits!F51="","",Produits!F51)</f>
        <v>1 pcs</v>
      </c>
      <c r="J51" s="61" t="str">
        <f>IF($J$1="","",HLOOKUP($J$1,$M$1:$AAY$1000,51,0))</f>
        <v/>
      </c>
    </row>
    <row r="52" spans="1:10" x14ac:dyDescent="0.25">
      <c r="A52" s="4" t="str">
        <f>IF(Produits!A52="","",Produits!A52)</f>
        <v xml:space="preserve">Rail R </v>
      </c>
      <c r="B52" s="4" t="str">
        <f>IF(Produits!B52="","",Produits!B52)</f>
        <v>RAL 9003</v>
      </c>
      <c r="C52" s="4" t="str">
        <f>IF(Produits!C52="","",Produits!C52)</f>
        <v>1000,00,0049</v>
      </c>
      <c r="D52" s="4" t="str">
        <f>IF(Produits!D52="","",Produits!D52)</f>
        <v>AA173</v>
      </c>
      <c r="E52" s="4" t="str">
        <f>IF(Produits!E52="","",Produits!E52)</f>
        <v/>
      </c>
      <c r="F52" s="49" t="str">
        <f>IF(Produits!F52="","",Produits!F52)</f>
        <v>1 pcs</v>
      </c>
      <c r="J52" s="61" t="str">
        <f>IF($J$1="","",HLOOKUP($J$1,$M$1:$AAY$1000,52,0))</f>
        <v/>
      </c>
    </row>
    <row r="53" spans="1:10" x14ac:dyDescent="0.25">
      <c r="A53" s="4" t="str">
        <f>IF(Produits!A53="","",Produits!A53)</f>
        <v xml:space="preserve">Rail R </v>
      </c>
      <c r="B53" s="4" t="str">
        <f>IF(Produits!B53="","",Produits!B53)</f>
        <v>RAL 9003</v>
      </c>
      <c r="C53" s="4" t="str">
        <f>IF(Produits!C53="","",Produits!C53)</f>
        <v>1000,00,0050</v>
      </c>
      <c r="D53" s="4" t="str">
        <f>IF(Produits!D53="","",Produits!D53)</f>
        <v>AA174</v>
      </c>
      <c r="E53" s="4" t="str">
        <f>IF(Produits!E53="","",Produits!E53)</f>
        <v/>
      </c>
      <c r="F53" s="49" t="str">
        <f>IF(Produits!F53="","",Produits!F53)</f>
        <v>1 pcs</v>
      </c>
      <c r="J53" s="61" t="str">
        <f>IF($J$1="","",HLOOKUP($J$1,$M$1:$AAY$1000,53,0))</f>
        <v/>
      </c>
    </row>
    <row r="54" spans="1:10" x14ac:dyDescent="0.25">
      <c r="A54" s="4" t="str">
        <f>IF(Produits!A54="","",Produits!A54)</f>
        <v xml:space="preserve">Rail R </v>
      </c>
      <c r="B54" s="4" t="str">
        <f>IF(Produits!B54="","",Produits!B54)</f>
        <v>RAL 9003</v>
      </c>
      <c r="C54" s="4" t="str">
        <f>IF(Produits!C54="","",Produits!C54)</f>
        <v>1000,00,0051</v>
      </c>
      <c r="D54" s="4" t="str">
        <f>IF(Produits!D54="","",Produits!D54)</f>
        <v>AA175</v>
      </c>
      <c r="E54" s="4" t="str">
        <f>IF(Produits!E54="","",Produits!E54)</f>
        <v/>
      </c>
      <c r="F54" s="49" t="str">
        <f>IF(Produits!F54="","",Produits!F54)</f>
        <v>1 pcs</v>
      </c>
      <c r="J54" s="61" t="str">
        <f>IF($J$1="","",HLOOKUP($J$1,$M$1:$AAY$1000,54,0))</f>
        <v/>
      </c>
    </row>
    <row r="55" spans="1:10" x14ac:dyDescent="0.25">
      <c r="A55" s="4" t="str">
        <f>IF(Produits!A55="","",Produits!A55)</f>
        <v xml:space="preserve">Rail R </v>
      </c>
      <c r="B55" s="4" t="str">
        <f>IF(Produits!B55="","",Produits!B55)</f>
        <v>RAL 9003</v>
      </c>
      <c r="C55" s="4" t="str">
        <f>IF(Produits!C55="","",Produits!C55)</f>
        <v>1000,00,0052</v>
      </c>
      <c r="D55" s="4" t="str">
        <f>IF(Produits!D55="","",Produits!D55)</f>
        <v>AA176</v>
      </c>
      <c r="E55" s="4" t="str">
        <f>IF(Produits!E55="","",Produits!E55)</f>
        <v/>
      </c>
      <c r="F55" s="49" t="str">
        <f>IF(Produits!F55="","",Produits!F55)</f>
        <v>1 pcs</v>
      </c>
      <c r="J55" s="61" t="str">
        <f>IF($J$1="","",HLOOKUP($J$1,$M$1:$AAY$1000,55,0))</f>
        <v/>
      </c>
    </row>
    <row r="56" spans="1:10" x14ac:dyDescent="0.25">
      <c r="A56" s="4" t="str">
        <f>IF(Produits!A56="","",Produits!A56)</f>
        <v xml:space="preserve">Rail R </v>
      </c>
      <c r="B56" s="4" t="str">
        <f>IF(Produits!B56="","",Produits!B56)</f>
        <v>RAL 9003</v>
      </c>
      <c r="C56" s="4" t="str">
        <f>IF(Produits!C56="","",Produits!C56)</f>
        <v>1000,00,0053</v>
      </c>
      <c r="D56" s="4" t="str">
        <f>IF(Produits!D56="","",Produits!D56)</f>
        <v>AA177</v>
      </c>
      <c r="E56" s="4" t="str">
        <f>IF(Produits!E56="","",Produits!E56)</f>
        <v/>
      </c>
      <c r="F56" s="49" t="str">
        <f>IF(Produits!F56="","",Produits!F56)</f>
        <v>1 pcs</v>
      </c>
      <c r="J56" s="61" t="str">
        <f>IF($J$1="","",HLOOKUP($J$1,$M$1:$AAY$1000,56,0))</f>
        <v/>
      </c>
    </row>
    <row r="57" spans="1:10" x14ac:dyDescent="0.25">
      <c r="A57" s="4" t="str">
        <f>IF(Produits!A57="","",Produits!A57)</f>
        <v xml:space="preserve">Rail R </v>
      </c>
      <c r="B57" s="4" t="str">
        <f>IF(Produits!B57="","",Produits!B57)</f>
        <v>RAL 9003</v>
      </c>
      <c r="C57" s="4" t="str">
        <f>IF(Produits!C57="","",Produits!C57)</f>
        <v>1000,00,0054</v>
      </c>
      <c r="D57" s="4" t="str">
        <f>IF(Produits!D57="","",Produits!D57)</f>
        <v>AA178</v>
      </c>
      <c r="E57" s="4" t="str">
        <f>IF(Produits!E57="","",Produits!E57)</f>
        <v/>
      </c>
      <c r="F57" s="49" t="str">
        <f>IF(Produits!F57="","",Produits!F57)</f>
        <v>1 pcs</v>
      </c>
      <c r="J57" s="61" t="str">
        <f>IF($J$1="","",HLOOKUP($J$1,$M$1:$AAY$1000,57,0))</f>
        <v/>
      </c>
    </row>
    <row r="58" spans="1:10" x14ac:dyDescent="0.25">
      <c r="A58" s="4" t="str">
        <f>IF(Produits!A58="","",Produits!A58)</f>
        <v xml:space="preserve">Rail R </v>
      </c>
      <c r="B58" s="4" t="str">
        <f>IF(Produits!B58="","",Produits!B58)</f>
        <v>RAL XXXX</v>
      </c>
      <c r="C58" s="4" t="str">
        <f>IF(Produits!C58="","",Produits!C58)</f>
        <v>1000,00,0055</v>
      </c>
      <c r="D58" s="4" t="str">
        <f>IF(Produits!D58="","",Produits!D58)</f>
        <v>AA179</v>
      </c>
      <c r="E58" s="4" t="str">
        <f>IF(Produits!E58="","",Produits!E58)</f>
        <v/>
      </c>
      <c r="F58" s="49" t="str">
        <f>IF(Produits!F58="","",Produits!F58)</f>
        <v>3 m</v>
      </c>
      <c r="J58" s="61" t="str">
        <f>IF($J$1="","",HLOOKUP($J$1,$M$1:$AAY$1000,58,0))</f>
        <v/>
      </c>
    </row>
    <row r="59" spans="1:10" x14ac:dyDescent="0.25">
      <c r="A59" s="4" t="str">
        <f>IF(Produits!A59="","",Produits!A59)</f>
        <v xml:space="preserve">Rail R </v>
      </c>
      <c r="B59" s="4" t="str">
        <f>IF(Produits!B59="","",Produits!B59)</f>
        <v>RAL XXXX</v>
      </c>
      <c r="C59" s="4" t="str">
        <f>IF(Produits!C59="","",Produits!C59)</f>
        <v>1000,00,0056</v>
      </c>
      <c r="D59" s="4" t="str">
        <f>IF(Produits!D59="","",Produits!D59)</f>
        <v>AA180</v>
      </c>
      <c r="E59" s="4" t="str">
        <f>IF(Produits!E59="","",Produits!E59)</f>
        <v/>
      </c>
      <c r="F59" s="49" t="str">
        <f>IF(Produits!F59="","",Produits!F59)</f>
        <v>1 pcs</v>
      </c>
      <c r="J59" s="61" t="str">
        <f>IF($J$1="","",HLOOKUP($J$1,$M$1:$AAY$1000,59,0))</f>
        <v/>
      </c>
    </row>
    <row r="60" spans="1:10" x14ac:dyDescent="0.25">
      <c r="A60" s="4" t="str">
        <f>IF(Produits!A60="","",Produits!A60)</f>
        <v xml:space="preserve">Rail R </v>
      </c>
      <c r="B60" s="4" t="str">
        <f>IF(Produits!B60="","",Produits!B60)</f>
        <v>RAL XXXX</v>
      </c>
      <c r="C60" s="4" t="str">
        <f>IF(Produits!C60="","",Produits!C60)</f>
        <v>1000,00,0057</v>
      </c>
      <c r="D60" s="4" t="str">
        <f>IF(Produits!D60="","",Produits!D60)</f>
        <v>AA181</v>
      </c>
      <c r="E60" s="4" t="str">
        <f>IF(Produits!E60="","",Produits!E60)</f>
        <v/>
      </c>
      <c r="F60" s="49" t="str">
        <f>IF(Produits!F60="","",Produits!F60)</f>
        <v>1 pcs</v>
      </c>
      <c r="J60" s="61" t="str">
        <f>IF($J$1="","",HLOOKUP($J$1,$M$1:$AAY$1000,60,0))</f>
        <v/>
      </c>
    </row>
    <row r="61" spans="1:10" x14ac:dyDescent="0.25">
      <c r="A61" s="4" t="str">
        <f>IF(Produits!A61="","",Produits!A61)</f>
        <v xml:space="preserve">Rail R </v>
      </c>
      <c r="B61" s="4" t="str">
        <f>IF(Produits!B61="","",Produits!B61)</f>
        <v>RAL XXXX</v>
      </c>
      <c r="C61" s="4" t="str">
        <f>IF(Produits!C61="","",Produits!C61)</f>
        <v>1000,00,0058</v>
      </c>
      <c r="D61" s="4" t="str">
        <f>IF(Produits!D61="","",Produits!D61)</f>
        <v>AA182</v>
      </c>
      <c r="E61" s="4" t="str">
        <f>IF(Produits!E61="","",Produits!E61)</f>
        <v/>
      </c>
      <c r="F61" s="49" t="str">
        <f>IF(Produits!F61="","",Produits!F61)</f>
        <v>1 pcs</v>
      </c>
      <c r="J61" s="61" t="str">
        <f>IF($J$1="","",HLOOKUP($J$1,$M$1:$AAY$1000,61,0))</f>
        <v/>
      </c>
    </row>
    <row r="62" spans="1:10" x14ac:dyDescent="0.25">
      <c r="A62" s="4" t="str">
        <f>IF(Produits!A62="","",Produits!A62)</f>
        <v xml:space="preserve">Rail R </v>
      </c>
      <c r="B62" s="4" t="str">
        <f>IF(Produits!B62="","",Produits!B62)</f>
        <v>RAL XXXX</v>
      </c>
      <c r="C62" s="4" t="str">
        <f>IF(Produits!C62="","",Produits!C62)</f>
        <v>1000,00,0059</v>
      </c>
      <c r="D62" s="4" t="str">
        <f>IF(Produits!D62="","",Produits!D62)</f>
        <v>AA183</v>
      </c>
      <c r="E62" s="4" t="str">
        <f>IF(Produits!E62="","",Produits!E62)</f>
        <v/>
      </c>
      <c r="F62" s="49" t="str">
        <f>IF(Produits!F62="","",Produits!F62)</f>
        <v>1 pcs</v>
      </c>
      <c r="J62" s="61" t="str">
        <f>IF($J$1="","",HLOOKUP($J$1,$M$1:$AAY$1000,62,0))</f>
        <v/>
      </c>
    </row>
    <row r="63" spans="1:10" x14ac:dyDescent="0.25">
      <c r="A63" s="4" t="str">
        <f>IF(Produits!A63="","",Produits!A63)</f>
        <v xml:space="preserve">Rail R </v>
      </c>
      <c r="B63" s="4" t="str">
        <f>IF(Produits!B63="","",Produits!B63)</f>
        <v>RAL XXXX</v>
      </c>
      <c r="C63" s="4" t="str">
        <f>IF(Produits!C63="","",Produits!C63)</f>
        <v>1000,00,0060</v>
      </c>
      <c r="D63" s="4" t="str">
        <f>IF(Produits!D63="","",Produits!D63)</f>
        <v>AA184</v>
      </c>
      <c r="E63" s="4" t="str">
        <f>IF(Produits!E63="","",Produits!E63)</f>
        <v/>
      </c>
      <c r="F63" s="49" t="str">
        <f>IF(Produits!F63="","",Produits!F63)</f>
        <v>1 pcs</v>
      </c>
      <c r="J63" s="61" t="str">
        <f>IF($J$1="","",HLOOKUP($J$1,$M$1:$AAY$1000,63,0))</f>
        <v/>
      </c>
    </row>
    <row r="64" spans="1:10" x14ac:dyDescent="0.25">
      <c r="A64" s="4" t="str">
        <f>IF(Produits!A64="","",Produits!A64)</f>
        <v xml:space="preserve">Rail R </v>
      </c>
      <c r="B64" s="4" t="str">
        <f>IF(Produits!B64="","",Produits!B64)</f>
        <v>RAL XXXX</v>
      </c>
      <c r="C64" s="4" t="str">
        <f>IF(Produits!C64="","",Produits!C64)</f>
        <v>1000,00,0061</v>
      </c>
      <c r="D64" s="4" t="str">
        <f>IF(Produits!D64="","",Produits!D64)</f>
        <v>AA185</v>
      </c>
      <c r="E64" s="4" t="str">
        <f>IF(Produits!E64="","",Produits!E64)</f>
        <v/>
      </c>
      <c r="F64" s="49" t="str">
        <f>IF(Produits!F64="","",Produits!F64)</f>
        <v>1 pcs</v>
      </c>
      <c r="J64" s="61" t="str">
        <f>IF($J$1="","",HLOOKUP($J$1,$M$1:$AAY$1000,64,0))</f>
        <v/>
      </c>
    </row>
    <row r="65" spans="1:10" x14ac:dyDescent="0.25">
      <c r="A65" s="4" t="str">
        <f>IF(Produits!A65="","",Produits!A65)</f>
        <v xml:space="preserve">Rail R </v>
      </c>
      <c r="B65" s="4" t="str">
        <f>IF(Produits!B65="","",Produits!B65)</f>
        <v>RAL XXXX</v>
      </c>
      <c r="C65" s="4" t="str">
        <f>IF(Produits!C65="","",Produits!C65)</f>
        <v>1000,00,0062</v>
      </c>
      <c r="D65" s="4" t="str">
        <f>IF(Produits!D65="","",Produits!D65)</f>
        <v>AA186</v>
      </c>
      <c r="E65" s="4" t="str">
        <f>IF(Produits!E65="","",Produits!E65)</f>
        <v/>
      </c>
      <c r="F65" s="49" t="str">
        <f>IF(Produits!F65="","",Produits!F65)</f>
        <v>1 pcs</v>
      </c>
      <c r="J65" s="61" t="str">
        <f>IF($J$1="","",HLOOKUP($J$1,$M$1:$AAY$1000,65,0))</f>
        <v/>
      </c>
    </row>
    <row r="66" spans="1:10" x14ac:dyDescent="0.25">
      <c r="A66" s="4" t="str">
        <f>IF(Produits!A66="","",Produits!A66)</f>
        <v xml:space="preserve">Rail R </v>
      </c>
      <c r="B66" s="4" t="str">
        <f>IF(Produits!B66="","",Produits!B66)</f>
        <v>RAL XXXX</v>
      </c>
      <c r="C66" s="4" t="str">
        <f>IF(Produits!C66="","",Produits!C66)</f>
        <v>1000,00,0063</v>
      </c>
      <c r="D66" s="4" t="str">
        <f>IF(Produits!D66="","",Produits!D66)</f>
        <v>AA187</v>
      </c>
      <c r="E66" s="4" t="str">
        <f>IF(Produits!E66="","",Produits!E66)</f>
        <v/>
      </c>
      <c r="F66" s="49" t="str">
        <f>IF(Produits!F66="","",Produits!F66)</f>
        <v>1 pcs</v>
      </c>
      <c r="J66" s="61" t="str">
        <f>IF($J$1="","",HLOOKUP($J$1,$M$1:$AAY$1000,66,0))</f>
        <v/>
      </c>
    </row>
    <row r="67" spans="1:10" x14ac:dyDescent="0.25">
      <c r="A67" s="4" t="str">
        <f>IF(Produits!A67="","",Produits!A67)</f>
        <v xml:space="preserve">Rail R </v>
      </c>
      <c r="B67" s="4" t="str">
        <f>IF(Produits!B67="","",Produits!B67)</f>
        <v>BRUT</v>
      </c>
      <c r="C67" s="4" t="str">
        <f>IF(Produits!C67="","",Produits!C67)</f>
        <v>1000,00,0064</v>
      </c>
      <c r="D67" s="4" t="str">
        <f>IF(Produits!D67="","",Produits!D67)</f>
        <v>AA188</v>
      </c>
      <c r="E67" s="4" t="str">
        <f>IF(Produits!E67="","",Produits!E67)</f>
        <v/>
      </c>
      <c r="F67" s="49" t="str">
        <f>IF(Produits!F67="","",Produits!F67)</f>
        <v>3 m</v>
      </c>
      <c r="J67" s="61" t="str">
        <f>IF($J$1="","",HLOOKUP($J$1,$M$1:$AAY$1000,67,0))</f>
        <v/>
      </c>
    </row>
    <row r="68" spans="1:10" x14ac:dyDescent="0.25">
      <c r="A68" s="4" t="str">
        <f>IF(Produits!A68="","",Produits!A68)</f>
        <v xml:space="preserve">Rail R </v>
      </c>
      <c r="B68" s="4" t="str">
        <f>IF(Produits!B68="","",Produits!B68)</f>
        <v>BRUT</v>
      </c>
      <c r="C68" s="4" t="str">
        <f>IF(Produits!C68="","",Produits!C68)</f>
        <v>1000,00,0065</v>
      </c>
      <c r="D68" s="4" t="str">
        <f>IF(Produits!D68="","",Produits!D68)</f>
        <v>AA189</v>
      </c>
      <c r="E68" s="4" t="str">
        <f>IF(Produits!E68="","",Produits!E68)</f>
        <v/>
      </c>
      <c r="F68" s="49" t="str">
        <f>IF(Produits!F68="","",Produits!F68)</f>
        <v>1 pcs</v>
      </c>
      <c r="J68" s="61" t="str">
        <f>IF($J$1="","",HLOOKUP($J$1,$M$1:$AAY$1000,68,0))</f>
        <v/>
      </c>
    </row>
    <row r="69" spans="1:10" x14ac:dyDescent="0.25">
      <c r="A69" s="4" t="str">
        <f>IF(Produits!A69="","",Produits!A69)</f>
        <v xml:space="preserve">Rail R </v>
      </c>
      <c r="B69" s="4" t="str">
        <f>IF(Produits!B69="","",Produits!B69)</f>
        <v>BRUT</v>
      </c>
      <c r="C69" s="4" t="str">
        <f>IF(Produits!C69="","",Produits!C69)</f>
        <v>1000,00,0066</v>
      </c>
      <c r="D69" s="4" t="str">
        <f>IF(Produits!D69="","",Produits!D69)</f>
        <v>AA190</v>
      </c>
      <c r="E69" s="4" t="str">
        <f>IF(Produits!E69="","",Produits!E69)</f>
        <v/>
      </c>
      <c r="F69" s="49" t="str">
        <f>IF(Produits!F69="","",Produits!F69)</f>
        <v>1 pcs</v>
      </c>
      <c r="J69" s="61" t="str">
        <f>IF($J$1="","",HLOOKUP($J$1,$M$1:$AAY$1000,69,0))</f>
        <v/>
      </c>
    </row>
    <row r="70" spans="1:10" x14ac:dyDescent="0.25">
      <c r="A70" s="4" t="str">
        <f>IF(Produits!A70="","",Produits!A70)</f>
        <v xml:space="preserve">Rail R </v>
      </c>
      <c r="B70" s="4" t="str">
        <f>IF(Produits!B70="","",Produits!B70)</f>
        <v>BRUT</v>
      </c>
      <c r="C70" s="4" t="str">
        <f>IF(Produits!C70="","",Produits!C70)</f>
        <v>1000,00,0067</v>
      </c>
      <c r="D70" s="4" t="str">
        <f>IF(Produits!D70="","",Produits!D70)</f>
        <v>AA191</v>
      </c>
      <c r="E70" s="4" t="str">
        <f>IF(Produits!E70="","",Produits!E70)</f>
        <v/>
      </c>
      <c r="F70" s="49" t="str">
        <f>IF(Produits!F70="","",Produits!F70)</f>
        <v>1 pcs</v>
      </c>
      <c r="J70" s="61" t="str">
        <f>IF($J$1="","",HLOOKUP($J$1,$M$1:$AAY$1000,70,0))</f>
        <v/>
      </c>
    </row>
    <row r="71" spans="1:10" x14ac:dyDescent="0.25">
      <c r="A71" s="4" t="str">
        <f>IF(Produits!A71="","",Produits!A71)</f>
        <v xml:space="preserve">Rail R </v>
      </c>
      <c r="B71" s="4" t="str">
        <f>IF(Produits!B71="","",Produits!B71)</f>
        <v>BRUT</v>
      </c>
      <c r="C71" s="4" t="str">
        <f>IF(Produits!C71="","",Produits!C71)</f>
        <v>1000,00,0068</v>
      </c>
      <c r="D71" s="4" t="str">
        <f>IF(Produits!D71="","",Produits!D71)</f>
        <v>AA192</v>
      </c>
      <c r="E71" s="4" t="str">
        <f>IF(Produits!E71="","",Produits!E71)</f>
        <v/>
      </c>
      <c r="F71" s="49" t="str">
        <f>IF(Produits!F71="","",Produits!F71)</f>
        <v>1 pcs</v>
      </c>
      <c r="J71" s="61" t="str">
        <f>IF($J$1="","",HLOOKUP($J$1,$M$1:$AAY$1000,71,0))</f>
        <v/>
      </c>
    </row>
    <row r="72" spans="1:10" x14ac:dyDescent="0.25">
      <c r="A72" s="4" t="str">
        <f>IF(Produits!A72="","",Produits!A72)</f>
        <v xml:space="preserve">Rail R </v>
      </c>
      <c r="B72" s="4" t="str">
        <f>IF(Produits!B72="","",Produits!B72)</f>
        <v>BRUT</v>
      </c>
      <c r="C72" s="4" t="str">
        <f>IF(Produits!C72="","",Produits!C72)</f>
        <v>1000,00,0069</v>
      </c>
      <c r="D72" s="4" t="str">
        <f>IF(Produits!D72="","",Produits!D72)</f>
        <v>AA193</v>
      </c>
      <c r="E72" s="4" t="str">
        <f>IF(Produits!E72="","",Produits!E72)</f>
        <v/>
      </c>
      <c r="F72" s="49" t="str">
        <f>IF(Produits!F72="","",Produits!F72)</f>
        <v>1 pcs</v>
      </c>
      <c r="J72" s="61" t="str">
        <f>IF($J$1="","",HLOOKUP($J$1,$M$1:$AAY$1000,72,0))</f>
        <v/>
      </c>
    </row>
    <row r="73" spans="1:10" x14ac:dyDescent="0.25">
      <c r="A73" s="4" t="str">
        <f>IF(Produits!A73="","",Produits!A73)</f>
        <v xml:space="preserve">Rail R </v>
      </c>
      <c r="B73" s="4" t="str">
        <f>IF(Produits!B73="","",Produits!B73)</f>
        <v>BRUT</v>
      </c>
      <c r="C73" s="4" t="str">
        <f>IF(Produits!C73="","",Produits!C73)</f>
        <v>1000,00,0070</v>
      </c>
      <c r="D73" s="4" t="str">
        <f>IF(Produits!D73="","",Produits!D73)</f>
        <v>AA194</v>
      </c>
      <c r="E73" s="4" t="str">
        <f>IF(Produits!E73="","",Produits!E73)</f>
        <v/>
      </c>
      <c r="F73" s="49" t="str">
        <f>IF(Produits!F73="","",Produits!F73)</f>
        <v>1 pcs</v>
      </c>
      <c r="J73" s="61" t="str">
        <f>IF($J$1="","",HLOOKUP($J$1,$M$1:$AAY$1000,73,0))</f>
        <v/>
      </c>
    </row>
    <row r="74" spans="1:10" x14ac:dyDescent="0.25">
      <c r="A74" s="4" t="str">
        <f>IF(Produits!A74="","",Produits!A74)</f>
        <v xml:space="preserve">Rail R </v>
      </c>
      <c r="B74" s="4" t="str">
        <f>IF(Produits!B74="","",Produits!B74)</f>
        <v>BRUT</v>
      </c>
      <c r="C74" s="4" t="str">
        <f>IF(Produits!C74="","",Produits!C74)</f>
        <v>1000,00,0071</v>
      </c>
      <c r="D74" s="4" t="str">
        <f>IF(Produits!D74="","",Produits!D74)</f>
        <v>AA195</v>
      </c>
      <c r="E74" s="4" t="str">
        <f>IF(Produits!E74="","",Produits!E74)</f>
        <v/>
      </c>
      <c r="F74" s="49" t="str">
        <f>IF(Produits!F74="","",Produits!F74)</f>
        <v>1 pcs</v>
      </c>
      <c r="J74" s="61" t="str">
        <f>IF($J$1="","",HLOOKUP($J$1,$M$1:$AAY$1000,74,0))</f>
        <v/>
      </c>
    </row>
    <row r="75" spans="1:10" x14ac:dyDescent="0.25">
      <c r="A75" s="4" t="str">
        <f>IF(Produits!A75="","",Produits!A75)</f>
        <v xml:space="preserve">Rail R </v>
      </c>
      <c r="B75" s="4" t="str">
        <f>IF(Produits!B75="","",Produits!B75)</f>
        <v>BRUT</v>
      </c>
      <c r="C75" s="4" t="str">
        <f>IF(Produits!C75="","",Produits!C75)</f>
        <v>1000,00,0072</v>
      </c>
      <c r="D75" s="4" t="str">
        <f>IF(Produits!D75="","",Produits!D75)</f>
        <v>AA196</v>
      </c>
      <c r="E75" s="4" t="str">
        <f>IF(Produits!E75="","",Produits!E75)</f>
        <v/>
      </c>
      <c r="F75" s="49" t="str">
        <f>IF(Produits!F75="","",Produits!F75)</f>
        <v>1 pcs</v>
      </c>
      <c r="J75" s="61" t="str">
        <f>IF($J$1="","",HLOOKUP($J$1,$M$1:$AAY$1000,75,0))</f>
        <v/>
      </c>
    </row>
    <row r="76" spans="1:10" x14ac:dyDescent="0.25">
      <c r="A76" s="4" t="str">
        <f>IF(Produits!A76="","",Produits!A76)</f>
        <v>Rail K</v>
      </c>
      <c r="B76" s="4" t="str">
        <f>IF(Produits!B76="","",Produits!B76)</f>
        <v>RAL 9010</v>
      </c>
      <c r="C76" s="4" t="str">
        <f>IF(Produits!C76="","",Produits!C76)</f>
        <v>1000,00,0073</v>
      </c>
      <c r="D76" s="4" t="str">
        <f>IF(Produits!D76="","",Produits!D76)</f>
        <v>AA197</v>
      </c>
      <c r="E76" s="4" t="str">
        <f>IF(Produits!E76="","",Produits!E76)</f>
        <v/>
      </c>
      <c r="F76" s="49" t="str">
        <f>IF(Produits!F76="","",Produits!F76)</f>
        <v>3 m</v>
      </c>
      <c r="J76" s="61" t="str">
        <f>IF($J$1="","",HLOOKUP($J$1,$M$1:$AAY$1000,76,0))</f>
        <v/>
      </c>
    </row>
    <row r="77" spans="1:10" x14ac:dyDescent="0.25">
      <c r="A77" s="4" t="str">
        <f>IF(Produits!A77="","",Produits!A77)</f>
        <v>Rail K</v>
      </c>
      <c r="B77" s="4" t="str">
        <f>IF(Produits!B77="","",Produits!B77)</f>
        <v>RAL 9010</v>
      </c>
      <c r="C77" s="4" t="str">
        <f>IF(Produits!C77="","",Produits!C77)</f>
        <v>1000,00,0074</v>
      </c>
      <c r="D77" s="4" t="str">
        <f>IF(Produits!D77="","",Produits!D77)</f>
        <v>AA198</v>
      </c>
      <c r="E77" s="4" t="str">
        <f>IF(Produits!E77="","",Produits!E77)</f>
        <v/>
      </c>
      <c r="F77" s="49" t="str">
        <f>IF(Produits!F77="","",Produits!F77)</f>
        <v>1 pcs</v>
      </c>
      <c r="J77" s="61" t="str">
        <f>IF($J$1="","",HLOOKUP($J$1,$M$1:$AAY$1000,77,0))</f>
        <v/>
      </c>
    </row>
    <row r="78" spans="1:10" x14ac:dyDescent="0.25">
      <c r="A78" s="4" t="str">
        <f>IF(Produits!A78="","",Produits!A78)</f>
        <v>Rail K</v>
      </c>
      <c r="B78" s="4" t="str">
        <f>IF(Produits!B78="","",Produits!B78)</f>
        <v>RAL 9010</v>
      </c>
      <c r="C78" s="4" t="str">
        <f>IF(Produits!C78="","",Produits!C78)</f>
        <v>1000,00,0075</v>
      </c>
      <c r="D78" s="4" t="str">
        <f>IF(Produits!D78="","",Produits!D78)</f>
        <v>AA199</v>
      </c>
      <c r="E78" s="4" t="str">
        <f>IF(Produits!E78="","",Produits!E78)</f>
        <v/>
      </c>
      <c r="F78" s="49" t="str">
        <f>IF(Produits!F78="","",Produits!F78)</f>
        <v>1 pcs</v>
      </c>
      <c r="J78" s="61" t="str">
        <f>IF($J$1="","",HLOOKUP($J$1,$M$1:$AAY$1000,78,0))</f>
        <v/>
      </c>
    </row>
    <row r="79" spans="1:10" x14ac:dyDescent="0.25">
      <c r="A79" s="4" t="str">
        <f>IF(Produits!A79="","",Produits!A79)</f>
        <v>Rail K</v>
      </c>
      <c r="B79" s="4" t="str">
        <f>IF(Produits!B79="","",Produits!B79)</f>
        <v>RAL 9010</v>
      </c>
      <c r="C79" s="4" t="str">
        <f>IF(Produits!C79="","",Produits!C79)</f>
        <v>1000,00,0076</v>
      </c>
      <c r="D79" s="4" t="str">
        <f>IF(Produits!D79="","",Produits!D79)</f>
        <v>AA200</v>
      </c>
      <c r="E79" s="4" t="str">
        <f>IF(Produits!E79="","",Produits!E79)</f>
        <v/>
      </c>
      <c r="F79" s="49" t="str">
        <f>IF(Produits!F79="","",Produits!F79)</f>
        <v>1 pcs</v>
      </c>
      <c r="J79" s="61" t="str">
        <f>IF($J$1="","",HLOOKUP($J$1,$M$1:$AAY$1000,79,0))</f>
        <v/>
      </c>
    </row>
    <row r="80" spans="1:10" x14ac:dyDescent="0.25">
      <c r="A80" s="4" t="str">
        <f>IF(Produits!A80="","",Produits!A80)</f>
        <v>Rail K</v>
      </c>
      <c r="B80" s="4" t="str">
        <f>IF(Produits!B80="","",Produits!B80)</f>
        <v>RAL 9010</v>
      </c>
      <c r="C80" s="4" t="str">
        <f>IF(Produits!C80="","",Produits!C80)</f>
        <v>1000,00,0077</v>
      </c>
      <c r="D80" s="4" t="str">
        <f>IF(Produits!D80="","",Produits!D80)</f>
        <v>AA201</v>
      </c>
      <c r="E80" s="4" t="str">
        <f>IF(Produits!E80="","",Produits!E80)</f>
        <v/>
      </c>
      <c r="F80" s="49" t="str">
        <f>IF(Produits!F80="","",Produits!F80)</f>
        <v>1 pcs</v>
      </c>
      <c r="J80" s="61" t="str">
        <f>IF($J$1="","",HLOOKUP($J$1,$M$1:$AAY$1000,80,0))</f>
        <v/>
      </c>
    </row>
    <row r="81" spans="1:10" x14ac:dyDescent="0.25">
      <c r="A81" s="4" t="str">
        <f>IF(Produits!A81="","",Produits!A81)</f>
        <v>Rail K</v>
      </c>
      <c r="B81" s="4" t="str">
        <f>IF(Produits!B81="","",Produits!B81)</f>
        <v>RAL 9010</v>
      </c>
      <c r="C81" s="4" t="str">
        <f>IF(Produits!C81="","",Produits!C81)</f>
        <v>1000,00,0078</v>
      </c>
      <c r="D81" s="4" t="str">
        <f>IF(Produits!D81="","",Produits!D81)</f>
        <v>AA202</v>
      </c>
      <c r="E81" s="4" t="str">
        <f>IF(Produits!E81="","",Produits!E81)</f>
        <v/>
      </c>
      <c r="F81" s="49" t="str">
        <f>IF(Produits!F81="","",Produits!F81)</f>
        <v>1 pcs</v>
      </c>
      <c r="J81" s="61" t="str">
        <f>IF($J$1="","",HLOOKUP($J$1,$M$1:$AAY$1000,81,0))</f>
        <v/>
      </c>
    </row>
    <row r="82" spans="1:10" x14ac:dyDescent="0.25">
      <c r="A82" s="4" t="str">
        <f>IF(Produits!A82="","",Produits!A82)</f>
        <v>Rail K</v>
      </c>
      <c r="B82" s="4" t="str">
        <f>IF(Produits!B82="","",Produits!B82)</f>
        <v>RAL 9010</v>
      </c>
      <c r="C82" s="4" t="str">
        <f>IF(Produits!C82="","",Produits!C82)</f>
        <v>1000,00,0079</v>
      </c>
      <c r="D82" s="4" t="str">
        <f>IF(Produits!D82="","",Produits!D82)</f>
        <v>AA203</v>
      </c>
      <c r="E82" s="4" t="str">
        <f>IF(Produits!E82="","",Produits!E82)</f>
        <v/>
      </c>
      <c r="F82" s="49" t="str">
        <f>IF(Produits!F82="","",Produits!F82)</f>
        <v>1 pcs</v>
      </c>
      <c r="J82" s="61" t="str">
        <f>IF($J$1="","",HLOOKUP($J$1,$M$1:$AAY$1000,82,0))</f>
        <v/>
      </c>
    </row>
    <row r="83" spans="1:10" x14ac:dyDescent="0.25">
      <c r="A83" s="4" t="str">
        <f>IF(Produits!A83="","",Produits!A83)</f>
        <v>Rail K</v>
      </c>
      <c r="B83" s="4" t="str">
        <f>IF(Produits!B83="","",Produits!B83)</f>
        <v>RAL 9010</v>
      </c>
      <c r="C83" s="4" t="str">
        <f>IF(Produits!C83="","",Produits!C83)</f>
        <v>1000,00,0080</v>
      </c>
      <c r="D83" s="4" t="str">
        <f>IF(Produits!D83="","",Produits!D83)</f>
        <v>AA204</v>
      </c>
      <c r="E83" s="4" t="str">
        <f>IF(Produits!E83="","",Produits!E83)</f>
        <v/>
      </c>
      <c r="F83" s="49" t="str">
        <f>IF(Produits!F83="","",Produits!F83)</f>
        <v>1 pcs</v>
      </c>
      <c r="J83" s="61" t="str">
        <f>IF($J$1="","",HLOOKUP($J$1,$M$1:$AAY$1000,83,0))</f>
        <v/>
      </c>
    </row>
    <row r="84" spans="1:10" x14ac:dyDescent="0.25">
      <c r="A84" s="4" t="str">
        <f>IF(Produits!A84="","",Produits!A84)</f>
        <v>Rail K</v>
      </c>
      <c r="B84" s="4" t="str">
        <f>IF(Produits!B84="","",Produits!B84)</f>
        <v>RAL 9010</v>
      </c>
      <c r="C84" s="4" t="str">
        <f>IF(Produits!C84="","",Produits!C84)</f>
        <v>1000,00,0081</v>
      </c>
      <c r="D84" s="4" t="str">
        <f>IF(Produits!D84="","",Produits!D84)</f>
        <v>AA205</v>
      </c>
      <c r="E84" s="4" t="str">
        <f>IF(Produits!E84="","",Produits!E84)</f>
        <v/>
      </c>
      <c r="F84" s="49" t="str">
        <f>IF(Produits!F84="","",Produits!F84)</f>
        <v>1 pcs</v>
      </c>
      <c r="J84" s="61" t="str">
        <f>IF($J$1="","",HLOOKUP($J$1,$M$1:$AAY$1000,84,0))</f>
        <v/>
      </c>
    </row>
    <row r="85" spans="1:10" x14ac:dyDescent="0.25">
      <c r="A85" s="4" t="str">
        <f>IF(Produits!A85="","",Produits!A85)</f>
        <v>Rail K</v>
      </c>
      <c r="B85" s="4" t="str">
        <f>IF(Produits!B85="","",Produits!B85)</f>
        <v>RAL 9010</v>
      </c>
      <c r="C85" s="4" t="str">
        <f>IF(Produits!C85="","",Produits!C85)</f>
        <v>1000,00,0082</v>
      </c>
      <c r="D85" s="4" t="str">
        <f>IF(Produits!D85="","",Produits!D85)</f>
        <v>AA206</v>
      </c>
      <c r="E85" s="4" t="str">
        <f>IF(Produits!E85="","",Produits!E85)</f>
        <v/>
      </c>
      <c r="F85" s="49" t="str">
        <f>IF(Produits!F85="","",Produits!F85)</f>
        <v>1 pcs</v>
      </c>
      <c r="J85" s="61" t="str">
        <f>IF($J$1="","",HLOOKUP($J$1,$M$1:$AAY$1000,85,0))</f>
        <v/>
      </c>
    </row>
    <row r="86" spans="1:10" x14ac:dyDescent="0.25">
      <c r="A86" s="4" t="str">
        <f>IF(Produits!A86="","",Produits!A86)</f>
        <v>Rail K</v>
      </c>
      <c r="B86" s="4" t="str">
        <f>IF(Produits!B86="","",Produits!B86)</f>
        <v>RAL 9010</v>
      </c>
      <c r="C86" s="4" t="str">
        <f>IF(Produits!C86="","",Produits!C86)</f>
        <v>1000,00,0083</v>
      </c>
      <c r="D86" s="4" t="str">
        <f>IF(Produits!D86="","",Produits!D86)</f>
        <v>AA207</v>
      </c>
      <c r="E86" s="4" t="str">
        <f>IF(Produits!E86="","",Produits!E86)</f>
        <v/>
      </c>
      <c r="F86" s="49" t="str">
        <f>IF(Produits!F86="","",Produits!F86)</f>
        <v>1 pcs</v>
      </c>
      <c r="J86" s="61" t="str">
        <f>IF($J$1="","",HLOOKUP($J$1,$M$1:$AAY$1000,86,0))</f>
        <v/>
      </c>
    </row>
    <row r="87" spans="1:10" x14ac:dyDescent="0.25">
      <c r="A87" s="4" t="str">
        <f>IF(Produits!A87="","",Produits!A87)</f>
        <v>Rail K</v>
      </c>
      <c r="B87" s="4" t="str">
        <f>IF(Produits!B87="","",Produits!B87)</f>
        <v>RAL 9010</v>
      </c>
      <c r="C87" s="4" t="str">
        <f>IF(Produits!C87="","",Produits!C87)</f>
        <v>1000,00,0084</v>
      </c>
      <c r="D87" s="4" t="str">
        <f>IF(Produits!D87="","",Produits!D87)</f>
        <v>AA208</v>
      </c>
      <c r="E87" s="4" t="str">
        <f>IF(Produits!E87="","",Produits!E87)</f>
        <v/>
      </c>
      <c r="F87" s="49" t="str">
        <f>IF(Produits!F87="","",Produits!F87)</f>
        <v>1 pcs</v>
      </c>
      <c r="J87" s="61" t="str">
        <f>IF($J$1="","",HLOOKUP($J$1,$M$1:$AAY$1000,87,0))</f>
        <v/>
      </c>
    </row>
    <row r="88" spans="1:10" x14ac:dyDescent="0.25">
      <c r="A88" s="4" t="str">
        <f>IF(Produits!A88="","",Produits!A88)</f>
        <v>Rail K</v>
      </c>
      <c r="B88" s="4" t="str">
        <f>IF(Produits!B88="","",Produits!B88)</f>
        <v>RAL 9010</v>
      </c>
      <c r="C88" s="4" t="str">
        <f>IF(Produits!C88="","",Produits!C88)</f>
        <v>1000,00,0085</v>
      </c>
      <c r="D88" s="4" t="str">
        <f>IF(Produits!D88="","",Produits!D88)</f>
        <v>AA209</v>
      </c>
      <c r="E88" s="4" t="str">
        <f>IF(Produits!E88="","",Produits!E88)</f>
        <v/>
      </c>
      <c r="F88" s="49" t="str">
        <f>IF(Produits!F88="","",Produits!F88)</f>
        <v>1 pcs</v>
      </c>
      <c r="J88" s="61" t="str">
        <f>IF($J$1="","",HLOOKUP($J$1,$M$1:$AAY$1000,88,0))</f>
        <v/>
      </c>
    </row>
    <row r="89" spans="1:10" x14ac:dyDescent="0.25">
      <c r="A89" s="4" t="str">
        <f>IF(Produits!A89="","",Produits!A89)</f>
        <v>Rail K</v>
      </c>
      <c r="B89" s="4" t="str">
        <f>IF(Produits!B89="","",Produits!B89)</f>
        <v>RAL 9003</v>
      </c>
      <c r="C89" s="4" t="str">
        <f>IF(Produits!C89="","",Produits!C89)</f>
        <v>1000,00,0086</v>
      </c>
      <c r="D89" s="4" t="str">
        <f>IF(Produits!D89="","",Produits!D89)</f>
        <v>AA210</v>
      </c>
      <c r="E89" s="4" t="str">
        <f>IF(Produits!E89="","",Produits!E89)</f>
        <v/>
      </c>
      <c r="F89" s="49" t="str">
        <f>IF(Produits!F89="","",Produits!F89)</f>
        <v>3 m</v>
      </c>
      <c r="J89" s="61" t="str">
        <f>IF($J$1="","",HLOOKUP($J$1,$M$1:$AAY$1000,89,0))</f>
        <v/>
      </c>
    </row>
    <row r="90" spans="1:10" x14ac:dyDescent="0.25">
      <c r="A90" s="4" t="str">
        <f>IF(Produits!A90="","",Produits!A90)</f>
        <v>Rail K</v>
      </c>
      <c r="B90" s="4" t="str">
        <f>IF(Produits!B90="","",Produits!B90)</f>
        <v>RAL 9003</v>
      </c>
      <c r="C90" s="4" t="str">
        <f>IF(Produits!C90="","",Produits!C90)</f>
        <v>1000,00,0087</v>
      </c>
      <c r="D90" s="4" t="str">
        <f>IF(Produits!D90="","",Produits!D90)</f>
        <v>AA211</v>
      </c>
      <c r="E90" s="4" t="str">
        <f>IF(Produits!E90="","",Produits!E90)</f>
        <v/>
      </c>
      <c r="F90" s="49" t="str">
        <f>IF(Produits!F90="","",Produits!F90)</f>
        <v>1 pcs</v>
      </c>
      <c r="J90" s="61" t="str">
        <f>IF($J$1="","",HLOOKUP($J$1,$M$1:$AAY$1000,90,0))</f>
        <v/>
      </c>
    </row>
    <row r="91" spans="1:10" x14ac:dyDescent="0.25">
      <c r="A91" s="4" t="str">
        <f>IF(Produits!A91="","",Produits!A91)</f>
        <v>Rail K</v>
      </c>
      <c r="B91" s="4" t="str">
        <f>IF(Produits!B91="","",Produits!B91)</f>
        <v>RAL 9003</v>
      </c>
      <c r="C91" s="4" t="str">
        <f>IF(Produits!C91="","",Produits!C91)</f>
        <v>1000,00,0088</v>
      </c>
      <c r="D91" s="4" t="str">
        <f>IF(Produits!D91="","",Produits!D91)</f>
        <v>AA212</v>
      </c>
      <c r="E91" s="4" t="str">
        <f>IF(Produits!E91="","",Produits!E91)</f>
        <v/>
      </c>
      <c r="F91" s="49" t="str">
        <f>IF(Produits!F91="","",Produits!F91)</f>
        <v>1 pcs</v>
      </c>
      <c r="J91" s="61" t="str">
        <f>IF($J$1="","",HLOOKUP($J$1,$M$1:$AAY$1000,91,0))</f>
        <v/>
      </c>
    </row>
    <row r="92" spans="1:10" x14ac:dyDescent="0.25">
      <c r="A92" s="4" t="str">
        <f>IF(Produits!A92="","",Produits!A92)</f>
        <v>Rail K</v>
      </c>
      <c r="B92" s="4" t="str">
        <f>IF(Produits!B92="","",Produits!B92)</f>
        <v>RAL 9003</v>
      </c>
      <c r="C92" s="4" t="str">
        <f>IF(Produits!C92="","",Produits!C92)</f>
        <v>1000,00,0089</v>
      </c>
      <c r="D92" s="4" t="str">
        <f>IF(Produits!D92="","",Produits!D92)</f>
        <v>AA213</v>
      </c>
      <c r="E92" s="4" t="str">
        <f>IF(Produits!E92="","",Produits!E92)</f>
        <v/>
      </c>
      <c r="F92" s="49" t="str">
        <f>IF(Produits!F92="","",Produits!F92)</f>
        <v>1 pcs</v>
      </c>
      <c r="J92" s="61" t="str">
        <f>IF($J$1="","",HLOOKUP($J$1,$M$1:$AAY$1000,92,0))</f>
        <v/>
      </c>
    </row>
    <row r="93" spans="1:10" x14ac:dyDescent="0.25">
      <c r="A93" s="4" t="str">
        <f>IF(Produits!A93="","",Produits!A93)</f>
        <v>Rail K</v>
      </c>
      <c r="B93" s="4" t="str">
        <f>IF(Produits!B93="","",Produits!B93)</f>
        <v>RAL 9003</v>
      </c>
      <c r="C93" s="4" t="str">
        <f>IF(Produits!C93="","",Produits!C93)</f>
        <v>1000,00,0090</v>
      </c>
      <c r="D93" s="4" t="str">
        <f>IF(Produits!D93="","",Produits!D93)</f>
        <v>AA214</v>
      </c>
      <c r="E93" s="4" t="str">
        <f>IF(Produits!E93="","",Produits!E93)</f>
        <v/>
      </c>
      <c r="F93" s="49" t="str">
        <f>IF(Produits!F93="","",Produits!F93)</f>
        <v>1 pcs</v>
      </c>
      <c r="J93" s="61" t="str">
        <f>IF($J$1="","",HLOOKUP($J$1,$M$1:$AAY$1000,93,0))</f>
        <v/>
      </c>
    </row>
    <row r="94" spans="1:10" x14ac:dyDescent="0.25">
      <c r="A94" s="4" t="str">
        <f>IF(Produits!A94="","",Produits!A94)</f>
        <v>Rail K</v>
      </c>
      <c r="B94" s="4" t="str">
        <f>IF(Produits!B94="","",Produits!B94)</f>
        <v>RAL 9003</v>
      </c>
      <c r="C94" s="4" t="str">
        <f>IF(Produits!C94="","",Produits!C94)</f>
        <v>1000,00,0091</v>
      </c>
      <c r="D94" s="4" t="str">
        <f>IF(Produits!D94="","",Produits!D94)</f>
        <v>AA215</v>
      </c>
      <c r="E94" s="4" t="str">
        <f>IF(Produits!E94="","",Produits!E94)</f>
        <v/>
      </c>
      <c r="F94" s="49" t="str">
        <f>IF(Produits!F94="","",Produits!F94)</f>
        <v>1 pcs</v>
      </c>
      <c r="J94" s="61" t="str">
        <f>IF($J$1="","",HLOOKUP($J$1,$M$1:$AAY$1000,94,0))</f>
        <v/>
      </c>
    </row>
    <row r="95" spans="1:10" x14ac:dyDescent="0.25">
      <c r="A95" s="4" t="str">
        <f>IF(Produits!A95="","",Produits!A95)</f>
        <v>Rail K</v>
      </c>
      <c r="B95" s="4" t="str">
        <f>IF(Produits!B95="","",Produits!B95)</f>
        <v>RAL 9003</v>
      </c>
      <c r="C95" s="4" t="str">
        <f>IF(Produits!C95="","",Produits!C95)</f>
        <v>1000,00,0092</v>
      </c>
      <c r="D95" s="4" t="str">
        <f>IF(Produits!D95="","",Produits!D95)</f>
        <v>AA216</v>
      </c>
      <c r="E95" s="4" t="str">
        <f>IF(Produits!E95="","",Produits!E95)</f>
        <v/>
      </c>
      <c r="F95" s="49" t="str">
        <f>IF(Produits!F95="","",Produits!F95)</f>
        <v>1 pcs</v>
      </c>
      <c r="J95" s="61" t="str">
        <f>IF($J$1="","",HLOOKUP($J$1,$M$1:$AAY$1000,95,0))</f>
        <v/>
      </c>
    </row>
    <row r="96" spans="1:10" x14ac:dyDescent="0.25">
      <c r="A96" s="4" t="str">
        <f>IF(Produits!A96="","",Produits!A96)</f>
        <v>Rail K</v>
      </c>
      <c r="B96" s="4" t="str">
        <f>IF(Produits!B96="","",Produits!B96)</f>
        <v>RAL 9003</v>
      </c>
      <c r="C96" s="4" t="str">
        <f>IF(Produits!C96="","",Produits!C96)</f>
        <v>1000,00,0093</v>
      </c>
      <c r="D96" s="4" t="str">
        <f>IF(Produits!D96="","",Produits!D96)</f>
        <v>AA217</v>
      </c>
      <c r="E96" s="4" t="str">
        <f>IF(Produits!E96="","",Produits!E96)</f>
        <v/>
      </c>
      <c r="F96" s="49" t="str">
        <f>IF(Produits!F96="","",Produits!F96)</f>
        <v>1 pcs</v>
      </c>
      <c r="J96" s="61" t="str">
        <f>IF($J$1="","",HLOOKUP($J$1,$M$1:$AAY$1000,96,0))</f>
        <v/>
      </c>
    </row>
    <row r="97" spans="1:10" x14ac:dyDescent="0.25">
      <c r="A97" s="4" t="str">
        <f>IF(Produits!A97="","",Produits!A97)</f>
        <v>Rail K</v>
      </c>
      <c r="B97" s="4" t="str">
        <f>IF(Produits!B97="","",Produits!B97)</f>
        <v>RAL 9003</v>
      </c>
      <c r="C97" s="4" t="str">
        <f>IF(Produits!C97="","",Produits!C97)</f>
        <v>1000,00,0094</v>
      </c>
      <c r="D97" s="4" t="str">
        <f>IF(Produits!D97="","",Produits!D97)</f>
        <v>AA218</v>
      </c>
      <c r="E97" s="4" t="str">
        <f>IF(Produits!E97="","",Produits!E97)</f>
        <v/>
      </c>
      <c r="F97" s="49" t="str">
        <f>IF(Produits!F97="","",Produits!F97)</f>
        <v>1 pcs</v>
      </c>
      <c r="J97" s="61" t="str">
        <f>IF($J$1="","",HLOOKUP($J$1,$M$1:$AAY$1000,97,0))</f>
        <v/>
      </c>
    </row>
    <row r="98" spans="1:10" x14ac:dyDescent="0.25">
      <c r="A98" s="4" t="str">
        <f>IF(Produits!A98="","",Produits!A98)</f>
        <v>Rail K</v>
      </c>
      <c r="B98" s="4" t="str">
        <f>IF(Produits!B98="","",Produits!B98)</f>
        <v>RAL 9003</v>
      </c>
      <c r="C98" s="4" t="str">
        <f>IF(Produits!C98="","",Produits!C98)</f>
        <v>1000,00,0095</v>
      </c>
      <c r="D98" s="4" t="str">
        <f>IF(Produits!D98="","",Produits!D98)</f>
        <v>AA219</v>
      </c>
      <c r="E98" s="4" t="str">
        <f>IF(Produits!E98="","",Produits!E98)</f>
        <v/>
      </c>
      <c r="F98" s="49" t="str">
        <f>IF(Produits!F98="","",Produits!F98)</f>
        <v>1 pcs</v>
      </c>
      <c r="J98" s="61" t="str">
        <f>IF($J$1="","",HLOOKUP($J$1,$M$1:$AAY$1000,98,0))</f>
        <v/>
      </c>
    </row>
    <row r="99" spans="1:10" x14ac:dyDescent="0.25">
      <c r="A99" s="4" t="str">
        <f>IF(Produits!A99="","",Produits!A99)</f>
        <v>Rail K</v>
      </c>
      <c r="B99" s="4" t="str">
        <f>IF(Produits!B99="","",Produits!B99)</f>
        <v>RAL 9003</v>
      </c>
      <c r="C99" s="4" t="str">
        <f>IF(Produits!C99="","",Produits!C99)</f>
        <v>1000,00,0096</v>
      </c>
      <c r="D99" s="4" t="str">
        <f>IF(Produits!D99="","",Produits!D99)</f>
        <v>AA220</v>
      </c>
      <c r="E99" s="4" t="str">
        <f>IF(Produits!E99="","",Produits!E99)</f>
        <v/>
      </c>
      <c r="F99" s="49" t="str">
        <f>IF(Produits!F99="","",Produits!F99)</f>
        <v>1 pcs</v>
      </c>
      <c r="J99" s="61" t="str">
        <f>IF($J$1="","",HLOOKUP($J$1,$M$1:$AAY$1000,99,0))</f>
        <v/>
      </c>
    </row>
    <row r="100" spans="1:10" x14ac:dyDescent="0.25">
      <c r="A100" s="4" t="str">
        <f>IF(Produits!A100="","",Produits!A100)</f>
        <v>Rail K</v>
      </c>
      <c r="B100" s="4" t="str">
        <f>IF(Produits!B100="","",Produits!B100)</f>
        <v>RAL 9003</v>
      </c>
      <c r="C100" s="4" t="str">
        <f>IF(Produits!C100="","",Produits!C100)</f>
        <v>1000,00,0097</v>
      </c>
      <c r="D100" s="4" t="str">
        <f>IF(Produits!D100="","",Produits!D100)</f>
        <v>AA221</v>
      </c>
      <c r="E100" s="4" t="str">
        <f>IF(Produits!E100="","",Produits!E100)</f>
        <v/>
      </c>
      <c r="F100" s="49" t="str">
        <f>IF(Produits!F100="","",Produits!F100)</f>
        <v>1 pcs</v>
      </c>
      <c r="J100" s="61" t="str">
        <f>IF($J$1="","",HLOOKUP($J$1,$M$1:$AAY$1000,100,0))</f>
        <v/>
      </c>
    </row>
    <row r="101" spans="1:10" x14ac:dyDescent="0.25">
      <c r="A101" s="4" t="str">
        <f>IF(Produits!A101="","",Produits!A101)</f>
        <v>Rail K</v>
      </c>
      <c r="B101" s="4" t="str">
        <f>IF(Produits!B101="","",Produits!B101)</f>
        <v>RAL 9003</v>
      </c>
      <c r="C101" s="4" t="str">
        <f>IF(Produits!C101="","",Produits!C101)</f>
        <v>1000,00,0098</v>
      </c>
      <c r="D101" s="4" t="str">
        <f>IF(Produits!D101="","",Produits!D101)</f>
        <v>AA222</v>
      </c>
      <c r="E101" s="4" t="str">
        <f>IF(Produits!E101="","",Produits!E101)</f>
        <v/>
      </c>
      <c r="F101" s="49" t="str">
        <f>IF(Produits!F101="","",Produits!F101)</f>
        <v>1 pcs</v>
      </c>
      <c r="J101" s="61" t="str">
        <f>IF($J$1="","",HLOOKUP($J$1,$M$1:$AAY$1000,101,0))</f>
        <v/>
      </c>
    </row>
    <row r="102" spans="1:10" x14ac:dyDescent="0.25">
      <c r="A102" s="4" t="str">
        <f>IF(Produits!A102="","",Produits!A102)</f>
        <v>Rail K</v>
      </c>
      <c r="B102" s="4" t="str">
        <f>IF(Produits!B102="","",Produits!B102)</f>
        <v>BRUT</v>
      </c>
      <c r="C102" s="4" t="str">
        <f>IF(Produits!C102="","",Produits!C102)</f>
        <v>1000,00,0099</v>
      </c>
      <c r="D102" s="4" t="str">
        <f>IF(Produits!D102="","",Produits!D102)</f>
        <v>AA223</v>
      </c>
      <c r="E102" s="4" t="str">
        <f>IF(Produits!E102="","",Produits!E102)</f>
        <v/>
      </c>
      <c r="F102" s="49" t="str">
        <f>IF(Produits!F102="","",Produits!F102)</f>
        <v>3 m</v>
      </c>
      <c r="J102" s="61" t="str">
        <f>IF($J$1="","",HLOOKUP($J$1,$M$1:$AAY$1000,102,0))</f>
        <v/>
      </c>
    </row>
    <row r="103" spans="1:10" x14ac:dyDescent="0.25">
      <c r="A103" s="4" t="str">
        <f>IF(Produits!A103="","",Produits!A103)</f>
        <v>Rail K</v>
      </c>
      <c r="B103" s="4" t="str">
        <f>IF(Produits!B103="","",Produits!B103)</f>
        <v>BRUT</v>
      </c>
      <c r="C103" s="4" t="str">
        <f>IF(Produits!C103="","",Produits!C103)</f>
        <v>1000,00,0100</v>
      </c>
      <c r="D103" s="4" t="str">
        <f>IF(Produits!D103="","",Produits!D103)</f>
        <v>AA224</v>
      </c>
      <c r="E103" s="4" t="str">
        <f>IF(Produits!E103="","",Produits!E103)</f>
        <v/>
      </c>
      <c r="F103" s="49" t="str">
        <f>IF(Produits!F103="","",Produits!F103)</f>
        <v>1 pcs</v>
      </c>
      <c r="J103" s="61" t="str">
        <f>IF($J$1="","",HLOOKUP($J$1,$M$1:$AAY$1000,103,0))</f>
        <v/>
      </c>
    </row>
    <row r="104" spans="1:10" x14ac:dyDescent="0.25">
      <c r="A104" s="4" t="str">
        <f>IF(Produits!A104="","",Produits!A104)</f>
        <v>Rail K</v>
      </c>
      <c r="B104" s="4" t="str">
        <f>IF(Produits!B104="","",Produits!B104)</f>
        <v>BRUT</v>
      </c>
      <c r="C104" s="4" t="str">
        <f>IF(Produits!C104="","",Produits!C104)</f>
        <v>1000,00,0101</v>
      </c>
      <c r="D104" s="4" t="str">
        <f>IF(Produits!D104="","",Produits!D104)</f>
        <v>AA225</v>
      </c>
      <c r="E104" s="4" t="str">
        <f>IF(Produits!E104="","",Produits!E104)</f>
        <v/>
      </c>
      <c r="F104" s="49" t="str">
        <f>IF(Produits!F104="","",Produits!F104)</f>
        <v>1 pcs</v>
      </c>
      <c r="J104" s="61" t="str">
        <f>IF($J$1="","",HLOOKUP($J$1,$M$1:$AAY$1000,104,0))</f>
        <v/>
      </c>
    </row>
    <row r="105" spans="1:10" x14ac:dyDescent="0.25">
      <c r="A105" s="4" t="str">
        <f>IF(Produits!A105="","",Produits!A105)</f>
        <v>Rail K</v>
      </c>
      <c r="B105" s="4" t="str">
        <f>IF(Produits!B105="","",Produits!B105)</f>
        <v>BRUT</v>
      </c>
      <c r="C105" s="4" t="str">
        <f>IF(Produits!C105="","",Produits!C105)</f>
        <v>1000,00,0102</v>
      </c>
      <c r="D105" s="4" t="str">
        <f>IF(Produits!D105="","",Produits!D105)</f>
        <v>AA226</v>
      </c>
      <c r="E105" s="4" t="str">
        <f>IF(Produits!E105="","",Produits!E105)</f>
        <v/>
      </c>
      <c r="F105" s="49" t="str">
        <f>IF(Produits!F105="","",Produits!F105)</f>
        <v>1 pcs</v>
      </c>
      <c r="J105" s="61" t="str">
        <f>IF($J$1="","",HLOOKUP($J$1,$M$1:$AAY$1000,105,0))</f>
        <v/>
      </c>
    </row>
    <row r="106" spans="1:10" x14ac:dyDescent="0.25">
      <c r="A106" s="4" t="str">
        <f>IF(Produits!A106="","",Produits!A106)</f>
        <v>Rail K</v>
      </c>
      <c r="B106" s="4" t="str">
        <f>IF(Produits!B106="","",Produits!B106)</f>
        <v>BRUT</v>
      </c>
      <c r="C106" s="4" t="str">
        <f>IF(Produits!C106="","",Produits!C106)</f>
        <v>1000,00,0103</v>
      </c>
      <c r="D106" s="4" t="str">
        <f>IF(Produits!D106="","",Produits!D106)</f>
        <v>AA227</v>
      </c>
      <c r="E106" s="4" t="str">
        <f>IF(Produits!E106="","",Produits!E106)</f>
        <v/>
      </c>
      <c r="F106" s="49" t="str">
        <f>IF(Produits!F106="","",Produits!F106)</f>
        <v>1 pcs</v>
      </c>
      <c r="J106" s="61" t="str">
        <f>IF($J$1="","",HLOOKUP($J$1,$M$1:$AAY$1000,106,0))</f>
        <v/>
      </c>
    </row>
    <row r="107" spans="1:10" x14ac:dyDescent="0.25">
      <c r="A107" s="4" t="str">
        <f>IF(Produits!A107="","",Produits!A107)</f>
        <v>Rail K</v>
      </c>
      <c r="B107" s="4" t="str">
        <f>IF(Produits!B107="","",Produits!B107)</f>
        <v>BRUT</v>
      </c>
      <c r="C107" s="4" t="str">
        <f>IF(Produits!C107="","",Produits!C107)</f>
        <v>1000,00,0104</v>
      </c>
      <c r="D107" s="4" t="str">
        <f>IF(Produits!D107="","",Produits!D107)</f>
        <v>AA228</v>
      </c>
      <c r="E107" s="4" t="str">
        <f>IF(Produits!E107="","",Produits!E107)</f>
        <v/>
      </c>
      <c r="F107" s="49" t="str">
        <f>IF(Produits!F107="","",Produits!F107)</f>
        <v>1 pcs</v>
      </c>
      <c r="J107" s="61" t="str">
        <f>IF($J$1="","",HLOOKUP($J$1,$M$1:$AAY$1000,107,0))</f>
        <v/>
      </c>
    </row>
    <row r="108" spans="1:10" x14ac:dyDescent="0.25">
      <c r="A108" s="4" t="str">
        <f>IF(Produits!A108="","",Produits!A108)</f>
        <v>Rail K</v>
      </c>
      <c r="B108" s="4" t="str">
        <f>IF(Produits!B108="","",Produits!B108)</f>
        <v>BRUT</v>
      </c>
      <c r="C108" s="4" t="str">
        <f>IF(Produits!C108="","",Produits!C108)</f>
        <v>1000,00,0105</v>
      </c>
      <c r="D108" s="4" t="str">
        <f>IF(Produits!D108="","",Produits!D108)</f>
        <v>AA229</v>
      </c>
      <c r="E108" s="4" t="str">
        <f>IF(Produits!E108="","",Produits!E108)</f>
        <v/>
      </c>
      <c r="F108" s="49" t="str">
        <f>IF(Produits!F108="","",Produits!F108)</f>
        <v>1 pcs</v>
      </c>
      <c r="J108" s="61" t="str">
        <f>IF($J$1="","",HLOOKUP($J$1,$M$1:$AAY$1000,108,0))</f>
        <v/>
      </c>
    </row>
    <row r="109" spans="1:10" x14ac:dyDescent="0.25">
      <c r="A109" s="4" t="str">
        <f>IF(Produits!A109="","",Produits!A109)</f>
        <v>Rail K</v>
      </c>
      <c r="B109" s="4" t="str">
        <f>IF(Produits!B109="","",Produits!B109)</f>
        <v>BRUT</v>
      </c>
      <c r="C109" s="4" t="str">
        <f>IF(Produits!C109="","",Produits!C109)</f>
        <v>1000,00,0106</v>
      </c>
      <c r="D109" s="4" t="str">
        <f>IF(Produits!D109="","",Produits!D109)</f>
        <v>AA230</v>
      </c>
      <c r="E109" s="4" t="str">
        <f>IF(Produits!E109="","",Produits!E109)</f>
        <v/>
      </c>
      <c r="F109" s="49" t="str">
        <f>IF(Produits!F109="","",Produits!F109)</f>
        <v>1 pcs</v>
      </c>
      <c r="J109" s="61" t="str">
        <f>IF($J$1="","",HLOOKUP($J$1,$M$1:$AAY$1000,109,0))</f>
        <v/>
      </c>
    </row>
    <row r="110" spans="1:10" x14ac:dyDescent="0.25">
      <c r="A110" s="4" t="str">
        <f>IF(Produits!A110="","",Produits!A110)</f>
        <v>Rail K</v>
      </c>
      <c r="B110" s="4" t="str">
        <f>IF(Produits!B110="","",Produits!B110)</f>
        <v>BRUT</v>
      </c>
      <c r="C110" s="4" t="str">
        <f>IF(Produits!C110="","",Produits!C110)</f>
        <v>1000,00,0107</v>
      </c>
      <c r="D110" s="4" t="str">
        <f>IF(Produits!D110="","",Produits!D110)</f>
        <v>AA231</v>
      </c>
      <c r="E110" s="4" t="str">
        <f>IF(Produits!E110="","",Produits!E110)</f>
        <v/>
      </c>
      <c r="F110" s="49" t="str">
        <f>IF(Produits!F110="","",Produits!F110)</f>
        <v>1 pcs</v>
      </c>
      <c r="J110" s="61" t="str">
        <f>IF($J$1="","",HLOOKUP($J$1,$M$1:$AAY$1000,110,0))</f>
        <v/>
      </c>
    </row>
    <row r="111" spans="1:10" x14ac:dyDescent="0.25">
      <c r="A111" s="4" t="str">
        <f>IF(Produits!A111="","",Produits!A111)</f>
        <v>Rail K</v>
      </c>
      <c r="B111" s="4" t="str">
        <f>IF(Produits!B111="","",Produits!B111)</f>
        <v>BRUT</v>
      </c>
      <c r="C111" s="4" t="str">
        <f>IF(Produits!C111="","",Produits!C111)</f>
        <v>1000,00,0108</v>
      </c>
      <c r="D111" s="4" t="str">
        <f>IF(Produits!D111="","",Produits!D111)</f>
        <v>AA232</v>
      </c>
      <c r="E111" s="4" t="str">
        <f>IF(Produits!E111="","",Produits!E111)</f>
        <v/>
      </c>
      <c r="F111" s="49" t="str">
        <f>IF(Produits!F111="","",Produits!F111)</f>
        <v>1 pcs</v>
      </c>
      <c r="J111" s="61" t="str">
        <f>IF($J$1="","",HLOOKUP($J$1,$M$1:$AAY$1000,111,0))</f>
        <v/>
      </c>
    </row>
    <row r="112" spans="1:10" x14ac:dyDescent="0.25">
      <c r="A112" s="4" t="str">
        <f>IF(Produits!A112="","",Produits!A112)</f>
        <v>Rail K</v>
      </c>
      <c r="B112" s="4" t="str">
        <f>IF(Produits!B112="","",Produits!B112)</f>
        <v>BRUT</v>
      </c>
      <c r="C112" s="4" t="str">
        <f>IF(Produits!C112="","",Produits!C112)</f>
        <v>1000,00,0109</v>
      </c>
      <c r="D112" s="4" t="str">
        <f>IF(Produits!D112="","",Produits!D112)</f>
        <v>AA233</v>
      </c>
      <c r="E112" s="4" t="str">
        <f>IF(Produits!E112="","",Produits!E112)</f>
        <v/>
      </c>
      <c r="F112" s="49" t="str">
        <f>IF(Produits!F112="","",Produits!F112)</f>
        <v>1 pcs</v>
      </c>
      <c r="J112" s="61" t="str">
        <f>IF($J$1="","",HLOOKUP($J$1,$M$1:$AAY$1000,112,0))</f>
        <v/>
      </c>
    </row>
    <row r="113" spans="1:10" x14ac:dyDescent="0.25">
      <c r="A113" s="4" t="str">
        <f>IF(Produits!A113="","",Produits!A113)</f>
        <v>Rail K</v>
      </c>
      <c r="B113" s="4" t="str">
        <f>IF(Produits!B113="","",Produits!B113)</f>
        <v>BRUT</v>
      </c>
      <c r="C113" s="4" t="str">
        <f>IF(Produits!C113="","",Produits!C113)</f>
        <v>1000,00,0110</v>
      </c>
      <c r="D113" s="4" t="str">
        <f>IF(Produits!D113="","",Produits!D113)</f>
        <v>AA234</v>
      </c>
      <c r="E113" s="4" t="str">
        <f>IF(Produits!E113="","",Produits!E113)</f>
        <v/>
      </c>
      <c r="F113" s="49" t="str">
        <f>IF(Produits!F113="","",Produits!F113)</f>
        <v>1 pcs</v>
      </c>
      <c r="J113" s="61" t="str">
        <f>IF($J$1="","",HLOOKUP($J$1,$M$1:$AAY$1000,113,0))</f>
        <v/>
      </c>
    </row>
    <row r="114" spans="1:10" x14ac:dyDescent="0.25">
      <c r="A114" s="4" t="str">
        <f>IF(Produits!A114="","",Produits!A114)</f>
        <v>Rail K</v>
      </c>
      <c r="B114" s="4" t="str">
        <f>IF(Produits!B114="","",Produits!B114)</f>
        <v>BRUT</v>
      </c>
      <c r="C114" s="4" t="str">
        <f>IF(Produits!C114="","",Produits!C114)</f>
        <v>1000,00,0111</v>
      </c>
      <c r="D114" s="4" t="str">
        <f>IF(Produits!D114="","",Produits!D114)</f>
        <v>AA235</v>
      </c>
      <c r="E114" s="4" t="str">
        <f>IF(Produits!E114="","",Produits!E114)</f>
        <v/>
      </c>
      <c r="F114" s="49" t="str">
        <f>IF(Produits!F114="","",Produits!F114)</f>
        <v>1 pcs</v>
      </c>
      <c r="J114" s="61" t="str">
        <f>IF($J$1="","",HLOOKUP($J$1,$M$1:$AAY$1000,114,0))</f>
        <v/>
      </c>
    </row>
    <row r="115" spans="1:10" x14ac:dyDescent="0.25">
      <c r="A115" s="4" t="str">
        <f>IF(Produits!A115="","",Produits!A115)</f>
        <v>Fixation Dorma</v>
      </c>
      <c r="B115" s="4" t="str">
        <f>IF(Produits!B115="","",Produits!B115)</f>
        <v/>
      </c>
      <c r="C115" s="4" t="str">
        <f>IF(Produits!C115="","",Produits!C115)</f>
        <v>1000,00,0112</v>
      </c>
      <c r="D115" s="4" t="str">
        <f>IF(Produits!D115="","",Produits!D115)</f>
        <v>AA236</v>
      </c>
      <c r="E115" s="4" t="str">
        <f>IF(Produits!E115="","",Produits!E115)</f>
        <v/>
      </c>
      <c r="F115" s="49" t="str">
        <f>IF(Produits!F115="","",Produits!F115)</f>
        <v>1 pcs</v>
      </c>
      <c r="J115" s="61" t="str">
        <f>IF($J$1="","",HLOOKUP($J$1,$M$1:$AAY$1000,115,0))</f>
        <v/>
      </c>
    </row>
    <row r="116" spans="1:10" x14ac:dyDescent="0.25">
      <c r="A116" s="4" t="str">
        <f>IF(Produits!A116="","",Produits!A116)</f>
        <v>Fixation Dorma</v>
      </c>
      <c r="B116" s="4" t="str">
        <f>IF(Produits!B116="","",Produits!B116)</f>
        <v/>
      </c>
      <c r="C116" s="4" t="str">
        <f>IF(Produits!C116="","",Produits!C116)</f>
        <v>1000,00,0113</v>
      </c>
      <c r="D116" s="4" t="str">
        <f>IF(Produits!D116="","",Produits!D116)</f>
        <v>AA237</v>
      </c>
      <c r="E116" s="4" t="str">
        <f>IF(Produits!E116="","",Produits!E116)</f>
        <v/>
      </c>
      <c r="F116" s="49" t="str">
        <f>IF(Produits!F116="","",Produits!F116)</f>
        <v>1 pcs</v>
      </c>
      <c r="J116" s="61" t="str">
        <f>IF($J$1="","",HLOOKUP($J$1,$M$1:$AAY$1000,116,0))</f>
        <v/>
      </c>
    </row>
    <row r="117" spans="1:10" x14ac:dyDescent="0.25">
      <c r="A117" s="4" t="str">
        <f>IF(Produits!A117="","",Produits!A117)</f>
        <v>Fixation Dorma</v>
      </c>
      <c r="B117" s="4" t="str">
        <f>IF(Produits!B117="","",Produits!B117)</f>
        <v/>
      </c>
      <c r="C117" s="4" t="str">
        <f>IF(Produits!C117="","",Produits!C117)</f>
        <v>1000,00,0114</v>
      </c>
      <c r="D117" s="4" t="str">
        <f>IF(Produits!D117="","",Produits!D117)</f>
        <v>AA238</v>
      </c>
      <c r="E117" s="4" t="str">
        <f>IF(Produits!E117="","",Produits!E117)</f>
        <v/>
      </c>
      <c r="F117" s="49" t="str">
        <f>IF(Produits!F117="","",Produits!F117)</f>
        <v>1 pcs</v>
      </c>
      <c r="J117" s="61" t="str">
        <f>IF($J$1="","",HLOOKUP($J$1,$M$1:$AAY$1000,117,0))</f>
        <v/>
      </c>
    </row>
    <row r="118" spans="1:10" x14ac:dyDescent="0.25">
      <c r="A118" s="4" t="str">
        <f>IF(Produits!A118="","",Produits!A118)</f>
        <v>Fixation Dorma</v>
      </c>
      <c r="B118" s="4" t="str">
        <f>IF(Produits!B118="","",Produits!B118)</f>
        <v/>
      </c>
      <c r="C118" s="4" t="str">
        <f>IF(Produits!C118="","",Produits!C118)</f>
        <v>1000,00,0115</v>
      </c>
      <c r="D118" s="4" t="str">
        <f>IF(Produits!D118="","",Produits!D118)</f>
        <v>AA239</v>
      </c>
      <c r="E118" s="4" t="str">
        <f>IF(Produits!E118="","",Produits!E118)</f>
        <v/>
      </c>
      <c r="F118" s="49" t="str">
        <f>IF(Produits!F118="","",Produits!F118)</f>
        <v>1 pcs</v>
      </c>
      <c r="J118" s="61" t="str">
        <f>IF($J$1="","",HLOOKUP($J$1,$M$1:$AAY$1000,118,0))</f>
        <v/>
      </c>
    </row>
    <row r="119" spans="1:10" x14ac:dyDescent="0.25">
      <c r="A119" s="4" t="str">
        <f>IF(Produits!A119="","",Produits!A119)</f>
        <v>Fixation Dorma</v>
      </c>
      <c r="B119" s="4" t="str">
        <f>IF(Produits!B119="","",Produits!B119)</f>
        <v/>
      </c>
      <c r="C119" s="4" t="str">
        <f>IF(Produits!C119="","",Produits!C119)</f>
        <v>1000,00,0116</v>
      </c>
      <c r="D119" s="4" t="str">
        <f>IF(Produits!D119="","",Produits!D119)</f>
        <v>AA240</v>
      </c>
      <c r="E119" s="4" t="str">
        <f>IF(Produits!E119="","",Produits!E119)</f>
        <v/>
      </c>
      <c r="F119" s="49" t="str">
        <f>IF(Produits!F119="","",Produits!F119)</f>
        <v>1 pcs</v>
      </c>
      <c r="J119" s="61" t="str">
        <f>IF($J$1="","",HLOOKUP($J$1,$M$1:$AAY$1000,119,0))</f>
        <v/>
      </c>
    </row>
    <row r="120" spans="1:10" x14ac:dyDescent="0.25">
      <c r="A120" s="4" t="str">
        <f>IF(Produits!A120="","",Produits!A120)</f>
        <v>Fixation Dorma</v>
      </c>
      <c r="B120" s="4" t="str">
        <f>IF(Produits!B120="","",Produits!B120)</f>
        <v/>
      </c>
      <c r="C120" s="4" t="str">
        <f>IF(Produits!C120="","",Produits!C120)</f>
        <v>1000,00,0117</v>
      </c>
      <c r="D120" s="4" t="str">
        <f>IF(Produits!D120="","",Produits!D120)</f>
        <v>AA241</v>
      </c>
      <c r="E120" s="4" t="str">
        <f>IF(Produits!E120="","",Produits!E120)</f>
        <v/>
      </c>
      <c r="F120" s="49" t="str">
        <f>IF(Produits!F120="","",Produits!F120)</f>
        <v>1 pcs</v>
      </c>
      <c r="J120" s="61" t="str">
        <f>IF($J$1="","",HLOOKUP($J$1,$M$1:$AAY$1000,120,0))</f>
        <v/>
      </c>
    </row>
    <row r="121" spans="1:10" x14ac:dyDescent="0.25">
      <c r="A121" s="4" t="str">
        <f>IF(Produits!A121="","",Produits!A121)</f>
        <v>Fixation Dorma</v>
      </c>
      <c r="B121" s="4" t="str">
        <f>IF(Produits!B121="","",Produits!B121)</f>
        <v/>
      </c>
      <c r="C121" s="4" t="str">
        <f>IF(Produits!C121="","",Produits!C121)</f>
        <v>1000,00,0118</v>
      </c>
      <c r="D121" s="4" t="str">
        <f>IF(Produits!D121="","",Produits!D121)</f>
        <v>AA242</v>
      </c>
      <c r="E121" s="4" t="str">
        <f>IF(Produits!E121="","",Produits!E121)</f>
        <v/>
      </c>
      <c r="F121" s="49" t="str">
        <f>IF(Produits!F121="","",Produits!F121)</f>
        <v>1 pcs</v>
      </c>
      <c r="J121" s="61" t="str">
        <f>IF($J$1="","",HLOOKUP($J$1,$M$1:$AAY$1000,121,0))</f>
        <v/>
      </c>
    </row>
    <row r="122" spans="1:10" x14ac:dyDescent="0.25">
      <c r="A122" s="4" t="str">
        <f>IF(Produits!A122="","",Produits!A122)</f>
        <v>Fixation Dorma</v>
      </c>
      <c r="B122" s="4" t="str">
        <f>IF(Produits!B122="","",Produits!B122)</f>
        <v/>
      </c>
      <c r="C122" s="4" t="str">
        <f>IF(Produits!C122="","",Produits!C122)</f>
        <v>1000,00,0119</v>
      </c>
      <c r="D122" s="4" t="str">
        <f>IF(Produits!D122="","",Produits!D122)</f>
        <v>AA243</v>
      </c>
      <c r="E122" s="4" t="str">
        <f>IF(Produits!E122="","",Produits!E122)</f>
        <v/>
      </c>
      <c r="F122" s="49" t="str">
        <f>IF(Produits!F122="","",Produits!F122)</f>
        <v>3 m</v>
      </c>
      <c r="J122" s="61" t="str">
        <f>IF($J$1="","",HLOOKUP($J$1,$M$1:$AAY$1000,122,0))</f>
        <v/>
      </c>
    </row>
    <row r="123" spans="1:10" x14ac:dyDescent="0.25">
      <c r="A123" s="4" t="str">
        <f>IF(Produits!A123="","",Produits!A123)</f>
        <v>Fixation Dorma</v>
      </c>
      <c r="B123" s="4" t="str">
        <f>IF(Produits!B123="","",Produits!B123)</f>
        <v/>
      </c>
      <c r="C123" s="4" t="str">
        <f>IF(Produits!C123="","",Produits!C123)</f>
        <v>1000,00,0120</v>
      </c>
      <c r="D123" s="4" t="str">
        <f>IF(Produits!D123="","",Produits!D123)</f>
        <v>AA244</v>
      </c>
      <c r="E123" s="4" t="str">
        <f>IF(Produits!E123="","",Produits!E123)</f>
        <v/>
      </c>
      <c r="F123" s="49" t="str">
        <f>IF(Produits!F123="","",Produits!F123)</f>
        <v>3 m</v>
      </c>
      <c r="J123" s="61" t="str">
        <f>IF($J$1="","",HLOOKUP($J$1,$M$1:$AAY$1000,123,0))</f>
        <v/>
      </c>
    </row>
    <row r="124" spans="1:10" x14ac:dyDescent="0.25">
      <c r="A124" s="4" t="str">
        <f>IF(Produits!A124="","",Produits!A124)</f>
        <v>Fixation Dorma</v>
      </c>
      <c r="B124" s="4" t="str">
        <f>IF(Produits!B124="","",Produits!B124)</f>
        <v/>
      </c>
      <c r="C124" s="4" t="str">
        <f>IF(Produits!C124="","",Produits!C124)</f>
        <v>1000,00,0121</v>
      </c>
      <c r="D124" s="4" t="str">
        <f>IF(Produits!D124="","",Produits!D124)</f>
        <v>AA245</v>
      </c>
      <c r="E124" s="4" t="str">
        <f>IF(Produits!E124="","",Produits!E124)</f>
        <v/>
      </c>
      <c r="F124" s="49" t="str">
        <f>IF(Produits!F124="","",Produits!F124)</f>
        <v>1 pcs</v>
      </c>
      <c r="J124" s="61" t="str">
        <f>IF($J$1="","",HLOOKUP($J$1,$M$1:$AAY$1000,124,0))</f>
        <v/>
      </c>
    </row>
    <row r="125" spans="1:10" x14ac:dyDescent="0.25">
      <c r="A125" s="4" t="str">
        <f>IF(Produits!A125="","",Produits!A125)</f>
        <v>Fixation Dorma</v>
      </c>
      <c r="B125" s="4" t="str">
        <f>IF(Produits!B125="","",Produits!B125)</f>
        <v/>
      </c>
      <c r="C125" s="4" t="str">
        <f>IF(Produits!C125="","",Produits!C125)</f>
        <v>1000,00,0122</v>
      </c>
      <c r="D125" s="4" t="str">
        <f>IF(Produits!D125="","",Produits!D125)</f>
        <v>AA246</v>
      </c>
      <c r="E125" s="4" t="str">
        <f>IF(Produits!E125="","",Produits!E125)</f>
        <v/>
      </c>
      <c r="F125" s="49" t="str">
        <f>IF(Produits!F125="","",Produits!F125)</f>
        <v>1 pcs</v>
      </c>
      <c r="J125" s="61" t="str">
        <f>IF($J$1="","",HLOOKUP($J$1,$M$1:$AAY$1000,125,0))</f>
        <v/>
      </c>
    </row>
    <row r="126" spans="1:10" x14ac:dyDescent="0.25">
      <c r="A126" s="4" t="str">
        <f>IF(Produits!A126="","",Produits!A126)</f>
        <v>Fixation Dorma</v>
      </c>
      <c r="B126" s="4" t="str">
        <f>IF(Produits!B126="","",Produits!B126)</f>
        <v/>
      </c>
      <c r="C126" s="4" t="str">
        <f>IF(Produits!C126="","",Produits!C126)</f>
        <v>1000,00,0123</v>
      </c>
      <c r="D126" s="4" t="str">
        <f>IF(Produits!D126="","",Produits!D126)</f>
        <v>AA247</v>
      </c>
      <c r="E126" s="4" t="str">
        <f>IF(Produits!E126="","",Produits!E126)</f>
        <v/>
      </c>
      <c r="F126" s="49" t="str">
        <f>IF(Produits!F126="","",Produits!F126)</f>
        <v>1 pcs</v>
      </c>
      <c r="J126" s="61" t="str">
        <f>IF($J$1="","",HLOOKUP($J$1,$M$1:$AAY$1000,126,0))</f>
        <v/>
      </c>
    </row>
    <row r="127" spans="1:10" x14ac:dyDescent="0.25">
      <c r="A127" s="4" t="str">
        <f>IF(Produits!A127="","",Produits!A127)</f>
        <v>Fixation Dorma</v>
      </c>
      <c r="B127" s="4" t="str">
        <f>IF(Produits!B127="","",Produits!B127)</f>
        <v/>
      </c>
      <c r="C127" s="4" t="str">
        <f>IF(Produits!C127="","",Produits!C127)</f>
        <v>1000,00,0124</v>
      </c>
      <c r="D127" s="4" t="str">
        <f>IF(Produits!D127="","",Produits!D127)</f>
        <v>AA248</v>
      </c>
      <c r="E127" s="4" t="str">
        <f>IF(Produits!E127="","",Produits!E127)</f>
        <v/>
      </c>
      <c r="F127" s="49" t="str">
        <f>IF(Produits!F127="","",Produits!F127)</f>
        <v>1 pcs</v>
      </c>
      <c r="J127" s="61" t="str">
        <f>IF($J$1="","",HLOOKUP($J$1,$M$1:$AAY$1000,127,0))</f>
        <v/>
      </c>
    </row>
    <row r="128" spans="1:10" x14ac:dyDescent="0.25">
      <c r="A128" s="4" t="str">
        <f>IF(Produits!A128="","",Produits!A128)</f>
        <v>Fixation Dorma</v>
      </c>
      <c r="B128" s="4" t="str">
        <f>IF(Produits!B128="","",Produits!B128)</f>
        <v/>
      </c>
      <c r="C128" s="4" t="str">
        <f>IF(Produits!C128="","",Produits!C128)</f>
        <v>1000,00,0125</v>
      </c>
      <c r="D128" s="4" t="str">
        <f>IF(Produits!D128="","",Produits!D128)</f>
        <v>AA249</v>
      </c>
      <c r="E128" s="4" t="str">
        <f>IF(Produits!E128="","",Produits!E128)</f>
        <v/>
      </c>
      <c r="F128" s="49" t="str">
        <f>IF(Produits!F128="","",Produits!F128)</f>
        <v>1 pcs</v>
      </c>
      <c r="J128" s="61" t="str">
        <f>IF($J$1="","",HLOOKUP($J$1,$M$1:$AAY$1000,128,0))</f>
        <v/>
      </c>
    </row>
    <row r="129" spans="1:10" x14ac:dyDescent="0.25">
      <c r="A129" s="4" t="str">
        <f>IF(Produits!A129="","",Produits!A129)</f>
        <v>Fixation Dorma</v>
      </c>
      <c r="B129" s="4" t="str">
        <f>IF(Produits!B129="","",Produits!B129)</f>
        <v/>
      </c>
      <c r="C129" s="4" t="str">
        <f>IF(Produits!C129="","",Produits!C129)</f>
        <v>1000,00,0126</v>
      </c>
      <c r="D129" s="4" t="str">
        <f>IF(Produits!D129="","",Produits!D129)</f>
        <v>AA250</v>
      </c>
      <c r="E129" s="4" t="str">
        <f>IF(Produits!E129="","",Produits!E129)</f>
        <v/>
      </c>
      <c r="F129" s="49" t="str">
        <f>IF(Produits!F129="","",Produits!F129)</f>
        <v>1 pcs</v>
      </c>
      <c r="J129" s="61" t="str">
        <f>IF($J$1="","",HLOOKUP($J$1,$M$1:$AAY$1000,129,0))</f>
        <v/>
      </c>
    </row>
    <row r="130" spans="1:10" x14ac:dyDescent="0.25">
      <c r="A130" s="4" t="str">
        <f>IF(Produits!A130="","",Produits!A130)</f>
        <v>Fixation Dorma</v>
      </c>
      <c r="B130" s="4" t="str">
        <f>IF(Produits!B130="","",Produits!B130)</f>
        <v/>
      </c>
      <c r="C130" s="4" t="str">
        <f>IF(Produits!C130="","",Produits!C130)</f>
        <v>1000,00,0127</v>
      </c>
      <c r="D130" s="4" t="str">
        <f>IF(Produits!D130="","",Produits!D130)</f>
        <v>AA251</v>
      </c>
      <c r="E130" s="4" t="str">
        <f>IF(Produits!E130="","",Produits!E130)</f>
        <v/>
      </c>
      <c r="F130" s="49" t="str">
        <f>IF(Produits!F130="","",Produits!F130)</f>
        <v>1 pcs</v>
      </c>
      <c r="J130" s="61" t="str">
        <f>IF($J$1="","",HLOOKUP($J$1,$M$1:$AAY$1000,130,0))</f>
        <v/>
      </c>
    </row>
    <row r="131" spans="1:10" x14ac:dyDescent="0.25">
      <c r="A131" s="4" t="str">
        <f>IF(Produits!A131="","",Produits!A131)</f>
        <v>Fixation Dorma</v>
      </c>
      <c r="B131" s="4" t="str">
        <f>IF(Produits!B131="","",Produits!B131)</f>
        <v/>
      </c>
      <c r="C131" s="4" t="str">
        <f>IF(Produits!C131="","",Produits!C131)</f>
        <v>1000,00,0128</v>
      </c>
      <c r="D131" s="4" t="str">
        <f>IF(Produits!D131="","",Produits!D131)</f>
        <v>AA252</v>
      </c>
      <c r="E131" s="4" t="str">
        <f>IF(Produits!E131="","",Produits!E131)</f>
        <v/>
      </c>
      <c r="F131" s="49" t="str">
        <f>IF(Produits!F131="","",Produits!F131)</f>
        <v>1 pcs</v>
      </c>
      <c r="J131" s="61" t="str">
        <f>IF($J$1="","",HLOOKUP($J$1,$M$1:$AAY$1000,131,0))</f>
        <v/>
      </c>
    </row>
    <row r="132" spans="1:10" x14ac:dyDescent="0.25">
      <c r="A132" s="4" t="str">
        <f>IF(Produits!A132="","",Produits!A132)</f>
        <v>Fixation Dorma</v>
      </c>
      <c r="B132" s="4" t="str">
        <f>IF(Produits!B132="","",Produits!B132)</f>
        <v/>
      </c>
      <c r="C132" s="4" t="str">
        <f>IF(Produits!C132="","",Produits!C132)</f>
        <v>1000,00,0129</v>
      </c>
      <c r="D132" s="4" t="str">
        <f>IF(Produits!D132="","",Produits!D132)</f>
        <v>AA253</v>
      </c>
      <c r="E132" s="4" t="str">
        <f>IF(Produits!E132="","",Produits!E132)</f>
        <v/>
      </c>
      <c r="F132" s="49" t="str">
        <f>IF(Produits!F132="","",Produits!F132)</f>
        <v>1 pcs</v>
      </c>
      <c r="J132" s="61" t="str">
        <f>IF($J$1="","",HLOOKUP($J$1,$M$1:$AAY$1000,132,0))</f>
        <v/>
      </c>
    </row>
    <row r="133" spans="1:10" x14ac:dyDescent="0.25">
      <c r="A133" s="4" t="str">
        <f>IF(Produits!A133="","",Produits!A133)</f>
        <v>Fixation Dorma</v>
      </c>
      <c r="B133" s="4" t="str">
        <f>IF(Produits!B133="","",Produits!B133)</f>
        <v/>
      </c>
      <c r="C133" s="4" t="str">
        <f>IF(Produits!C133="","",Produits!C133)</f>
        <v>1000,00,0130</v>
      </c>
      <c r="D133" s="4" t="str">
        <f>IF(Produits!D133="","",Produits!D133)</f>
        <v>AA254</v>
      </c>
      <c r="E133" s="4" t="str">
        <f>IF(Produits!E133="","",Produits!E133)</f>
        <v/>
      </c>
      <c r="F133" s="49" t="str">
        <f>IF(Produits!F133="","",Produits!F133)</f>
        <v>1 pcs</v>
      </c>
      <c r="J133" s="61" t="str">
        <f>IF($J$1="","",HLOOKUP($J$1,$M$1:$AAY$1000,133,0))</f>
        <v/>
      </c>
    </row>
    <row r="134" spans="1:10" x14ac:dyDescent="0.25">
      <c r="A134" s="4" t="str">
        <f>IF(Produits!A134="","",Produits!A134)</f>
        <v>Fixation Dorma</v>
      </c>
      <c r="B134" s="4" t="str">
        <f>IF(Produits!B134="","",Produits!B134)</f>
        <v/>
      </c>
      <c r="C134" s="4" t="str">
        <f>IF(Produits!C134="","",Produits!C134)</f>
        <v>1000,00,0131</v>
      </c>
      <c r="D134" s="4" t="str">
        <f>IF(Produits!D134="","",Produits!D134)</f>
        <v>AA255</v>
      </c>
      <c r="E134" s="4" t="str">
        <f>IF(Produits!E134="","",Produits!E134)</f>
        <v/>
      </c>
      <c r="F134" s="49" t="str">
        <f>IF(Produits!F134="","",Produits!F134)</f>
        <v>1 pcs</v>
      </c>
      <c r="J134" s="61" t="str">
        <f>IF($J$1="","",HLOOKUP($J$1,$M$1:$AAY$1000,134,0))</f>
        <v/>
      </c>
    </row>
    <row r="135" spans="1:10" x14ac:dyDescent="0.25">
      <c r="A135" s="4" t="str">
        <f>IF(Produits!A135="","",Produits!A135)</f>
        <v>Fixation Dorma</v>
      </c>
      <c r="B135" s="4" t="str">
        <f>IF(Produits!B135="","",Produits!B135)</f>
        <v/>
      </c>
      <c r="C135" s="4" t="str">
        <f>IF(Produits!C135="","",Produits!C135)</f>
        <v>1000,00,0132</v>
      </c>
      <c r="D135" s="4" t="str">
        <f>IF(Produits!D135="","",Produits!D135)</f>
        <v>AA256</v>
      </c>
      <c r="E135" s="4" t="str">
        <f>IF(Produits!E135="","",Produits!E135)</f>
        <v/>
      </c>
      <c r="F135" s="49" t="str">
        <f>IF(Produits!F135="","",Produits!F135)</f>
        <v>1 pcs</v>
      </c>
      <c r="J135" s="61" t="str">
        <f>IF($J$1="","",HLOOKUP($J$1,$M$1:$AAY$1000,135,0))</f>
        <v/>
      </c>
    </row>
    <row r="136" spans="1:10" x14ac:dyDescent="0.25">
      <c r="A136" s="4" t="str">
        <f>IF(Produits!A136="","",Produits!A136)</f>
        <v>Fixation Dorma</v>
      </c>
      <c r="B136" s="4" t="str">
        <f>IF(Produits!B136="","",Produits!B136)</f>
        <v/>
      </c>
      <c r="C136" s="4" t="str">
        <f>IF(Produits!C136="","",Produits!C136)</f>
        <v>1000,00,0133</v>
      </c>
      <c r="D136" s="4" t="str">
        <f>IF(Produits!D136="","",Produits!D136)</f>
        <v>AA257</v>
      </c>
      <c r="E136" s="4" t="str">
        <f>IF(Produits!E136="","",Produits!E136)</f>
        <v/>
      </c>
      <c r="F136" s="49" t="str">
        <f>IF(Produits!F136="","",Produits!F136)</f>
        <v>1 pcs</v>
      </c>
      <c r="J136" s="61" t="str">
        <f>IF($J$1="","",HLOOKUP($J$1,$M$1:$AAY$1000,136,0))</f>
        <v/>
      </c>
    </row>
    <row r="137" spans="1:10" x14ac:dyDescent="0.25">
      <c r="A137" s="4" t="str">
        <f>IF(Produits!A137="","",Produits!A137)</f>
        <v>Fixation Dorma</v>
      </c>
      <c r="B137" s="4" t="str">
        <f>IF(Produits!B137="","",Produits!B137)</f>
        <v/>
      </c>
      <c r="C137" s="4" t="str">
        <f>IF(Produits!C137="","",Produits!C137)</f>
        <v>1000,00,0134</v>
      </c>
      <c r="D137" s="4" t="str">
        <f>IF(Produits!D137="","",Produits!D137)</f>
        <v>AA258</v>
      </c>
      <c r="E137" s="4" t="str">
        <f>IF(Produits!E137="","",Produits!E137)</f>
        <v/>
      </c>
      <c r="F137" s="49" t="str">
        <f>IF(Produits!F137="","",Produits!F137)</f>
        <v>1 pcs</v>
      </c>
      <c r="J137" s="61" t="str">
        <f>IF($J$1="","",HLOOKUP($J$1,$M$1:$AAY$1000,137,0))</f>
        <v/>
      </c>
    </row>
    <row r="138" spans="1:10" x14ac:dyDescent="0.25">
      <c r="A138" s="4" t="str">
        <f>IF(Produits!A138="","",Produits!A138)</f>
        <v>Fixation Dorma</v>
      </c>
      <c r="B138" s="4" t="str">
        <f>IF(Produits!B138="","",Produits!B138)</f>
        <v/>
      </c>
      <c r="C138" s="4" t="str">
        <f>IF(Produits!C138="","",Produits!C138)</f>
        <v>1000,00,0135</v>
      </c>
      <c r="D138" s="4" t="str">
        <f>IF(Produits!D138="","",Produits!D138)</f>
        <v>AA259</v>
      </c>
      <c r="E138" s="4" t="str">
        <f>IF(Produits!E138="","",Produits!E138)</f>
        <v/>
      </c>
      <c r="F138" s="49" t="str">
        <f>IF(Produits!F138="","",Produits!F138)</f>
        <v>1 pcs</v>
      </c>
      <c r="J138" s="61" t="str">
        <f>IF($J$1="","",HLOOKUP($J$1,$M$1:$AAY$1000,138,0))</f>
        <v/>
      </c>
    </row>
    <row r="139" spans="1:10" x14ac:dyDescent="0.25">
      <c r="A139" s="4" t="str">
        <f>IF(Produits!A139="","",Produits!A139)</f>
        <v>Fixation Dorma</v>
      </c>
      <c r="B139" s="4" t="str">
        <f>IF(Produits!B139="","",Produits!B139)</f>
        <v/>
      </c>
      <c r="C139" s="4" t="str">
        <f>IF(Produits!C139="","",Produits!C139)</f>
        <v>1000,00,0136</v>
      </c>
      <c r="D139" s="4" t="str">
        <f>IF(Produits!D139="","",Produits!D139)</f>
        <v>AA260</v>
      </c>
      <c r="E139" s="4" t="str">
        <f>IF(Produits!E139="","",Produits!E139)</f>
        <v/>
      </c>
      <c r="F139" s="49" t="str">
        <f>IF(Produits!F139="","",Produits!F139)</f>
        <v>1 pcs</v>
      </c>
      <c r="J139" s="61" t="str">
        <f>IF($J$1="","",HLOOKUP($J$1,$M$1:$AAY$1000,139,0))</f>
        <v/>
      </c>
    </row>
    <row r="140" spans="1:10" x14ac:dyDescent="0.25">
      <c r="A140" s="4" t="str">
        <f>IF(Produits!A140="","",Produits!A140)</f>
        <v>Fixation Dorma</v>
      </c>
      <c r="B140" s="4" t="str">
        <f>IF(Produits!B140="","",Produits!B140)</f>
        <v/>
      </c>
      <c r="C140" s="4" t="str">
        <f>IF(Produits!C140="","",Produits!C140)</f>
        <v>1000,00,0137</v>
      </c>
      <c r="D140" s="4" t="str">
        <f>IF(Produits!D140="","",Produits!D140)</f>
        <v>AA261</v>
      </c>
      <c r="E140" s="4" t="str">
        <f>IF(Produits!E140="","",Produits!E140)</f>
        <v/>
      </c>
      <c r="F140" s="49" t="str">
        <f>IF(Produits!F140="","",Produits!F140)</f>
        <v>1 pcs</v>
      </c>
      <c r="J140" s="61" t="str">
        <f>IF($J$1="","",HLOOKUP($J$1,$M$1:$AAY$1000,140,0))</f>
        <v/>
      </c>
    </row>
    <row r="141" spans="1:10" x14ac:dyDescent="0.25">
      <c r="A141" s="4" t="str">
        <f>IF(Produits!A141="","",Produits!A141)</f>
        <v>Fixation Dorma</v>
      </c>
      <c r="B141" s="4" t="str">
        <f>IF(Produits!B141="","",Produits!B141)</f>
        <v/>
      </c>
      <c r="C141" s="4" t="str">
        <f>IF(Produits!C141="","",Produits!C141)</f>
        <v>1000,00,0138</v>
      </c>
      <c r="D141" s="4" t="str">
        <f>IF(Produits!D141="","",Produits!D141)</f>
        <v>AA262</v>
      </c>
      <c r="E141" s="4" t="str">
        <f>IF(Produits!E141="","",Produits!E141)</f>
        <v/>
      </c>
      <c r="F141" s="49" t="str">
        <f>IF(Produits!F141="","",Produits!F141)</f>
        <v>1 pcs</v>
      </c>
      <c r="J141" s="61" t="str">
        <f>IF($J$1="","",HLOOKUP($J$1,$M$1:$AAY$1000,141,0))</f>
        <v/>
      </c>
    </row>
    <row r="142" spans="1:10" x14ac:dyDescent="0.25">
      <c r="A142" s="4" t="str">
        <f>IF(Produits!A142="","",Produits!A142)</f>
        <v>Fixation Dorma</v>
      </c>
      <c r="B142" s="4" t="str">
        <f>IF(Produits!B142="","",Produits!B142)</f>
        <v/>
      </c>
      <c r="C142" s="4" t="str">
        <f>IF(Produits!C142="","",Produits!C142)</f>
        <v>1000,00,0139</v>
      </c>
      <c r="D142" s="4" t="str">
        <f>IF(Produits!D142="","",Produits!D142)</f>
        <v>AA263</v>
      </c>
      <c r="E142" s="4" t="str">
        <f>IF(Produits!E142="","",Produits!E142)</f>
        <v/>
      </c>
      <c r="F142" s="49" t="str">
        <f>IF(Produits!F142="","",Produits!F142)</f>
        <v>1 pcs</v>
      </c>
      <c r="J142" s="61" t="str">
        <f>IF($J$1="","",HLOOKUP($J$1,$M$1:$AAY$1000,142,0))</f>
        <v/>
      </c>
    </row>
    <row r="143" spans="1:10" x14ac:dyDescent="0.25">
      <c r="A143" s="4" t="str">
        <f>IF(Produits!A143="","",Produits!A143)</f>
        <v>Fixation Dorma</v>
      </c>
      <c r="B143" s="4" t="str">
        <f>IF(Produits!B143="","",Produits!B143)</f>
        <v/>
      </c>
      <c r="C143" s="4" t="str">
        <f>IF(Produits!C143="","",Produits!C143)</f>
        <v>1000,00,0140</v>
      </c>
      <c r="D143" s="4" t="str">
        <f>IF(Produits!D143="","",Produits!D143)</f>
        <v>AA264</v>
      </c>
      <c r="E143" s="4" t="str">
        <f>IF(Produits!E143="","",Produits!E143)</f>
        <v/>
      </c>
      <c r="F143" s="49" t="str">
        <f>IF(Produits!F143="","",Produits!F143)</f>
        <v>1 pcs</v>
      </c>
      <c r="J143" s="61" t="str">
        <f>IF($J$1="","",HLOOKUP($J$1,$M$1:$AAY$1000,143,0))</f>
        <v/>
      </c>
    </row>
    <row r="144" spans="1:10" x14ac:dyDescent="0.25">
      <c r="A144" s="4" t="str">
        <f>IF(Produits!A144="","",Produits!A144)</f>
        <v>Fixation Dorma</v>
      </c>
      <c r="B144" s="4" t="str">
        <f>IF(Produits!B144="","",Produits!B144)</f>
        <v/>
      </c>
      <c r="C144" s="4" t="str">
        <f>IF(Produits!C144="","",Produits!C144)</f>
        <v>1000,00,0141</v>
      </c>
      <c r="D144" s="4" t="str">
        <f>IF(Produits!D144="","",Produits!D144)</f>
        <v>AA265</v>
      </c>
      <c r="E144" s="4" t="str">
        <f>IF(Produits!E144="","",Produits!E144)</f>
        <v/>
      </c>
      <c r="F144" s="49" t="str">
        <f>IF(Produits!F144="","",Produits!F144)</f>
        <v>1 pcs</v>
      </c>
      <c r="J144" s="61" t="str">
        <f>IF($J$1="","",HLOOKUP($J$1,$M$1:$AAY$1000,144,0))</f>
        <v/>
      </c>
    </row>
    <row r="145" spans="1:10" x14ac:dyDescent="0.25">
      <c r="A145" s="4" t="str">
        <f>IF(Produits!A145="","",Produits!A145)</f>
        <v>Fixation Dorma</v>
      </c>
      <c r="B145" s="4" t="str">
        <f>IF(Produits!B145="","",Produits!B145)</f>
        <v/>
      </c>
      <c r="C145" s="4" t="str">
        <f>IF(Produits!C145="","",Produits!C145)</f>
        <v>1000,00,0142</v>
      </c>
      <c r="D145" s="4" t="str">
        <f>IF(Produits!D145="","",Produits!D145)</f>
        <v>AA266</v>
      </c>
      <c r="E145" s="4" t="str">
        <f>IF(Produits!E145="","",Produits!E145)</f>
        <v/>
      </c>
      <c r="F145" s="49" t="str">
        <f>IF(Produits!F145="","",Produits!F145)</f>
        <v>1 pcs</v>
      </c>
      <c r="J145" s="61" t="str">
        <f>IF($J$1="","",HLOOKUP($J$1,$M$1:$AAY$1000,145,0))</f>
        <v/>
      </c>
    </row>
    <row r="146" spans="1:10" x14ac:dyDescent="0.25">
      <c r="A146" s="4" t="str">
        <f>IF(Produits!A146="","",Produits!A146)</f>
        <v>Fixation Dorma</v>
      </c>
      <c r="B146" s="4" t="str">
        <f>IF(Produits!B146="","",Produits!B146)</f>
        <v/>
      </c>
      <c r="C146" s="4" t="str">
        <f>IF(Produits!C146="","",Produits!C146)</f>
        <v>1000,00,0143</v>
      </c>
      <c r="D146" s="4" t="str">
        <f>IF(Produits!D146="","",Produits!D146)</f>
        <v>AA267</v>
      </c>
      <c r="E146" s="4" t="str">
        <f>IF(Produits!E146="","",Produits!E146)</f>
        <v/>
      </c>
      <c r="F146" s="49" t="str">
        <f>IF(Produits!F146="","",Produits!F146)</f>
        <v>1 pcs</v>
      </c>
      <c r="J146" s="61" t="str">
        <f>IF($J$1="","",HLOOKUP($J$1,$M$1:$AAY$1000,146,0))</f>
        <v/>
      </c>
    </row>
    <row r="147" spans="1:10" x14ac:dyDescent="0.25">
      <c r="A147" s="4" t="str">
        <f>IF(Produits!A147="","",Produits!A147)</f>
        <v>Fixation Dorma</v>
      </c>
      <c r="B147" s="4" t="str">
        <f>IF(Produits!B147="","",Produits!B147)</f>
        <v/>
      </c>
      <c r="C147" s="4" t="str">
        <f>IF(Produits!C147="","",Produits!C147)</f>
        <v>1000,00,0144</v>
      </c>
      <c r="D147" s="4" t="str">
        <f>IF(Produits!D147="","",Produits!D147)</f>
        <v>AA268</v>
      </c>
      <c r="E147" s="4" t="str">
        <f>IF(Produits!E147="","",Produits!E147)</f>
        <v/>
      </c>
      <c r="F147" s="49" t="str">
        <f>IF(Produits!F147="","",Produits!F147)</f>
        <v>1 pcs</v>
      </c>
      <c r="J147" s="61" t="str">
        <f>IF($J$1="","",HLOOKUP($J$1,$M$1:$AAY$1000,147,0))</f>
        <v/>
      </c>
    </row>
    <row r="148" spans="1:10" x14ac:dyDescent="0.25">
      <c r="A148" s="4" t="str">
        <f>IF(Produits!A148="","",Produits!A148)</f>
        <v>Galets</v>
      </c>
      <c r="B148" s="4" t="str">
        <f>IF(Produits!B148="","",Produits!B148)</f>
        <v>Général</v>
      </c>
      <c r="C148" s="4" t="str">
        <f>IF(Produits!C148="","",Produits!C148)</f>
        <v>1000,00,0145</v>
      </c>
      <c r="D148" s="4" t="str">
        <f>IF(Produits!D148="","",Produits!D148)</f>
        <v>AA269</v>
      </c>
      <c r="E148" s="4" t="str">
        <f>IF(Produits!E148="","",Produits!E148)</f>
        <v/>
      </c>
      <c r="F148" s="49" t="str">
        <f>IF(Produits!F148="","",Produits!F148)</f>
        <v>1 pcs</v>
      </c>
      <c r="J148" s="61" t="str">
        <f>IF($J$1="","",HLOOKUP($J$1,$M$1:$AAY$1000,148,0))</f>
        <v/>
      </c>
    </row>
    <row r="149" spans="1:10" x14ac:dyDescent="0.25">
      <c r="A149" s="4" t="str">
        <f>IF(Produits!A149="","",Produits!A149)</f>
        <v>Galets</v>
      </c>
      <c r="B149" s="4" t="str">
        <f>IF(Produits!B149="","",Produits!B149)</f>
        <v>Général</v>
      </c>
      <c r="C149" s="4" t="str">
        <f>IF(Produits!C149="","",Produits!C149)</f>
        <v>1000,00,0146</v>
      </c>
      <c r="D149" s="4" t="str">
        <f>IF(Produits!D149="","",Produits!D149)</f>
        <v>AA270</v>
      </c>
      <c r="E149" s="4" t="str">
        <f>IF(Produits!E149="","",Produits!E149)</f>
        <v/>
      </c>
      <c r="F149" s="49" t="str">
        <f>IF(Produits!F149="","",Produits!F149)</f>
        <v>1 pcs</v>
      </c>
      <c r="J149" s="61" t="str">
        <f>IF($J$1="","",HLOOKUP($J$1,$M$1:$AAY$1000,149,0))</f>
        <v/>
      </c>
    </row>
    <row r="150" spans="1:10" x14ac:dyDescent="0.25">
      <c r="A150" s="4" t="str">
        <f>IF(Produits!A150="","",Produits!A150)</f>
        <v>Galets</v>
      </c>
      <c r="B150" s="4" t="str">
        <f>IF(Produits!B150="","",Produits!B150)</f>
        <v>Général</v>
      </c>
      <c r="C150" s="4" t="str">
        <f>IF(Produits!C150="","",Produits!C150)</f>
        <v>1000,00,0147</v>
      </c>
      <c r="D150" s="4" t="str">
        <f>IF(Produits!D150="","",Produits!D150)</f>
        <v>AA271</v>
      </c>
      <c r="E150" s="4" t="str">
        <f>IF(Produits!E150="","",Produits!E150)</f>
        <v/>
      </c>
      <c r="F150" s="49" t="str">
        <f>IF(Produits!F150="","",Produits!F150)</f>
        <v>1 pcs</v>
      </c>
      <c r="J150" s="61" t="str">
        <f>IF($J$1="","",HLOOKUP($J$1,$M$1:$AAY$1000,150,0))</f>
        <v/>
      </c>
    </row>
    <row r="151" spans="1:10" x14ac:dyDescent="0.25">
      <c r="A151" s="4" t="str">
        <f>IF(Produits!A151="","",Produits!A151)</f>
        <v>Galets</v>
      </c>
      <c r="B151" s="4" t="str">
        <f>IF(Produits!B151="","",Produits!B151)</f>
        <v>Général</v>
      </c>
      <c r="C151" s="4" t="str">
        <f>IF(Produits!C151="","",Produits!C151)</f>
        <v>1000,00,0148</v>
      </c>
      <c r="D151" s="4" t="str">
        <f>IF(Produits!D151="","",Produits!D151)</f>
        <v>AA272</v>
      </c>
      <c r="E151" s="4" t="str">
        <f>IF(Produits!E151="","",Produits!E151)</f>
        <v/>
      </c>
      <c r="F151" s="49" t="str">
        <f>IF(Produits!F151="","",Produits!F151)</f>
        <v>1 pcs</v>
      </c>
      <c r="J151" s="61" t="str">
        <f>IF($J$1="","",HLOOKUP($J$1,$M$1:$AAY$1000,151,0))</f>
        <v/>
      </c>
    </row>
    <row r="152" spans="1:10" x14ac:dyDescent="0.25">
      <c r="A152" s="4" t="str">
        <f>IF(Produits!A152="","",Produits!A152)</f>
        <v>Galets</v>
      </c>
      <c r="B152" s="4" t="str">
        <f>IF(Produits!B152="","",Produits!B152)</f>
        <v>Général</v>
      </c>
      <c r="C152" s="4" t="str">
        <f>IF(Produits!C152="","",Produits!C152)</f>
        <v>1000,00,0149</v>
      </c>
      <c r="D152" s="4" t="str">
        <f>IF(Produits!D152="","",Produits!D152)</f>
        <v>AA273</v>
      </c>
      <c r="E152" s="4" t="str">
        <f>IF(Produits!E152="","",Produits!E152)</f>
        <v/>
      </c>
      <c r="F152" s="49" t="str">
        <f>IF(Produits!F152="","",Produits!F152)</f>
        <v>1 pcs</v>
      </c>
      <c r="J152" s="61" t="str">
        <f>IF($J$1="","",HLOOKUP($J$1,$M$1:$AAY$1000,152,0))</f>
        <v/>
      </c>
    </row>
    <row r="153" spans="1:10" x14ac:dyDescent="0.25">
      <c r="A153" s="4" t="str">
        <f>IF(Produits!A153="","",Produits!A153)</f>
        <v>Galets</v>
      </c>
      <c r="B153" s="4" t="str">
        <f>IF(Produits!B153="","",Produits!B153)</f>
        <v>Général</v>
      </c>
      <c r="C153" s="4" t="str">
        <f>IF(Produits!C153="","",Produits!C153)</f>
        <v>1000,00,0150</v>
      </c>
      <c r="D153" s="4" t="str">
        <f>IF(Produits!D153="","",Produits!D153)</f>
        <v>AA274</v>
      </c>
      <c r="E153" s="4" t="str">
        <f>IF(Produits!E153="","",Produits!E153)</f>
        <v/>
      </c>
      <c r="F153" s="49" t="str">
        <f>IF(Produits!F153="","",Produits!F153)</f>
        <v>1 pcs</v>
      </c>
      <c r="J153" s="61" t="str">
        <f>IF($J$1="","",HLOOKUP($J$1,$M$1:$AAY$1000,153,0))</f>
        <v/>
      </c>
    </row>
    <row r="154" spans="1:10" x14ac:dyDescent="0.25">
      <c r="A154" s="4" t="str">
        <f>IF(Produits!A154="","",Produits!A154)</f>
        <v>Galets</v>
      </c>
      <c r="B154" s="4" t="str">
        <f>IF(Produits!B154="","",Produits!B154)</f>
        <v>Général</v>
      </c>
      <c r="C154" s="4" t="str">
        <f>IF(Produits!C154="","",Produits!C154)</f>
        <v>1000,00,0151</v>
      </c>
      <c r="D154" s="4" t="str">
        <f>IF(Produits!D154="","",Produits!D154)</f>
        <v>AA275</v>
      </c>
      <c r="E154" s="4" t="str">
        <f>IF(Produits!E154="","",Produits!E154)</f>
        <v/>
      </c>
      <c r="F154" s="49" t="str">
        <f>IF(Produits!F154="","",Produits!F154)</f>
        <v>1 pcs</v>
      </c>
      <c r="J154" s="61" t="str">
        <f>IF($J$1="","",HLOOKUP($J$1,$M$1:$AAY$1000,154,0))</f>
        <v/>
      </c>
    </row>
    <row r="155" spans="1:10" x14ac:dyDescent="0.25">
      <c r="A155" s="4" t="str">
        <f>IF(Produits!A155="","",Produits!A155)</f>
        <v>Galets</v>
      </c>
      <c r="B155" s="4" t="str">
        <f>IF(Produits!B155="","",Produits!B155)</f>
        <v>Moveo</v>
      </c>
      <c r="C155" s="4" t="str">
        <f>IF(Produits!C155="","",Produits!C155)</f>
        <v>1000,00,0152</v>
      </c>
      <c r="D155" s="4" t="str">
        <f>IF(Produits!D155="","",Produits!D155)</f>
        <v>AA276</v>
      </c>
      <c r="E155" s="4" t="str">
        <f>IF(Produits!E155="","",Produits!E155)</f>
        <v/>
      </c>
      <c r="F155" s="49" t="str">
        <f>IF(Produits!F155="","",Produits!F155)</f>
        <v>1 pcs</v>
      </c>
      <c r="J155" s="61" t="str">
        <f>IF($J$1="","",HLOOKUP($J$1,$M$1:$AAY$1000,155,0))</f>
        <v/>
      </c>
    </row>
    <row r="156" spans="1:10" x14ac:dyDescent="0.25">
      <c r="A156" s="4" t="str">
        <f>IF(Produits!A156="","",Produits!A156)</f>
        <v>Galets</v>
      </c>
      <c r="B156" s="4" t="str">
        <f>IF(Produits!B156="","",Produits!B156)</f>
        <v>Moveo</v>
      </c>
      <c r="C156" s="4" t="str">
        <f>IF(Produits!C156="","",Produits!C156)</f>
        <v>1000,00,0153</v>
      </c>
      <c r="D156" s="4" t="str">
        <f>IF(Produits!D156="","",Produits!D156)</f>
        <v>AA277</v>
      </c>
      <c r="E156" s="4" t="str">
        <f>IF(Produits!E156="","",Produits!E156)</f>
        <v/>
      </c>
      <c r="F156" s="49" t="str">
        <f>IF(Produits!F156="","",Produits!F156)</f>
        <v>1 pcs</v>
      </c>
      <c r="J156" s="61" t="str">
        <f>IF($J$1="","",HLOOKUP($J$1,$M$1:$AAY$1000,156,0))</f>
        <v/>
      </c>
    </row>
    <row r="157" spans="1:10" x14ac:dyDescent="0.25">
      <c r="A157" s="4" t="str">
        <f>IF(Produits!A157="","",Produits!A157)</f>
        <v>Galets</v>
      </c>
      <c r="B157" s="4" t="str">
        <f>IF(Produits!B157="","",Produits!B157)</f>
        <v>Moveo</v>
      </c>
      <c r="C157" s="4" t="str">
        <f>IF(Produits!C157="","",Produits!C157)</f>
        <v>1000,00,0154</v>
      </c>
      <c r="D157" s="4" t="str">
        <f>IF(Produits!D157="","",Produits!D157)</f>
        <v>AA278</v>
      </c>
      <c r="E157" s="4" t="str">
        <f>IF(Produits!E157="","",Produits!E157)</f>
        <v/>
      </c>
      <c r="F157" s="49" t="str">
        <f>IF(Produits!F157="","",Produits!F157)</f>
        <v>1 pcs</v>
      </c>
      <c r="J157" s="61" t="str">
        <f>IF($J$1="","",HLOOKUP($J$1,$M$1:$AAY$1000,157,0))</f>
        <v/>
      </c>
    </row>
    <row r="158" spans="1:10" x14ac:dyDescent="0.25">
      <c r="A158" s="4" t="str">
        <f>IF(Produits!A158="","",Produits!A158)</f>
        <v>Galets</v>
      </c>
      <c r="B158" s="4" t="str">
        <f>IF(Produits!B158="","",Produits!B158)</f>
        <v>Moveo</v>
      </c>
      <c r="C158" s="4" t="str">
        <f>IF(Produits!C158="","",Produits!C158)</f>
        <v>1000,00,0155</v>
      </c>
      <c r="D158" s="4" t="str">
        <f>IF(Produits!D158="","",Produits!D158)</f>
        <v>AA279</v>
      </c>
      <c r="E158" s="4" t="str">
        <f>IF(Produits!E158="","",Produits!E158)</f>
        <v/>
      </c>
      <c r="F158" s="49" t="str">
        <f>IF(Produits!F158="","",Produits!F158)</f>
        <v>1 pcs</v>
      </c>
      <c r="J158" s="61" t="str">
        <f>IF($J$1="","",HLOOKUP($J$1,$M$1:$AAY$1000,158,0))</f>
        <v/>
      </c>
    </row>
    <row r="159" spans="1:10" x14ac:dyDescent="0.25">
      <c r="A159" s="4" t="str">
        <f>IF(Produits!A159="","",Produits!A159)</f>
        <v>Galets</v>
      </c>
      <c r="B159" s="4" t="str">
        <f>IF(Produits!B159="","",Produits!B159)</f>
        <v>Moveo</v>
      </c>
      <c r="C159" s="4" t="str">
        <f>IF(Produits!C159="","",Produits!C159)</f>
        <v>1000,00,0156</v>
      </c>
      <c r="D159" s="4" t="str">
        <f>IF(Produits!D159="","",Produits!D159)</f>
        <v>AA280</v>
      </c>
      <c r="E159" s="4" t="str">
        <f>IF(Produits!E159="","",Produits!E159)</f>
        <v/>
      </c>
      <c r="F159" s="49" t="str">
        <f>IF(Produits!F159="","",Produits!F159)</f>
        <v>1 pcs</v>
      </c>
      <c r="J159" s="61" t="str">
        <f>IF($J$1="","",HLOOKUP($J$1,$M$1:$AAY$1000,159,0))</f>
        <v/>
      </c>
    </row>
    <row r="160" spans="1:10" x14ac:dyDescent="0.25">
      <c r="A160" s="4" t="str">
        <f>IF(Produits!A160="","",Produits!A160)</f>
        <v>Galets</v>
      </c>
      <c r="B160" s="4" t="str">
        <f>IF(Produits!B160="","",Produits!B160)</f>
        <v>ComfortDrive</v>
      </c>
      <c r="C160" s="4" t="str">
        <f>IF(Produits!C160="","",Produits!C160)</f>
        <v>1000,00,0157</v>
      </c>
      <c r="D160" s="4" t="str">
        <f>IF(Produits!D160="","",Produits!D160)</f>
        <v>AA281</v>
      </c>
      <c r="E160" s="4" t="str">
        <f>IF(Produits!E160="","",Produits!E160)</f>
        <v/>
      </c>
      <c r="F160" s="49" t="str">
        <f>IF(Produits!F160="","",Produits!F160)</f>
        <v>1 pcs</v>
      </c>
      <c r="J160" s="61" t="str">
        <f>IF($J$1="","",HLOOKUP($J$1,$M$1:$AAY$1000,160,0))</f>
        <v/>
      </c>
    </row>
    <row r="161" spans="1:10" x14ac:dyDescent="0.25">
      <c r="A161" s="4" t="str">
        <f>IF(Produits!A161="","",Produits!A161)</f>
        <v>Galets</v>
      </c>
      <c r="B161" s="4" t="str">
        <f>IF(Produits!B161="","",Produits!B161)</f>
        <v>ComfortDrive</v>
      </c>
      <c r="C161" s="4" t="str">
        <f>IF(Produits!C161="","",Produits!C161)</f>
        <v>1000,00,0158</v>
      </c>
      <c r="D161" s="4" t="str">
        <f>IF(Produits!D161="","",Produits!D161)</f>
        <v>AA282</v>
      </c>
      <c r="E161" s="4" t="str">
        <f>IF(Produits!E161="","",Produits!E161)</f>
        <v/>
      </c>
      <c r="F161" s="49" t="str">
        <f>IF(Produits!F161="","",Produits!F161)</f>
        <v>1 pcs</v>
      </c>
      <c r="J161" s="61" t="str">
        <f>IF($J$1="","",HLOOKUP($J$1,$M$1:$AAY$1000,161,0))</f>
        <v/>
      </c>
    </row>
    <row r="162" spans="1:10" x14ac:dyDescent="0.25">
      <c r="A162" s="4" t="str">
        <f>IF(Produits!A162="","",Produits!A162)</f>
        <v>Galets</v>
      </c>
      <c r="B162" s="4" t="str">
        <f>IF(Produits!B162="","",Produits!B162)</f>
        <v>ComfortDrive</v>
      </c>
      <c r="C162" s="4" t="str">
        <f>IF(Produits!C162="","",Produits!C162)</f>
        <v>1000,00,0159</v>
      </c>
      <c r="D162" s="4" t="str">
        <f>IF(Produits!D162="","",Produits!D162)</f>
        <v>AA283</v>
      </c>
      <c r="E162" s="4" t="str">
        <f>IF(Produits!E162="","",Produits!E162)</f>
        <v/>
      </c>
      <c r="F162" s="49" t="str">
        <f>IF(Produits!F162="","",Produits!F162)</f>
        <v>1 pcs</v>
      </c>
      <c r="J162" s="61" t="str">
        <f>IF($J$1="","",HLOOKUP($J$1,$M$1:$AAY$1000,162,0))</f>
        <v/>
      </c>
    </row>
    <row r="163" spans="1:10" x14ac:dyDescent="0.25">
      <c r="A163" s="4" t="str">
        <f>IF(Produits!A163="","",Produits!A163)</f>
        <v>Galets</v>
      </c>
      <c r="B163" s="4" t="str">
        <f>IF(Produits!B163="","",Produits!B163)</f>
        <v>ComfortDrive</v>
      </c>
      <c r="C163" s="4" t="str">
        <f>IF(Produits!C163="","",Produits!C163)</f>
        <v>1000,00,0160</v>
      </c>
      <c r="D163" s="4" t="str">
        <f>IF(Produits!D163="","",Produits!D163)</f>
        <v>AA284</v>
      </c>
      <c r="E163" s="4" t="str">
        <f>IF(Produits!E163="","",Produits!E163)</f>
        <v/>
      </c>
      <c r="F163" s="49" t="str">
        <f>IF(Produits!F163="","",Produits!F163)</f>
        <v>1 pcs</v>
      </c>
      <c r="J163" s="61" t="str">
        <f>IF($J$1="","",HLOOKUP($J$1,$M$1:$AAY$1000,163,0))</f>
        <v/>
      </c>
    </row>
    <row r="164" spans="1:10" x14ac:dyDescent="0.25">
      <c r="A164" s="4" t="str">
        <f>IF(Produits!A164="","",Produits!A164)</f>
        <v>Galets</v>
      </c>
      <c r="B164" s="4" t="str">
        <f>IF(Produits!B164="","",Produits!B164)</f>
        <v>ComfortDrive</v>
      </c>
      <c r="C164" s="4" t="str">
        <f>IF(Produits!C164="","",Produits!C164)</f>
        <v>1000,00,0161</v>
      </c>
      <c r="D164" s="4" t="str">
        <f>IF(Produits!D164="","",Produits!D164)</f>
        <v>AA285</v>
      </c>
      <c r="E164" s="4" t="str">
        <f>IF(Produits!E164="","",Produits!E164)</f>
        <v/>
      </c>
      <c r="F164" s="49" t="str">
        <f>IF(Produits!F164="","",Produits!F164)</f>
        <v>1 pcs</v>
      </c>
      <c r="J164" s="61" t="str">
        <f>IF($J$1="","",HLOOKUP($J$1,$M$1:$AAY$1000,164,0))</f>
        <v/>
      </c>
    </row>
    <row r="165" spans="1:10" x14ac:dyDescent="0.25">
      <c r="A165" s="4" t="str">
        <f>IF(Produits!A165="","",Produits!A165)</f>
        <v>Galets</v>
      </c>
      <c r="B165" s="4" t="str">
        <f>IF(Produits!B165="","",Produits!B165)</f>
        <v>ComfortDrive</v>
      </c>
      <c r="C165" s="4" t="str">
        <f>IF(Produits!C165="","",Produits!C165)</f>
        <v>1000,00,0162</v>
      </c>
      <c r="D165" s="4" t="str">
        <f>IF(Produits!D165="","",Produits!D165)</f>
        <v>AA286</v>
      </c>
      <c r="E165" s="4" t="str">
        <f>IF(Produits!E165="","",Produits!E165)</f>
        <v/>
      </c>
      <c r="F165" s="49" t="str">
        <f>IF(Produits!F165="","",Produits!F165)</f>
        <v>1 pcs</v>
      </c>
      <c r="J165" s="61" t="str">
        <f>IF($J$1="","",HLOOKUP($J$1,$M$1:$AAY$1000,165,0))</f>
        <v/>
      </c>
    </row>
    <row r="166" spans="1:10" x14ac:dyDescent="0.25">
      <c r="A166" s="4" t="str">
        <f>IF(Produits!A166="","",Produits!A166)</f>
        <v>Galets</v>
      </c>
      <c r="B166" s="4" t="str">
        <f>IF(Produits!B166="","",Produits!B166)</f>
        <v>ComfortDrive</v>
      </c>
      <c r="C166" s="4" t="str">
        <f>IF(Produits!C166="","",Produits!C166)</f>
        <v>1000,00,0163</v>
      </c>
      <c r="D166" s="4" t="str">
        <f>IF(Produits!D166="","",Produits!D166)</f>
        <v>AA287</v>
      </c>
      <c r="E166" s="4" t="str">
        <f>IF(Produits!E166="","",Produits!E166)</f>
        <v/>
      </c>
      <c r="F166" s="49" t="str">
        <f>IF(Produits!F166="","",Produits!F166)</f>
        <v>1 pcs</v>
      </c>
      <c r="J166" s="61" t="str">
        <f>IF($J$1="","",HLOOKUP($J$1,$M$1:$AAY$1000,166,0))</f>
        <v/>
      </c>
    </row>
    <row r="167" spans="1:10" x14ac:dyDescent="0.25">
      <c r="A167" s="4" t="str">
        <f>IF(Produits!A167="","",Produits!A167)</f>
        <v>Galets</v>
      </c>
      <c r="B167" s="4" t="str">
        <f>IF(Produits!B167="","",Produits!B167)</f>
        <v>ComfortDrive</v>
      </c>
      <c r="C167" s="4" t="str">
        <f>IF(Produits!C167="","",Produits!C167)</f>
        <v>1000,00,0164</v>
      </c>
      <c r="D167" s="4" t="str">
        <f>IF(Produits!D167="","",Produits!D167)</f>
        <v>AA288</v>
      </c>
      <c r="E167" s="4" t="str">
        <f>IF(Produits!E167="","",Produits!E167)</f>
        <v/>
      </c>
      <c r="F167" s="49" t="str">
        <f>IF(Produits!F167="","",Produits!F167)</f>
        <v>1 pcs</v>
      </c>
      <c r="J167" s="61" t="str">
        <f>IF($J$1="","",HLOOKUP($J$1,$M$1:$AAY$1000,167,0))</f>
        <v/>
      </c>
    </row>
    <row r="168" spans="1:10" x14ac:dyDescent="0.25">
      <c r="A168" s="4" t="str">
        <f>IF(Produits!A168="","",Produits!A168)</f>
        <v>Galets</v>
      </c>
      <c r="B168" s="4" t="str">
        <f>IF(Produits!B168="","",Produits!B168)</f>
        <v>ComfortDrive</v>
      </c>
      <c r="C168" s="4" t="str">
        <f>IF(Produits!C168="","",Produits!C168)</f>
        <v>1000,00,0165</v>
      </c>
      <c r="D168" s="4" t="str">
        <f>IF(Produits!D168="","",Produits!D168)</f>
        <v>AA289</v>
      </c>
      <c r="E168" s="4" t="str">
        <f>IF(Produits!E168="","",Produits!E168)</f>
        <v/>
      </c>
      <c r="F168" s="49" t="str">
        <f>IF(Produits!F168="","",Produits!F168)</f>
        <v>1 pcs</v>
      </c>
      <c r="J168" s="61" t="str">
        <f>IF($J$1="","",HLOOKUP($J$1,$M$1:$AAY$1000,168,0))</f>
        <v/>
      </c>
    </row>
    <row r="169" spans="1:10" x14ac:dyDescent="0.25">
      <c r="A169" s="4" t="str">
        <f>IF(Produits!A169="","",Produits!A169)</f>
        <v>Galets</v>
      </c>
      <c r="B169" s="4" t="str">
        <f>IF(Produits!B169="","",Produits!B169)</f>
        <v>ComfortDrive</v>
      </c>
      <c r="C169" s="4" t="str">
        <f>IF(Produits!C169="","",Produits!C169)</f>
        <v>1000,00,0166</v>
      </c>
      <c r="D169" s="4" t="str">
        <f>IF(Produits!D169="","",Produits!D169)</f>
        <v>AA290</v>
      </c>
      <c r="E169" s="4" t="str">
        <f>IF(Produits!E169="","",Produits!E169)</f>
        <v/>
      </c>
      <c r="F169" s="49" t="str">
        <f>IF(Produits!F169="","",Produits!F169)</f>
        <v>1 pcs</v>
      </c>
      <c r="J169" s="61" t="str">
        <f>IF($J$1="","",HLOOKUP($J$1,$M$1:$AAY$1000,169,0))</f>
        <v/>
      </c>
    </row>
    <row r="170" spans="1:10" x14ac:dyDescent="0.25">
      <c r="A170" s="4" t="str">
        <f>IF(Produits!A170="","",Produits!A170)</f>
        <v>Galets</v>
      </c>
      <c r="B170" s="4" t="str">
        <f>IF(Produits!B170="","",Produits!B170)</f>
        <v>ComfortDrive</v>
      </c>
      <c r="C170" s="4" t="str">
        <f>IF(Produits!C170="","",Produits!C170)</f>
        <v>1000,00,0167</v>
      </c>
      <c r="D170" s="4" t="str">
        <f>IF(Produits!D170="","",Produits!D170)</f>
        <v>AA291</v>
      </c>
      <c r="E170" s="4" t="str">
        <f>IF(Produits!E170="","",Produits!E170)</f>
        <v/>
      </c>
      <c r="F170" s="49" t="str">
        <f>IF(Produits!F170="","",Produits!F170)</f>
        <v>1 pcs</v>
      </c>
      <c r="J170" s="61" t="str">
        <f>IF($J$1="","",HLOOKUP($J$1,$M$1:$AAY$1000,170,0))</f>
        <v/>
      </c>
    </row>
    <row r="171" spans="1:10" x14ac:dyDescent="0.25">
      <c r="A171" s="4" t="str">
        <f>IF(Produits!A171="","",Produits!A171)</f>
        <v>Galets</v>
      </c>
      <c r="B171" s="4" t="str">
        <f>IF(Produits!B171="","",Produits!B171)</f>
        <v>ComfortDrive</v>
      </c>
      <c r="C171" s="4" t="str">
        <f>IF(Produits!C171="","",Produits!C171)</f>
        <v>1000,00,0168</v>
      </c>
      <c r="D171" s="4" t="str">
        <f>IF(Produits!D171="","",Produits!D171)</f>
        <v>AA292</v>
      </c>
      <c r="E171" s="4" t="str">
        <f>IF(Produits!E171="","",Produits!E171)</f>
        <v/>
      </c>
      <c r="F171" s="49" t="str">
        <f>IF(Produits!F171="","",Produits!F171)</f>
        <v>1 pcs</v>
      </c>
      <c r="J171" s="61" t="str">
        <f>IF($J$1="","",HLOOKUP($J$1,$M$1:$AAY$1000,171,0))</f>
        <v/>
      </c>
    </row>
    <row r="172" spans="1:10" x14ac:dyDescent="0.25">
      <c r="A172" s="4" t="str">
        <f>IF(Produits!A172="","",Produits!A172)</f>
        <v>Galets</v>
      </c>
      <c r="B172" s="4" t="str">
        <f>IF(Produits!B172="","",Produits!B172)</f>
        <v>ComfortDrive</v>
      </c>
      <c r="C172" s="4" t="str">
        <f>IF(Produits!C172="","",Produits!C172)</f>
        <v>1000,00,0169</v>
      </c>
      <c r="D172" s="4" t="str">
        <f>IF(Produits!D172="","",Produits!D172)</f>
        <v>AA293</v>
      </c>
      <c r="E172" s="4" t="str">
        <f>IF(Produits!E172="","",Produits!E172)</f>
        <v/>
      </c>
      <c r="F172" s="49" t="str">
        <f>IF(Produits!F172="","",Produits!F172)</f>
        <v>1 pcs</v>
      </c>
      <c r="J172" s="61" t="str">
        <f>IF($J$1="","",HLOOKUP($J$1,$M$1:$AAY$1000,172,0))</f>
        <v/>
      </c>
    </row>
    <row r="173" spans="1:10" x14ac:dyDescent="0.25">
      <c r="A173" s="4" t="str">
        <f>IF(Produits!A173="","",Produits!A173)</f>
        <v>Galets</v>
      </c>
      <c r="B173" s="4" t="str">
        <f>IF(Produits!B173="","",Produits!B173)</f>
        <v>ComfortDrive</v>
      </c>
      <c r="C173" s="4" t="str">
        <f>IF(Produits!C173="","",Produits!C173)</f>
        <v>1000,00,0170</v>
      </c>
      <c r="D173" s="4" t="str">
        <f>IF(Produits!D173="","",Produits!D173)</f>
        <v>AA294</v>
      </c>
      <c r="E173" s="4" t="str">
        <f>IF(Produits!E173="","",Produits!E173)</f>
        <v/>
      </c>
      <c r="F173" s="49" t="str">
        <f>IF(Produits!F173="","",Produits!F173)</f>
        <v>1 pcs</v>
      </c>
      <c r="J173" s="61" t="str">
        <f>IF($J$1="","",HLOOKUP($J$1,$M$1:$AAY$1000,173,0))</f>
        <v/>
      </c>
    </row>
    <row r="174" spans="1:10" x14ac:dyDescent="0.25">
      <c r="A174" s="4" t="str">
        <f>IF(Produits!A174="","",Produits!A174)</f>
        <v>Galets</v>
      </c>
      <c r="B174" s="4" t="str">
        <f>IF(Produits!B174="","",Produits!B174)</f>
        <v>ComfortDrive</v>
      </c>
      <c r="C174" s="4" t="str">
        <f>IF(Produits!C174="","",Produits!C174)</f>
        <v>1000,00,0171</v>
      </c>
      <c r="D174" s="4" t="str">
        <f>IF(Produits!D174="","",Produits!D174)</f>
        <v>AA295</v>
      </c>
      <c r="E174" s="4" t="str">
        <f>IF(Produits!E174="","",Produits!E174)</f>
        <v/>
      </c>
      <c r="F174" s="49" t="str">
        <f>IF(Produits!F174="","",Produits!F174)</f>
        <v>1 pcs</v>
      </c>
      <c r="J174" s="61" t="str">
        <f>IF($J$1="","",HLOOKUP($J$1,$M$1:$AAY$1000,174,0))</f>
        <v/>
      </c>
    </row>
    <row r="175" spans="1:10" x14ac:dyDescent="0.25">
      <c r="A175" s="4" t="str">
        <f>IF(Produits!A175="","",Produits!A175)</f>
        <v>Galets</v>
      </c>
      <c r="B175" s="4" t="str">
        <f>IF(Produits!B175="","",Produits!B175)</f>
        <v>ComfortDrive</v>
      </c>
      <c r="C175" s="4" t="str">
        <f>IF(Produits!C175="","",Produits!C175)</f>
        <v>1000,00,0172</v>
      </c>
      <c r="D175" s="4" t="str">
        <f>IF(Produits!D175="","",Produits!D175)</f>
        <v>AA296</v>
      </c>
      <c r="E175" s="4" t="str">
        <f>IF(Produits!E175="","",Produits!E175)</f>
        <v/>
      </c>
      <c r="F175" s="49" t="str">
        <f>IF(Produits!F175="","",Produits!F175)</f>
        <v>1 pcs</v>
      </c>
      <c r="J175" s="61" t="str">
        <f>IF($J$1="","",HLOOKUP($J$1,$M$1:$AAY$1000,175,0))</f>
        <v/>
      </c>
    </row>
    <row r="176" spans="1:10" x14ac:dyDescent="0.25">
      <c r="A176" s="4" t="str">
        <f>IF(Produits!A176="","",Produits!A176)</f>
        <v>Galets</v>
      </c>
      <c r="B176" s="4" t="str">
        <f>IF(Produits!B176="","",Produits!B176)</f>
        <v>ComfortDrive</v>
      </c>
      <c r="C176" s="4" t="str">
        <f>IF(Produits!C176="","",Produits!C176)</f>
        <v>1000,00,0173</v>
      </c>
      <c r="D176" s="4" t="str">
        <f>IF(Produits!D176="","",Produits!D176)</f>
        <v>AA297</v>
      </c>
      <c r="E176" s="4" t="str">
        <f>IF(Produits!E176="","",Produits!E176)</f>
        <v/>
      </c>
      <c r="F176" s="49" t="str">
        <f>IF(Produits!F176="","",Produits!F176)</f>
        <v>1 pcs</v>
      </c>
      <c r="J176" s="61" t="str">
        <f>IF($J$1="","",HLOOKUP($J$1,$M$1:$AAY$1000,176,0))</f>
        <v/>
      </c>
    </row>
    <row r="177" spans="1:10" x14ac:dyDescent="0.25">
      <c r="A177" s="4" t="str">
        <f>IF(Produits!A177="","",Produits!A177)</f>
        <v>Galets</v>
      </c>
      <c r="B177" s="4" t="str">
        <f>IF(Produits!B177="","",Produits!B177)</f>
        <v>Varitrans</v>
      </c>
      <c r="C177" s="4" t="str">
        <f>IF(Produits!C177="","",Produits!C177)</f>
        <v>1000,00,0174</v>
      </c>
      <c r="D177" s="4" t="str">
        <f>IF(Produits!D177="","",Produits!D177)</f>
        <v>AA298</v>
      </c>
      <c r="E177" s="4" t="str">
        <f>IF(Produits!E177="","",Produits!E177)</f>
        <v/>
      </c>
      <c r="F177" s="49" t="str">
        <f>IF(Produits!F177="","",Produits!F177)</f>
        <v>1 pcs</v>
      </c>
      <c r="J177" s="61" t="str">
        <f>IF($J$1="","",HLOOKUP($J$1,$M$1:$AAY$1000,177,0))</f>
        <v/>
      </c>
    </row>
    <row r="178" spans="1:10" x14ac:dyDescent="0.25">
      <c r="A178" s="4" t="str">
        <f>IF(Produits!A178="","",Produits!A178)</f>
        <v>Galets</v>
      </c>
      <c r="B178" s="4" t="str">
        <f>IF(Produits!B178="","",Produits!B178)</f>
        <v>Varitrans</v>
      </c>
      <c r="C178" s="4" t="str">
        <f>IF(Produits!C178="","",Produits!C178)</f>
        <v>1000,00,0175</v>
      </c>
      <c r="D178" s="4" t="str">
        <f>IF(Produits!D178="","",Produits!D178)</f>
        <v>AA299</v>
      </c>
      <c r="E178" s="4" t="str">
        <f>IF(Produits!E178="","",Produits!E178)</f>
        <v/>
      </c>
      <c r="F178" s="49" t="str">
        <f>IF(Produits!F178="","",Produits!F178)</f>
        <v>1 pcs</v>
      </c>
      <c r="J178" s="61" t="str">
        <f>IF($J$1="","",HLOOKUP($J$1,$M$1:$AAY$1000,178,0))</f>
        <v/>
      </c>
    </row>
    <row r="179" spans="1:10" x14ac:dyDescent="0.25">
      <c r="A179" s="4" t="str">
        <f>IF(Produits!A179="","",Produits!A179)</f>
        <v>Galets</v>
      </c>
      <c r="B179" s="4" t="str">
        <f>IF(Produits!B179="","",Produits!B179)</f>
        <v>Varitrans</v>
      </c>
      <c r="C179" s="4" t="str">
        <f>IF(Produits!C179="","",Produits!C179)</f>
        <v>1000,00,0176</v>
      </c>
      <c r="D179" s="4" t="str">
        <f>IF(Produits!D179="","",Produits!D179)</f>
        <v>AA300</v>
      </c>
      <c r="E179" s="4" t="str">
        <f>IF(Produits!E179="","",Produits!E179)</f>
        <v/>
      </c>
      <c r="F179" s="49" t="str">
        <f>IF(Produits!F179="","",Produits!F179)</f>
        <v>1 pcs</v>
      </c>
      <c r="J179" s="61" t="str">
        <f>IF($J$1="","",HLOOKUP($J$1,$M$1:$AAY$1000,179,0))</f>
        <v/>
      </c>
    </row>
    <row r="180" spans="1:10" x14ac:dyDescent="0.25">
      <c r="A180" s="4" t="str">
        <f>IF(Produits!A180="","",Produits!A180)</f>
        <v>Galets</v>
      </c>
      <c r="B180" s="4" t="str">
        <f>IF(Produits!B180="","",Produits!B180)</f>
        <v>Varitrans</v>
      </c>
      <c r="C180" s="4" t="str">
        <f>IF(Produits!C180="","",Produits!C180)</f>
        <v>1000,00,0177</v>
      </c>
      <c r="D180" s="4" t="str">
        <f>IF(Produits!D180="","",Produits!D180)</f>
        <v>AA301</v>
      </c>
      <c r="E180" s="4" t="str">
        <f>IF(Produits!E180="","",Produits!E180)</f>
        <v/>
      </c>
      <c r="F180" s="49" t="str">
        <f>IF(Produits!F180="","",Produits!F180)</f>
        <v>1 pcs</v>
      </c>
      <c r="J180" s="61" t="str">
        <f>IF($J$1="","",HLOOKUP($J$1,$M$1:$AAY$1000,180,0))</f>
        <v/>
      </c>
    </row>
    <row r="181" spans="1:10" x14ac:dyDescent="0.25">
      <c r="A181" s="4" t="str">
        <f>IF(Produits!A181="","",Produits!A181)</f>
        <v>Galets</v>
      </c>
      <c r="B181" s="4" t="str">
        <f>IF(Produits!B181="","",Produits!B181)</f>
        <v>Varitrans</v>
      </c>
      <c r="C181" s="4" t="str">
        <f>IF(Produits!C181="","",Produits!C181)</f>
        <v>1000,00,0178</v>
      </c>
      <c r="D181" s="4" t="str">
        <f>IF(Produits!D181="","",Produits!D181)</f>
        <v>AA302</v>
      </c>
      <c r="E181" s="4" t="str">
        <f>IF(Produits!E181="","",Produits!E181)</f>
        <v/>
      </c>
      <c r="F181" s="49" t="str">
        <f>IF(Produits!F181="","",Produits!F181)</f>
        <v>1 pcs</v>
      </c>
      <c r="J181" s="61" t="str">
        <f>IF($J$1="","",HLOOKUP($J$1,$M$1:$AAY$1000,181,0))</f>
        <v/>
      </c>
    </row>
    <row r="182" spans="1:10" x14ac:dyDescent="0.25">
      <c r="A182" s="4" t="str">
        <f>IF(Produits!A182="","",Produits!A182)</f>
        <v>Galets</v>
      </c>
      <c r="B182" s="4" t="str">
        <f>IF(Produits!B182="","",Produits!B182)</f>
        <v>Varitrans</v>
      </c>
      <c r="C182" s="4" t="str">
        <f>IF(Produits!C182="","",Produits!C182)</f>
        <v>1000,00,0179</v>
      </c>
      <c r="D182" s="4" t="str">
        <f>IF(Produits!D182="","",Produits!D182)</f>
        <v>AA303</v>
      </c>
      <c r="E182" s="4" t="str">
        <f>IF(Produits!E182="","",Produits!E182)</f>
        <v/>
      </c>
      <c r="F182" s="49" t="str">
        <f>IF(Produits!F182="","",Produits!F182)</f>
        <v>1 pcs</v>
      </c>
      <c r="J182" s="61" t="str">
        <f>IF($J$1="","",HLOOKUP($J$1,$M$1:$AAY$1000,182,0))</f>
        <v/>
      </c>
    </row>
    <row r="183" spans="1:10" x14ac:dyDescent="0.25">
      <c r="A183" s="4" t="str">
        <f>IF(Produits!A183="","",Produits!A183)</f>
        <v>Galets</v>
      </c>
      <c r="B183" s="4" t="str">
        <f>IF(Produits!B183="","",Produits!B183)</f>
        <v>Varitrans</v>
      </c>
      <c r="C183" s="4" t="str">
        <f>IF(Produits!C183="","",Produits!C183)</f>
        <v>1000,00,0180</v>
      </c>
      <c r="D183" s="4" t="str">
        <f>IF(Produits!D183="","",Produits!D183)</f>
        <v>AA304</v>
      </c>
      <c r="E183" s="4" t="str">
        <f>IF(Produits!E183="","",Produits!E183)</f>
        <v/>
      </c>
      <c r="F183" s="49" t="str">
        <f>IF(Produits!F183="","",Produits!F183)</f>
        <v>1 pcs</v>
      </c>
      <c r="J183" s="61" t="str">
        <f>IF($J$1="","",HLOOKUP($J$1,$M$1:$AAY$1000,183,0))</f>
        <v/>
      </c>
    </row>
    <row r="184" spans="1:10" x14ac:dyDescent="0.25">
      <c r="A184" s="4" t="str">
        <f>IF(Produits!A184="","",Produits!A184)</f>
        <v>Galets</v>
      </c>
      <c r="B184" s="4" t="str">
        <f>IF(Produits!B184="","",Produits!B184)</f>
        <v>Varitrans</v>
      </c>
      <c r="C184" s="4" t="str">
        <f>IF(Produits!C184="","",Produits!C184)</f>
        <v>1000,00,0181</v>
      </c>
      <c r="D184" s="4" t="str">
        <f>IF(Produits!D184="","",Produits!D184)</f>
        <v>AA305</v>
      </c>
      <c r="E184" s="4" t="str">
        <f>IF(Produits!E184="","",Produits!E184)</f>
        <v/>
      </c>
      <c r="F184" s="49" t="str">
        <f>IF(Produits!F184="","",Produits!F184)</f>
        <v>1 pcs</v>
      </c>
      <c r="J184" s="61" t="str">
        <f>IF($J$1="","",HLOOKUP($J$1,$M$1:$AAY$1000,184,0))</f>
        <v/>
      </c>
    </row>
    <row r="185" spans="1:10" x14ac:dyDescent="0.25">
      <c r="A185" s="4" t="str">
        <f>IF(Produits!A185="","",Produits!A185)</f>
        <v>Galets</v>
      </c>
      <c r="B185" s="4" t="str">
        <f>IF(Produits!B185="","",Produits!B185)</f>
        <v>Varitrans</v>
      </c>
      <c r="C185" s="4" t="str">
        <f>IF(Produits!C185="","",Produits!C185)</f>
        <v>1000,00,0182</v>
      </c>
      <c r="D185" s="4" t="str">
        <f>IF(Produits!D185="","",Produits!D185)</f>
        <v>AA306</v>
      </c>
      <c r="E185" s="4" t="str">
        <f>IF(Produits!E185="","",Produits!E185)</f>
        <v/>
      </c>
      <c r="F185" s="49" t="str">
        <f>IF(Produits!F185="","",Produits!F185)</f>
        <v>1 pcs</v>
      </c>
      <c r="J185" s="61" t="str">
        <f>IF($J$1="","",HLOOKUP($J$1,$M$1:$AAY$1000,185,0))</f>
        <v/>
      </c>
    </row>
    <row r="186" spans="1:10" x14ac:dyDescent="0.25">
      <c r="A186" s="4" t="str">
        <f>IF(Produits!A186="","",Produits!A186)</f>
        <v>Moveo</v>
      </c>
      <c r="B186" s="4" t="str">
        <f>IF(Produits!B186="","",Produits!B186)</f>
        <v>Contacts / Circuits</v>
      </c>
      <c r="C186" s="4" t="str">
        <f>IF(Produits!C186="","",Produits!C186)</f>
        <v>1000,00,0183</v>
      </c>
      <c r="D186" s="4" t="str">
        <f>IF(Produits!D186="","",Produits!D186)</f>
        <v>AA307</v>
      </c>
      <c r="E186" s="4" t="str">
        <f>IF(Produits!E186="","",Produits!E186)</f>
        <v/>
      </c>
      <c r="F186" s="49" t="str">
        <f>IF(Produits!F186="","",Produits!F186)</f>
        <v>1 pcs</v>
      </c>
      <c r="J186" s="61" t="str">
        <f>IF($J$1="","",HLOOKUP($J$1,$M$1:$AAY$1000,186,0))</f>
        <v/>
      </c>
    </row>
    <row r="187" spans="1:10" x14ac:dyDescent="0.25">
      <c r="A187" s="4" t="str">
        <f>IF(Produits!A187="","",Produits!A187)</f>
        <v>Moveo</v>
      </c>
      <c r="B187" s="4" t="str">
        <f>IF(Produits!B187="","",Produits!B187)</f>
        <v>Contacts / Circuits</v>
      </c>
      <c r="C187" s="4" t="str">
        <f>IF(Produits!C187="","",Produits!C187)</f>
        <v>1000,00,0184</v>
      </c>
      <c r="D187" s="4" t="str">
        <f>IF(Produits!D187="","",Produits!D187)</f>
        <v>AA308</v>
      </c>
      <c r="E187" s="4" t="str">
        <f>IF(Produits!E187="","",Produits!E187)</f>
        <v/>
      </c>
      <c r="F187" s="49" t="str">
        <f>IF(Produits!F187="","",Produits!F187)</f>
        <v>1 pcs</v>
      </c>
      <c r="J187" s="61" t="str">
        <f>IF($J$1="","",HLOOKUP($J$1,$M$1:$AAY$1000,187,0))</f>
        <v/>
      </c>
    </row>
    <row r="188" spans="1:10" x14ac:dyDescent="0.25">
      <c r="A188" s="4" t="str">
        <f>IF(Produits!A188="","",Produits!A188)</f>
        <v>Moveo</v>
      </c>
      <c r="B188" s="4" t="str">
        <f>IF(Produits!B188="","",Produits!B188)</f>
        <v>Contacts / Circuits</v>
      </c>
      <c r="C188" s="4" t="str">
        <f>IF(Produits!C188="","",Produits!C188)</f>
        <v>1000,00,0185</v>
      </c>
      <c r="D188" s="4" t="str">
        <f>IF(Produits!D188="","",Produits!D188)</f>
        <v>AA309</v>
      </c>
      <c r="E188" s="4" t="str">
        <f>IF(Produits!E188="","",Produits!E188)</f>
        <v/>
      </c>
      <c r="F188" s="49" t="str">
        <f>IF(Produits!F188="","",Produits!F188)</f>
        <v>1 pcs</v>
      </c>
      <c r="J188" s="61" t="str">
        <f>IF($J$1="","",HLOOKUP($J$1,$M$1:$AAY$1000,188,0))</f>
        <v/>
      </c>
    </row>
    <row r="189" spans="1:10" x14ac:dyDescent="0.25">
      <c r="A189" s="4" t="str">
        <f>IF(Produits!A189="","",Produits!A189)</f>
        <v>Moveo</v>
      </c>
      <c r="B189" s="4" t="str">
        <f>IF(Produits!B189="","",Produits!B189)</f>
        <v>Contacts / Circuits</v>
      </c>
      <c r="C189" s="4" t="str">
        <f>IF(Produits!C189="","",Produits!C189)</f>
        <v>1000,00,0186</v>
      </c>
      <c r="D189" s="4" t="str">
        <f>IF(Produits!D189="","",Produits!D189)</f>
        <v>AA310</v>
      </c>
      <c r="E189" s="4" t="str">
        <f>IF(Produits!E189="","",Produits!E189)</f>
        <v/>
      </c>
      <c r="F189" s="49" t="str">
        <f>IF(Produits!F189="","",Produits!F189)</f>
        <v>1 pcs</v>
      </c>
      <c r="J189" s="61" t="str">
        <f>IF($J$1="","",HLOOKUP($J$1,$M$1:$AAY$1000,189,0))</f>
        <v/>
      </c>
    </row>
    <row r="190" spans="1:10" x14ac:dyDescent="0.25">
      <c r="A190" s="4" t="str">
        <f>IF(Produits!A190="","",Produits!A190)</f>
        <v>Moveo</v>
      </c>
      <c r="B190" s="4" t="str">
        <f>IF(Produits!B190="","",Produits!B190)</f>
        <v>Contacts / Circuits</v>
      </c>
      <c r="C190" s="4" t="str">
        <f>IF(Produits!C190="","",Produits!C190)</f>
        <v>1000,00,0187</v>
      </c>
      <c r="D190" s="4" t="str">
        <f>IF(Produits!D190="","",Produits!D190)</f>
        <v>AA311</v>
      </c>
      <c r="E190" s="4" t="str">
        <f>IF(Produits!E190="","",Produits!E190)</f>
        <v/>
      </c>
      <c r="F190" s="49" t="str">
        <f>IF(Produits!F190="","",Produits!F190)</f>
        <v>1 pcs</v>
      </c>
      <c r="J190" s="61" t="str">
        <f>IF($J$1="","",HLOOKUP($J$1,$M$1:$AAY$1000,190,0))</f>
        <v/>
      </c>
    </row>
    <row r="191" spans="1:10" x14ac:dyDescent="0.25">
      <c r="A191" s="4" t="str">
        <f>IF(Produits!A191="","",Produits!A191)</f>
        <v>Moveo</v>
      </c>
      <c r="B191" s="4" t="str">
        <f>IF(Produits!B191="","",Produits!B191)</f>
        <v>Contacts / Circuits</v>
      </c>
      <c r="C191" s="4" t="str">
        <f>IF(Produits!C191="","",Produits!C191)</f>
        <v>1000,00,0188</v>
      </c>
      <c r="D191" s="4" t="str">
        <f>IF(Produits!D191="","",Produits!D191)</f>
        <v>AA312</v>
      </c>
      <c r="E191" s="4" t="str">
        <f>IF(Produits!E191="","",Produits!E191)</f>
        <v/>
      </c>
      <c r="F191" s="49" t="str">
        <f>IF(Produits!F191="","",Produits!F191)</f>
        <v>1 pcs</v>
      </c>
      <c r="J191" s="61" t="str">
        <f>IF($J$1="","",HLOOKUP($J$1,$M$1:$AAY$1000,191,0))</f>
        <v/>
      </c>
    </row>
    <row r="192" spans="1:10" x14ac:dyDescent="0.25">
      <c r="A192" s="4" t="str">
        <f>IF(Produits!A192="","",Produits!A192)</f>
        <v>Moveo</v>
      </c>
      <c r="B192" s="4" t="str">
        <f>IF(Produits!B192="","",Produits!B192)</f>
        <v>Contacts / Circuits</v>
      </c>
      <c r="C192" s="4" t="str">
        <f>IF(Produits!C192="","",Produits!C192)</f>
        <v>1000,00,0189</v>
      </c>
      <c r="D192" s="4" t="str">
        <f>IF(Produits!D192="","",Produits!D192)</f>
        <v>AA313</v>
      </c>
      <c r="E192" s="4" t="str">
        <f>IF(Produits!E192="","",Produits!E192)</f>
        <v/>
      </c>
      <c r="F192" s="49" t="str">
        <f>IF(Produits!F192="","",Produits!F192)</f>
        <v>1 pcs</v>
      </c>
      <c r="J192" s="61" t="str">
        <f>IF($J$1="","",HLOOKUP($J$1,$M$1:$AAY$1000,192,0))</f>
        <v/>
      </c>
    </row>
    <row r="193" spans="1:10" x14ac:dyDescent="0.25">
      <c r="A193" s="4" t="str">
        <f>IF(Produits!A193="","",Produits!A193)</f>
        <v>Moveo</v>
      </c>
      <c r="B193" s="4" t="str">
        <f>IF(Produits!B193="","",Produits!B193)</f>
        <v>Contacts / Circuits</v>
      </c>
      <c r="C193" s="4" t="str">
        <f>IF(Produits!C193="","",Produits!C193)</f>
        <v>1000,00,0190</v>
      </c>
      <c r="D193" s="4" t="str">
        <f>IF(Produits!D193="","",Produits!D193)</f>
        <v>AA314</v>
      </c>
      <c r="E193" s="4" t="str">
        <f>IF(Produits!E193="","",Produits!E193)</f>
        <v/>
      </c>
      <c r="F193" s="49" t="str">
        <f>IF(Produits!F193="","",Produits!F193)</f>
        <v>1 pcs</v>
      </c>
      <c r="J193" s="61" t="str">
        <f>IF($J$1="","",HLOOKUP($J$1,$M$1:$AAY$1000,193,0))</f>
        <v/>
      </c>
    </row>
    <row r="194" spans="1:10" x14ac:dyDescent="0.25">
      <c r="A194" s="4" t="str">
        <f>IF(Produits!A194="","",Produits!A194)</f>
        <v>Moveo</v>
      </c>
      <c r="B194" s="4" t="str">
        <f>IF(Produits!B194="","",Produits!B194)</f>
        <v>Contacts / Circuits</v>
      </c>
      <c r="C194" s="4" t="str">
        <f>IF(Produits!C194="","",Produits!C194)</f>
        <v>1000,00,0191</v>
      </c>
      <c r="D194" s="4" t="str">
        <f>IF(Produits!D194="","",Produits!D194)</f>
        <v>AA315</v>
      </c>
      <c r="E194" s="4" t="str">
        <f>IF(Produits!E194="","",Produits!E194)</f>
        <v/>
      </c>
      <c r="F194" s="49" t="str">
        <f>IF(Produits!F194="","",Produits!F194)</f>
        <v>1 pcs</v>
      </c>
      <c r="J194" s="61" t="str">
        <f>IF($J$1="","",HLOOKUP($J$1,$M$1:$AAY$1000,194,0))</f>
        <v/>
      </c>
    </row>
    <row r="195" spans="1:10" x14ac:dyDescent="0.25">
      <c r="A195" s="4" t="str">
        <f>IF(Produits!A195="","",Produits!A195)</f>
        <v>Moveo</v>
      </c>
      <c r="B195" s="4" t="str">
        <f>IF(Produits!B195="","",Produits!B195)</f>
        <v>Contacts / Circuits</v>
      </c>
      <c r="C195" s="4" t="str">
        <f>IF(Produits!C195="","",Produits!C195)</f>
        <v>1000,00,0192</v>
      </c>
      <c r="D195" s="4" t="str">
        <f>IF(Produits!D195="","",Produits!D195)</f>
        <v>AA316</v>
      </c>
      <c r="E195" s="4" t="str">
        <f>IF(Produits!E195="","",Produits!E195)</f>
        <v/>
      </c>
      <c r="F195" s="49" t="str">
        <f>IF(Produits!F195="","",Produits!F195)</f>
        <v>1 pcs</v>
      </c>
      <c r="J195" s="61" t="str">
        <f>IF($J$1="","",HLOOKUP($J$1,$M$1:$AAY$1000,195,0))</f>
        <v/>
      </c>
    </row>
    <row r="196" spans="1:10" x14ac:dyDescent="0.25">
      <c r="A196" s="4" t="str">
        <f>IF(Produits!A196="","",Produits!A196)</f>
        <v>Moveo</v>
      </c>
      <c r="B196" s="4" t="str">
        <f>IF(Produits!B196="","",Produits!B196)</f>
        <v>Contacts / Circuits</v>
      </c>
      <c r="C196" s="4" t="str">
        <f>IF(Produits!C196="","",Produits!C196)</f>
        <v>1000,00,0193</v>
      </c>
      <c r="D196" s="4" t="str">
        <f>IF(Produits!D196="","",Produits!D196)</f>
        <v>AA317</v>
      </c>
      <c r="E196" s="4" t="str">
        <f>IF(Produits!E196="","",Produits!E196)</f>
        <v/>
      </c>
      <c r="F196" s="49" t="str">
        <f>IF(Produits!F196="","",Produits!F196)</f>
        <v>1 pcs</v>
      </c>
      <c r="J196" s="61" t="str">
        <f>IF($J$1="","",HLOOKUP($J$1,$M$1:$AAY$1000,196,0))</f>
        <v/>
      </c>
    </row>
    <row r="197" spans="1:10" x14ac:dyDescent="0.25">
      <c r="A197" s="4" t="str">
        <f>IF(Produits!A197="","",Produits!A197)</f>
        <v>Moveo</v>
      </c>
      <c r="B197" s="4" t="str">
        <f>IF(Produits!B197="","",Produits!B197)</f>
        <v>Contacts / Circuits</v>
      </c>
      <c r="C197" s="4" t="str">
        <f>IF(Produits!C197="","",Produits!C197)</f>
        <v>1000,00,0194</v>
      </c>
      <c r="D197" s="4" t="str">
        <f>IF(Produits!D197="","",Produits!D197)</f>
        <v>AA318</v>
      </c>
      <c r="E197" s="4" t="str">
        <f>IF(Produits!E197="","",Produits!E197)</f>
        <v/>
      </c>
      <c r="F197" s="49" t="str">
        <f>IF(Produits!F197="","",Produits!F197)</f>
        <v>1 pcs</v>
      </c>
      <c r="J197" s="61" t="str">
        <f>IF($J$1="","",HLOOKUP($J$1,$M$1:$AAY$1000,197,0))</f>
        <v/>
      </c>
    </row>
    <row r="198" spans="1:10" x14ac:dyDescent="0.25">
      <c r="A198" s="4" t="str">
        <f>IF(Produits!A198="","",Produits!A198)</f>
        <v>Moveo</v>
      </c>
      <c r="B198" s="4" t="str">
        <f>IF(Produits!B198="","",Produits!B198)</f>
        <v>Contacts / Circuits</v>
      </c>
      <c r="C198" s="4" t="str">
        <f>IF(Produits!C198="","",Produits!C198)</f>
        <v>1000,00,0195</v>
      </c>
      <c r="D198" s="4" t="str">
        <f>IF(Produits!D198="","",Produits!D198)</f>
        <v>AA319</v>
      </c>
      <c r="E198" s="4" t="str">
        <f>IF(Produits!E198="","",Produits!E198)</f>
        <v/>
      </c>
      <c r="F198" s="49" t="str">
        <f>IF(Produits!F198="","",Produits!F198)</f>
        <v>1 pcs</v>
      </c>
      <c r="J198" s="61" t="str">
        <f>IF($J$1="","",HLOOKUP($J$1,$M$1:$AAY$1000,198,0))</f>
        <v/>
      </c>
    </row>
    <row r="199" spans="1:10" x14ac:dyDescent="0.25">
      <c r="A199" s="4" t="str">
        <f>IF(Produits!A199="","",Produits!A199)</f>
        <v>Moveo</v>
      </c>
      <c r="B199" s="4" t="str">
        <f>IF(Produits!B199="","",Produits!B199)</f>
        <v>ComforTronic</v>
      </c>
      <c r="C199" s="4" t="str">
        <f>IF(Produits!C199="","",Produits!C199)</f>
        <v>1000,00,0196</v>
      </c>
      <c r="D199" s="4" t="str">
        <f>IF(Produits!D199="","",Produits!D199)</f>
        <v>AA320</v>
      </c>
      <c r="E199" s="4" t="str">
        <f>IF(Produits!E199="","",Produits!E199)</f>
        <v/>
      </c>
      <c r="F199" s="49" t="str">
        <f>IF(Produits!F199="","",Produits!F199)</f>
        <v>1 pcs</v>
      </c>
      <c r="J199" s="61" t="str">
        <f>IF($J$1="","",HLOOKUP($J$1,$M$1:$AAY$1000,199,0))</f>
        <v/>
      </c>
    </row>
    <row r="200" spans="1:10" x14ac:dyDescent="0.25">
      <c r="A200" s="4" t="str">
        <f>IF(Produits!A200="","",Produits!A200)</f>
        <v>Moveo</v>
      </c>
      <c r="B200" s="4" t="str">
        <f>IF(Produits!B200="","",Produits!B200)</f>
        <v>ComforTronic</v>
      </c>
      <c r="C200" s="4" t="str">
        <f>IF(Produits!C200="","",Produits!C200)</f>
        <v>1000,00,0197</v>
      </c>
      <c r="D200" s="4" t="str">
        <f>IF(Produits!D200="","",Produits!D200)</f>
        <v>AA321</v>
      </c>
      <c r="E200" s="4" t="str">
        <f>IF(Produits!E200="","",Produits!E200)</f>
        <v/>
      </c>
      <c r="F200" s="49" t="str">
        <f>IF(Produits!F200="","",Produits!F200)</f>
        <v>1 pcs</v>
      </c>
      <c r="J200" s="61" t="str">
        <f>IF($J$1="","",HLOOKUP($J$1,$M$1:$AAY$1000,200,0))</f>
        <v/>
      </c>
    </row>
    <row r="201" spans="1:10" x14ac:dyDescent="0.25">
      <c r="A201" s="4" t="str">
        <f>IF(Produits!A201="","",Produits!A201)</f>
        <v>Moveo</v>
      </c>
      <c r="B201" s="4" t="str">
        <f>IF(Produits!B201="","",Produits!B201)</f>
        <v>ComforTronic</v>
      </c>
      <c r="C201" s="4" t="str">
        <f>IF(Produits!C201="","",Produits!C201)</f>
        <v>1000,00,0198</v>
      </c>
      <c r="D201" s="4" t="str">
        <f>IF(Produits!D201="","",Produits!D201)</f>
        <v>AA322</v>
      </c>
      <c r="E201" s="4" t="str">
        <f>IF(Produits!E201="","",Produits!E201)</f>
        <v/>
      </c>
      <c r="F201" s="49" t="str">
        <f>IF(Produits!F201="","",Produits!F201)</f>
        <v>1 pcs</v>
      </c>
      <c r="J201" s="61" t="str">
        <f>IF($J$1="","",HLOOKUP($J$1,$M$1:$AAY$1000,201,0))</f>
        <v/>
      </c>
    </row>
    <row r="202" spans="1:10" x14ac:dyDescent="0.25">
      <c r="A202" s="4" t="str">
        <f>IF(Produits!A202="","",Produits!A202)</f>
        <v>Moveo</v>
      </c>
      <c r="B202" s="4" t="str">
        <f>IF(Produits!B202="","",Produits!B202)</f>
        <v>ComforTronic</v>
      </c>
      <c r="C202" s="4" t="str">
        <f>IF(Produits!C202="","",Produits!C202)</f>
        <v>1000,00,0199</v>
      </c>
      <c r="D202" s="4" t="str">
        <f>IF(Produits!D202="","",Produits!D202)</f>
        <v>AA323</v>
      </c>
      <c r="E202" s="4" t="str">
        <f>IF(Produits!E202="","",Produits!E202)</f>
        <v/>
      </c>
      <c r="F202" s="49" t="str">
        <f>IF(Produits!F202="","",Produits!F202)</f>
        <v>1 pcs</v>
      </c>
      <c r="J202" s="61" t="str">
        <f>IF($J$1="","",HLOOKUP($J$1,$M$1:$AAY$1000,202,0))</f>
        <v/>
      </c>
    </row>
    <row r="203" spans="1:10" x14ac:dyDescent="0.25">
      <c r="A203" s="4" t="str">
        <f>IF(Produits!A203="","",Produits!A203)</f>
        <v>Moveo</v>
      </c>
      <c r="B203" s="4" t="str">
        <f>IF(Produits!B203="","",Produits!B203)</f>
        <v>ComforTronic</v>
      </c>
      <c r="C203" s="4" t="str">
        <f>IF(Produits!C203="","",Produits!C203)</f>
        <v>1000,00,0200</v>
      </c>
      <c r="D203" s="4" t="str">
        <f>IF(Produits!D203="","",Produits!D203)</f>
        <v>AA324</v>
      </c>
      <c r="E203" s="4" t="str">
        <f>IF(Produits!E203="","",Produits!E203)</f>
        <v/>
      </c>
      <c r="F203" s="49" t="str">
        <f>IF(Produits!F203="","",Produits!F203)</f>
        <v>1 pcs</v>
      </c>
      <c r="J203" s="61" t="str">
        <f>IF($J$1="","",HLOOKUP($J$1,$M$1:$AAY$1000,203,0))</f>
        <v/>
      </c>
    </row>
    <row r="204" spans="1:10" x14ac:dyDescent="0.25">
      <c r="A204" s="4" t="str">
        <f>IF(Produits!A204="","",Produits!A204)</f>
        <v>Moveo</v>
      </c>
      <c r="B204" s="4" t="str">
        <f>IF(Produits!B204="","",Produits!B204)</f>
        <v>ComforTronic</v>
      </c>
      <c r="C204" s="4" t="str">
        <f>IF(Produits!C204="","",Produits!C204)</f>
        <v>1000,00,0201</v>
      </c>
      <c r="D204" s="4" t="str">
        <f>IF(Produits!D204="","",Produits!D204)</f>
        <v>AA325</v>
      </c>
      <c r="E204" s="4" t="str">
        <f>IF(Produits!E204="","",Produits!E204)</f>
        <v/>
      </c>
      <c r="F204" s="49" t="str">
        <f>IF(Produits!F204="","",Produits!F204)</f>
        <v>1 pcs</v>
      </c>
      <c r="J204" s="61" t="str">
        <f>IF($J$1="","",HLOOKUP($J$1,$M$1:$AAY$1000,204,0))</f>
        <v/>
      </c>
    </row>
    <row r="205" spans="1:10" x14ac:dyDescent="0.25">
      <c r="A205" s="4" t="str">
        <f>IF(Produits!A205="","",Produits!A205)</f>
        <v>Moveo</v>
      </c>
      <c r="B205" s="4" t="str">
        <f>IF(Produits!B205="","",Produits!B205)</f>
        <v>ComforTronic</v>
      </c>
      <c r="C205" s="4" t="str">
        <f>IF(Produits!C205="","",Produits!C205)</f>
        <v>1000,00,0202</v>
      </c>
      <c r="D205" s="4" t="str">
        <f>IF(Produits!D205="","",Produits!D205)</f>
        <v>AA326</v>
      </c>
      <c r="E205" s="4" t="str">
        <f>IF(Produits!E205="","",Produits!E205)</f>
        <v/>
      </c>
      <c r="F205" s="49" t="str">
        <f>IF(Produits!F205="","",Produits!F205)</f>
        <v>1 pcs</v>
      </c>
      <c r="J205" s="61" t="str">
        <f>IF($J$1="","",HLOOKUP($J$1,$M$1:$AAY$1000,205,0))</f>
        <v/>
      </c>
    </row>
    <row r="206" spans="1:10" x14ac:dyDescent="0.25">
      <c r="A206" s="4" t="str">
        <f>IF(Produits!A206="","",Produits!A206)</f>
        <v>Moveo</v>
      </c>
      <c r="B206" s="4" t="str">
        <f>IF(Produits!B206="","",Produits!B206)</f>
        <v>ComforTronic</v>
      </c>
      <c r="C206" s="4" t="str">
        <f>IF(Produits!C206="","",Produits!C206)</f>
        <v>1000,00,0203</v>
      </c>
      <c r="D206" s="4" t="str">
        <f>IF(Produits!D206="","",Produits!D206)</f>
        <v>AA327</v>
      </c>
      <c r="E206" s="4" t="str">
        <f>IF(Produits!E206="","",Produits!E206)</f>
        <v/>
      </c>
      <c r="F206" s="49" t="str">
        <f>IF(Produits!F206="","",Produits!F206)</f>
        <v>1 pcs</v>
      </c>
      <c r="J206" s="61" t="str">
        <f>IF($J$1="","",HLOOKUP($J$1,$M$1:$AAY$1000,206,0))</f>
        <v/>
      </c>
    </row>
    <row r="207" spans="1:10" x14ac:dyDescent="0.25">
      <c r="A207" s="4" t="str">
        <f>IF(Produits!A207="","",Produits!A207)</f>
        <v>Moveo</v>
      </c>
      <c r="B207" s="4" t="str">
        <f>IF(Produits!B207="","",Produits!B207)</f>
        <v>ComforTronic</v>
      </c>
      <c r="C207" s="4" t="str">
        <f>IF(Produits!C207="","",Produits!C207)</f>
        <v>1000,00,0204</v>
      </c>
      <c r="D207" s="4" t="str">
        <f>IF(Produits!D207="","",Produits!D207)</f>
        <v>AA328</v>
      </c>
      <c r="E207" s="4" t="str">
        <f>IF(Produits!E207="","",Produits!E207)</f>
        <v/>
      </c>
      <c r="F207" s="49" t="str">
        <f>IF(Produits!F207="","",Produits!F207)</f>
        <v>1 pcs</v>
      </c>
      <c r="J207" s="61" t="str">
        <f>IF($J$1="","",HLOOKUP($J$1,$M$1:$AAY$1000,207,0))</f>
        <v/>
      </c>
    </row>
    <row r="208" spans="1:10" x14ac:dyDescent="0.25">
      <c r="A208" s="4" t="str">
        <f>IF(Produits!A208="","",Produits!A208)</f>
        <v>Moveo</v>
      </c>
      <c r="B208" s="4" t="str">
        <f>IF(Produits!B208="","",Produits!B208)</f>
        <v>ComforTronic</v>
      </c>
      <c r="C208" s="4" t="str">
        <f>IF(Produits!C208="","",Produits!C208)</f>
        <v>1000,00,0205</v>
      </c>
      <c r="D208" s="4" t="str">
        <f>IF(Produits!D208="","",Produits!D208)</f>
        <v>AA329</v>
      </c>
      <c r="E208" s="4" t="str">
        <f>IF(Produits!E208="","",Produits!E208)</f>
        <v/>
      </c>
      <c r="F208" s="49" t="str">
        <f>IF(Produits!F208="","",Produits!F208)</f>
        <v>1 pcs</v>
      </c>
      <c r="J208" s="61" t="str">
        <f>IF($J$1="","",HLOOKUP($J$1,$M$1:$AAY$1000,208,0))</f>
        <v/>
      </c>
    </row>
    <row r="209" spans="1:10" x14ac:dyDescent="0.25">
      <c r="A209" s="4" t="str">
        <f>IF(Produits!A209="","",Produits!A209)</f>
        <v>Moveo</v>
      </c>
      <c r="B209" s="4" t="str">
        <f>IF(Produits!B209="","",Produits!B209)</f>
        <v>Contrôle</v>
      </c>
      <c r="C209" s="4" t="str">
        <f>IF(Produits!C209="","",Produits!C209)</f>
        <v>1000,00,0206</v>
      </c>
      <c r="D209" s="4" t="str">
        <f>IF(Produits!D209="","",Produits!D209)</f>
        <v>AA330</v>
      </c>
      <c r="E209" s="4" t="str">
        <f>IF(Produits!E209="","",Produits!E209)</f>
        <v/>
      </c>
      <c r="F209" s="49" t="str">
        <f>IF(Produits!F209="","",Produits!F209)</f>
        <v>1 pcs</v>
      </c>
      <c r="J209" s="61" t="str">
        <f>IF($J$1="","",HLOOKUP($J$1,$M$1:$AAY$1000,209,0))</f>
        <v/>
      </c>
    </row>
    <row r="210" spans="1:10" x14ac:dyDescent="0.25">
      <c r="A210" s="4" t="str">
        <f>IF(Produits!A210="","",Produits!A210)</f>
        <v>Moveo</v>
      </c>
      <c r="B210" s="4" t="str">
        <f>IF(Produits!B210="","",Produits!B210)</f>
        <v>Contrôle</v>
      </c>
      <c r="C210" s="4" t="str">
        <f>IF(Produits!C210="","",Produits!C210)</f>
        <v>1000,00,0207</v>
      </c>
      <c r="D210" s="4" t="str">
        <f>IF(Produits!D210="","",Produits!D210)</f>
        <v>AA331</v>
      </c>
      <c r="E210" s="4" t="str">
        <f>IF(Produits!E210="","",Produits!E210)</f>
        <v/>
      </c>
      <c r="F210" s="49" t="str">
        <f>IF(Produits!F210="","",Produits!F210)</f>
        <v>1 pcs</v>
      </c>
      <c r="J210" s="61" t="str">
        <f>IF($J$1="","",HLOOKUP($J$1,$M$1:$AAY$1000,210,0))</f>
        <v/>
      </c>
    </row>
    <row r="211" spans="1:10" x14ac:dyDescent="0.25">
      <c r="A211" s="4" t="str">
        <f>IF(Produits!A211="","",Produits!A211)</f>
        <v>Moveo</v>
      </c>
      <c r="B211" s="4" t="str">
        <f>IF(Produits!B211="","",Produits!B211)</f>
        <v>Contrôle</v>
      </c>
      <c r="C211" s="4" t="str">
        <f>IF(Produits!C211="","",Produits!C211)</f>
        <v>1000,00,0208</v>
      </c>
      <c r="D211" s="4" t="str">
        <f>IF(Produits!D211="","",Produits!D211)</f>
        <v>AA332</v>
      </c>
      <c r="E211" s="4" t="str">
        <f>IF(Produits!E211="","",Produits!E211)</f>
        <v/>
      </c>
      <c r="F211" s="49" t="str">
        <f>IF(Produits!F211="","",Produits!F211)</f>
        <v>1 pcs</v>
      </c>
      <c r="J211" s="61" t="str">
        <f>IF($J$1="","",HLOOKUP($J$1,$M$1:$AAY$1000,211,0))</f>
        <v/>
      </c>
    </row>
    <row r="212" spans="1:10" x14ac:dyDescent="0.25">
      <c r="A212" s="4" t="str">
        <f>IF(Produits!A212="","",Produits!A212)</f>
        <v>Moveo</v>
      </c>
      <c r="B212" s="4" t="str">
        <f>IF(Produits!B212="","",Produits!B212)</f>
        <v>Contrôle</v>
      </c>
      <c r="C212" s="4" t="str">
        <f>IF(Produits!C212="","",Produits!C212)</f>
        <v>1000,00,0209</v>
      </c>
      <c r="D212" s="4" t="str">
        <f>IF(Produits!D212="","",Produits!D212)</f>
        <v>AA333</v>
      </c>
      <c r="E212" s="4" t="str">
        <f>IF(Produits!E212="","",Produits!E212)</f>
        <v/>
      </c>
      <c r="F212" s="49" t="str">
        <f>IF(Produits!F212="","",Produits!F212)</f>
        <v>1 pcs</v>
      </c>
      <c r="J212" s="61" t="str">
        <f>IF($J$1="","",HLOOKUP($J$1,$M$1:$AAY$1000,212,0))</f>
        <v/>
      </c>
    </row>
    <row r="213" spans="1:10" x14ac:dyDescent="0.25">
      <c r="A213" s="4" t="str">
        <f>IF(Produits!A213="","",Produits!A213)</f>
        <v>Moveo</v>
      </c>
      <c r="B213" s="4" t="str">
        <f>IF(Produits!B213="","",Produits!B213)</f>
        <v>Contrôle</v>
      </c>
      <c r="C213" s="4" t="str">
        <f>IF(Produits!C213="","",Produits!C213)</f>
        <v>1000,00,0210</v>
      </c>
      <c r="D213" s="4" t="str">
        <f>IF(Produits!D213="","",Produits!D213)</f>
        <v>AA334</v>
      </c>
      <c r="E213" s="4" t="str">
        <f>IF(Produits!E213="","",Produits!E213)</f>
        <v/>
      </c>
      <c r="F213" s="49" t="str">
        <f>IF(Produits!F213="","",Produits!F213)</f>
        <v>1 pcs</v>
      </c>
      <c r="J213" s="61" t="str">
        <f>IF($J$1="","",HLOOKUP($J$1,$M$1:$AAY$1000,213,0))</f>
        <v/>
      </c>
    </row>
    <row r="214" spans="1:10" x14ac:dyDescent="0.25">
      <c r="A214" s="4" t="str">
        <f>IF(Produits!A214="","",Produits!A214)</f>
        <v>Moveo</v>
      </c>
      <c r="B214" s="4" t="str">
        <f>IF(Produits!B214="","",Produits!B214)</f>
        <v>Contrôle</v>
      </c>
      <c r="C214" s="4" t="str">
        <f>IF(Produits!C214="","",Produits!C214)</f>
        <v>1000,00,0211</v>
      </c>
      <c r="D214" s="4" t="str">
        <f>IF(Produits!D214="","",Produits!D214)</f>
        <v>AA335</v>
      </c>
      <c r="E214" s="4" t="str">
        <f>IF(Produits!E214="","",Produits!E214)</f>
        <v/>
      </c>
      <c r="F214" s="49" t="str">
        <f>IF(Produits!F214="","",Produits!F214)</f>
        <v>1 pcs</v>
      </c>
      <c r="J214" s="61" t="str">
        <f>IF($J$1="","",HLOOKUP($J$1,$M$1:$AAY$1000,214,0))</f>
        <v/>
      </c>
    </row>
    <row r="215" spans="1:10" x14ac:dyDescent="0.25">
      <c r="A215" s="4" t="str">
        <f>IF(Produits!A215="","",Produits!A215)</f>
        <v>Moveo</v>
      </c>
      <c r="B215" s="4" t="str">
        <f>IF(Produits!B215="","",Produits!B215)</f>
        <v>Contrôle</v>
      </c>
      <c r="C215" s="4" t="str">
        <f>IF(Produits!C215="","",Produits!C215)</f>
        <v>1000,00,0212</v>
      </c>
      <c r="D215" s="4" t="str">
        <f>IF(Produits!D215="","",Produits!D215)</f>
        <v>AA336</v>
      </c>
      <c r="E215" s="4" t="str">
        <f>IF(Produits!E215="","",Produits!E215)</f>
        <v/>
      </c>
      <c r="F215" s="49" t="str">
        <f>IF(Produits!F215="","",Produits!F215)</f>
        <v>1 pcs</v>
      </c>
      <c r="J215" s="61" t="str">
        <f>IF($J$1="","",HLOOKUP($J$1,$M$1:$AAY$1000,215,0))</f>
        <v/>
      </c>
    </row>
    <row r="216" spans="1:10" x14ac:dyDescent="0.25">
      <c r="A216" s="4" t="str">
        <f>IF(Produits!A216="","",Produits!A216)</f>
        <v>Moveo</v>
      </c>
      <c r="B216" s="4" t="str">
        <f>IF(Produits!B216="","",Produits!B216)</f>
        <v>Contrôle</v>
      </c>
      <c r="C216" s="4" t="str">
        <f>IF(Produits!C216="","",Produits!C216)</f>
        <v>1000,00,0213</v>
      </c>
      <c r="D216" s="4" t="str">
        <f>IF(Produits!D216="","",Produits!D216)</f>
        <v>AA337</v>
      </c>
      <c r="E216" s="4" t="str">
        <f>IF(Produits!E216="","",Produits!E216)</f>
        <v/>
      </c>
      <c r="F216" s="49" t="str">
        <f>IF(Produits!F216="","",Produits!F216)</f>
        <v>1 pcs</v>
      </c>
      <c r="J216" s="61" t="str">
        <f>IF($J$1="","",HLOOKUP($J$1,$M$1:$AAY$1000,216,0))</f>
        <v/>
      </c>
    </row>
    <row r="217" spans="1:10" x14ac:dyDescent="0.25">
      <c r="A217" s="4" t="str">
        <f>IF(Produits!A217="","",Produits!A217)</f>
        <v>Moveo</v>
      </c>
      <c r="B217" s="4" t="str">
        <f>IF(Produits!B217="","",Produits!B217)</f>
        <v>Contrôle</v>
      </c>
      <c r="C217" s="4" t="str">
        <f>IF(Produits!C217="","",Produits!C217)</f>
        <v>1000,00,0214</v>
      </c>
      <c r="D217" s="4" t="str">
        <f>IF(Produits!D217="","",Produits!D217)</f>
        <v>AA338</v>
      </c>
      <c r="E217" s="4" t="str">
        <f>IF(Produits!E217="","",Produits!E217)</f>
        <v/>
      </c>
      <c r="F217" s="49" t="str">
        <f>IF(Produits!F217="","",Produits!F217)</f>
        <v>1 pcs</v>
      </c>
      <c r="J217" s="61" t="str">
        <f>IF($J$1="","",HLOOKUP($J$1,$M$1:$AAY$1000,217,0))</f>
        <v/>
      </c>
    </row>
    <row r="218" spans="1:10" x14ac:dyDescent="0.25">
      <c r="A218" s="4" t="str">
        <f>IF(Produits!A218="","",Produits!A218)</f>
        <v>Moveo</v>
      </c>
      <c r="B218" s="4" t="str">
        <f>IF(Produits!B218="","",Produits!B218)</f>
        <v>Contrôle</v>
      </c>
      <c r="C218" s="4" t="str">
        <f>IF(Produits!C218="","",Produits!C218)</f>
        <v>1000,00,0215</v>
      </c>
      <c r="D218" s="4" t="str">
        <f>IF(Produits!D218="","",Produits!D218)</f>
        <v>AA339</v>
      </c>
      <c r="E218" s="4" t="str">
        <f>IF(Produits!E218="","",Produits!E218)</f>
        <v/>
      </c>
      <c r="F218" s="49" t="str">
        <f>IF(Produits!F218="","",Produits!F218)</f>
        <v>1 pcs</v>
      </c>
      <c r="J218" s="61" t="str">
        <f>IF($J$1="","",HLOOKUP($J$1,$M$1:$AAY$1000,218,0))</f>
        <v/>
      </c>
    </row>
    <row r="219" spans="1:10" x14ac:dyDescent="0.25">
      <c r="A219" s="4" t="str">
        <f>IF(Produits!A219="","",Produits!A219)</f>
        <v>Moveo</v>
      </c>
      <c r="B219" s="4" t="str">
        <f>IF(Produits!B219="","",Produits!B219)</f>
        <v>Contrôle</v>
      </c>
      <c r="C219" s="4" t="str">
        <f>IF(Produits!C219="","",Produits!C219)</f>
        <v>1000,00,0216</v>
      </c>
      <c r="D219" s="4" t="str">
        <f>IF(Produits!D219="","",Produits!D219)</f>
        <v>AA340</v>
      </c>
      <c r="E219" s="4" t="str">
        <f>IF(Produits!E219="","",Produits!E219)</f>
        <v/>
      </c>
      <c r="F219" s="49" t="str">
        <f>IF(Produits!F219="","",Produits!F219)</f>
        <v>1 pcs</v>
      </c>
      <c r="J219" s="61" t="str">
        <f>IF($J$1="","",HLOOKUP($J$1,$M$1:$AAY$1000,219,0))</f>
        <v/>
      </c>
    </row>
    <row r="220" spans="1:10" x14ac:dyDescent="0.25">
      <c r="A220" s="4" t="str">
        <f>IF(Produits!A220="","",Produits!A220)</f>
        <v>Moveo</v>
      </c>
      <c r="B220" s="4" t="str">
        <f>IF(Produits!B220="","",Produits!B220)</f>
        <v>Contrôle</v>
      </c>
      <c r="C220" s="4" t="str">
        <f>IF(Produits!C220="","",Produits!C220)</f>
        <v>1000,00,0217</v>
      </c>
      <c r="D220" s="4" t="str">
        <f>IF(Produits!D220="","",Produits!D220)</f>
        <v>AA341</v>
      </c>
      <c r="E220" s="4" t="str">
        <f>IF(Produits!E220="","",Produits!E220)</f>
        <v/>
      </c>
      <c r="F220" s="49" t="str">
        <f>IF(Produits!F220="","",Produits!F220)</f>
        <v>1 pcs</v>
      </c>
      <c r="J220" s="61" t="str">
        <f>IF($J$1="","",HLOOKUP($J$1,$M$1:$AAY$1000,220,0))</f>
        <v/>
      </c>
    </row>
    <row r="221" spans="1:10" x14ac:dyDescent="0.25">
      <c r="A221" s="4" t="str">
        <f>IF(Produits!A221="","",Produits!A221)</f>
        <v>Moveo</v>
      </c>
      <c r="B221" s="4" t="str">
        <f>IF(Produits!B221="","",Produits!B221)</f>
        <v>Contrôle</v>
      </c>
      <c r="C221" s="4" t="str">
        <f>IF(Produits!C221="","",Produits!C221)</f>
        <v>1000,00,0218</v>
      </c>
      <c r="D221" s="4" t="str">
        <f>IF(Produits!D221="","",Produits!D221)</f>
        <v>AA342</v>
      </c>
      <c r="E221" s="4" t="str">
        <f>IF(Produits!E221="","",Produits!E221)</f>
        <v/>
      </c>
      <c r="F221" s="49" t="str">
        <f>IF(Produits!F221="","",Produits!F221)</f>
        <v>1 pcs</v>
      </c>
      <c r="J221" s="61" t="str">
        <f>IF($J$1="","",HLOOKUP($J$1,$M$1:$AAY$1000,221,0))</f>
        <v/>
      </c>
    </row>
    <row r="222" spans="1:10" x14ac:dyDescent="0.25">
      <c r="A222" s="4" t="str">
        <f>IF(Produits!A222="","",Produits!A222)</f>
        <v>Moveo</v>
      </c>
      <c r="B222" s="4" t="str">
        <f>IF(Produits!B222="","",Produits!B222)</f>
        <v>Contrôle</v>
      </c>
      <c r="C222" s="4" t="str">
        <f>IF(Produits!C222="","",Produits!C222)</f>
        <v>1000,00,0219</v>
      </c>
      <c r="D222" s="4" t="str">
        <f>IF(Produits!D222="","",Produits!D222)</f>
        <v>AA343</v>
      </c>
      <c r="E222" s="4" t="str">
        <f>IF(Produits!E222="","",Produits!E222)</f>
        <v/>
      </c>
      <c r="F222" s="49" t="str">
        <f>IF(Produits!F222="","",Produits!F222)</f>
        <v>1 pcs</v>
      </c>
      <c r="J222" s="61" t="str">
        <f>IF($J$1="","",HLOOKUP($J$1,$M$1:$AAY$1000,222,0))</f>
        <v/>
      </c>
    </row>
    <row r="223" spans="1:10" x14ac:dyDescent="0.25">
      <c r="A223" s="4" t="str">
        <f>IF(Produits!A223="","",Produits!A223)</f>
        <v>Moveo</v>
      </c>
      <c r="B223" s="4" t="str">
        <f>IF(Produits!B223="","",Produits!B223)</f>
        <v>Contrôle</v>
      </c>
      <c r="C223" s="4" t="str">
        <f>IF(Produits!C223="","",Produits!C223)</f>
        <v>1000,00,0220</v>
      </c>
      <c r="D223" s="4" t="str">
        <f>IF(Produits!D223="","",Produits!D223)</f>
        <v>AA344</v>
      </c>
      <c r="E223" s="4" t="str">
        <f>IF(Produits!E223="","",Produits!E223)</f>
        <v/>
      </c>
      <c r="F223" s="49" t="str">
        <f>IF(Produits!F223="","",Produits!F223)</f>
        <v>1 pcs</v>
      </c>
      <c r="J223" s="61" t="str">
        <f>IF($J$1="","",HLOOKUP($J$1,$M$1:$AAY$1000,223,0))</f>
        <v/>
      </c>
    </row>
    <row r="224" spans="1:10" x14ac:dyDescent="0.25">
      <c r="A224" s="4" t="str">
        <f>IF(Produits!A224="","",Produits!A224)</f>
        <v>Moveo</v>
      </c>
      <c r="B224" s="4" t="str">
        <f>IF(Produits!B224="","",Produits!B224)</f>
        <v>Contrôle</v>
      </c>
      <c r="C224" s="4" t="str">
        <f>IF(Produits!C224="","",Produits!C224)</f>
        <v>1000,00,0221</v>
      </c>
      <c r="D224" s="4" t="str">
        <f>IF(Produits!D224="","",Produits!D224)</f>
        <v>AA345</v>
      </c>
      <c r="E224" s="4" t="str">
        <f>IF(Produits!E224="","",Produits!E224)</f>
        <v/>
      </c>
      <c r="F224" s="49" t="str">
        <f>IF(Produits!F224="","",Produits!F224)</f>
        <v>1 pcs</v>
      </c>
      <c r="J224" s="61" t="str">
        <f>IF($J$1="","",HLOOKUP($J$1,$M$1:$AAY$1000,224,0))</f>
        <v/>
      </c>
    </row>
    <row r="225" spans="1:10" x14ac:dyDescent="0.25">
      <c r="A225" s="4" t="str">
        <f>IF(Produits!A225="","",Produits!A225)</f>
        <v>Moveo</v>
      </c>
      <c r="B225" s="4" t="str">
        <f>IF(Produits!B225="","",Produits!B225)</f>
        <v>Contrôle</v>
      </c>
      <c r="C225" s="4" t="str">
        <f>IF(Produits!C225="","",Produits!C225)</f>
        <v>1000,00,0222</v>
      </c>
      <c r="D225" s="4" t="str">
        <f>IF(Produits!D225="","",Produits!D225)</f>
        <v>AA346</v>
      </c>
      <c r="E225" s="4" t="str">
        <f>IF(Produits!E225="","",Produits!E225)</f>
        <v/>
      </c>
      <c r="F225" s="49" t="str">
        <f>IF(Produits!F225="","",Produits!F225)</f>
        <v>1 pcs</v>
      </c>
      <c r="J225" s="61" t="str">
        <f>IF($J$1="","",HLOOKUP($J$1,$M$1:$AAY$1000,225,0))</f>
        <v/>
      </c>
    </row>
    <row r="226" spans="1:10" x14ac:dyDescent="0.25">
      <c r="A226" s="4" t="str">
        <f>IF(Produits!A226="","",Produits!A226)</f>
        <v>Moveo</v>
      </c>
      <c r="B226" s="4" t="str">
        <f>IF(Produits!B226="","",Produits!B226)</f>
        <v>Contrôle</v>
      </c>
      <c r="C226" s="4" t="str">
        <f>IF(Produits!C226="","",Produits!C226)</f>
        <v>1000,00,0223</v>
      </c>
      <c r="D226" s="4" t="str">
        <f>IF(Produits!D226="","",Produits!D226)</f>
        <v>AA347</v>
      </c>
      <c r="E226" s="4" t="str">
        <f>IF(Produits!E226="","",Produits!E226)</f>
        <v/>
      </c>
      <c r="F226" s="49" t="str">
        <f>IF(Produits!F226="","",Produits!F226)</f>
        <v>1 pcs</v>
      </c>
      <c r="J226" s="61" t="str">
        <f>IF($J$1="","",HLOOKUP($J$1,$M$1:$AAY$1000,226,0))</f>
        <v/>
      </c>
    </row>
    <row r="227" spans="1:10" x14ac:dyDescent="0.25">
      <c r="A227" s="4" t="str">
        <f>IF(Produits!A227="","",Produits!A227)</f>
        <v>Moveo</v>
      </c>
      <c r="B227" s="4" t="str">
        <f>IF(Produits!B227="","",Produits!B227)</f>
        <v>Contrôle</v>
      </c>
      <c r="C227" s="4" t="str">
        <f>IF(Produits!C227="","",Produits!C227)</f>
        <v>1000,00,0224</v>
      </c>
      <c r="D227" s="4" t="str">
        <f>IF(Produits!D227="","",Produits!D227)</f>
        <v>AA348</v>
      </c>
      <c r="E227" s="4" t="str">
        <f>IF(Produits!E227="","",Produits!E227)</f>
        <v/>
      </c>
      <c r="F227" s="49" t="str">
        <f>IF(Produits!F227="","",Produits!F227)</f>
        <v>1 pcs</v>
      </c>
      <c r="J227" s="61" t="str">
        <f>IF($J$1="","",HLOOKUP($J$1,$M$1:$AAY$1000,227,0))</f>
        <v/>
      </c>
    </row>
    <row r="228" spans="1:10" x14ac:dyDescent="0.25">
      <c r="A228" s="4" t="str">
        <f>IF(Produits!A228="","",Produits!A228)</f>
        <v>Moveo</v>
      </c>
      <c r="B228" s="4" t="str">
        <f>IF(Produits!B228="","",Produits!B228)</f>
        <v>Contrôle</v>
      </c>
      <c r="C228" s="4" t="str">
        <f>IF(Produits!C228="","",Produits!C228)</f>
        <v>1000,00,0225</v>
      </c>
      <c r="D228" s="4" t="str">
        <f>IF(Produits!D228="","",Produits!D228)</f>
        <v>AA349</v>
      </c>
      <c r="E228" s="4" t="str">
        <f>IF(Produits!E228="","",Produits!E228)</f>
        <v/>
      </c>
      <c r="F228" s="49" t="str">
        <f>IF(Produits!F228="","",Produits!F228)</f>
        <v>1 pcs</v>
      </c>
      <c r="J228" s="61" t="str">
        <f>IF($J$1="","",HLOOKUP($J$1,$M$1:$AAY$1000,228,0))</f>
        <v/>
      </c>
    </row>
    <row r="229" spans="1:10" x14ac:dyDescent="0.25">
      <c r="A229" s="4" t="str">
        <f>IF(Produits!A229="","",Produits!A229)</f>
        <v>Moveo</v>
      </c>
      <c r="B229" s="4" t="str">
        <f>IF(Produits!B229="","",Produits!B229)</f>
        <v>Contrôle</v>
      </c>
      <c r="C229" s="4" t="str">
        <f>IF(Produits!C229="","",Produits!C229)</f>
        <v>1000,00,0226</v>
      </c>
      <c r="D229" s="4" t="str">
        <f>IF(Produits!D229="","",Produits!D229)</f>
        <v>AA350</v>
      </c>
      <c r="E229" s="4" t="str">
        <f>IF(Produits!E229="","",Produits!E229)</f>
        <v/>
      </c>
      <c r="F229" s="49" t="str">
        <f>IF(Produits!F229="","",Produits!F229)</f>
        <v>1 pcs</v>
      </c>
      <c r="J229" s="61" t="str">
        <f>IF($J$1="","",HLOOKUP($J$1,$M$1:$AAY$1000,229,0))</f>
        <v/>
      </c>
    </row>
    <row r="230" spans="1:10" x14ac:dyDescent="0.25">
      <c r="A230" s="4" t="str">
        <f>IF(Produits!A230="","",Produits!A230)</f>
        <v>Moveo</v>
      </c>
      <c r="B230" s="4" t="str">
        <f>IF(Produits!B230="","",Produits!B230)</f>
        <v>Accessoires</v>
      </c>
      <c r="C230" s="4" t="str">
        <f>IF(Produits!C230="","",Produits!C230)</f>
        <v>1000,00,0227</v>
      </c>
      <c r="D230" s="4" t="str">
        <f>IF(Produits!D230="","",Produits!D230)</f>
        <v>AA351</v>
      </c>
      <c r="E230" s="4" t="str">
        <f>IF(Produits!E230="","",Produits!E230)</f>
        <v/>
      </c>
      <c r="F230" s="49" t="str">
        <f>IF(Produits!F230="","",Produits!F230)</f>
        <v>1 pcs</v>
      </c>
      <c r="J230" s="61" t="str">
        <f>IF($J$1="","",HLOOKUP($J$1,$M$1:$AAY$1000,230,0))</f>
        <v/>
      </c>
    </row>
    <row r="231" spans="1:10" x14ac:dyDescent="0.25">
      <c r="A231" s="4" t="str">
        <f>IF(Produits!A231="","",Produits!A231)</f>
        <v>Moveo</v>
      </c>
      <c r="B231" s="4" t="str">
        <f>IF(Produits!B231="","",Produits!B231)</f>
        <v>Accessoires</v>
      </c>
      <c r="C231" s="4" t="str">
        <f>IF(Produits!C231="","",Produits!C231)</f>
        <v>1000,00,0228</v>
      </c>
      <c r="D231" s="4" t="str">
        <f>IF(Produits!D231="","",Produits!D231)</f>
        <v>AA352</v>
      </c>
      <c r="E231" s="4" t="str">
        <f>IF(Produits!E231="","",Produits!E231)</f>
        <v/>
      </c>
      <c r="F231" s="49" t="str">
        <f>IF(Produits!F231="","",Produits!F231)</f>
        <v>1 pcs</v>
      </c>
      <c r="J231" s="61" t="str">
        <f>IF($J$1="","",HLOOKUP($J$1,$M$1:$AAY$1000,231,0))</f>
        <v/>
      </c>
    </row>
    <row r="232" spans="1:10" x14ac:dyDescent="0.25">
      <c r="A232" s="4" t="str">
        <f>IF(Produits!A232="","",Produits!A232)</f>
        <v>Moveo</v>
      </c>
      <c r="B232" s="4" t="str">
        <f>IF(Produits!B232="","",Produits!B232)</f>
        <v>Accessoires</v>
      </c>
      <c r="C232" s="4" t="str">
        <f>IF(Produits!C232="","",Produits!C232)</f>
        <v>1000,00,0229</v>
      </c>
      <c r="D232" s="4" t="str">
        <f>IF(Produits!D232="","",Produits!D232)</f>
        <v>AA353</v>
      </c>
      <c r="E232" s="4" t="str">
        <f>IF(Produits!E232="","",Produits!E232)</f>
        <v/>
      </c>
      <c r="F232" s="49" t="str">
        <f>IF(Produits!F232="","",Produits!F232)</f>
        <v>1 pcs</v>
      </c>
      <c r="J232" s="61" t="str">
        <f>IF($J$1="","",HLOOKUP($J$1,$M$1:$AAY$1000,232,0))</f>
        <v/>
      </c>
    </row>
    <row r="233" spans="1:10" x14ac:dyDescent="0.25">
      <c r="A233" s="4" t="str">
        <f>IF(Produits!A233="","",Produits!A233)</f>
        <v>Moveo</v>
      </c>
      <c r="B233" s="4" t="str">
        <f>IF(Produits!B233="","",Produits!B233)</f>
        <v>Accessoires</v>
      </c>
      <c r="C233" s="4" t="str">
        <f>IF(Produits!C233="","",Produits!C233)</f>
        <v>1000,00,0230</v>
      </c>
      <c r="D233" s="4" t="str">
        <f>IF(Produits!D233="","",Produits!D233)</f>
        <v>AA354</v>
      </c>
      <c r="E233" s="4" t="str">
        <f>IF(Produits!E233="","",Produits!E233)</f>
        <v/>
      </c>
      <c r="F233" s="49" t="str">
        <f>IF(Produits!F233="","",Produits!F233)</f>
        <v>1 pcs</v>
      </c>
      <c r="J233" s="61" t="str">
        <f>IF($J$1="","",HLOOKUP($J$1,$M$1:$AAY$1000,233,0))</f>
        <v/>
      </c>
    </row>
    <row r="234" spans="1:10" x14ac:dyDescent="0.25">
      <c r="A234" s="4" t="str">
        <f>IF(Produits!A234="","",Produits!A234)</f>
        <v>Moveo</v>
      </c>
      <c r="B234" s="4" t="str">
        <f>IF(Produits!B234="","",Produits!B234)</f>
        <v>Accessoires</v>
      </c>
      <c r="C234" s="4" t="str">
        <f>IF(Produits!C234="","",Produits!C234)</f>
        <v>1000,00,0231</v>
      </c>
      <c r="D234" s="4" t="str">
        <f>IF(Produits!D234="","",Produits!D234)</f>
        <v>AA355</v>
      </c>
      <c r="E234" s="4" t="str">
        <f>IF(Produits!E234="","",Produits!E234)</f>
        <v/>
      </c>
      <c r="F234" s="49" t="str">
        <f>IF(Produits!F234="","",Produits!F234)</f>
        <v>1 pcs</v>
      </c>
      <c r="J234" s="61" t="str">
        <f>IF($J$1="","",HLOOKUP($J$1,$M$1:$AAY$1000,234,0))</f>
        <v/>
      </c>
    </row>
    <row r="235" spans="1:10" x14ac:dyDescent="0.25">
      <c r="A235" s="4" t="str">
        <f>IF(Produits!A235="","",Produits!A235)</f>
        <v>Moveo</v>
      </c>
      <c r="B235" s="4" t="str">
        <f>IF(Produits!B235="","",Produits!B235)</f>
        <v>Accessoires</v>
      </c>
      <c r="C235" s="4" t="str">
        <f>IF(Produits!C235="","",Produits!C235)</f>
        <v>1000,00,0232</v>
      </c>
      <c r="D235" s="4" t="str">
        <f>IF(Produits!D235="","",Produits!D235)</f>
        <v>AA356</v>
      </c>
      <c r="E235" s="4" t="str">
        <f>IF(Produits!E235="","",Produits!E235)</f>
        <v/>
      </c>
      <c r="F235" s="49" t="str">
        <f>IF(Produits!F235="","",Produits!F235)</f>
        <v>1 pcs</v>
      </c>
      <c r="J235" s="61" t="str">
        <f>IF($J$1="","",HLOOKUP($J$1,$M$1:$AAY$1000,235,0))</f>
        <v/>
      </c>
    </row>
    <row r="236" spans="1:10" x14ac:dyDescent="0.25">
      <c r="A236" s="4" t="str">
        <f>IF(Produits!A236="","",Produits!A236)</f>
        <v>Moveo</v>
      </c>
      <c r="B236" s="4" t="str">
        <f>IF(Produits!B236="","",Produits!B236)</f>
        <v>Accessoires</v>
      </c>
      <c r="C236" s="4" t="str">
        <f>IF(Produits!C236="","",Produits!C236)</f>
        <v>1000,00,0233</v>
      </c>
      <c r="D236" s="4" t="str">
        <f>IF(Produits!D236="","",Produits!D236)</f>
        <v>AA357</v>
      </c>
      <c r="E236" s="4" t="str">
        <f>IF(Produits!E236="","",Produits!E236)</f>
        <v/>
      </c>
      <c r="F236" s="49" t="str">
        <f>IF(Produits!F236="","",Produits!F236)</f>
        <v>1 pcs</v>
      </c>
      <c r="J236" s="61" t="str">
        <f>IF($J$1="","",HLOOKUP($J$1,$M$1:$AAY$1000,236,0))</f>
        <v/>
      </c>
    </row>
    <row r="237" spans="1:10" x14ac:dyDescent="0.25">
      <c r="A237" s="4" t="str">
        <f>IF(Produits!A237="","",Produits!A237)</f>
        <v>Moveo</v>
      </c>
      <c r="B237" s="4" t="str">
        <f>IF(Produits!B237="","",Produits!B237)</f>
        <v>Accessoires</v>
      </c>
      <c r="C237" s="4" t="str">
        <f>IF(Produits!C237="","",Produits!C237)</f>
        <v>1000,00,0234</v>
      </c>
      <c r="D237" s="4" t="str">
        <f>IF(Produits!D237="","",Produits!D237)</f>
        <v>AA358</v>
      </c>
      <c r="E237" s="4" t="str">
        <f>IF(Produits!E237="","",Produits!E237)</f>
        <v/>
      </c>
      <c r="F237" s="49" t="str">
        <f>IF(Produits!F237="","",Produits!F237)</f>
        <v>1 pcs</v>
      </c>
      <c r="J237" s="61" t="str">
        <f>IF($J$1="","",HLOOKUP($J$1,$M$1:$AAY$1000,237,0))</f>
        <v/>
      </c>
    </row>
    <row r="238" spans="1:10" x14ac:dyDescent="0.25">
      <c r="A238" s="4" t="str">
        <f>IF(Produits!A238="","",Produits!A238)</f>
        <v>Moveo</v>
      </c>
      <c r="B238" s="4" t="str">
        <f>IF(Produits!B238="","",Produits!B238)</f>
        <v>Accessoires</v>
      </c>
      <c r="C238" s="4" t="str">
        <f>IF(Produits!C238="","",Produits!C238)</f>
        <v>1000,00,0235</v>
      </c>
      <c r="D238" s="4" t="str">
        <f>IF(Produits!D238="","",Produits!D238)</f>
        <v>AA359</v>
      </c>
      <c r="E238" s="4" t="str">
        <f>IF(Produits!E238="","",Produits!E238)</f>
        <v/>
      </c>
      <c r="F238" s="49" t="str">
        <f>IF(Produits!F238="","",Produits!F238)</f>
        <v>1 pcs</v>
      </c>
      <c r="J238" s="61" t="str">
        <f>IF($J$1="","",HLOOKUP($J$1,$M$1:$AAY$1000,238,0))</f>
        <v/>
      </c>
    </row>
    <row r="239" spans="1:10" x14ac:dyDescent="0.25">
      <c r="A239" s="4" t="str">
        <f>IF(Produits!A239="","",Produits!A239)</f>
        <v>Moveo</v>
      </c>
      <c r="B239" s="4" t="str">
        <f>IF(Produits!B239="","",Produits!B239)</f>
        <v>Accessoires</v>
      </c>
      <c r="C239" s="4" t="str">
        <f>IF(Produits!C239="","",Produits!C239)</f>
        <v>1000,00,0236</v>
      </c>
      <c r="D239" s="4" t="str">
        <f>IF(Produits!D239="","",Produits!D239)</f>
        <v>AA360</v>
      </c>
      <c r="E239" s="4" t="str">
        <f>IF(Produits!E239="","",Produits!E239)</f>
        <v/>
      </c>
      <c r="F239" s="49" t="str">
        <f>IF(Produits!F239="","",Produits!F239)</f>
        <v>1 pcs</v>
      </c>
      <c r="J239" s="61" t="str">
        <f>IF($J$1="","",HLOOKUP($J$1,$M$1:$AAY$1000,239,0))</f>
        <v/>
      </c>
    </row>
    <row r="240" spans="1:10" x14ac:dyDescent="0.25">
      <c r="A240" s="4" t="str">
        <f>IF(Produits!A240="","",Produits!A240)</f>
        <v>Moveo</v>
      </c>
      <c r="B240" s="4" t="str">
        <f>IF(Produits!B240="","",Produits!B240)</f>
        <v>Accessoires</v>
      </c>
      <c r="C240" s="4" t="str">
        <f>IF(Produits!C240="","",Produits!C240)</f>
        <v>1000,00,0237</v>
      </c>
      <c r="D240" s="4" t="str">
        <f>IF(Produits!D240="","",Produits!D240)</f>
        <v>AA361</v>
      </c>
      <c r="E240" s="4" t="str">
        <f>IF(Produits!E240="","",Produits!E240)</f>
        <v/>
      </c>
      <c r="F240" s="49" t="str">
        <f>IF(Produits!F240="","",Produits!F240)</f>
        <v>1 pcs</v>
      </c>
      <c r="J240" s="61" t="str">
        <f>IF($J$1="","",HLOOKUP($J$1,$M$1:$AAY$1000,240,0))</f>
        <v/>
      </c>
    </row>
    <row r="241" spans="1:10" x14ac:dyDescent="0.25">
      <c r="A241" s="4" t="str">
        <f>IF(Produits!A241="","",Produits!A241)</f>
        <v>Moveo</v>
      </c>
      <c r="B241" s="4" t="str">
        <f>IF(Produits!B241="","",Produits!B241)</f>
        <v>Accessoires</v>
      </c>
      <c r="C241" s="4" t="str">
        <f>IF(Produits!C241="","",Produits!C241)</f>
        <v>1000,00,0238</v>
      </c>
      <c r="D241" s="4" t="str">
        <f>IF(Produits!D241="","",Produits!D241)</f>
        <v>AA362</v>
      </c>
      <c r="E241" s="4" t="str">
        <f>IF(Produits!E241="","",Produits!E241)</f>
        <v/>
      </c>
      <c r="F241" s="49" t="str">
        <f>IF(Produits!F241="","",Produits!F241)</f>
        <v>1 pcs</v>
      </c>
      <c r="J241" s="61" t="str">
        <f>IF($J$1="","",HLOOKUP($J$1,$M$1:$AAY$1000,241,0))</f>
        <v/>
      </c>
    </row>
    <row r="242" spans="1:10" x14ac:dyDescent="0.25">
      <c r="A242" s="4" t="str">
        <f>IF(Produits!A242="","",Produits!A242)</f>
        <v>Moveo</v>
      </c>
      <c r="B242" s="4" t="str">
        <f>IF(Produits!B242="","",Produits!B242)</f>
        <v>Accessoires</v>
      </c>
      <c r="C242" s="4" t="str">
        <f>IF(Produits!C242="","",Produits!C242)</f>
        <v>1000,00,0239</v>
      </c>
      <c r="D242" s="4" t="str">
        <f>IF(Produits!D242="","",Produits!D242)</f>
        <v>AA363</v>
      </c>
      <c r="E242" s="4" t="str">
        <f>IF(Produits!E242="","",Produits!E242)</f>
        <v/>
      </c>
      <c r="F242" s="49" t="str">
        <f>IF(Produits!F242="","",Produits!F242)</f>
        <v>1 pcs</v>
      </c>
      <c r="J242" s="61" t="str">
        <f>IF($J$1="","",HLOOKUP($J$1,$M$1:$AAY$1000,242,0))</f>
        <v/>
      </c>
    </row>
    <row r="243" spans="1:10" x14ac:dyDescent="0.25">
      <c r="A243" s="4" t="str">
        <f>IF(Produits!A243="","",Produits!A243)</f>
        <v>Moveo</v>
      </c>
      <c r="B243" s="4" t="str">
        <f>IF(Produits!B243="","",Produits!B243)</f>
        <v>Accessoires</v>
      </c>
      <c r="C243" s="4" t="str">
        <f>IF(Produits!C243="","",Produits!C243)</f>
        <v>1000,00,0240</v>
      </c>
      <c r="D243" s="4" t="str">
        <f>IF(Produits!D243="","",Produits!D243)</f>
        <v>AA364</v>
      </c>
      <c r="E243" s="4" t="str">
        <f>IF(Produits!E243="","",Produits!E243)</f>
        <v/>
      </c>
      <c r="F243" s="49" t="str">
        <f>IF(Produits!F243="","",Produits!F243)</f>
        <v>1 pcs</v>
      </c>
      <c r="J243" s="61" t="str">
        <f>IF($J$1="","",HLOOKUP($J$1,$M$1:$AAY$1000,243,0))</f>
        <v/>
      </c>
    </row>
    <row r="244" spans="1:10" x14ac:dyDescent="0.25">
      <c r="A244" s="4" t="str">
        <f>IF(Produits!A244="","",Produits!A244)</f>
        <v>Moveo</v>
      </c>
      <c r="B244" s="4" t="str">
        <f>IF(Produits!B244="","",Produits!B244)</f>
        <v>Accessoires</v>
      </c>
      <c r="C244" s="4" t="str">
        <f>IF(Produits!C244="","",Produits!C244)</f>
        <v>1000,00,0241</v>
      </c>
      <c r="D244" s="4" t="str">
        <f>IF(Produits!D244="","",Produits!D244)</f>
        <v>AA365</v>
      </c>
      <c r="E244" s="4" t="str">
        <f>IF(Produits!E244="","",Produits!E244)</f>
        <v/>
      </c>
      <c r="F244" s="49" t="str">
        <f>IF(Produits!F244="","",Produits!F244)</f>
        <v>1 pcs</v>
      </c>
      <c r="J244" s="61" t="str">
        <f>IF($J$1="","",HLOOKUP($J$1,$M$1:$AAY$1000,244,0))</f>
        <v/>
      </c>
    </row>
    <row r="245" spans="1:10" x14ac:dyDescent="0.25">
      <c r="A245" s="4" t="str">
        <f>IF(Produits!A245="","",Produits!A245)</f>
        <v>Moveo</v>
      </c>
      <c r="B245" s="4" t="str">
        <f>IF(Produits!B245="","",Produits!B245)</f>
        <v>Accessoires</v>
      </c>
      <c r="C245" s="4" t="str">
        <f>IF(Produits!C245="","",Produits!C245)</f>
        <v>1000,00,0242</v>
      </c>
      <c r="D245" s="4" t="str">
        <f>IF(Produits!D245="","",Produits!D245)</f>
        <v>AA366</v>
      </c>
      <c r="E245" s="4" t="str">
        <f>IF(Produits!E245="","",Produits!E245)</f>
        <v/>
      </c>
      <c r="F245" s="49" t="str">
        <f>IF(Produits!F245="","",Produits!F245)</f>
        <v>1 pcs</v>
      </c>
      <c r="J245" s="61" t="str">
        <f>IF($J$1="","",HLOOKUP($J$1,$M$1:$AAY$1000,245,0))</f>
        <v/>
      </c>
    </row>
    <row r="246" spans="1:10" x14ac:dyDescent="0.25">
      <c r="A246" s="4" t="str">
        <f>IF(Produits!A246="","",Produits!A246)</f>
        <v>Moveo</v>
      </c>
      <c r="B246" s="4" t="str">
        <f>IF(Produits!B246="","",Produits!B246)</f>
        <v>Accessoires</v>
      </c>
      <c r="C246" s="4" t="str">
        <f>IF(Produits!C246="","",Produits!C246)</f>
        <v>1000,00,0243</v>
      </c>
      <c r="D246" s="4" t="str">
        <f>IF(Produits!D246="","",Produits!D246)</f>
        <v>AA367</v>
      </c>
      <c r="E246" s="4" t="str">
        <f>IF(Produits!E246="","",Produits!E246)</f>
        <v/>
      </c>
      <c r="F246" s="49" t="str">
        <f>IF(Produits!F246="","",Produits!F246)</f>
        <v>1 pcs</v>
      </c>
      <c r="J246" s="61" t="str">
        <f>IF($J$1="","",HLOOKUP($J$1,$M$1:$AAY$1000,246,0))</f>
        <v/>
      </c>
    </row>
    <row r="247" spans="1:10" x14ac:dyDescent="0.25">
      <c r="A247" s="4" t="str">
        <f>IF(Produits!A247="","",Produits!A247)</f>
        <v>Moveo</v>
      </c>
      <c r="B247" s="4" t="str">
        <f>IF(Produits!B247="","",Produits!B247)</f>
        <v>Accessoires</v>
      </c>
      <c r="C247" s="4" t="str">
        <f>IF(Produits!C247="","",Produits!C247)</f>
        <v>1000,00,0244</v>
      </c>
      <c r="D247" s="4" t="str">
        <f>IF(Produits!D247="","",Produits!D247)</f>
        <v>AA368</v>
      </c>
      <c r="E247" s="4" t="str">
        <f>IF(Produits!E247="","",Produits!E247)</f>
        <v/>
      </c>
      <c r="F247" s="49" t="str">
        <f>IF(Produits!F247="","",Produits!F247)</f>
        <v>1 pcs</v>
      </c>
      <c r="J247" s="61" t="str">
        <f>IF($J$1="","",HLOOKUP($J$1,$M$1:$AAY$1000,247,0))</f>
        <v/>
      </c>
    </row>
    <row r="248" spans="1:10" x14ac:dyDescent="0.25">
      <c r="A248" s="4" t="str">
        <f>IF(Produits!A248="","",Produits!A248)</f>
        <v>Moveo</v>
      </c>
      <c r="B248" s="4" t="str">
        <f>IF(Produits!B248="","",Produits!B248)</f>
        <v>Accessoires</v>
      </c>
      <c r="C248" s="4" t="str">
        <f>IF(Produits!C248="","",Produits!C248)</f>
        <v>1000,00,0245</v>
      </c>
      <c r="D248" s="4" t="str">
        <f>IF(Produits!D248="","",Produits!D248)</f>
        <v>AA369</v>
      </c>
      <c r="E248" s="4" t="str">
        <f>IF(Produits!E248="","",Produits!E248)</f>
        <v/>
      </c>
      <c r="F248" s="49" t="str">
        <f>IF(Produits!F248="","",Produits!F248)</f>
        <v>1 pcs</v>
      </c>
      <c r="J248" s="61" t="str">
        <f>IF($J$1="","",HLOOKUP($J$1,$M$1:$AAY$1000,248,0))</f>
        <v/>
      </c>
    </row>
    <row r="249" spans="1:10" x14ac:dyDescent="0.25">
      <c r="A249" s="4" t="str">
        <f>IF(Produits!A249="","",Produits!A249)</f>
        <v>Moveo</v>
      </c>
      <c r="B249" s="4" t="str">
        <f>IF(Produits!B249="","",Produits!B249)</f>
        <v>Accessoires</v>
      </c>
      <c r="C249" s="4" t="str">
        <f>IF(Produits!C249="","",Produits!C249)</f>
        <v>1000,00,0246</v>
      </c>
      <c r="D249" s="4" t="str">
        <f>IF(Produits!D249="","",Produits!D249)</f>
        <v>AA370</v>
      </c>
      <c r="E249" s="4" t="str">
        <f>IF(Produits!E249="","",Produits!E249)</f>
        <v/>
      </c>
      <c r="F249" s="49" t="str">
        <f>IF(Produits!F249="","",Produits!F249)</f>
        <v>1 pcs</v>
      </c>
      <c r="J249" s="61" t="str">
        <f>IF($J$1="","",HLOOKUP($J$1,$M$1:$AAY$1000,249,0))</f>
        <v/>
      </c>
    </row>
    <row r="250" spans="1:10" x14ac:dyDescent="0.25">
      <c r="A250" s="4" t="str">
        <f>IF(Produits!A250="","",Produits!A250)</f>
        <v>Moveo</v>
      </c>
      <c r="B250" s="4" t="str">
        <f>IF(Produits!B250="","",Produits!B250)</f>
        <v>Cache vis</v>
      </c>
      <c r="C250" s="4" t="str">
        <f>IF(Produits!C250="","",Produits!C250)</f>
        <v>1000,00,0247</v>
      </c>
      <c r="D250" s="4" t="str">
        <f>IF(Produits!D250="","",Produits!D250)</f>
        <v>AA371</v>
      </c>
      <c r="E250" s="4" t="str">
        <f>IF(Produits!E250="","",Produits!E250)</f>
        <v/>
      </c>
      <c r="F250" s="49" t="str">
        <f>IF(Produits!F250="","",Produits!F250)</f>
        <v>12 pcs</v>
      </c>
      <c r="J250" s="61" t="str">
        <f>IF($J$1="","",HLOOKUP($J$1,$M$1:$AAY$1000,250,0))</f>
        <v/>
      </c>
    </row>
    <row r="251" spans="1:10" x14ac:dyDescent="0.25">
      <c r="A251" s="4" t="str">
        <f>IF(Produits!A251="","",Produits!A251)</f>
        <v>Moveo</v>
      </c>
      <c r="B251" s="4" t="str">
        <f>IF(Produits!B251="","",Produits!B251)</f>
        <v>Cache vis</v>
      </c>
      <c r="C251" s="4" t="str">
        <f>IF(Produits!C251="","",Produits!C251)</f>
        <v>1000,00,0248</v>
      </c>
      <c r="D251" s="4" t="str">
        <f>IF(Produits!D251="","",Produits!D251)</f>
        <v>AA372</v>
      </c>
      <c r="E251" s="4" t="str">
        <f>IF(Produits!E251="","",Produits!E251)</f>
        <v/>
      </c>
      <c r="F251" s="49" t="str">
        <f>IF(Produits!F251="","",Produits!F251)</f>
        <v>12 pcs</v>
      </c>
      <c r="J251" s="61" t="str">
        <f>IF($J$1="","",HLOOKUP($J$1,$M$1:$AAY$1000,251,0))</f>
        <v/>
      </c>
    </row>
    <row r="252" spans="1:10" x14ac:dyDescent="0.25">
      <c r="A252" s="4" t="str">
        <f>IF(Produits!A252="","",Produits!A252)</f>
        <v>Moveo</v>
      </c>
      <c r="B252" s="4" t="str">
        <f>IF(Produits!B252="","",Produits!B252)</f>
        <v>Cache vis</v>
      </c>
      <c r="C252" s="4" t="str">
        <f>IF(Produits!C252="","",Produits!C252)</f>
        <v>1000,00,0249</v>
      </c>
      <c r="D252" s="4" t="str">
        <f>IF(Produits!D252="","",Produits!D252)</f>
        <v>AA373</v>
      </c>
      <c r="E252" s="4" t="str">
        <f>IF(Produits!E252="","",Produits!E252)</f>
        <v/>
      </c>
      <c r="F252" s="49" t="str">
        <f>IF(Produits!F252="","",Produits!F252)</f>
        <v>12 pcs</v>
      </c>
      <c r="J252" s="61" t="str">
        <f>IF($J$1="","",HLOOKUP($J$1,$M$1:$AAY$1000,252,0))</f>
        <v/>
      </c>
    </row>
    <row r="253" spans="1:10" x14ac:dyDescent="0.25">
      <c r="A253" s="4" t="str">
        <f>IF(Produits!A253="","",Produits!A253)</f>
        <v>Moveo</v>
      </c>
      <c r="B253" s="4" t="str">
        <f>IF(Produits!B253="","",Produits!B253)</f>
        <v>Cache vis</v>
      </c>
      <c r="C253" s="4" t="str">
        <f>IF(Produits!C253="","",Produits!C253)</f>
        <v>1000,00,0250</v>
      </c>
      <c r="D253" s="4" t="str">
        <f>IF(Produits!D253="","",Produits!D253)</f>
        <v>AA374</v>
      </c>
      <c r="E253" s="4" t="str">
        <f>IF(Produits!E253="","",Produits!E253)</f>
        <v/>
      </c>
      <c r="F253" s="49" t="str">
        <f>IF(Produits!F253="","",Produits!F253)</f>
        <v>12 pcs</v>
      </c>
      <c r="J253" s="61" t="str">
        <f>IF($J$1="","",HLOOKUP($J$1,$M$1:$AAY$1000,253,0))</f>
        <v/>
      </c>
    </row>
    <row r="254" spans="1:10" x14ac:dyDescent="0.25">
      <c r="A254" s="4" t="str">
        <f>IF(Produits!A254="","",Produits!A254)</f>
        <v>Moveo</v>
      </c>
      <c r="B254" s="4" t="str">
        <f>IF(Produits!B254="","",Produits!B254)</f>
        <v>Cache vis</v>
      </c>
      <c r="C254" s="4" t="str">
        <f>IF(Produits!C254="","",Produits!C254)</f>
        <v>1000,00,0251</v>
      </c>
      <c r="D254" s="4" t="str">
        <f>IF(Produits!D254="","",Produits!D254)</f>
        <v>AA375</v>
      </c>
      <c r="E254" s="4" t="str">
        <f>IF(Produits!E254="","",Produits!E254)</f>
        <v/>
      </c>
      <c r="F254" s="49" t="str">
        <f>IF(Produits!F254="","",Produits!F254)</f>
        <v>12 pcs</v>
      </c>
      <c r="J254" s="61" t="str">
        <f>IF($J$1="","",HLOOKUP($J$1,$M$1:$AAY$1000,254,0))</f>
        <v/>
      </c>
    </row>
    <row r="255" spans="1:10" x14ac:dyDescent="0.25">
      <c r="A255" s="4" t="str">
        <f>IF(Produits!A255="","",Produits!A255)</f>
        <v>Moveo</v>
      </c>
      <c r="B255" s="4" t="str">
        <f>IF(Produits!B255="","",Produits!B255)</f>
        <v>Cache vis</v>
      </c>
      <c r="C255" s="4" t="str">
        <f>IF(Produits!C255="","",Produits!C255)</f>
        <v>1000,00,0252</v>
      </c>
      <c r="D255" s="4" t="str">
        <f>IF(Produits!D255="","",Produits!D255)</f>
        <v>AA376</v>
      </c>
      <c r="E255" s="4" t="str">
        <f>IF(Produits!E255="","",Produits!E255)</f>
        <v/>
      </c>
      <c r="F255" s="49" t="str">
        <f>IF(Produits!F255="","",Produits!F255)</f>
        <v>12 pcs</v>
      </c>
      <c r="J255" s="61" t="str">
        <f>IF($J$1="","",HLOOKUP($J$1,$M$1:$AAY$1000,255,0))</f>
        <v/>
      </c>
    </row>
    <row r="256" spans="1:10" x14ac:dyDescent="0.25">
      <c r="A256" s="4" t="str">
        <f>IF(Produits!A256="","",Produits!A256)</f>
        <v>Moveo</v>
      </c>
      <c r="B256" s="4" t="str">
        <f>IF(Produits!B256="","",Produits!B256)</f>
        <v>Cache vis</v>
      </c>
      <c r="C256" s="4" t="str">
        <f>IF(Produits!C256="","",Produits!C256)</f>
        <v>1000,00,0253</v>
      </c>
      <c r="D256" s="4" t="str">
        <f>IF(Produits!D256="","",Produits!D256)</f>
        <v>AA377</v>
      </c>
      <c r="E256" s="4" t="str">
        <f>IF(Produits!E256="","",Produits!E256)</f>
        <v/>
      </c>
      <c r="F256" s="49" t="str">
        <f>IF(Produits!F256="","",Produits!F256)</f>
        <v>12 pcs</v>
      </c>
      <c r="J256" s="61" t="str">
        <f>IF($J$1="","",HLOOKUP($J$1,$M$1:$AAY$1000,256,0))</f>
        <v/>
      </c>
    </row>
    <row r="257" spans="1:10" x14ac:dyDescent="0.25">
      <c r="A257" s="4" t="str">
        <f>IF(Produits!A257="","",Produits!A257)</f>
        <v>Moveo</v>
      </c>
      <c r="B257" s="4" t="str">
        <f>IF(Produits!B257="","",Produits!B257)</f>
        <v>Cache vis</v>
      </c>
      <c r="C257" s="4" t="str">
        <f>IF(Produits!C257="","",Produits!C257)</f>
        <v>1000,00,0254</v>
      </c>
      <c r="D257" s="4" t="str">
        <f>IF(Produits!D257="","",Produits!D257)</f>
        <v>AA378</v>
      </c>
      <c r="E257" s="4" t="str">
        <f>IF(Produits!E257="","",Produits!E257)</f>
        <v/>
      </c>
      <c r="F257" s="49" t="str">
        <f>IF(Produits!F257="","",Produits!F257)</f>
        <v>12 pcs</v>
      </c>
      <c r="J257" s="61" t="str">
        <f>IF($J$1="","",HLOOKUP($J$1,$M$1:$AAY$1000,257,0))</f>
        <v/>
      </c>
    </row>
    <row r="258" spans="1:10" x14ac:dyDescent="0.25">
      <c r="A258" s="4" t="str">
        <f>IF(Produits!A258="","",Produits!A258)</f>
        <v>Moveo</v>
      </c>
      <c r="B258" s="4" t="str">
        <f>IF(Produits!B258="","",Produits!B258)</f>
        <v>Cache vis</v>
      </c>
      <c r="C258" s="4" t="str">
        <f>IF(Produits!C258="","",Produits!C258)</f>
        <v>1000,00,0255</v>
      </c>
      <c r="D258" s="4" t="str">
        <f>IF(Produits!D258="","",Produits!D258)</f>
        <v>AA379</v>
      </c>
      <c r="E258" s="4" t="str">
        <f>IF(Produits!E258="","",Produits!E258)</f>
        <v/>
      </c>
      <c r="F258" s="49" t="str">
        <f>IF(Produits!F258="","",Produits!F258)</f>
        <v>12 pcs</v>
      </c>
      <c r="J258" s="61" t="str">
        <f>IF($J$1="","",HLOOKUP($J$1,$M$1:$AAY$1000,258,0))</f>
        <v/>
      </c>
    </row>
    <row r="259" spans="1:10" x14ac:dyDescent="0.25">
      <c r="A259" s="4" t="str">
        <f>IF(Produits!A259="","",Produits!A259)</f>
        <v>Moveo</v>
      </c>
      <c r="B259" s="4" t="str">
        <f>IF(Produits!B259="","",Produits!B259)</f>
        <v>Cache vis</v>
      </c>
      <c r="C259" s="4" t="str">
        <f>IF(Produits!C259="","",Produits!C259)</f>
        <v>1000,00,0256</v>
      </c>
      <c r="D259" s="4" t="str">
        <f>IF(Produits!D259="","",Produits!D259)</f>
        <v>AA380</v>
      </c>
      <c r="E259" s="4" t="str">
        <f>IF(Produits!E259="","",Produits!E259)</f>
        <v/>
      </c>
      <c r="F259" s="49" t="str">
        <f>IF(Produits!F259="","",Produits!F259)</f>
        <v>12 pcs</v>
      </c>
      <c r="J259" s="61" t="str">
        <f>IF($J$1="","",HLOOKUP($J$1,$M$1:$AAY$1000,259,0))</f>
        <v/>
      </c>
    </row>
    <row r="260" spans="1:10" x14ac:dyDescent="0.25">
      <c r="A260" s="4" t="str">
        <f>IF(Produits!A260="","",Produits!A260)</f>
        <v>Moveo</v>
      </c>
      <c r="B260" s="4" t="str">
        <f>IF(Produits!B260="","",Produits!B260)</f>
        <v>Cache vis</v>
      </c>
      <c r="C260" s="4" t="str">
        <f>IF(Produits!C260="","",Produits!C260)</f>
        <v>1000,00,0257</v>
      </c>
      <c r="D260" s="4" t="str">
        <f>IF(Produits!D260="","",Produits!D260)</f>
        <v>AA381</v>
      </c>
      <c r="E260" s="4" t="str">
        <f>IF(Produits!E260="","",Produits!E260)</f>
        <v/>
      </c>
      <c r="F260" s="49" t="str">
        <f>IF(Produits!F260="","",Produits!F260)</f>
        <v>12 pcs</v>
      </c>
      <c r="J260" s="61" t="str">
        <f>IF($J$1="","",HLOOKUP($J$1,$M$1:$AAY$1000,260,0))</f>
        <v/>
      </c>
    </row>
    <row r="261" spans="1:10" x14ac:dyDescent="0.25">
      <c r="A261" s="4" t="str">
        <f>IF(Produits!A261="","",Produits!A261)</f>
        <v>Moveo</v>
      </c>
      <c r="B261" s="4" t="str">
        <f>IF(Produits!B261="","",Produits!B261)</f>
        <v>Cache vis</v>
      </c>
      <c r="C261" s="4" t="str">
        <f>IF(Produits!C261="","",Produits!C261)</f>
        <v>1000,00,0258</v>
      </c>
      <c r="D261" s="4" t="str">
        <f>IF(Produits!D261="","",Produits!D261)</f>
        <v>AA382</v>
      </c>
      <c r="E261" s="4" t="str">
        <f>IF(Produits!E261="","",Produits!E261)</f>
        <v/>
      </c>
      <c r="F261" s="49" t="str">
        <f>IF(Produits!F261="","",Produits!F261)</f>
        <v>12 pcs</v>
      </c>
      <c r="J261" s="61" t="str">
        <f>IF($J$1="","",HLOOKUP($J$1,$M$1:$AAY$1000,261,0))</f>
        <v/>
      </c>
    </row>
    <row r="262" spans="1:10" x14ac:dyDescent="0.25">
      <c r="A262" s="4" t="str">
        <f>IF(Produits!A262="","",Produits!A262)</f>
        <v>Moveo</v>
      </c>
      <c r="B262" s="4" t="str">
        <f>IF(Produits!B262="","",Produits!B262)</f>
        <v>Cache vis</v>
      </c>
      <c r="C262" s="4" t="str">
        <f>IF(Produits!C262="","",Produits!C262)</f>
        <v>1000,00,0259</v>
      </c>
      <c r="D262" s="4" t="str">
        <f>IF(Produits!D262="","",Produits!D262)</f>
        <v>AA383</v>
      </c>
      <c r="E262" s="4" t="str">
        <f>IF(Produits!E262="","",Produits!E262)</f>
        <v/>
      </c>
      <c r="F262" s="49" t="str">
        <f>IF(Produits!F262="","",Produits!F262)</f>
        <v>12 pcs</v>
      </c>
      <c r="J262" s="61" t="str">
        <f>IF($J$1="","",HLOOKUP($J$1,$M$1:$AAY$1000,262,0))</f>
        <v/>
      </c>
    </row>
    <row r="263" spans="1:10" x14ac:dyDescent="0.25">
      <c r="A263" s="4" t="str">
        <f>IF(Produits!A263="","",Produits!A263)</f>
        <v>Moveo</v>
      </c>
      <c r="B263" s="4" t="str">
        <f>IF(Produits!B263="","",Produits!B263)</f>
        <v>Cache vis</v>
      </c>
      <c r="C263" s="4" t="str">
        <f>IF(Produits!C263="","",Produits!C263)</f>
        <v>1000,00,0260</v>
      </c>
      <c r="D263" s="4" t="str">
        <f>IF(Produits!D263="","",Produits!D263)</f>
        <v>AA384</v>
      </c>
      <c r="E263" s="4" t="str">
        <f>IF(Produits!E263="","",Produits!E263)</f>
        <v/>
      </c>
      <c r="F263" s="49" t="str">
        <f>IF(Produits!F263="","",Produits!F263)</f>
        <v>12 pcs</v>
      </c>
      <c r="J263" s="61" t="str">
        <f>IF($J$1="","",HLOOKUP($J$1,$M$1:$AAY$1000,263,0))</f>
        <v/>
      </c>
    </row>
    <row r="264" spans="1:10" x14ac:dyDescent="0.25">
      <c r="A264" s="4" t="str">
        <f>IF(Produits!A264="","",Produits!A264)</f>
        <v>Moveo</v>
      </c>
      <c r="B264" s="4" t="str">
        <f>IF(Produits!B264="","",Produits!B264)</f>
        <v>Cache vis</v>
      </c>
      <c r="C264" s="4" t="str">
        <f>IF(Produits!C264="","",Produits!C264)</f>
        <v>1000,00,0261</v>
      </c>
      <c r="D264" s="4" t="str">
        <f>IF(Produits!D264="","",Produits!D264)</f>
        <v>AA385</v>
      </c>
      <c r="E264" s="4" t="str">
        <f>IF(Produits!E264="","",Produits!E264)</f>
        <v/>
      </c>
      <c r="F264" s="49" t="str">
        <f>IF(Produits!F264="","",Produits!F264)</f>
        <v>6 pcs</v>
      </c>
      <c r="J264" s="61" t="str">
        <f>IF($J$1="","",HLOOKUP($J$1,$M$1:$AAY$1000,264,0))</f>
        <v/>
      </c>
    </row>
    <row r="265" spans="1:10" x14ac:dyDescent="0.25">
      <c r="A265" s="4" t="str">
        <f>IF(Produits!A265="","",Produits!A265)</f>
        <v>Moveo</v>
      </c>
      <c r="B265" s="4" t="str">
        <f>IF(Produits!B265="","",Produits!B265)</f>
        <v>Cache vis</v>
      </c>
      <c r="C265" s="4" t="str">
        <f>IF(Produits!C265="","",Produits!C265)</f>
        <v>1000,00,0262</v>
      </c>
      <c r="D265" s="4" t="str">
        <f>IF(Produits!D265="","",Produits!D265)</f>
        <v>AA386</v>
      </c>
      <c r="E265" s="4" t="str">
        <f>IF(Produits!E265="","",Produits!E265)</f>
        <v/>
      </c>
      <c r="F265" s="49" t="str">
        <f>IF(Produits!F265="","",Produits!F265)</f>
        <v>6 pcs</v>
      </c>
      <c r="J265" s="61" t="str">
        <f>IF($J$1="","",HLOOKUP($J$1,$M$1:$AAY$1000,265,0))</f>
        <v/>
      </c>
    </row>
    <row r="266" spans="1:10" x14ac:dyDescent="0.25">
      <c r="A266" s="4" t="str">
        <f>IF(Produits!A266="","",Produits!A266)</f>
        <v>Moveo</v>
      </c>
      <c r="B266" s="4" t="str">
        <f>IF(Produits!B266="","",Produits!B266)</f>
        <v>Cache vis</v>
      </c>
      <c r="C266" s="4" t="str">
        <f>IF(Produits!C266="","",Produits!C266)</f>
        <v>1000,00,0263</v>
      </c>
      <c r="D266" s="4" t="str">
        <f>IF(Produits!D266="","",Produits!D266)</f>
        <v>AA387</v>
      </c>
      <c r="E266" s="4" t="str">
        <f>IF(Produits!E266="","",Produits!E266)</f>
        <v/>
      </c>
      <c r="F266" s="49" t="str">
        <f>IF(Produits!F266="","",Produits!F266)</f>
        <v>6 pcs</v>
      </c>
      <c r="J266" s="61" t="str">
        <f>IF($J$1="","",HLOOKUP($J$1,$M$1:$AAY$1000,266,0))</f>
        <v/>
      </c>
    </row>
    <row r="267" spans="1:10" x14ac:dyDescent="0.25">
      <c r="A267" s="4" t="str">
        <f>IF(Produits!A267="","",Produits!A267)</f>
        <v>Moveo</v>
      </c>
      <c r="B267" s="4" t="str">
        <f>IF(Produits!B267="","",Produits!B267)</f>
        <v>Cache vis</v>
      </c>
      <c r="C267" s="4" t="str">
        <f>IF(Produits!C267="","",Produits!C267)</f>
        <v>1000,00,0264</v>
      </c>
      <c r="D267" s="4" t="str">
        <f>IF(Produits!D267="","",Produits!D267)</f>
        <v>AA388</v>
      </c>
      <c r="E267" s="4" t="str">
        <f>IF(Produits!E267="","",Produits!E267)</f>
        <v/>
      </c>
      <c r="F267" s="49" t="str">
        <f>IF(Produits!F267="","",Produits!F267)</f>
        <v>6 pcs</v>
      </c>
      <c r="J267" s="61" t="str">
        <f>IF($J$1="","",HLOOKUP($J$1,$M$1:$AAY$1000,267,0))</f>
        <v/>
      </c>
    </row>
    <row r="268" spans="1:10" x14ac:dyDescent="0.25">
      <c r="A268" s="4" t="str">
        <f>IF(Produits!A268="","",Produits!A268)</f>
        <v>Moveo</v>
      </c>
      <c r="B268" s="4" t="str">
        <f>IF(Produits!B268="","",Produits!B268)</f>
        <v>Cache vis</v>
      </c>
      <c r="C268" s="4" t="str">
        <f>IF(Produits!C268="","",Produits!C268)</f>
        <v>1000,00,0265</v>
      </c>
      <c r="D268" s="4" t="str">
        <f>IF(Produits!D268="","",Produits!D268)</f>
        <v>AA389</v>
      </c>
      <c r="E268" s="4" t="str">
        <f>IF(Produits!E268="","",Produits!E268)</f>
        <v/>
      </c>
      <c r="F268" s="49" t="str">
        <f>IF(Produits!F268="","",Produits!F268)</f>
        <v>6 pcs</v>
      </c>
      <c r="J268" s="61" t="str">
        <f>IF($J$1="","",HLOOKUP($J$1,$M$1:$AAY$1000,268,0))</f>
        <v/>
      </c>
    </row>
    <row r="269" spans="1:10" x14ac:dyDescent="0.25">
      <c r="A269" s="4" t="str">
        <f>IF(Produits!A269="","",Produits!A269)</f>
        <v>Moveo</v>
      </c>
      <c r="B269" s="4" t="str">
        <f>IF(Produits!B269="","",Produits!B269)</f>
        <v>Cache vis</v>
      </c>
      <c r="C269" s="4" t="str">
        <f>IF(Produits!C269="","",Produits!C269)</f>
        <v>1000,00,0266</v>
      </c>
      <c r="D269" s="4" t="str">
        <f>IF(Produits!D269="","",Produits!D269)</f>
        <v>AA390</v>
      </c>
      <c r="E269" s="4" t="str">
        <f>IF(Produits!E269="","",Produits!E269)</f>
        <v/>
      </c>
      <c r="F269" s="49" t="str">
        <f>IF(Produits!F269="","",Produits!F269)</f>
        <v>6 pcs</v>
      </c>
      <c r="J269" s="61" t="str">
        <f>IF($J$1="","",HLOOKUP($J$1,$M$1:$AAY$1000,269,0))</f>
        <v/>
      </c>
    </row>
    <row r="270" spans="1:10" x14ac:dyDescent="0.25">
      <c r="A270" s="4" t="str">
        <f>IF(Produits!A270="","",Produits!A270)</f>
        <v>Moveo</v>
      </c>
      <c r="B270" s="4" t="str">
        <f>IF(Produits!B270="","",Produits!B270)</f>
        <v>Cache vis</v>
      </c>
      <c r="C270" s="4" t="str">
        <f>IF(Produits!C270="","",Produits!C270)</f>
        <v>1000,00,0267</v>
      </c>
      <c r="D270" s="4" t="str">
        <f>IF(Produits!D270="","",Produits!D270)</f>
        <v>AA391</v>
      </c>
      <c r="E270" s="4" t="str">
        <f>IF(Produits!E270="","",Produits!E270)</f>
        <v/>
      </c>
      <c r="F270" s="49" t="str">
        <f>IF(Produits!F270="","",Produits!F270)</f>
        <v>6 pcs</v>
      </c>
      <c r="J270" s="61" t="str">
        <f>IF($J$1="","",HLOOKUP($J$1,$M$1:$AAY$1000,270,0))</f>
        <v/>
      </c>
    </row>
    <row r="271" spans="1:10" x14ac:dyDescent="0.25">
      <c r="A271" s="4" t="str">
        <f>IF(Produits!A271="","",Produits!A271)</f>
        <v>Moveo</v>
      </c>
      <c r="B271" s="4" t="str">
        <f>IF(Produits!B271="","",Produits!B271)</f>
        <v>Cache vis</v>
      </c>
      <c r="C271" s="4" t="str">
        <f>IF(Produits!C271="","",Produits!C271)</f>
        <v>1000,00,0268</v>
      </c>
      <c r="D271" s="4" t="str">
        <f>IF(Produits!D271="","",Produits!D271)</f>
        <v>AA392</v>
      </c>
      <c r="E271" s="4" t="str">
        <f>IF(Produits!E271="","",Produits!E271)</f>
        <v/>
      </c>
      <c r="F271" s="49" t="str">
        <f>IF(Produits!F271="","",Produits!F271)</f>
        <v>6 pcs</v>
      </c>
      <c r="J271" s="61" t="str">
        <f>IF($J$1="","",HLOOKUP($J$1,$M$1:$AAY$1000,271,0))</f>
        <v/>
      </c>
    </row>
    <row r="272" spans="1:10" x14ac:dyDescent="0.25">
      <c r="A272" s="4" t="str">
        <f>IF(Produits!A272="","",Produits!A272)</f>
        <v>Moveo</v>
      </c>
      <c r="B272" s="4" t="str">
        <f>IF(Produits!B272="","",Produits!B272)</f>
        <v>Cache vis</v>
      </c>
      <c r="C272" s="4" t="str">
        <f>IF(Produits!C272="","",Produits!C272)</f>
        <v>1000,00,0269</v>
      </c>
      <c r="D272" s="4" t="str">
        <f>IF(Produits!D272="","",Produits!D272)</f>
        <v>AA393</v>
      </c>
      <c r="E272" s="4" t="str">
        <f>IF(Produits!E272="","",Produits!E272)</f>
        <v/>
      </c>
      <c r="F272" s="49" t="str">
        <f>IF(Produits!F272="","",Produits!F272)</f>
        <v>6 pcs</v>
      </c>
      <c r="J272" s="61" t="str">
        <f>IF($J$1="","",HLOOKUP($J$1,$M$1:$AAY$1000,272,0))</f>
        <v/>
      </c>
    </row>
    <row r="273" spans="1:10" x14ac:dyDescent="0.25">
      <c r="A273" s="4" t="str">
        <f>IF(Produits!A273="","",Produits!A273)</f>
        <v>Moveo</v>
      </c>
      <c r="B273" s="4" t="str">
        <f>IF(Produits!B273="","",Produits!B273)</f>
        <v>Cache vis</v>
      </c>
      <c r="C273" s="4" t="str">
        <f>IF(Produits!C273="","",Produits!C273)</f>
        <v>1000,00,0270</v>
      </c>
      <c r="D273" s="4" t="str">
        <f>IF(Produits!D273="","",Produits!D273)</f>
        <v>AA394</v>
      </c>
      <c r="E273" s="4" t="str">
        <f>IF(Produits!E273="","",Produits!E273)</f>
        <v/>
      </c>
      <c r="F273" s="49" t="str">
        <f>IF(Produits!F273="","",Produits!F273)</f>
        <v>6 pcs</v>
      </c>
      <c r="J273" s="61" t="str">
        <f>IF($J$1="","",HLOOKUP($J$1,$M$1:$AAY$1000,273,0))</f>
        <v/>
      </c>
    </row>
    <row r="274" spans="1:10" x14ac:dyDescent="0.25">
      <c r="A274" s="4" t="str">
        <f>IF(Produits!A274="","",Produits!A274)</f>
        <v>Moveo</v>
      </c>
      <c r="B274" s="4" t="str">
        <f>IF(Produits!B274="","",Produits!B274)</f>
        <v>Cache vis</v>
      </c>
      <c r="C274" s="4" t="str">
        <f>IF(Produits!C274="","",Produits!C274)</f>
        <v>1000,00,0271</v>
      </c>
      <c r="D274" s="4" t="str">
        <f>IF(Produits!D274="","",Produits!D274)</f>
        <v>AA395</v>
      </c>
      <c r="E274" s="4" t="str">
        <f>IF(Produits!E274="","",Produits!E274)</f>
        <v/>
      </c>
      <c r="F274" s="49" t="str">
        <f>IF(Produits!F274="","",Produits!F274)</f>
        <v>6 pcs</v>
      </c>
      <c r="J274" s="61" t="str">
        <f>IF($J$1="","",HLOOKUP($J$1,$M$1:$AAY$1000,274,0))</f>
        <v/>
      </c>
    </row>
    <row r="275" spans="1:10" x14ac:dyDescent="0.25">
      <c r="A275" s="4" t="str">
        <f>IF(Produits!A275="","",Produits!A275)</f>
        <v>Moveo</v>
      </c>
      <c r="B275" s="4" t="str">
        <f>IF(Produits!B275="","",Produits!B275)</f>
        <v>Cache vis</v>
      </c>
      <c r="C275" s="4" t="str">
        <f>IF(Produits!C275="","",Produits!C275)</f>
        <v>1000,00,0272</v>
      </c>
      <c r="D275" s="4" t="str">
        <f>IF(Produits!D275="","",Produits!D275)</f>
        <v>AA396</v>
      </c>
      <c r="E275" s="4" t="str">
        <f>IF(Produits!E275="","",Produits!E275)</f>
        <v/>
      </c>
      <c r="F275" s="49" t="str">
        <f>IF(Produits!F275="","",Produits!F275)</f>
        <v>6 pcs</v>
      </c>
      <c r="J275" s="61" t="str">
        <f>IF($J$1="","",HLOOKUP($J$1,$M$1:$AAY$1000,275,0))</f>
        <v/>
      </c>
    </row>
    <row r="276" spans="1:10" x14ac:dyDescent="0.25">
      <c r="A276" s="4" t="str">
        <f>IF(Produits!A276="","",Produits!A276)</f>
        <v>Moveo</v>
      </c>
      <c r="B276" s="4" t="str">
        <f>IF(Produits!B276="","",Produits!B276)</f>
        <v>Cache vis</v>
      </c>
      <c r="C276" s="4" t="str">
        <f>IF(Produits!C276="","",Produits!C276)</f>
        <v>1000,00,0273</v>
      </c>
      <c r="D276" s="4" t="str">
        <f>IF(Produits!D276="","",Produits!D276)</f>
        <v>AA397</v>
      </c>
      <c r="E276" s="4" t="str">
        <f>IF(Produits!E276="","",Produits!E276)</f>
        <v/>
      </c>
      <c r="F276" s="49" t="str">
        <f>IF(Produits!F276="","",Produits!F276)</f>
        <v>6 pcs</v>
      </c>
      <c r="J276" s="61" t="str">
        <f>IF($J$1="","",HLOOKUP($J$1,$M$1:$AAY$1000,276,0))</f>
        <v/>
      </c>
    </row>
    <row r="277" spans="1:10" x14ac:dyDescent="0.25">
      <c r="A277" s="4" t="str">
        <f>IF(Produits!A277="","",Produits!A277)</f>
        <v>Moveo</v>
      </c>
      <c r="B277" s="4" t="str">
        <f>IF(Produits!B277="","",Produits!B277)</f>
        <v>Cache vis</v>
      </c>
      <c r="C277" s="4" t="str">
        <f>IF(Produits!C277="","",Produits!C277)</f>
        <v>1000,00,0274</v>
      </c>
      <c r="D277" s="4" t="str">
        <f>IF(Produits!D277="","",Produits!D277)</f>
        <v>AA398</v>
      </c>
      <c r="E277" s="4" t="str">
        <f>IF(Produits!E277="","",Produits!E277)</f>
        <v/>
      </c>
      <c r="F277" s="49" t="str">
        <f>IF(Produits!F277="","",Produits!F277)</f>
        <v>6 pcs</v>
      </c>
      <c r="J277" s="61" t="str">
        <f>IF($J$1="","",HLOOKUP($J$1,$M$1:$AAY$1000,277,0))</f>
        <v/>
      </c>
    </row>
    <row r="278" spans="1:10" x14ac:dyDescent="0.25">
      <c r="A278" s="4" t="str">
        <f>IF(Produits!A278="","",Produits!A278)</f>
        <v>Variflex</v>
      </c>
      <c r="B278" s="4" t="str">
        <f>IF(Produits!B278="","",Produits!B278)</f>
        <v>VE</v>
      </c>
      <c r="C278" s="4" t="str">
        <f>IF(Produits!C278="","",Produits!C278)</f>
        <v>1000,00,0275</v>
      </c>
      <c r="D278" s="4" t="str">
        <f>IF(Produits!D278="","",Produits!D278)</f>
        <v>AA399</v>
      </c>
      <c r="E278" s="4" t="str">
        <f>IF(Produits!E278="","",Produits!E278)</f>
        <v/>
      </c>
      <c r="F278" s="49" t="str">
        <f>IF(Produits!F278="","",Produits!F278)</f>
        <v>1 pcs</v>
      </c>
      <c r="J278" s="61" t="str">
        <f>IF($J$1="","",HLOOKUP($J$1,$M$1:$AAY$1000,278,0))</f>
        <v/>
      </c>
    </row>
    <row r="279" spans="1:10" x14ac:dyDescent="0.25">
      <c r="A279" s="4" t="str">
        <f>IF(Produits!A279="","",Produits!A279)</f>
        <v>Variflex</v>
      </c>
      <c r="B279" s="4" t="str">
        <f>IF(Produits!B279="","",Produits!B279)</f>
        <v>VE</v>
      </c>
      <c r="C279" s="4" t="str">
        <f>IF(Produits!C279="","",Produits!C279)</f>
        <v>1000,00,0276</v>
      </c>
      <c r="D279" s="4" t="str">
        <f>IF(Produits!D279="","",Produits!D279)</f>
        <v>AA400</v>
      </c>
      <c r="E279" s="4" t="str">
        <f>IF(Produits!E279="","",Produits!E279)</f>
        <v/>
      </c>
      <c r="F279" s="49" t="str">
        <f>IF(Produits!F279="","",Produits!F279)</f>
        <v>1 pcs</v>
      </c>
      <c r="J279" s="61" t="str">
        <f>IF($J$1="","",HLOOKUP($J$1,$M$1:$AAY$1000,279,0))</f>
        <v/>
      </c>
    </row>
    <row r="280" spans="1:10" x14ac:dyDescent="0.25">
      <c r="A280" s="4" t="str">
        <f>IF(Produits!A280="","",Produits!A280)</f>
        <v>Variflex</v>
      </c>
      <c r="B280" s="4" t="str">
        <f>IF(Produits!B280="","",Produits!B280)</f>
        <v>VE</v>
      </c>
      <c r="C280" s="4" t="str">
        <f>IF(Produits!C280="","",Produits!C280)</f>
        <v>1000,00,0277</v>
      </c>
      <c r="D280" s="4" t="str">
        <f>IF(Produits!D280="","",Produits!D280)</f>
        <v>AA401</v>
      </c>
      <c r="E280" s="4" t="str">
        <f>IF(Produits!E280="","",Produits!E280)</f>
        <v/>
      </c>
      <c r="F280" s="49" t="str">
        <f>IF(Produits!F280="","",Produits!F280)</f>
        <v>1 pcs</v>
      </c>
      <c r="J280" s="61" t="str">
        <f>IF($J$1="","",HLOOKUP($J$1,$M$1:$AAY$1000,280,0))</f>
        <v/>
      </c>
    </row>
    <row r="281" spans="1:10" x14ac:dyDescent="0.25">
      <c r="A281" s="4" t="str">
        <f>IF(Produits!A281="","",Produits!A281)</f>
        <v>Variflex</v>
      </c>
      <c r="B281" s="4" t="str">
        <f>IF(Produits!B281="","",Produits!B281)</f>
        <v>VE</v>
      </c>
      <c r="C281" s="4" t="str">
        <f>IF(Produits!C281="","",Produits!C281)</f>
        <v>1000,00,0278</v>
      </c>
      <c r="D281" s="4" t="str">
        <f>IF(Produits!D281="","",Produits!D281)</f>
        <v>AA402</v>
      </c>
      <c r="E281" s="4" t="str">
        <f>IF(Produits!E281="","",Produits!E281)</f>
        <v/>
      </c>
      <c r="F281" s="49" t="str">
        <f>IF(Produits!F281="","",Produits!F281)</f>
        <v>1 pcs</v>
      </c>
      <c r="J281" s="61" t="str">
        <f>IF($J$1="","",HLOOKUP($J$1,$M$1:$AAY$1000,281,0))</f>
        <v/>
      </c>
    </row>
    <row r="282" spans="1:10" x14ac:dyDescent="0.25">
      <c r="A282" s="4" t="str">
        <f>IF(Produits!A282="","",Produits!A282)</f>
        <v>Variflex</v>
      </c>
      <c r="B282" s="4" t="str">
        <f>IF(Produits!B282="","",Produits!B282)</f>
        <v>VE</v>
      </c>
      <c r="C282" s="4" t="str">
        <f>IF(Produits!C282="","",Produits!C282)</f>
        <v>1000,00,0279</v>
      </c>
      <c r="D282" s="4" t="str">
        <f>IF(Produits!D282="","",Produits!D282)</f>
        <v>AA403</v>
      </c>
      <c r="E282" s="4" t="str">
        <f>IF(Produits!E282="","",Produits!E282)</f>
        <v/>
      </c>
      <c r="F282" s="49" t="str">
        <f>IF(Produits!F282="","",Produits!F282)</f>
        <v>1 pcs</v>
      </c>
      <c r="J282" s="61" t="str">
        <f>IF($J$1="","",HLOOKUP($J$1,$M$1:$AAY$1000,282,0))</f>
        <v/>
      </c>
    </row>
    <row r="283" spans="1:10" x14ac:dyDescent="0.25">
      <c r="A283" s="4" t="str">
        <f>IF(Produits!A283="","",Produits!A283)</f>
        <v>Variflex</v>
      </c>
      <c r="B283" s="4" t="str">
        <f>IF(Produits!B283="","",Produits!B283)</f>
        <v>TE</v>
      </c>
      <c r="C283" s="4" t="str">
        <f>IF(Produits!C283="","",Produits!C283)</f>
        <v>1000,00,0280</v>
      </c>
      <c r="D283" s="4" t="str">
        <f>IF(Produits!D283="","",Produits!D283)</f>
        <v>AA404</v>
      </c>
      <c r="E283" s="4" t="str">
        <f>IF(Produits!E283="","",Produits!E283)</f>
        <v/>
      </c>
      <c r="F283" s="49" t="str">
        <f>IF(Produits!F283="","",Produits!F283)</f>
        <v>1 pcs</v>
      </c>
      <c r="J283" s="61" t="str">
        <f>IF($J$1="","",HLOOKUP($J$1,$M$1:$AAY$1000,283,0))</f>
        <v/>
      </c>
    </row>
    <row r="284" spans="1:10" x14ac:dyDescent="0.25">
      <c r="A284" s="4" t="str">
        <f>IF(Produits!A284="","",Produits!A284)</f>
        <v>Variflex</v>
      </c>
      <c r="B284" s="4" t="str">
        <f>IF(Produits!B284="","",Produits!B284)</f>
        <v>TE</v>
      </c>
      <c r="C284" s="4" t="str">
        <f>IF(Produits!C284="","",Produits!C284)</f>
        <v>1000,00,0281</v>
      </c>
      <c r="D284" s="4" t="str">
        <f>IF(Produits!D284="","",Produits!D284)</f>
        <v>AA405</v>
      </c>
      <c r="E284" s="4" t="str">
        <f>IF(Produits!E284="","",Produits!E284)</f>
        <v/>
      </c>
      <c r="F284" s="49" t="str">
        <f>IF(Produits!F284="","",Produits!F284)</f>
        <v>1 pcs</v>
      </c>
      <c r="J284" s="61" t="str">
        <f>IF($J$1="","",HLOOKUP($J$1,$M$1:$AAY$1000,284,0))</f>
        <v/>
      </c>
    </row>
    <row r="285" spans="1:10" x14ac:dyDescent="0.25">
      <c r="A285" s="4" t="str">
        <f>IF(Produits!A285="","",Produits!A285)</f>
        <v>Variflex</v>
      </c>
      <c r="B285" s="4" t="str">
        <f>IF(Produits!B285="","",Produits!B285)</f>
        <v>TE</v>
      </c>
      <c r="C285" s="4" t="str">
        <f>IF(Produits!C285="","",Produits!C285)</f>
        <v>1000,00,0282</v>
      </c>
      <c r="D285" s="4" t="str">
        <f>IF(Produits!D285="","",Produits!D285)</f>
        <v>AA406</v>
      </c>
      <c r="E285" s="4" t="str">
        <f>IF(Produits!E285="","",Produits!E285)</f>
        <v/>
      </c>
      <c r="F285" s="49" t="str">
        <f>IF(Produits!F285="","",Produits!F285)</f>
        <v>1 pcs</v>
      </c>
      <c r="J285" s="61" t="str">
        <f>IF($J$1="","",HLOOKUP($J$1,$M$1:$AAY$1000,285,0))</f>
        <v/>
      </c>
    </row>
    <row r="286" spans="1:10" x14ac:dyDescent="0.25">
      <c r="A286" s="4" t="str">
        <f>IF(Produits!A286="","",Produits!A286)</f>
        <v>Variflex</v>
      </c>
      <c r="B286" s="4" t="str">
        <f>IF(Produits!B286="","",Produits!B286)</f>
        <v>TE</v>
      </c>
      <c r="C286" s="4" t="str">
        <f>IF(Produits!C286="","",Produits!C286)</f>
        <v>1000,00,0283</v>
      </c>
      <c r="D286" s="4" t="str">
        <f>IF(Produits!D286="","",Produits!D286)</f>
        <v>AA407</v>
      </c>
      <c r="E286" s="4" t="str">
        <f>IF(Produits!E286="","",Produits!E286)</f>
        <v/>
      </c>
      <c r="F286" s="49" t="str">
        <f>IF(Produits!F286="","",Produits!F286)</f>
        <v>1 pcs</v>
      </c>
      <c r="J286" s="61" t="str">
        <f>IF($J$1="","",HLOOKUP($J$1,$M$1:$AAY$1000,286,0))</f>
        <v/>
      </c>
    </row>
    <row r="287" spans="1:10" x14ac:dyDescent="0.25">
      <c r="A287" s="4" t="str">
        <f>IF(Produits!A287="","",Produits!A287)</f>
        <v>Variflex</v>
      </c>
      <c r="B287" s="4" t="str">
        <f>IF(Produits!B287="","",Produits!B287)</f>
        <v>TE</v>
      </c>
      <c r="C287" s="4" t="str">
        <f>IF(Produits!C287="","",Produits!C287)</f>
        <v>1000,00,0284</v>
      </c>
      <c r="D287" s="4" t="str">
        <f>IF(Produits!D287="","",Produits!D287)</f>
        <v>AA408</v>
      </c>
      <c r="E287" s="4" t="str">
        <f>IF(Produits!E287="","",Produits!E287)</f>
        <v/>
      </c>
      <c r="F287" s="49" t="str">
        <f>IF(Produits!F287="","",Produits!F287)</f>
        <v>1 pcs</v>
      </c>
      <c r="J287" s="61" t="str">
        <f>IF($J$1="","",HLOOKUP($J$1,$M$1:$AAY$1000,287,0))</f>
        <v/>
      </c>
    </row>
    <row r="288" spans="1:10" x14ac:dyDescent="0.25">
      <c r="A288" s="4" t="str">
        <f>IF(Produits!A288="","",Produits!A288)</f>
        <v>Variflex</v>
      </c>
      <c r="B288" s="4" t="str">
        <f>IF(Produits!B288="","",Produits!B288)</f>
        <v>TE</v>
      </c>
      <c r="C288" s="4" t="str">
        <f>IF(Produits!C288="","",Produits!C288)</f>
        <v>1000,00,0285</v>
      </c>
      <c r="D288" s="4" t="str">
        <f>IF(Produits!D288="","",Produits!D288)</f>
        <v>AA409</v>
      </c>
      <c r="E288" s="4" t="str">
        <f>IF(Produits!E288="","",Produits!E288)</f>
        <v/>
      </c>
      <c r="F288" s="49" t="str">
        <f>IF(Produits!F288="","",Produits!F288)</f>
        <v>1 pcs</v>
      </c>
      <c r="J288" s="61" t="str">
        <f>IF($J$1="","",HLOOKUP($J$1,$M$1:$AAY$1000,288,0))</f>
        <v/>
      </c>
    </row>
    <row r="289" spans="1:10" x14ac:dyDescent="0.25">
      <c r="A289" s="4" t="str">
        <f>IF(Produits!A289="","",Produits!A289)</f>
        <v>Variflex</v>
      </c>
      <c r="B289" s="4" t="str">
        <f>IF(Produits!B289="","",Produits!B289)</f>
        <v>TE</v>
      </c>
      <c r="C289" s="4" t="str">
        <f>IF(Produits!C289="","",Produits!C289)</f>
        <v>1000,00,0286</v>
      </c>
      <c r="D289" s="4" t="str">
        <f>IF(Produits!D289="","",Produits!D289)</f>
        <v>AA410</v>
      </c>
      <c r="E289" s="4" t="str">
        <f>IF(Produits!E289="","",Produits!E289)</f>
        <v/>
      </c>
      <c r="F289" s="49" t="str">
        <f>IF(Produits!F289="","",Produits!F289)</f>
        <v>1 pcs</v>
      </c>
      <c r="J289" s="61" t="str">
        <f>IF($J$1="","",HLOOKUP($J$1,$M$1:$AAY$1000,289,0))</f>
        <v/>
      </c>
    </row>
    <row r="290" spans="1:10" x14ac:dyDescent="0.25">
      <c r="A290" s="4" t="str">
        <f>IF(Produits!A290="","",Produits!A290)</f>
        <v>Variflex</v>
      </c>
      <c r="B290" s="4" t="str">
        <f>IF(Produits!B290="","",Produits!B290)</f>
        <v>TE</v>
      </c>
      <c r="C290" s="4" t="str">
        <f>IF(Produits!C290="","",Produits!C290)</f>
        <v>1000,00,0287</v>
      </c>
      <c r="D290" s="4" t="str">
        <f>IF(Produits!D290="","",Produits!D290)</f>
        <v>AA411</v>
      </c>
      <c r="E290" s="4" t="str">
        <f>IF(Produits!E290="","",Produits!E290)</f>
        <v/>
      </c>
      <c r="F290" s="49" t="str">
        <f>IF(Produits!F290="","",Produits!F290)</f>
        <v>1 pcs</v>
      </c>
      <c r="J290" s="61" t="str">
        <f>IF($J$1="","",HLOOKUP($J$1,$M$1:$AAY$1000,290,0))</f>
        <v/>
      </c>
    </row>
    <row r="291" spans="1:10" x14ac:dyDescent="0.25">
      <c r="A291" s="4" t="str">
        <f>IF(Produits!A291="","",Produits!A291)</f>
        <v>Variflex</v>
      </c>
      <c r="B291" s="4" t="str">
        <f>IF(Produits!B291="","",Produits!B291)</f>
        <v>TE</v>
      </c>
      <c r="C291" s="4" t="str">
        <f>IF(Produits!C291="","",Produits!C291)</f>
        <v>1000,00,0288</v>
      </c>
      <c r="D291" s="4" t="str">
        <f>IF(Produits!D291="","",Produits!D291)</f>
        <v>AA412</v>
      </c>
      <c r="E291" s="4" t="str">
        <f>IF(Produits!E291="","",Produits!E291)</f>
        <v/>
      </c>
      <c r="F291" s="49" t="str">
        <f>IF(Produits!F291="","",Produits!F291)</f>
        <v>1 pcs</v>
      </c>
      <c r="J291" s="61" t="str">
        <f>IF($J$1="","",HLOOKUP($J$1,$M$1:$AAY$1000,291,0))</f>
        <v/>
      </c>
    </row>
    <row r="292" spans="1:10" x14ac:dyDescent="0.25">
      <c r="A292" s="4" t="str">
        <f>IF(Produits!A292="","",Produits!A292)</f>
        <v>Variflex</v>
      </c>
      <c r="B292" s="4" t="str">
        <f>IF(Produits!B292="","",Produits!B292)</f>
        <v>TE</v>
      </c>
      <c r="C292" s="4" t="str">
        <f>IF(Produits!C292="","",Produits!C292)</f>
        <v>1000,00,0289</v>
      </c>
      <c r="D292" s="4" t="str">
        <f>IF(Produits!D292="","",Produits!D292)</f>
        <v>AA413</v>
      </c>
      <c r="E292" s="4" t="str">
        <f>IF(Produits!E292="","",Produits!E292)</f>
        <v/>
      </c>
      <c r="F292" s="49" t="str">
        <f>IF(Produits!F292="","",Produits!F292)</f>
        <v>1 pcs</v>
      </c>
      <c r="J292" s="61" t="str">
        <f>IF($J$1="","",HLOOKUP($J$1,$M$1:$AAY$1000,292,0))</f>
        <v/>
      </c>
    </row>
    <row r="293" spans="1:10" x14ac:dyDescent="0.25">
      <c r="A293" s="4" t="str">
        <f>IF(Produits!A293="","",Produits!A293)</f>
        <v>Variflex</v>
      </c>
      <c r="B293" s="4" t="str">
        <f>IF(Produits!B293="","",Produits!B293)</f>
        <v>TE Semi-auto</v>
      </c>
      <c r="C293" s="4" t="str">
        <f>IF(Produits!C293="","",Produits!C293)</f>
        <v>1000,00,0290</v>
      </c>
      <c r="D293" s="4" t="str">
        <f>IF(Produits!D293="","",Produits!D293)</f>
        <v>AA414</v>
      </c>
      <c r="E293" s="4" t="str">
        <f>IF(Produits!E293="","",Produits!E293)</f>
        <v/>
      </c>
      <c r="F293" s="49" t="str">
        <f>IF(Produits!F293="","",Produits!F293)</f>
        <v>1 pcs</v>
      </c>
      <c r="J293" s="61" t="str">
        <f>IF($J$1="","",HLOOKUP($J$1,$M$1:$AAY$1000,293,0))</f>
        <v/>
      </c>
    </row>
    <row r="294" spans="1:10" x14ac:dyDescent="0.25">
      <c r="A294" s="4" t="str">
        <f>IF(Produits!A294="","",Produits!A294)</f>
        <v>Variflex</v>
      </c>
      <c r="B294" s="4" t="str">
        <f>IF(Produits!B294="","",Produits!B294)</f>
        <v>TE Semi-auto</v>
      </c>
      <c r="C294" s="4" t="str">
        <f>IF(Produits!C294="","",Produits!C294)</f>
        <v>1000,00,0291</v>
      </c>
      <c r="D294" s="4" t="str">
        <f>IF(Produits!D294="","",Produits!D294)</f>
        <v>AA415</v>
      </c>
      <c r="E294" s="4" t="str">
        <f>IF(Produits!E294="","",Produits!E294)</f>
        <v/>
      </c>
      <c r="F294" s="49" t="str">
        <f>IF(Produits!F294="","",Produits!F294)</f>
        <v>1 pcs</v>
      </c>
      <c r="J294" s="61" t="str">
        <f>IF($J$1="","",HLOOKUP($J$1,$M$1:$AAY$1000,294,0))</f>
        <v/>
      </c>
    </row>
    <row r="295" spans="1:10" x14ac:dyDescent="0.25">
      <c r="A295" s="4" t="str">
        <f>IF(Produits!A295="","",Produits!A295)</f>
        <v>Variflex</v>
      </c>
      <c r="B295" s="4" t="str">
        <f>IF(Produits!B295="","",Produits!B295)</f>
        <v>TE Semi-auto</v>
      </c>
      <c r="C295" s="4" t="str">
        <f>IF(Produits!C295="","",Produits!C295)</f>
        <v>1000,00,0292</v>
      </c>
      <c r="D295" s="4" t="str">
        <f>IF(Produits!D295="","",Produits!D295)</f>
        <v>AA416</v>
      </c>
      <c r="E295" s="4" t="str">
        <f>IF(Produits!E295="","",Produits!E295)</f>
        <v/>
      </c>
      <c r="F295" s="49" t="str">
        <f>IF(Produits!F295="","",Produits!F295)</f>
        <v>1 pcs</v>
      </c>
      <c r="J295" s="61" t="str">
        <f>IF($J$1="","",HLOOKUP($J$1,$M$1:$AAY$1000,295,0))</f>
        <v/>
      </c>
    </row>
    <row r="296" spans="1:10" x14ac:dyDescent="0.25">
      <c r="A296" s="4" t="str">
        <f>IF(Produits!A296="","",Produits!A296)</f>
        <v>Variflex</v>
      </c>
      <c r="B296" s="4" t="str">
        <f>IF(Produits!B296="","",Produits!B296)</f>
        <v>TEF</v>
      </c>
      <c r="C296" s="4" t="str">
        <f>IF(Produits!C296="","",Produits!C296)</f>
        <v>1000,00,0293</v>
      </c>
      <c r="D296" s="4" t="str">
        <f>IF(Produits!D296="","",Produits!D296)</f>
        <v>AA417</v>
      </c>
      <c r="E296" s="4" t="str">
        <f>IF(Produits!E296="","",Produits!E296)</f>
        <v/>
      </c>
      <c r="F296" s="49" t="str">
        <f>IF(Produits!F296="","",Produits!F296)</f>
        <v>1 pcs</v>
      </c>
      <c r="J296" s="61" t="str">
        <f>IF($J$1="","",HLOOKUP($J$1,$M$1:$AAY$1000,296,0))</f>
        <v/>
      </c>
    </row>
    <row r="297" spans="1:10" x14ac:dyDescent="0.25">
      <c r="A297" s="4" t="str">
        <f>IF(Produits!A297="","",Produits!A297)</f>
        <v>Variflex</v>
      </c>
      <c r="B297" s="4" t="str">
        <f>IF(Produits!B297="","",Produits!B297)</f>
        <v>TEF</v>
      </c>
      <c r="C297" s="4" t="str">
        <f>IF(Produits!C297="","",Produits!C297)</f>
        <v>1000,00,0294</v>
      </c>
      <c r="D297" s="4" t="str">
        <f>IF(Produits!D297="","",Produits!D297)</f>
        <v>AA418</v>
      </c>
      <c r="E297" s="4" t="str">
        <f>IF(Produits!E297="","",Produits!E297)</f>
        <v/>
      </c>
      <c r="F297" s="49" t="str">
        <f>IF(Produits!F297="","",Produits!F297)</f>
        <v>1 pcs</v>
      </c>
      <c r="J297" s="61" t="str">
        <f>IF($J$1="","",HLOOKUP($J$1,$M$1:$AAY$1000,297,0))</f>
        <v/>
      </c>
    </row>
    <row r="298" spans="1:10" x14ac:dyDescent="0.25">
      <c r="A298" s="4" t="str">
        <f>IF(Produits!A298="","",Produits!A298)</f>
        <v>Variflex</v>
      </c>
      <c r="B298" s="4" t="str">
        <f>IF(Produits!B298="","",Produits!B298)</f>
        <v>TEF</v>
      </c>
      <c r="C298" s="4" t="str">
        <f>IF(Produits!C298="","",Produits!C298)</f>
        <v>1000,00,0295</v>
      </c>
      <c r="D298" s="4" t="str">
        <f>IF(Produits!D298="","",Produits!D298)</f>
        <v>AA419</v>
      </c>
      <c r="E298" s="4" t="str">
        <f>IF(Produits!E298="","",Produits!E298)</f>
        <v/>
      </c>
      <c r="F298" s="49" t="str">
        <f>IF(Produits!F298="","",Produits!F298)</f>
        <v>1 pcs</v>
      </c>
      <c r="J298" s="61" t="str">
        <f>IF($J$1="","",HLOOKUP($J$1,$M$1:$AAY$1000,298,0))</f>
        <v/>
      </c>
    </row>
    <row r="299" spans="1:10" x14ac:dyDescent="0.25">
      <c r="A299" s="4" t="str">
        <f>IF(Produits!A299="","",Produits!A299)</f>
        <v>Variflex</v>
      </c>
      <c r="B299" s="4" t="str">
        <f>IF(Produits!B299="","",Produits!B299)</f>
        <v>TEF</v>
      </c>
      <c r="C299" s="4" t="str">
        <f>IF(Produits!C299="","",Produits!C299)</f>
        <v>1000,00,0296</v>
      </c>
      <c r="D299" s="4" t="str">
        <f>IF(Produits!D299="","",Produits!D299)</f>
        <v>AA420</v>
      </c>
      <c r="E299" s="4" t="str">
        <f>IF(Produits!E299="","",Produits!E299)</f>
        <v/>
      </c>
      <c r="F299" s="49" t="str">
        <f>IF(Produits!F299="","",Produits!F299)</f>
        <v>1 pcs</v>
      </c>
      <c r="J299" s="61" t="str">
        <f>IF($J$1="","",HLOOKUP($J$1,$M$1:$AAY$1000,299,0))</f>
        <v/>
      </c>
    </row>
    <row r="300" spans="1:10" x14ac:dyDescent="0.25">
      <c r="A300" s="4" t="str">
        <f>IF(Produits!A300="","",Produits!A300)</f>
        <v>Variflex</v>
      </c>
      <c r="B300" s="4" t="str">
        <f>IF(Produits!B300="","",Produits!B300)</f>
        <v>TEF</v>
      </c>
      <c r="C300" s="4" t="str">
        <f>IF(Produits!C300="","",Produits!C300)</f>
        <v>1000,00,0297</v>
      </c>
      <c r="D300" s="4" t="str">
        <f>IF(Produits!D300="","",Produits!D300)</f>
        <v>AA421</v>
      </c>
      <c r="E300" s="4" t="str">
        <f>IF(Produits!E300="","",Produits!E300)</f>
        <v/>
      </c>
      <c r="F300" s="49" t="str">
        <f>IF(Produits!F300="","",Produits!F300)</f>
        <v>1 pcs</v>
      </c>
      <c r="J300" s="61" t="str">
        <f>IF($J$1="","",HLOOKUP($J$1,$M$1:$AAY$1000,300,0))</f>
        <v/>
      </c>
    </row>
    <row r="301" spans="1:10" x14ac:dyDescent="0.25">
      <c r="A301" s="4" t="str">
        <f>IF(Produits!A301="","",Produits!A301)</f>
        <v>Variflex</v>
      </c>
      <c r="B301" s="4" t="str">
        <f>IF(Produits!B301="","",Produits!B301)</f>
        <v>DT/DTZ</v>
      </c>
      <c r="C301" s="4" t="str">
        <f>IF(Produits!C301="","",Produits!C301)</f>
        <v>1000,00,0298</v>
      </c>
      <c r="D301" s="4" t="str">
        <f>IF(Produits!D301="","",Produits!D301)</f>
        <v>AA422</v>
      </c>
      <c r="E301" s="4" t="str">
        <f>IF(Produits!E301="","",Produits!E301)</f>
        <v/>
      </c>
      <c r="F301" s="49" t="str">
        <f>IF(Produits!F301="","",Produits!F301)</f>
        <v>1 pcs</v>
      </c>
      <c r="J301" s="61" t="str">
        <f>IF($J$1="","",HLOOKUP($J$1,$M$1:$AAY$1000,301,0))</f>
        <v/>
      </c>
    </row>
    <row r="302" spans="1:10" x14ac:dyDescent="0.25">
      <c r="A302" s="4" t="str">
        <f>IF(Produits!A302="","",Produits!A302)</f>
        <v>Variflex</v>
      </c>
      <c r="B302" s="4" t="str">
        <f>IF(Produits!B302="","",Produits!B302)</f>
        <v>DT/DTZ</v>
      </c>
      <c r="C302" s="4" t="str">
        <f>IF(Produits!C302="","",Produits!C302)</f>
        <v>1000,00,0299</v>
      </c>
      <c r="D302" s="4" t="str">
        <f>IF(Produits!D302="","",Produits!D302)</f>
        <v>AA423</v>
      </c>
      <c r="E302" s="4" t="str">
        <f>IF(Produits!E302="","",Produits!E302)</f>
        <v/>
      </c>
      <c r="F302" s="49" t="str">
        <f>IF(Produits!F302="","",Produits!F302)</f>
        <v>1 pcs</v>
      </c>
      <c r="J302" s="61" t="str">
        <f>IF($J$1="","",HLOOKUP($J$1,$M$1:$AAY$1000,302,0))</f>
        <v/>
      </c>
    </row>
    <row r="303" spans="1:10" x14ac:dyDescent="0.25">
      <c r="A303" s="4" t="str">
        <f>IF(Produits!A303="","",Produits!A303)</f>
        <v>Variflex</v>
      </c>
      <c r="B303" s="4" t="str">
        <f>IF(Produits!B303="","",Produits!B303)</f>
        <v>DT/DTZ</v>
      </c>
      <c r="C303" s="4" t="str">
        <f>IF(Produits!C303="","",Produits!C303)</f>
        <v>1000,00,0300</v>
      </c>
      <c r="D303" s="4" t="str">
        <f>IF(Produits!D303="","",Produits!D303)</f>
        <v>AA424</v>
      </c>
      <c r="E303" s="4" t="str">
        <f>IF(Produits!E303="","",Produits!E303)</f>
        <v/>
      </c>
      <c r="F303" s="49" t="str">
        <f>IF(Produits!F303="","",Produits!F303)</f>
        <v>1 pcs</v>
      </c>
      <c r="J303" s="61" t="str">
        <f>IF($J$1="","",HLOOKUP($J$1,$M$1:$AAY$1000,303,0))</f>
        <v/>
      </c>
    </row>
    <row r="304" spans="1:10" x14ac:dyDescent="0.25">
      <c r="A304" s="4" t="str">
        <f>IF(Produits!A304="","",Produits!A304)</f>
        <v>Variflex</v>
      </c>
      <c r="B304" s="4" t="str">
        <f>IF(Produits!B304="","",Produits!B304)</f>
        <v>DT/DTZ</v>
      </c>
      <c r="C304" s="4" t="str">
        <f>IF(Produits!C304="","",Produits!C304)</f>
        <v>1000,00,0301</v>
      </c>
      <c r="D304" s="4" t="str">
        <f>IF(Produits!D304="","",Produits!D304)</f>
        <v>AA425</v>
      </c>
      <c r="E304" s="4" t="str">
        <f>IF(Produits!E304="","",Produits!E304)</f>
        <v/>
      </c>
      <c r="F304" s="49" t="str">
        <f>IF(Produits!F304="","",Produits!F304)</f>
        <v>1 pcs</v>
      </c>
      <c r="J304" s="61" t="str">
        <f>IF($J$1="","",HLOOKUP($J$1,$M$1:$AAY$1000,304,0))</f>
        <v/>
      </c>
    </row>
    <row r="305" spans="1:10" x14ac:dyDescent="0.25">
      <c r="A305" s="4" t="str">
        <f>IF(Produits!A305="","",Produits!A305)</f>
        <v>Variflex</v>
      </c>
      <c r="B305" s="4" t="str">
        <f>IF(Produits!B305="","",Produits!B305)</f>
        <v>DT/DTZ</v>
      </c>
      <c r="C305" s="4" t="str">
        <f>IF(Produits!C305="","",Produits!C305)</f>
        <v>1000,00,0302</v>
      </c>
      <c r="D305" s="4" t="str">
        <f>IF(Produits!D305="","",Produits!D305)</f>
        <v>AA426</v>
      </c>
      <c r="E305" s="4" t="str">
        <f>IF(Produits!E305="","",Produits!E305)</f>
        <v/>
      </c>
      <c r="F305" s="49" t="str">
        <f>IF(Produits!F305="","",Produits!F305)</f>
        <v>1 pcs</v>
      </c>
      <c r="J305" s="61" t="str">
        <f>IF($J$1="","",HLOOKUP($J$1,$M$1:$AAY$1000,305,0))</f>
        <v/>
      </c>
    </row>
    <row r="306" spans="1:10" x14ac:dyDescent="0.25">
      <c r="A306" s="4" t="str">
        <f>IF(Produits!A306="","",Produits!A306)</f>
        <v>Variflex</v>
      </c>
      <c r="B306" s="4" t="str">
        <f>IF(Produits!B306="","",Produits!B306)</f>
        <v>DT/DTZ</v>
      </c>
      <c r="C306" s="4" t="str">
        <f>IF(Produits!C306="","",Produits!C306)</f>
        <v>1000,00,0303</v>
      </c>
      <c r="D306" s="4" t="str">
        <f>IF(Produits!D306="","",Produits!D306)</f>
        <v>AA427</v>
      </c>
      <c r="E306" s="4" t="str">
        <f>IF(Produits!E306="","",Produits!E306)</f>
        <v/>
      </c>
      <c r="F306" s="49" t="str">
        <f>IF(Produits!F306="","",Produits!F306)</f>
        <v>1 pcs</v>
      </c>
      <c r="J306" s="61" t="str">
        <f>IF($J$1="","",HLOOKUP($J$1,$M$1:$AAY$1000,306,0))</f>
        <v/>
      </c>
    </row>
    <row r="307" spans="1:10" x14ac:dyDescent="0.25">
      <c r="A307" s="4" t="str">
        <f>IF(Produits!A307="","",Produits!A307)</f>
        <v>Variflex</v>
      </c>
      <c r="B307" s="4" t="str">
        <f>IF(Produits!B307="","",Produits!B307)</f>
        <v>DT/DTZ</v>
      </c>
      <c r="C307" s="4" t="str">
        <f>IF(Produits!C307="","",Produits!C307)</f>
        <v>1000,00,0304</v>
      </c>
      <c r="D307" s="4" t="str">
        <f>IF(Produits!D307="","",Produits!D307)</f>
        <v>AA428</v>
      </c>
      <c r="E307" s="4" t="str">
        <f>IF(Produits!E307="","",Produits!E307)</f>
        <v/>
      </c>
      <c r="F307" s="49" t="str">
        <f>IF(Produits!F307="","",Produits!F307)</f>
        <v>1 pcs</v>
      </c>
      <c r="J307" s="61" t="str">
        <f>IF($J$1="","",HLOOKUP($J$1,$M$1:$AAY$1000,307,0))</f>
        <v/>
      </c>
    </row>
    <row r="308" spans="1:10" x14ac:dyDescent="0.25">
      <c r="A308" s="4" t="str">
        <f>IF(Produits!A308="","",Produits!A308)</f>
        <v>Variflex</v>
      </c>
      <c r="B308" s="4" t="str">
        <f>IF(Produits!B308="","",Produits!B308)</f>
        <v>DT/DTZ</v>
      </c>
      <c r="C308" s="4" t="str">
        <f>IF(Produits!C308="","",Produits!C308)</f>
        <v>1000,00,0305</v>
      </c>
      <c r="D308" s="4" t="str">
        <f>IF(Produits!D308="","",Produits!D308)</f>
        <v>AA429</v>
      </c>
      <c r="E308" s="4" t="str">
        <f>IF(Produits!E308="","",Produits!E308)</f>
        <v/>
      </c>
      <c r="F308" s="49" t="str">
        <f>IF(Produits!F308="","",Produits!F308)</f>
        <v>1 pcs</v>
      </c>
      <c r="J308" s="61" t="str">
        <f>IF($J$1="","",HLOOKUP($J$1,$M$1:$AAY$1000,308,0))</f>
        <v/>
      </c>
    </row>
    <row r="309" spans="1:10" x14ac:dyDescent="0.25">
      <c r="A309" s="4" t="str">
        <f>IF(Produits!A309="","",Produits!A309)</f>
        <v>Variflex</v>
      </c>
      <c r="B309" s="4" t="str">
        <f>IF(Produits!B309="","",Produits!B309)</f>
        <v>DT/DTZ</v>
      </c>
      <c r="C309" s="4" t="str">
        <f>IF(Produits!C309="","",Produits!C309)</f>
        <v>1000,00,0306</v>
      </c>
      <c r="D309" s="4" t="str">
        <f>IF(Produits!D309="","",Produits!D309)</f>
        <v>AA430</v>
      </c>
      <c r="E309" s="4" t="str">
        <f>IF(Produits!E309="","",Produits!E309)</f>
        <v/>
      </c>
      <c r="F309" s="49" t="str">
        <f>IF(Produits!F309="","",Produits!F309)</f>
        <v>1 pcs</v>
      </c>
      <c r="J309" s="61" t="str">
        <f>IF($J$1="","",HLOOKUP($J$1,$M$1:$AAY$1000,309,0))</f>
        <v/>
      </c>
    </row>
    <row r="310" spans="1:10" x14ac:dyDescent="0.25">
      <c r="A310" s="4" t="str">
        <f>IF(Produits!A310="","",Produits!A310)</f>
        <v>Variflex</v>
      </c>
      <c r="B310" s="4" t="str">
        <f>IF(Produits!B310="","",Produits!B310)</f>
        <v>DT/DTZ</v>
      </c>
      <c r="C310" s="4" t="str">
        <f>IF(Produits!C310="","",Produits!C310)</f>
        <v>1000,00,0307</v>
      </c>
      <c r="D310" s="4" t="str">
        <f>IF(Produits!D310="","",Produits!D310)</f>
        <v>AA431</v>
      </c>
      <c r="E310" s="4" t="str">
        <f>IF(Produits!E310="","",Produits!E310)</f>
        <v/>
      </c>
      <c r="F310" s="49" t="str">
        <f>IF(Produits!F310="","",Produits!F310)</f>
        <v>1 pcs</v>
      </c>
      <c r="J310" s="61" t="str">
        <f>IF($J$1="","",HLOOKUP($J$1,$M$1:$AAY$1000,310,0))</f>
        <v/>
      </c>
    </row>
    <row r="311" spans="1:10" x14ac:dyDescent="0.25">
      <c r="A311" s="4" t="str">
        <f>IF(Produits!A311="","",Produits!A311)</f>
        <v>Variflex</v>
      </c>
      <c r="B311" s="4" t="str">
        <f>IF(Produits!B311="","",Produits!B311)</f>
        <v>DT/DTZ</v>
      </c>
      <c r="C311" s="4" t="str">
        <f>IF(Produits!C311="","",Produits!C311)</f>
        <v>1000,00,0308</v>
      </c>
      <c r="D311" s="4" t="str">
        <f>IF(Produits!D311="","",Produits!D311)</f>
        <v>AA432</v>
      </c>
      <c r="E311" s="4" t="str">
        <f>IF(Produits!E311="","",Produits!E311)</f>
        <v/>
      </c>
      <c r="F311" s="49" t="str">
        <f>IF(Produits!F311="","",Produits!F311)</f>
        <v>1 pcs</v>
      </c>
      <c r="J311" s="61" t="str">
        <f>IF($J$1="","",HLOOKUP($J$1,$M$1:$AAY$1000,311,0))</f>
        <v/>
      </c>
    </row>
    <row r="312" spans="1:10" x14ac:dyDescent="0.25">
      <c r="A312" s="4" t="str">
        <f>IF(Produits!A312="","",Produits!A312)</f>
        <v>Variflex</v>
      </c>
      <c r="B312" s="4" t="str">
        <f>IF(Produits!B312="","",Produits!B312)</f>
        <v>DT/DTZ</v>
      </c>
      <c r="C312" s="4" t="str">
        <f>IF(Produits!C312="","",Produits!C312)</f>
        <v>1000,00,0309</v>
      </c>
      <c r="D312" s="4" t="str">
        <f>IF(Produits!D312="","",Produits!D312)</f>
        <v>AA433</v>
      </c>
      <c r="E312" s="4" t="str">
        <f>IF(Produits!E312="","",Produits!E312)</f>
        <v/>
      </c>
      <c r="F312" s="49" t="str">
        <f>IF(Produits!F312="","",Produits!F312)</f>
        <v>1 pcs</v>
      </c>
      <c r="J312" s="61" t="str">
        <f>IF($J$1="","",HLOOKUP($J$1,$M$1:$AAY$1000,312,0))</f>
        <v/>
      </c>
    </row>
    <row r="313" spans="1:10" x14ac:dyDescent="0.25">
      <c r="A313" s="4" t="str">
        <f>IF(Produits!A313="","",Produits!A313)</f>
        <v>Variflex</v>
      </c>
      <c r="B313" s="4" t="str">
        <f>IF(Produits!B313="","",Produits!B313)</f>
        <v>DT/DTZ</v>
      </c>
      <c r="C313" s="4" t="str">
        <f>IF(Produits!C313="","",Produits!C313)</f>
        <v>1000,00,0310</v>
      </c>
      <c r="D313" s="4" t="str">
        <f>IF(Produits!D313="","",Produits!D313)</f>
        <v>AA434</v>
      </c>
      <c r="E313" s="4" t="str">
        <f>IF(Produits!E313="","",Produits!E313)</f>
        <v/>
      </c>
      <c r="F313" s="49" t="str">
        <f>IF(Produits!F313="","",Produits!F313)</f>
        <v>1 pcs</v>
      </c>
      <c r="J313" s="61" t="str">
        <f>IF($J$1="","",HLOOKUP($J$1,$M$1:$AAY$1000,313,0))</f>
        <v/>
      </c>
    </row>
    <row r="314" spans="1:10" x14ac:dyDescent="0.25">
      <c r="A314" s="4" t="str">
        <f>IF(Produits!A314="","",Produits!A314)</f>
        <v>Variflex</v>
      </c>
      <c r="B314" s="4" t="str">
        <f>IF(Produits!B314="","",Produits!B314)</f>
        <v>DT/DTZ</v>
      </c>
      <c r="C314" s="4" t="str">
        <f>IF(Produits!C314="","",Produits!C314)</f>
        <v>1000,00,0311</v>
      </c>
      <c r="D314" s="4" t="str">
        <f>IF(Produits!D314="","",Produits!D314)</f>
        <v>AA435</v>
      </c>
      <c r="E314" s="4" t="str">
        <f>IF(Produits!E314="","",Produits!E314)</f>
        <v/>
      </c>
      <c r="F314" s="49" t="str">
        <f>IF(Produits!F314="","",Produits!F314)</f>
        <v>1 pcs</v>
      </c>
      <c r="J314" s="61" t="str">
        <f>IF($J$1="","",HLOOKUP($J$1,$M$1:$AAY$1000,314,0))</f>
        <v/>
      </c>
    </row>
    <row r="315" spans="1:10" x14ac:dyDescent="0.25">
      <c r="A315" s="4" t="str">
        <f>IF(Produits!A315="","",Produits!A315)</f>
        <v>Variflex</v>
      </c>
      <c r="B315" s="4" t="str">
        <f>IF(Produits!B315="","",Produits!B315)</f>
        <v>Semi-auto Execution</v>
      </c>
      <c r="C315" s="4" t="str">
        <f>IF(Produits!C315="","",Produits!C315)</f>
        <v>1000,00,0312</v>
      </c>
      <c r="D315" s="4" t="str">
        <f>IF(Produits!D315="","",Produits!D315)</f>
        <v>AA436</v>
      </c>
      <c r="E315" s="4" t="str">
        <f>IF(Produits!E315="","",Produits!E315)</f>
        <v/>
      </c>
      <c r="F315" s="49" t="str">
        <f>IF(Produits!F315="","",Produits!F315)</f>
        <v>1 pcs</v>
      </c>
      <c r="J315" s="61" t="str">
        <f>IF($J$1="","",HLOOKUP($J$1,$M$1:$AAY$1000,315,0))</f>
        <v/>
      </c>
    </row>
    <row r="316" spans="1:10" x14ac:dyDescent="0.25">
      <c r="A316" s="4" t="str">
        <f>IF(Produits!A316="","",Produits!A316)</f>
        <v>Variflex</v>
      </c>
      <c r="B316" s="4" t="str">
        <f>IF(Produits!B316="","",Produits!B316)</f>
        <v>Semi-auto Execution</v>
      </c>
      <c r="C316" s="4" t="str">
        <f>IF(Produits!C316="","",Produits!C316)</f>
        <v>1000,00,0313</v>
      </c>
      <c r="D316" s="4" t="str">
        <f>IF(Produits!D316="","",Produits!D316)</f>
        <v>AA437</v>
      </c>
      <c r="E316" s="4" t="str">
        <f>IF(Produits!E316="","",Produits!E316)</f>
        <v/>
      </c>
      <c r="F316" s="49" t="str">
        <f>IF(Produits!F316="","",Produits!F316)</f>
        <v>1 pcs</v>
      </c>
      <c r="J316" s="61" t="str">
        <f>IF($J$1="","",HLOOKUP($J$1,$M$1:$AAY$1000,316,0))</f>
        <v/>
      </c>
    </row>
    <row r="317" spans="1:10" x14ac:dyDescent="0.25">
      <c r="A317" s="4" t="str">
        <f>IF(Produits!A317="","",Produits!A317)</f>
        <v>Variflex</v>
      </c>
      <c r="B317" s="4" t="str">
        <f>IF(Produits!B317="","",Produits!B317)</f>
        <v>Semi-auto Execution</v>
      </c>
      <c r="C317" s="4" t="str">
        <f>IF(Produits!C317="","",Produits!C317)</f>
        <v>1000,00,0314</v>
      </c>
      <c r="D317" s="4" t="str">
        <f>IF(Produits!D317="","",Produits!D317)</f>
        <v>AA438</v>
      </c>
      <c r="E317" s="4" t="str">
        <f>IF(Produits!E317="","",Produits!E317)</f>
        <v/>
      </c>
      <c r="F317" s="49" t="str">
        <f>IF(Produits!F317="","",Produits!F317)</f>
        <v>1 pcs</v>
      </c>
      <c r="J317" s="61" t="str">
        <f>IF($J$1="","",HLOOKUP($J$1,$M$1:$AAY$1000,317,0))</f>
        <v/>
      </c>
    </row>
    <row r="318" spans="1:10" x14ac:dyDescent="0.25">
      <c r="A318" s="4" t="str">
        <f>IF(Produits!A318="","",Produits!A318)</f>
        <v>Variflex</v>
      </c>
      <c r="B318" s="4" t="str">
        <f>IF(Produits!B318="","",Produits!B318)</f>
        <v>Semi-auto Execution</v>
      </c>
      <c r="C318" s="4" t="str">
        <f>IF(Produits!C318="","",Produits!C318)</f>
        <v>1000,00,0315</v>
      </c>
      <c r="D318" s="4" t="str">
        <f>IF(Produits!D318="","",Produits!D318)</f>
        <v>AA439</v>
      </c>
      <c r="E318" s="4" t="str">
        <f>IF(Produits!E318="","",Produits!E318)</f>
        <v/>
      </c>
      <c r="F318" s="49" t="str">
        <f>IF(Produits!F318="","",Produits!F318)</f>
        <v>1 pcs</v>
      </c>
      <c r="J318" s="61" t="str">
        <f>IF($J$1="","",HLOOKUP($J$1,$M$1:$AAY$1000,318,0))</f>
        <v/>
      </c>
    </row>
    <row r="319" spans="1:10" x14ac:dyDescent="0.25">
      <c r="A319" s="4" t="str">
        <f>IF(Produits!A319="","",Produits!A319)</f>
        <v>Variflex</v>
      </c>
      <c r="B319" s="4" t="str">
        <f>IF(Produits!B319="","",Produits!B319)</f>
        <v>Semi-auto Execution</v>
      </c>
      <c r="C319" s="4" t="str">
        <f>IF(Produits!C319="","",Produits!C319)</f>
        <v>1000,00,0316</v>
      </c>
      <c r="D319" s="4" t="str">
        <f>IF(Produits!D319="","",Produits!D319)</f>
        <v>AA440</v>
      </c>
      <c r="E319" s="4" t="str">
        <f>IF(Produits!E319="","",Produits!E319)</f>
        <v/>
      </c>
      <c r="F319" s="49" t="str">
        <f>IF(Produits!F319="","",Produits!F319)</f>
        <v>1 pcs</v>
      </c>
      <c r="J319" s="61" t="str">
        <f>IF($J$1="","",HLOOKUP($J$1,$M$1:$AAY$1000,319,0))</f>
        <v/>
      </c>
    </row>
    <row r="320" spans="1:10" x14ac:dyDescent="0.25">
      <c r="A320" s="4" t="str">
        <f>IF(Produits!A320="","",Produits!A320)</f>
        <v>Variflex</v>
      </c>
      <c r="B320" s="4" t="str">
        <f>IF(Produits!B320="","",Produits!B320)</f>
        <v>Semi-auto Execution</v>
      </c>
      <c r="C320" s="4" t="str">
        <f>IF(Produits!C320="","",Produits!C320)</f>
        <v>1000,00,0317</v>
      </c>
      <c r="D320" s="4" t="str">
        <f>IF(Produits!D320="","",Produits!D320)</f>
        <v>AA441</v>
      </c>
      <c r="E320" s="4" t="str">
        <f>IF(Produits!E320="","",Produits!E320)</f>
        <v/>
      </c>
      <c r="F320" s="49" t="str">
        <f>IF(Produits!F320="","",Produits!F320)</f>
        <v>1 pcs</v>
      </c>
      <c r="J320" s="61" t="str">
        <f>IF($J$1="","",HLOOKUP($J$1,$M$1:$AAY$1000,320,0))</f>
        <v/>
      </c>
    </row>
    <row r="321" spans="1:10" x14ac:dyDescent="0.25">
      <c r="A321" s="4" t="str">
        <f>IF(Produits!A321="","",Produits!A321)</f>
        <v>Variflex</v>
      </c>
      <c r="B321" s="4" t="str">
        <f>IF(Produits!B321="","",Produits!B321)</f>
        <v>Semi-auto Execution</v>
      </c>
      <c r="C321" s="4" t="str">
        <f>IF(Produits!C321="","",Produits!C321)</f>
        <v>1000,00,0318</v>
      </c>
      <c r="D321" s="4" t="str">
        <f>IF(Produits!D321="","",Produits!D321)</f>
        <v>AA442</v>
      </c>
      <c r="E321" s="4" t="str">
        <f>IF(Produits!E321="","",Produits!E321)</f>
        <v/>
      </c>
      <c r="F321" s="49" t="str">
        <f>IF(Produits!F321="","",Produits!F321)</f>
        <v>1 pcs</v>
      </c>
      <c r="J321" s="61" t="str">
        <f>IF($J$1="","",HLOOKUP($J$1,$M$1:$AAY$1000,321,0))</f>
        <v/>
      </c>
    </row>
    <row r="322" spans="1:10" x14ac:dyDescent="0.25">
      <c r="A322" s="4" t="str">
        <f>IF(Produits!A322="","",Produits!A322)</f>
        <v>Variflex</v>
      </c>
      <c r="B322" s="4" t="str">
        <f>IF(Produits!B322="","",Produits!B322)</f>
        <v>Semi-auto Execution</v>
      </c>
      <c r="C322" s="4" t="str">
        <f>IF(Produits!C322="","",Produits!C322)</f>
        <v>1000,00,0319</v>
      </c>
      <c r="D322" s="4" t="str">
        <f>IF(Produits!D322="","",Produits!D322)</f>
        <v>AA443</v>
      </c>
      <c r="E322" s="4" t="str">
        <f>IF(Produits!E322="","",Produits!E322)</f>
        <v/>
      </c>
      <c r="F322" s="49" t="str">
        <f>IF(Produits!F322="","",Produits!F322)</f>
        <v>1 pcs</v>
      </c>
      <c r="J322" s="61" t="str">
        <f>IF($J$1="","",HLOOKUP($J$1,$M$1:$AAY$1000,322,0))</f>
        <v/>
      </c>
    </row>
    <row r="323" spans="1:10" x14ac:dyDescent="0.25">
      <c r="A323" s="4" t="str">
        <f>IF(Produits!A323="","",Produits!A323)</f>
        <v>Variflex</v>
      </c>
      <c r="B323" s="4" t="str">
        <f>IF(Produits!B323="","",Produits!B323)</f>
        <v>Semi-auto Execution</v>
      </c>
      <c r="C323" s="4" t="str">
        <f>IF(Produits!C323="","",Produits!C323)</f>
        <v>1000,00,0320</v>
      </c>
      <c r="D323" s="4" t="str">
        <f>IF(Produits!D323="","",Produits!D323)</f>
        <v>AA444</v>
      </c>
      <c r="E323" s="4" t="str">
        <f>IF(Produits!E323="","",Produits!E323)</f>
        <v/>
      </c>
      <c r="F323" s="49" t="str">
        <f>IF(Produits!F323="","",Produits!F323)</f>
        <v>1 pcs</v>
      </c>
      <c r="J323" s="61" t="str">
        <f>IF($J$1="","",HLOOKUP($J$1,$M$1:$AAY$1000,323,0))</f>
        <v/>
      </c>
    </row>
    <row r="324" spans="1:10" x14ac:dyDescent="0.25">
      <c r="A324" s="4" t="str">
        <f>IF(Produits!A324="","",Produits!A324)</f>
        <v>Variflex</v>
      </c>
      <c r="B324" s="4" t="str">
        <f>IF(Produits!B324="","",Produits!B324)</f>
        <v>Semi-auto Execution</v>
      </c>
      <c r="C324" s="4" t="str">
        <f>IF(Produits!C324="","",Produits!C324)</f>
        <v>1000,00,0321</v>
      </c>
      <c r="D324" s="4" t="str">
        <f>IF(Produits!D324="","",Produits!D324)</f>
        <v>AA445</v>
      </c>
      <c r="E324" s="4" t="str">
        <f>IF(Produits!E324="","",Produits!E324)</f>
        <v/>
      </c>
      <c r="F324" s="49" t="str">
        <f>IF(Produits!F324="","",Produits!F324)</f>
        <v>1 pcs</v>
      </c>
      <c r="J324" s="61" t="str">
        <f>IF($J$1="","",HLOOKUP($J$1,$M$1:$AAY$1000,324,0))</f>
        <v/>
      </c>
    </row>
    <row r="325" spans="1:10" x14ac:dyDescent="0.25">
      <c r="A325" s="4" t="str">
        <f>IF(Produits!A325="","",Produits!A325)</f>
        <v>Variflex</v>
      </c>
      <c r="B325" s="4" t="str">
        <f>IF(Produits!B325="","",Produits!B325)</f>
        <v>Semi-auto Execution</v>
      </c>
      <c r="C325" s="4" t="str">
        <f>IF(Produits!C325="","",Produits!C325)</f>
        <v>1000,00,0322</v>
      </c>
      <c r="D325" s="4" t="str">
        <f>IF(Produits!D325="","",Produits!D325)</f>
        <v>AA446</v>
      </c>
      <c r="E325" s="4" t="str">
        <f>IF(Produits!E325="","",Produits!E325)</f>
        <v/>
      </c>
      <c r="F325" s="49" t="str">
        <f>IF(Produits!F325="","",Produits!F325)</f>
        <v>1 pcs</v>
      </c>
      <c r="J325" s="61" t="str">
        <f>IF($J$1="","",HLOOKUP($J$1,$M$1:$AAY$1000,325,0))</f>
        <v/>
      </c>
    </row>
    <row r="326" spans="1:10" x14ac:dyDescent="0.25">
      <c r="A326" s="4" t="str">
        <f>IF(Produits!A326="","",Produits!A326)</f>
        <v>Variflex</v>
      </c>
      <c r="B326" s="4" t="str">
        <f>IF(Produits!B326="","",Produits!B326)</f>
        <v>Divers</v>
      </c>
      <c r="C326" s="4" t="str">
        <f>IF(Produits!C326="","",Produits!C326)</f>
        <v>1000,00,0323</v>
      </c>
      <c r="D326" s="4" t="str">
        <f>IF(Produits!D326="","",Produits!D326)</f>
        <v>AA447</v>
      </c>
      <c r="E326" s="4" t="str">
        <f>IF(Produits!E326="","",Produits!E326)</f>
        <v/>
      </c>
      <c r="F326" s="49" t="str">
        <f>IF(Produits!F326="","",Produits!F326)</f>
        <v>1 pcs</v>
      </c>
      <c r="J326" s="61" t="str">
        <f>IF($J$1="","",HLOOKUP($J$1,$M$1:$AAY$1000,326,0))</f>
        <v/>
      </c>
    </row>
    <row r="327" spans="1:10" x14ac:dyDescent="0.25">
      <c r="A327" s="4" t="str">
        <f>IF(Produits!A327="","",Produits!A327)</f>
        <v>Variflex</v>
      </c>
      <c r="B327" s="4" t="str">
        <f>IF(Produits!B327="","",Produits!B327)</f>
        <v>Divers</v>
      </c>
      <c r="C327" s="4" t="str">
        <f>IF(Produits!C327="","",Produits!C327)</f>
        <v>1000,00,0324</v>
      </c>
      <c r="D327" s="4" t="str">
        <f>IF(Produits!D327="","",Produits!D327)</f>
        <v>AA448</v>
      </c>
      <c r="E327" s="4" t="str">
        <f>IF(Produits!E327="","",Produits!E327)</f>
        <v/>
      </c>
      <c r="F327" s="49" t="str">
        <f>IF(Produits!F327="","",Produits!F327)</f>
        <v>1 pcs</v>
      </c>
      <c r="J327" s="61" t="str">
        <f>IF($J$1="","",HLOOKUP($J$1,$M$1:$AAY$1000,327,0))</f>
        <v/>
      </c>
    </row>
    <row r="328" spans="1:10" x14ac:dyDescent="0.25">
      <c r="A328" s="4" t="str">
        <f>IF(Produits!A328="","",Produits!A328)</f>
        <v>Variflex</v>
      </c>
      <c r="B328" s="4" t="str">
        <f>IF(Produits!B328="","",Produits!B328)</f>
        <v>Divers</v>
      </c>
      <c r="C328" s="4" t="str">
        <f>IF(Produits!C328="","",Produits!C328)</f>
        <v>1000,00,0325</v>
      </c>
      <c r="D328" s="4" t="str">
        <f>IF(Produits!D328="","",Produits!D328)</f>
        <v>AA449</v>
      </c>
      <c r="E328" s="4" t="str">
        <f>IF(Produits!E328="","",Produits!E328)</f>
        <v/>
      </c>
      <c r="F328" s="49" t="str">
        <f>IF(Produits!F328="","",Produits!F328)</f>
        <v>1 pcs</v>
      </c>
      <c r="J328" s="61" t="str">
        <f>IF($J$1="","",HLOOKUP($J$1,$M$1:$AAY$1000,328,0))</f>
        <v/>
      </c>
    </row>
    <row r="329" spans="1:10" x14ac:dyDescent="0.25">
      <c r="A329" s="4" t="str">
        <f>IF(Produits!A329="","",Produits!A329)</f>
        <v>Variflex</v>
      </c>
      <c r="B329" s="4" t="str">
        <f>IF(Produits!B329="","",Produits!B329)</f>
        <v>Divers</v>
      </c>
      <c r="C329" s="4" t="str">
        <f>IF(Produits!C329="","",Produits!C329)</f>
        <v>1000,00,0326</v>
      </c>
      <c r="D329" s="4" t="str">
        <f>IF(Produits!D329="","",Produits!D329)</f>
        <v>AA450</v>
      </c>
      <c r="E329" s="4" t="str">
        <f>IF(Produits!E329="","",Produits!E329)</f>
        <v/>
      </c>
      <c r="F329" s="49" t="str">
        <f>IF(Produits!F329="","",Produits!F329)</f>
        <v>1 pcs</v>
      </c>
      <c r="J329" s="61" t="str">
        <f>IF($J$1="","",HLOOKUP($J$1,$M$1:$AAY$1000,329,0))</f>
        <v/>
      </c>
    </row>
    <row r="330" spans="1:10" x14ac:dyDescent="0.25">
      <c r="A330" s="4" t="str">
        <f>IF(Produits!A330="","",Produits!A330)</f>
        <v>Variflex</v>
      </c>
      <c r="B330" s="4" t="str">
        <f>IF(Produits!B330="","",Produits!B330)</f>
        <v>Divers</v>
      </c>
      <c r="C330" s="4" t="str">
        <f>IF(Produits!C330="","",Produits!C330)</f>
        <v>1000,00,0327</v>
      </c>
      <c r="D330" s="4" t="str">
        <f>IF(Produits!D330="","",Produits!D330)</f>
        <v>AA451</v>
      </c>
      <c r="E330" s="4" t="str">
        <f>IF(Produits!E330="","",Produits!E330)</f>
        <v/>
      </c>
      <c r="F330" s="49" t="str">
        <f>IF(Produits!F330="","",Produits!F330)</f>
        <v>1 pcs</v>
      </c>
      <c r="J330" s="61" t="str">
        <f>IF($J$1="","",HLOOKUP($J$1,$M$1:$AAY$1000,330,0))</f>
        <v/>
      </c>
    </row>
    <row r="331" spans="1:10" x14ac:dyDescent="0.25">
      <c r="A331" s="4" t="str">
        <f>IF(Produits!A331="","",Produits!A331)</f>
        <v>Variflex</v>
      </c>
      <c r="B331" s="4" t="str">
        <f>IF(Produits!B331="","",Produits!B331)</f>
        <v>Divers</v>
      </c>
      <c r="C331" s="4" t="str">
        <f>IF(Produits!C331="","",Produits!C331)</f>
        <v>1000,00,0328</v>
      </c>
      <c r="D331" s="4" t="str">
        <f>IF(Produits!D331="","",Produits!D331)</f>
        <v>AA452</v>
      </c>
      <c r="E331" s="4" t="str">
        <f>IF(Produits!E331="","",Produits!E331)</f>
        <v/>
      </c>
      <c r="F331" s="49" t="str">
        <f>IF(Produits!F331="","",Produits!F331)</f>
        <v>1 pcs</v>
      </c>
      <c r="J331" s="61" t="str">
        <f>IF($J$1="","",HLOOKUP($J$1,$M$1:$AAY$1000,331,0))</f>
        <v/>
      </c>
    </row>
    <row r="332" spans="1:10" x14ac:dyDescent="0.25">
      <c r="A332" s="4" t="str">
        <f>IF(Produits!A332="","",Produits!A332)</f>
        <v>Variflex</v>
      </c>
      <c r="B332" s="4" t="str">
        <f>IF(Produits!B332="","",Produits!B332)</f>
        <v>Divers</v>
      </c>
      <c r="C332" s="4" t="str">
        <f>IF(Produits!C332="","",Produits!C332)</f>
        <v>1000,00,0329</v>
      </c>
      <c r="D332" s="4" t="str">
        <f>IF(Produits!D332="","",Produits!D332)</f>
        <v>AA453</v>
      </c>
      <c r="E332" s="4" t="str">
        <f>IF(Produits!E332="","",Produits!E332)</f>
        <v/>
      </c>
      <c r="F332" s="49" t="str">
        <f>IF(Produits!F332="","",Produits!F332)</f>
        <v>1 pcs</v>
      </c>
      <c r="J332" s="61" t="str">
        <f>IF($J$1="","",HLOOKUP($J$1,$M$1:$AAY$1000,332,0))</f>
        <v/>
      </c>
    </row>
    <row r="333" spans="1:10" x14ac:dyDescent="0.25">
      <c r="A333" s="4" t="str">
        <f>IF(Produits!A333="","",Produits!A333)</f>
        <v>Variflex</v>
      </c>
      <c r="B333" s="4" t="str">
        <f>IF(Produits!B333="","",Produits!B333)</f>
        <v>Divers</v>
      </c>
      <c r="C333" s="4" t="str">
        <f>IF(Produits!C333="","",Produits!C333)</f>
        <v>1000,00,0330</v>
      </c>
      <c r="D333" s="4" t="str">
        <f>IF(Produits!D333="","",Produits!D333)</f>
        <v>AA454</v>
      </c>
      <c r="E333" s="4" t="str">
        <f>IF(Produits!E333="","",Produits!E333)</f>
        <v/>
      </c>
      <c r="F333" s="49" t="str">
        <f>IF(Produits!F333="","",Produits!F333)</f>
        <v>1 pcs</v>
      </c>
      <c r="J333" s="61" t="str">
        <f>IF($J$1="","",HLOOKUP($J$1,$M$1:$AAY$1000,333,0))</f>
        <v/>
      </c>
    </row>
    <row r="334" spans="1:10" x14ac:dyDescent="0.25">
      <c r="A334" s="4" t="str">
        <f>IF(Produits!A334="","",Produits!A334)</f>
        <v>Variflex</v>
      </c>
      <c r="B334" s="4" t="str">
        <f>IF(Produits!B334="","",Produits!B334)</f>
        <v>Divers</v>
      </c>
      <c r="C334" s="4" t="str">
        <f>IF(Produits!C334="","",Produits!C334)</f>
        <v>1000,00,0331</v>
      </c>
      <c r="D334" s="4" t="str">
        <f>IF(Produits!D334="","",Produits!D334)</f>
        <v>AA455</v>
      </c>
      <c r="E334" s="4" t="str">
        <f>IF(Produits!E334="","",Produits!E334)</f>
        <v/>
      </c>
      <c r="F334" s="49" t="str">
        <f>IF(Produits!F334="","",Produits!F334)</f>
        <v>1 pcs</v>
      </c>
      <c r="J334" s="61" t="str">
        <f>IF($J$1="","",HLOOKUP($J$1,$M$1:$AAY$1000,334,0))</f>
        <v/>
      </c>
    </row>
    <row r="335" spans="1:10" x14ac:dyDescent="0.25">
      <c r="A335" s="4" t="str">
        <f>IF(Produits!A335="","",Produits!A335)</f>
        <v>Variflex</v>
      </c>
      <c r="B335" s="4" t="str">
        <f>IF(Produits!B335="","",Produits!B335)</f>
        <v>Divers</v>
      </c>
      <c r="C335" s="4" t="str">
        <f>IF(Produits!C335="","",Produits!C335)</f>
        <v>1000,00,0332</v>
      </c>
      <c r="D335" s="4" t="str">
        <f>IF(Produits!D335="","",Produits!D335)</f>
        <v>AA456</v>
      </c>
      <c r="E335" s="4" t="str">
        <f>IF(Produits!E335="","",Produits!E335)</f>
        <v/>
      </c>
      <c r="F335" s="49" t="str">
        <f>IF(Produits!F335="","",Produits!F335)</f>
        <v>1 pcs</v>
      </c>
      <c r="J335" s="61" t="str">
        <f>IF($J$1="","",HLOOKUP($J$1,$M$1:$AAY$1000,335,0))</f>
        <v/>
      </c>
    </row>
    <row r="336" spans="1:10" x14ac:dyDescent="0.25">
      <c r="A336" s="4" t="str">
        <f>IF(Produits!A336="","",Produits!A336)</f>
        <v>Variflex</v>
      </c>
      <c r="B336" s="4" t="str">
        <f>IF(Produits!B336="","",Produits!B336)</f>
        <v>Divers</v>
      </c>
      <c r="C336" s="4" t="str">
        <f>IF(Produits!C336="","",Produits!C336)</f>
        <v>1000,00,0333</v>
      </c>
      <c r="D336" s="4" t="str">
        <f>IF(Produits!D336="","",Produits!D336)</f>
        <v>AA457</v>
      </c>
      <c r="E336" s="4" t="str">
        <f>IF(Produits!E336="","",Produits!E336)</f>
        <v/>
      </c>
      <c r="F336" s="49" t="str">
        <f>IF(Produits!F336="","",Produits!F336)</f>
        <v>1 pcs</v>
      </c>
      <c r="J336" s="61" t="str">
        <f>IF($J$1="","",HLOOKUP($J$1,$M$1:$AAY$1000,336,0))</f>
        <v/>
      </c>
    </row>
    <row r="337" spans="1:10" x14ac:dyDescent="0.25">
      <c r="A337" s="4" t="str">
        <f>IF(Produits!A337="","",Produits!A337)</f>
        <v>Variflex</v>
      </c>
      <c r="B337" s="4" t="str">
        <f>IF(Produits!B337="","",Produits!B337)</f>
        <v>Divers</v>
      </c>
      <c r="C337" s="4" t="str">
        <f>IF(Produits!C337="","",Produits!C337)</f>
        <v>1000,00,0334</v>
      </c>
      <c r="D337" s="4" t="str">
        <f>IF(Produits!D337="","",Produits!D337)</f>
        <v>AA458</v>
      </c>
      <c r="E337" s="4" t="str">
        <f>IF(Produits!E337="","",Produits!E337)</f>
        <v/>
      </c>
      <c r="F337" s="49" t="str">
        <f>IF(Produits!F337="","",Produits!F337)</f>
        <v>1 pcs</v>
      </c>
      <c r="J337" s="61" t="str">
        <f>IF($J$1="","",HLOOKUP($J$1,$M$1:$AAY$1000,337,0))</f>
        <v/>
      </c>
    </row>
    <row r="338" spans="1:10" x14ac:dyDescent="0.25">
      <c r="A338" s="4" t="str">
        <f>IF(Produits!A338="","",Produits!A338)</f>
        <v>Variflex</v>
      </c>
      <c r="B338" s="4" t="str">
        <f>IF(Produits!B338="","",Produits!B338)</f>
        <v>Divers</v>
      </c>
      <c r="C338" s="4" t="str">
        <f>IF(Produits!C338="","",Produits!C338)</f>
        <v>1000,00,0335</v>
      </c>
      <c r="D338" s="4" t="str">
        <f>IF(Produits!D338="","",Produits!D338)</f>
        <v>AA459</v>
      </c>
      <c r="E338" s="4" t="str">
        <f>IF(Produits!E338="","",Produits!E338)</f>
        <v/>
      </c>
      <c r="F338" s="49" t="str">
        <f>IF(Produits!F338="","",Produits!F338)</f>
        <v>1 pcs</v>
      </c>
      <c r="J338" s="61" t="str">
        <f>IF($J$1="","",HLOOKUP($J$1,$M$1:$AAY$1000,338,0))</f>
        <v/>
      </c>
    </row>
    <row r="339" spans="1:10" x14ac:dyDescent="0.25">
      <c r="A339" s="4" t="str">
        <f>IF(Produits!A339="","",Produits!A339)</f>
        <v>Variflex</v>
      </c>
      <c r="B339" s="4" t="str">
        <f>IF(Produits!B339="","",Produits!B339)</f>
        <v>Divers</v>
      </c>
      <c r="C339" s="4" t="str">
        <f>IF(Produits!C339="","",Produits!C339)</f>
        <v>1000,00,0336</v>
      </c>
      <c r="D339" s="4" t="str">
        <f>IF(Produits!D339="","",Produits!D339)</f>
        <v>AA460</v>
      </c>
      <c r="E339" s="4" t="str">
        <f>IF(Produits!E339="","",Produits!E339)</f>
        <v/>
      </c>
      <c r="F339" s="49" t="str">
        <f>IF(Produits!F339="","",Produits!F339)</f>
        <v>1 pcs</v>
      </c>
      <c r="J339" s="61" t="str">
        <f>IF($J$1="","",HLOOKUP($J$1,$M$1:$AAY$1000,339,0))</f>
        <v/>
      </c>
    </row>
    <row r="340" spans="1:10" x14ac:dyDescent="0.25">
      <c r="A340" s="4" t="str">
        <f>IF(Produits!A340="","",Produits!A340)</f>
        <v>Variflex</v>
      </c>
      <c r="B340" s="4" t="str">
        <f>IF(Produits!B340="","",Produits!B340)</f>
        <v>Divers</v>
      </c>
      <c r="C340" s="4" t="str">
        <f>IF(Produits!C340="","",Produits!C340)</f>
        <v>1000,00,0337</v>
      </c>
      <c r="D340" s="4" t="str">
        <f>IF(Produits!D340="","",Produits!D340)</f>
        <v>AA461</v>
      </c>
      <c r="E340" s="4" t="str">
        <f>IF(Produits!E340="","",Produits!E340)</f>
        <v/>
      </c>
      <c r="F340" s="49" t="str">
        <f>IF(Produits!F340="","",Produits!F340)</f>
        <v>1 pcs</v>
      </c>
      <c r="J340" s="61" t="str">
        <f>IF($J$1="","",HLOOKUP($J$1,$M$1:$AAY$1000,340,0))</f>
        <v/>
      </c>
    </row>
    <row r="341" spans="1:10" x14ac:dyDescent="0.25">
      <c r="A341" s="4" t="str">
        <f>IF(Produits!A341="","",Produits!A341)</f>
        <v>Variflex</v>
      </c>
      <c r="B341" s="4" t="str">
        <f>IF(Produits!B341="","",Produits!B341)</f>
        <v>Divers</v>
      </c>
      <c r="C341" s="4" t="str">
        <f>IF(Produits!C341="","",Produits!C341)</f>
        <v>1000,00,0338</v>
      </c>
      <c r="D341" s="4" t="str">
        <f>IF(Produits!D341="","",Produits!D341)</f>
        <v>AA462</v>
      </c>
      <c r="E341" s="4" t="str">
        <f>IF(Produits!E341="","",Produits!E341)</f>
        <v/>
      </c>
      <c r="F341" s="49" t="str">
        <f>IF(Produits!F341="","",Produits!F341)</f>
        <v>1 pcs</v>
      </c>
      <c r="J341" s="61" t="str">
        <f>IF($J$1="","",HLOOKUP($J$1,$M$1:$AAY$1000,341,0))</f>
        <v/>
      </c>
    </row>
    <row r="342" spans="1:10" x14ac:dyDescent="0.25">
      <c r="A342" s="4" t="str">
        <f>IF(Produits!A342="","",Produits!A342)</f>
        <v>Variflex</v>
      </c>
      <c r="B342" s="4" t="str">
        <f>IF(Produits!B342="","",Produits!B342)</f>
        <v>Divers</v>
      </c>
      <c r="C342" s="4" t="str">
        <f>IF(Produits!C342="","",Produits!C342)</f>
        <v>1000,00,0339</v>
      </c>
      <c r="D342" s="4" t="str">
        <f>IF(Produits!D342="","",Produits!D342)</f>
        <v>AA463</v>
      </c>
      <c r="E342" s="4" t="str">
        <f>IF(Produits!E342="","",Produits!E342)</f>
        <v/>
      </c>
      <c r="F342" s="49" t="str">
        <f>IF(Produits!F342="","",Produits!F342)</f>
        <v>1 pcs</v>
      </c>
      <c r="J342" s="61" t="str">
        <f>IF($J$1="","",HLOOKUP($J$1,$M$1:$AAY$1000,342,0))</f>
        <v/>
      </c>
    </row>
    <row r="343" spans="1:10" x14ac:dyDescent="0.25">
      <c r="A343" s="4" t="str">
        <f>IF(Produits!A343="","",Produits!A343)</f>
        <v>Variflex</v>
      </c>
      <c r="B343" s="4" t="str">
        <f>IF(Produits!B343="","",Produits!B343)</f>
        <v>Divers</v>
      </c>
      <c r="C343" s="4" t="str">
        <f>IF(Produits!C343="","",Produits!C343)</f>
        <v>1000,00,0340</v>
      </c>
      <c r="D343" s="4" t="str">
        <f>IF(Produits!D343="","",Produits!D343)</f>
        <v>AA464</v>
      </c>
      <c r="E343" s="4" t="str">
        <f>IF(Produits!E343="","",Produits!E343)</f>
        <v/>
      </c>
      <c r="F343" s="49" t="str">
        <f>IF(Produits!F343="","",Produits!F343)</f>
        <v>1 pcs</v>
      </c>
      <c r="J343" s="61" t="str">
        <f>IF($J$1="","",HLOOKUP($J$1,$M$1:$AAY$1000,343,0))</f>
        <v/>
      </c>
    </row>
    <row r="344" spans="1:10" x14ac:dyDescent="0.25">
      <c r="A344" s="4" t="str">
        <f>IF(Produits!A344="","",Produits!A344)</f>
        <v>ComfortDrive</v>
      </c>
      <c r="B344" s="4" t="str">
        <f>IF(Produits!B344="","",Produits!B344)</f>
        <v>Ceiling Track</v>
      </c>
      <c r="C344" s="4" t="str">
        <f>IF(Produits!C344="","",Produits!C344)</f>
        <v>1000,00,0341</v>
      </c>
      <c r="D344" s="4" t="str">
        <f>IF(Produits!D344="","",Produits!D344)</f>
        <v>AA465</v>
      </c>
      <c r="E344" s="4" t="str">
        <f>IF(Produits!E344="","",Produits!E344)</f>
        <v/>
      </c>
      <c r="F344" s="49" t="str">
        <f>IF(Produits!F344="","",Produits!F344)</f>
        <v>1 pcs</v>
      </c>
      <c r="J344" s="61" t="str">
        <f>IF($J$1="","",HLOOKUP($J$1,$M$1:$AAY$1000,344,0))</f>
        <v/>
      </c>
    </row>
    <row r="345" spans="1:10" x14ac:dyDescent="0.25">
      <c r="A345" s="4" t="str">
        <f>IF(Produits!A345="","",Produits!A345)</f>
        <v>ComfortDrive</v>
      </c>
      <c r="B345" s="4" t="str">
        <f>IF(Produits!B345="","",Produits!B345)</f>
        <v>Ceiling Track</v>
      </c>
      <c r="C345" s="4" t="str">
        <f>IF(Produits!C345="","",Produits!C345)</f>
        <v>1000,00,0342</v>
      </c>
      <c r="D345" s="4" t="str">
        <f>IF(Produits!D345="","",Produits!D345)</f>
        <v>AA466</v>
      </c>
      <c r="E345" s="4" t="str">
        <f>IF(Produits!E345="","",Produits!E345)</f>
        <v/>
      </c>
      <c r="F345" s="49" t="str">
        <f>IF(Produits!F345="","",Produits!F345)</f>
        <v>1 pcs</v>
      </c>
      <c r="J345" s="61" t="str">
        <f>IF($J$1="","",HLOOKUP($J$1,$M$1:$AAY$1000,345,0))</f>
        <v/>
      </c>
    </row>
    <row r="346" spans="1:10" x14ac:dyDescent="0.25">
      <c r="A346" s="4" t="str">
        <f>IF(Produits!A346="","",Produits!A346)</f>
        <v>ComfortDrive</v>
      </c>
      <c r="B346" s="4" t="str">
        <f>IF(Produits!B346="","",Produits!B346)</f>
        <v>Ceiling Track</v>
      </c>
      <c r="C346" s="4" t="str">
        <f>IF(Produits!C346="","",Produits!C346)</f>
        <v>1000,00,0343</v>
      </c>
      <c r="D346" s="4" t="str">
        <f>IF(Produits!D346="","",Produits!D346)</f>
        <v>AA467</v>
      </c>
      <c r="E346" s="4" t="str">
        <f>IF(Produits!E346="","",Produits!E346)</f>
        <v/>
      </c>
      <c r="F346" s="49" t="str">
        <f>IF(Produits!F346="","",Produits!F346)</f>
        <v>1 pcs</v>
      </c>
      <c r="J346" s="61" t="str">
        <f>IF($J$1="","",HLOOKUP($J$1,$M$1:$AAY$1000,346,0))</f>
        <v/>
      </c>
    </row>
    <row r="347" spans="1:10" x14ac:dyDescent="0.25">
      <c r="A347" s="4" t="str">
        <f>IF(Produits!A347="","",Produits!A347)</f>
        <v>ComfortDrive</v>
      </c>
      <c r="B347" s="4" t="str">
        <f>IF(Produits!B347="","",Produits!B347)</f>
        <v>Ceiling Track</v>
      </c>
      <c r="C347" s="4" t="str">
        <f>IF(Produits!C347="","",Produits!C347)</f>
        <v>1000,00,0344</v>
      </c>
      <c r="D347" s="4" t="str">
        <f>IF(Produits!D347="","",Produits!D347)</f>
        <v>AA468</v>
      </c>
      <c r="E347" s="4" t="str">
        <f>IF(Produits!E347="","",Produits!E347)</f>
        <v/>
      </c>
      <c r="F347" s="49" t="str">
        <f>IF(Produits!F347="","",Produits!F347)</f>
        <v>1 pcs</v>
      </c>
      <c r="J347" s="61" t="str">
        <f>IF($J$1="","",HLOOKUP($J$1,$M$1:$AAY$1000,347,0))</f>
        <v/>
      </c>
    </row>
    <row r="348" spans="1:10" x14ac:dyDescent="0.25">
      <c r="A348" s="4" t="str">
        <f>IF(Produits!A348="","",Produits!A348)</f>
        <v>ComfortDrive</v>
      </c>
      <c r="B348" s="4" t="str">
        <f>IF(Produits!B348="","",Produits!B348)</f>
        <v>Ceiling Track</v>
      </c>
      <c r="C348" s="4" t="str">
        <f>IF(Produits!C348="","",Produits!C348)</f>
        <v>1000,00,0345</v>
      </c>
      <c r="D348" s="4" t="str">
        <f>IF(Produits!D348="","",Produits!D348)</f>
        <v>AA469</v>
      </c>
      <c r="E348" s="4" t="str">
        <f>IF(Produits!E348="","",Produits!E348)</f>
        <v/>
      </c>
      <c r="F348" s="49" t="str">
        <f>IF(Produits!F348="","",Produits!F348)</f>
        <v>1 pcs</v>
      </c>
      <c r="J348" s="61" t="str">
        <f>IF($J$1="","",HLOOKUP($J$1,$M$1:$AAY$1000,348,0))</f>
        <v/>
      </c>
    </row>
    <row r="349" spans="1:10" x14ac:dyDescent="0.25">
      <c r="A349" s="4" t="str">
        <f>IF(Produits!A349="","",Produits!A349)</f>
        <v>ComfortDrive</v>
      </c>
      <c r="B349" s="4" t="str">
        <f>IF(Produits!B349="","",Produits!B349)</f>
        <v>Ceiling Track</v>
      </c>
      <c r="C349" s="4" t="str">
        <f>IF(Produits!C349="","",Produits!C349)</f>
        <v>1000,00,0346</v>
      </c>
      <c r="D349" s="4" t="str">
        <f>IF(Produits!D349="","",Produits!D349)</f>
        <v>AA470</v>
      </c>
      <c r="E349" s="4" t="str">
        <f>IF(Produits!E349="","",Produits!E349)</f>
        <v/>
      </c>
      <c r="F349" s="49" t="str">
        <f>IF(Produits!F349="","",Produits!F349)</f>
        <v>1 pcs</v>
      </c>
      <c r="J349" s="61" t="str">
        <f>IF($J$1="","",HLOOKUP($J$1,$M$1:$AAY$1000,349,0))</f>
        <v/>
      </c>
    </row>
    <row r="350" spans="1:10" x14ac:dyDescent="0.25">
      <c r="A350" s="4" t="str">
        <f>IF(Produits!A350="","",Produits!A350)</f>
        <v>ComfortDrive</v>
      </c>
      <c r="B350" s="4" t="str">
        <f>IF(Produits!B350="","",Produits!B350)</f>
        <v>Ceiling Track</v>
      </c>
      <c r="C350" s="4" t="str">
        <f>IF(Produits!C350="","",Produits!C350)</f>
        <v>1000,00,0347</v>
      </c>
      <c r="D350" s="4" t="str">
        <f>IF(Produits!D350="","",Produits!D350)</f>
        <v>AA471</v>
      </c>
      <c r="E350" s="4" t="str">
        <f>IF(Produits!E350="","",Produits!E350)</f>
        <v/>
      </c>
      <c r="F350" s="49" t="str">
        <f>IF(Produits!F350="","",Produits!F350)</f>
        <v>1 pcs</v>
      </c>
      <c r="J350" s="61" t="str">
        <f>IF($J$1="","",HLOOKUP($J$1,$M$1:$AAY$1000,350,0))</f>
        <v/>
      </c>
    </row>
    <row r="351" spans="1:10" x14ac:dyDescent="0.25">
      <c r="A351" s="4" t="str">
        <f>IF(Produits!A351="","",Produits!A351)</f>
        <v>ComfortDrive</v>
      </c>
      <c r="B351" s="4" t="str">
        <f>IF(Produits!B351="","",Produits!B351)</f>
        <v>Element</v>
      </c>
      <c r="C351" s="4" t="str">
        <f>IF(Produits!C351="","",Produits!C351)</f>
        <v>1000,00,0348</v>
      </c>
      <c r="D351" s="4" t="str">
        <f>IF(Produits!D351="","",Produits!D351)</f>
        <v>AA472</v>
      </c>
      <c r="E351" s="4" t="str">
        <f>IF(Produits!E351="","",Produits!E351)</f>
        <v/>
      </c>
      <c r="F351" s="49" t="str">
        <f>IF(Produits!F351="","",Produits!F351)</f>
        <v>1 pcs</v>
      </c>
      <c r="J351" s="61" t="str">
        <f>IF($J$1="","",HLOOKUP($J$1,$M$1:$AAY$1000,351,0))</f>
        <v/>
      </c>
    </row>
    <row r="352" spans="1:10" x14ac:dyDescent="0.25">
      <c r="A352" s="4" t="str">
        <f>IF(Produits!A352="","",Produits!A352)</f>
        <v>ComfortDrive</v>
      </c>
      <c r="B352" s="4" t="str">
        <f>IF(Produits!B352="","",Produits!B352)</f>
        <v>Element</v>
      </c>
      <c r="C352" s="4" t="str">
        <f>IF(Produits!C352="","",Produits!C352)</f>
        <v>1000,00,0349</v>
      </c>
      <c r="D352" s="4" t="str">
        <f>IF(Produits!D352="","",Produits!D352)</f>
        <v>AA473</v>
      </c>
      <c r="E352" s="4" t="str">
        <f>IF(Produits!E352="","",Produits!E352)</f>
        <v/>
      </c>
      <c r="F352" s="49" t="str">
        <f>IF(Produits!F352="","",Produits!F352)</f>
        <v>1 pcs</v>
      </c>
      <c r="J352" s="61" t="str">
        <f>IF($J$1="","",HLOOKUP($J$1,$M$1:$AAY$1000,352,0))</f>
        <v/>
      </c>
    </row>
    <row r="353" spans="1:10" x14ac:dyDescent="0.25">
      <c r="A353" s="4" t="str">
        <f>IF(Produits!A353="","",Produits!A353)</f>
        <v>ComfortDrive</v>
      </c>
      <c r="B353" s="4" t="str">
        <f>IF(Produits!B353="","",Produits!B353)</f>
        <v>Element</v>
      </c>
      <c r="C353" s="4" t="str">
        <f>IF(Produits!C353="","",Produits!C353)</f>
        <v>1000,00,0350</v>
      </c>
      <c r="D353" s="4" t="str">
        <f>IF(Produits!D353="","",Produits!D353)</f>
        <v>AA474</v>
      </c>
      <c r="E353" s="4" t="str">
        <f>IF(Produits!E353="","",Produits!E353)</f>
        <v/>
      </c>
      <c r="F353" s="49" t="str">
        <f>IF(Produits!F353="","",Produits!F353)</f>
        <v>1 pcs</v>
      </c>
      <c r="J353" s="61" t="str">
        <f>IF($J$1="","",HLOOKUP($J$1,$M$1:$AAY$1000,353,0))</f>
        <v/>
      </c>
    </row>
    <row r="354" spans="1:10" x14ac:dyDescent="0.25">
      <c r="A354" s="4" t="str">
        <f>IF(Produits!A354="","",Produits!A354)</f>
        <v>ComfortDrive</v>
      </c>
      <c r="B354" s="4" t="str">
        <f>IF(Produits!B354="","",Produits!B354)</f>
        <v>Contrôle</v>
      </c>
      <c r="C354" s="4" t="str">
        <f>IF(Produits!C354="","",Produits!C354)</f>
        <v>1000,00,0351</v>
      </c>
      <c r="D354" s="4" t="str">
        <f>IF(Produits!D354="","",Produits!D354)</f>
        <v>AA475</v>
      </c>
      <c r="E354" s="4" t="str">
        <f>IF(Produits!E354="","",Produits!E354)</f>
        <v/>
      </c>
      <c r="F354" s="49" t="str">
        <f>IF(Produits!F354="","",Produits!F354)</f>
        <v>1 pcs</v>
      </c>
      <c r="J354" s="61" t="str">
        <f>IF($J$1="","",HLOOKUP($J$1,$M$1:$AAY$1000,354,0))</f>
        <v/>
      </c>
    </row>
    <row r="355" spans="1:10" x14ac:dyDescent="0.25">
      <c r="A355" s="4" t="str">
        <f>IF(Produits!A355="","",Produits!A355)</f>
        <v>ComfortDrive</v>
      </c>
      <c r="B355" s="4" t="str">
        <f>IF(Produits!B355="","",Produits!B355)</f>
        <v>Contrôle</v>
      </c>
      <c r="C355" s="4" t="str">
        <f>IF(Produits!C355="","",Produits!C355)</f>
        <v>1000,00,0352</v>
      </c>
      <c r="D355" s="4" t="str">
        <f>IF(Produits!D355="","",Produits!D355)</f>
        <v>AA476</v>
      </c>
      <c r="E355" s="4" t="str">
        <f>IF(Produits!E355="","",Produits!E355)</f>
        <v/>
      </c>
      <c r="F355" s="49" t="str">
        <f>IF(Produits!F355="","",Produits!F355)</f>
        <v>1 pcs</v>
      </c>
      <c r="J355" s="61" t="str">
        <f>IF($J$1="","",HLOOKUP($J$1,$M$1:$AAY$1000,355,0))</f>
        <v/>
      </c>
    </row>
    <row r="356" spans="1:10" x14ac:dyDescent="0.25">
      <c r="A356" s="4" t="str">
        <f>IF(Produits!A356="","",Produits!A356)</f>
        <v>ComfortDrive</v>
      </c>
      <c r="B356" s="4" t="str">
        <f>IF(Produits!B356="","",Produits!B356)</f>
        <v>Contrôle</v>
      </c>
      <c r="C356" s="4" t="str">
        <f>IF(Produits!C356="","",Produits!C356)</f>
        <v>1000,00,0353</v>
      </c>
      <c r="D356" s="4" t="str">
        <f>IF(Produits!D356="","",Produits!D356)</f>
        <v>AA477</v>
      </c>
      <c r="E356" s="4" t="str">
        <f>IF(Produits!E356="","",Produits!E356)</f>
        <v/>
      </c>
      <c r="F356" s="49" t="str">
        <f>IF(Produits!F356="","",Produits!F356)</f>
        <v>1 pcs</v>
      </c>
      <c r="J356" s="61" t="str">
        <f>IF($J$1="","",HLOOKUP($J$1,$M$1:$AAY$1000,356,0))</f>
        <v/>
      </c>
    </row>
    <row r="357" spans="1:10" x14ac:dyDescent="0.25">
      <c r="A357" s="4" t="str">
        <f>IF(Produits!A357="","",Produits!A357)</f>
        <v>ComfortDrive</v>
      </c>
      <c r="B357" s="4" t="str">
        <f>IF(Produits!B357="","",Produits!B357)</f>
        <v>Contrôle</v>
      </c>
      <c r="C357" s="4" t="str">
        <f>IF(Produits!C357="","",Produits!C357)</f>
        <v>1000,00,0354</v>
      </c>
      <c r="D357" s="4" t="str">
        <f>IF(Produits!D357="","",Produits!D357)</f>
        <v>AA478</v>
      </c>
      <c r="E357" s="4" t="str">
        <f>IF(Produits!E357="","",Produits!E357)</f>
        <v/>
      </c>
      <c r="F357" s="49" t="str">
        <f>IF(Produits!F357="","",Produits!F357)</f>
        <v>1 pcs</v>
      </c>
      <c r="J357" s="61" t="str">
        <f>IF($J$1="","",HLOOKUP($J$1,$M$1:$AAY$1000,357,0))</f>
        <v/>
      </c>
    </row>
    <row r="358" spans="1:10" x14ac:dyDescent="0.25">
      <c r="A358" s="4" t="str">
        <f>IF(Produits!A358="","",Produits!A358)</f>
        <v>ComfortDrive</v>
      </c>
      <c r="B358" s="4" t="str">
        <f>IF(Produits!B358="","",Produits!B358)</f>
        <v>Câble</v>
      </c>
      <c r="C358" s="4" t="str">
        <f>IF(Produits!C358="","",Produits!C358)</f>
        <v>1000,00,0355</v>
      </c>
      <c r="D358" s="4" t="str">
        <f>IF(Produits!D358="","",Produits!D358)</f>
        <v>AA479</v>
      </c>
      <c r="E358" s="4" t="str">
        <f>IF(Produits!E358="","",Produits!E358)</f>
        <v/>
      </c>
      <c r="F358" s="49" t="str">
        <f>IF(Produits!F358="","",Produits!F358)</f>
        <v>1 pcs</v>
      </c>
      <c r="J358" s="61" t="str">
        <f>IF($J$1="","",HLOOKUP($J$1,$M$1:$AAY$1000,358,0))</f>
        <v/>
      </c>
    </row>
    <row r="359" spans="1:10" x14ac:dyDescent="0.25">
      <c r="A359" s="4" t="str">
        <f>IF(Produits!A359="","",Produits!A359)</f>
        <v>ComfortDrive</v>
      </c>
      <c r="B359" s="4" t="str">
        <f>IF(Produits!B359="","",Produits!B359)</f>
        <v>Câble</v>
      </c>
      <c r="C359" s="4" t="str">
        <f>IF(Produits!C359="","",Produits!C359)</f>
        <v>1000,00,0356</v>
      </c>
      <c r="D359" s="4" t="str">
        <f>IF(Produits!D359="","",Produits!D359)</f>
        <v>AA480</v>
      </c>
      <c r="E359" s="4" t="str">
        <f>IF(Produits!E359="","",Produits!E359)</f>
        <v/>
      </c>
      <c r="F359" s="49" t="str">
        <f>IF(Produits!F359="","",Produits!F359)</f>
        <v>1 pcs</v>
      </c>
      <c r="J359" s="61" t="str">
        <f>IF($J$1="","",HLOOKUP($J$1,$M$1:$AAY$1000,359,0))</f>
        <v/>
      </c>
    </row>
    <row r="360" spans="1:10" x14ac:dyDescent="0.25">
      <c r="A360" s="4" t="str">
        <f>IF(Produits!A360="","",Produits!A360)</f>
        <v>ComfortDrive</v>
      </c>
      <c r="B360" s="4" t="str">
        <f>IF(Produits!B360="","",Produits!B360)</f>
        <v>Câble</v>
      </c>
      <c r="C360" s="4" t="str">
        <f>IF(Produits!C360="","",Produits!C360)</f>
        <v>1000,00,0357</v>
      </c>
      <c r="D360" s="4" t="str">
        <f>IF(Produits!D360="","",Produits!D360)</f>
        <v>AA481</v>
      </c>
      <c r="E360" s="4" t="str">
        <f>IF(Produits!E360="","",Produits!E360)</f>
        <v/>
      </c>
      <c r="F360" s="49" t="str">
        <f>IF(Produits!F360="","",Produits!F360)</f>
        <v>1 pcs</v>
      </c>
      <c r="J360" s="61" t="str">
        <f>IF($J$1="","",HLOOKUP($J$1,$M$1:$AAY$1000,360,0))</f>
        <v/>
      </c>
    </row>
    <row r="361" spans="1:10" x14ac:dyDescent="0.25">
      <c r="A361" s="4" t="str">
        <f>IF(Produits!A361="","",Produits!A361)</f>
        <v>ComfortDrive</v>
      </c>
      <c r="B361" s="4" t="str">
        <f>IF(Produits!B361="","",Produits!B361)</f>
        <v>Câble</v>
      </c>
      <c r="C361" s="4" t="str">
        <f>IF(Produits!C361="","",Produits!C361)</f>
        <v>1000,00,0358</v>
      </c>
      <c r="D361" s="4" t="str">
        <f>IF(Produits!D361="","",Produits!D361)</f>
        <v>AA482</v>
      </c>
      <c r="E361" s="4" t="str">
        <f>IF(Produits!E361="","",Produits!E361)</f>
        <v/>
      </c>
      <c r="F361" s="49" t="str">
        <f>IF(Produits!F361="","",Produits!F361)</f>
        <v>1 pcs</v>
      </c>
      <c r="J361" s="61" t="str">
        <f>IF($J$1="","",HLOOKUP($J$1,$M$1:$AAY$1000,361,0))</f>
        <v/>
      </c>
    </row>
    <row r="362" spans="1:10" x14ac:dyDescent="0.25">
      <c r="A362" s="4" t="str">
        <f>IF(Produits!A362="","",Produits!A362)</f>
        <v>ComfortDrive</v>
      </c>
      <c r="B362" s="4" t="str">
        <f>IF(Produits!B362="","",Produits!B362)</f>
        <v>Câble</v>
      </c>
      <c r="C362" s="4" t="str">
        <f>IF(Produits!C362="","",Produits!C362)</f>
        <v>1000,00,0359</v>
      </c>
      <c r="D362" s="4" t="str">
        <f>IF(Produits!D362="","",Produits!D362)</f>
        <v>AA483</v>
      </c>
      <c r="E362" s="4" t="str">
        <f>IF(Produits!E362="","",Produits!E362)</f>
        <v/>
      </c>
      <c r="F362" s="49" t="str">
        <f>IF(Produits!F362="","",Produits!F362)</f>
        <v>1 pcs</v>
      </c>
      <c r="J362" s="61" t="str">
        <f>IF($J$1="","",HLOOKUP($J$1,$M$1:$AAY$1000,362,0))</f>
        <v/>
      </c>
    </row>
    <row r="363" spans="1:10" x14ac:dyDescent="0.25">
      <c r="A363" s="4" t="str">
        <f>IF(Produits!A363="","",Produits!A363)</f>
        <v>ComfortDrive</v>
      </c>
      <c r="B363" s="4" t="str">
        <f>IF(Produits!B363="","",Produits!B363)</f>
        <v>Câble</v>
      </c>
      <c r="C363" s="4" t="str">
        <f>IF(Produits!C363="","",Produits!C363)</f>
        <v>1000,00,0360</v>
      </c>
      <c r="D363" s="4" t="str">
        <f>IF(Produits!D363="","",Produits!D363)</f>
        <v>AA484</v>
      </c>
      <c r="E363" s="4" t="str">
        <f>IF(Produits!E363="","",Produits!E363)</f>
        <v/>
      </c>
      <c r="F363" s="49" t="str">
        <f>IF(Produits!F363="","",Produits!F363)</f>
        <v>1 pcs</v>
      </c>
      <c r="J363" s="61" t="str">
        <f>IF($J$1="","",HLOOKUP($J$1,$M$1:$AAY$1000,363,0))</f>
        <v/>
      </c>
    </row>
    <row r="364" spans="1:10" x14ac:dyDescent="0.25">
      <c r="A364" s="4" t="str">
        <f>IF(Produits!A364="","",Produits!A364)</f>
        <v>ComfortDrive</v>
      </c>
      <c r="B364" s="4" t="str">
        <f>IF(Produits!B364="","",Produits!B364)</f>
        <v>Câble</v>
      </c>
      <c r="C364" s="4" t="str">
        <f>IF(Produits!C364="","",Produits!C364)</f>
        <v>1000,00,0361</v>
      </c>
      <c r="D364" s="4" t="str">
        <f>IF(Produits!D364="","",Produits!D364)</f>
        <v>AA485</v>
      </c>
      <c r="E364" s="4" t="str">
        <f>IF(Produits!E364="","",Produits!E364)</f>
        <v/>
      </c>
      <c r="F364" s="49" t="str">
        <f>IF(Produits!F364="","",Produits!F364)</f>
        <v>1 pcs</v>
      </c>
      <c r="J364" s="61" t="str">
        <f>IF($J$1="","",HLOOKUP($J$1,$M$1:$AAY$1000,364,0))</f>
        <v/>
      </c>
    </row>
    <row r="365" spans="1:10" x14ac:dyDescent="0.25">
      <c r="A365" s="4" t="str">
        <f>IF(Produits!A365="","",Produits!A365)</f>
        <v>ComfortDrive</v>
      </c>
      <c r="B365" s="4" t="str">
        <f>IF(Produits!B365="","",Produits!B365)</f>
        <v>Câble</v>
      </c>
      <c r="C365" s="4" t="str">
        <f>IF(Produits!C365="","",Produits!C365)</f>
        <v>1000,00,0362</v>
      </c>
      <c r="D365" s="4" t="str">
        <f>IF(Produits!D365="","",Produits!D365)</f>
        <v>AA486</v>
      </c>
      <c r="E365" s="4" t="str">
        <f>IF(Produits!E365="","",Produits!E365)</f>
        <v/>
      </c>
      <c r="F365" s="49" t="str">
        <f>IF(Produits!F365="","",Produits!F365)</f>
        <v>1 pcs</v>
      </c>
      <c r="J365" s="61" t="str">
        <f>IF($J$1="","",HLOOKUP($J$1,$M$1:$AAY$1000,365,0))</f>
        <v/>
      </c>
    </row>
    <row r="366" spans="1:10" x14ac:dyDescent="0.25">
      <c r="A366" s="4" t="str">
        <f>IF(Produits!A366="","",Produits!A366)</f>
        <v>ComfortDrive</v>
      </c>
      <c r="B366" s="4" t="str">
        <f>IF(Produits!B366="","",Produits!B366)</f>
        <v>Câble</v>
      </c>
      <c r="C366" s="4" t="str">
        <f>IF(Produits!C366="","",Produits!C366)</f>
        <v>1000,00,0363</v>
      </c>
      <c r="D366" s="4" t="str">
        <f>IF(Produits!D366="","",Produits!D366)</f>
        <v>AA487</v>
      </c>
      <c r="E366" s="4" t="str">
        <f>IF(Produits!E366="","",Produits!E366)</f>
        <v/>
      </c>
      <c r="F366" s="49" t="str">
        <f>IF(Produits!F366="","",Produits!F366)</f>
        <v>1 pcs</v>
      </c>
      <c r="J366" s="61" t="str">
        <f>IF($J$1="","",HLOOKUP($J$1,$M$1:$AAY$1000,366,0))</f>
        <v/>
      </c>
    </row>
    <row r="367" spans="1:10" x14ac:dyDescent="0.25">
      <c r="A367" s="4" t="str">
        <f>IF(Produits!A367="","",Produits!A367)</f>
        <v>ComfortDrive</v>
      </c>
      <c r="B367" s="4" t="str">
        <f>IF(Produits!B367="","",Produits!B367)</f>
        <v>Câble</v>
      </c>
      <c r="C367" s="4" t="str">
        <f>IF(Produits!C367="","",Produits!C367)</f>
        <v>1000,00,0364</v>
      </c>
      <c r="D367" s="4" t="str">
        <f>IF(Produits!D367="","",Produits!D367)</f>
        <v>AA488</v>
      </c>
      <c r="E367" s="4" t="str">
        <f>IF(Produits!E367="","",Produits!E367)</f>
        <v/>
      </c>
      <c r="F367" s="49" t="str">
        <f>IF(Produits!F367="","",Produits!F367)</f>
        <v>1 pcs</v>
      </c>
      <c r="J367" s="61" t="str">
        <f>IF($J$1="","",HLOOKUP($J$1,$M$1:$AAY$1000,367,0))</f>
        <v/>
      </c>
    </row>
    <row r="368" spans="1:10" x14ac:dyDescent="0.25">
      <c r="A368" s="4" t="str">
        <f>IF(Produits!A368="","",Produits!A368)</f>
        <v>ComfortDrive</v>
      </c>
      <c r="B368" s="4" t="str">
        <f>IF(Produits!B368="","",Produits!B368)</f>
        <v>Câble</v>
      </c>
      <c r="C368" s="4" t="str">
        <f>IF(Produits!C368="","",Produits!C368)</f>
        <v>1000,00,0365</v>
      </c>
      <c r="D368" s="4" t="str">
        <f>IF(Produits!D368="","",Produits!D368)</f>
        <v>AA489</v>
      </c>
      <c r="E368" s="4" t="str">
        <f>IF(Produits!E368="","",Produits!E368)</f>
        <v/>
      </c>
      <c r="F368" s="49" t="str">
        <f>IF(Produits!F368="","",Produits!F368)</f>
        <v>1 pcs</v>
      </c>
      <c r="J368" s="61" t="str">
        <f>IF($J$1="","",HLOOKUP($J$1,$M$1:$AAY$1000,368,0))</f>
        <v/>
      </c>
    </row>
    <row r="369" spans="1:10" x14ac:dyDescent="0.25">
      <c r="A369" s="4" t="str">
        <f>IF(Produits!A369="","",Produits!A369)</f>
        <v>ComfortDrive</v>
      </c>
      <c r="B369" s="4" t="str">
        <f>IF(Produits!B369="","",Produits!B369)</f>
        <v>Câble</v>
      </c>
      <c r="C369" s="4" t="str">
        <f>IF(Produits!C369="","",Produits!C369)</f>
        <v>1000,00,0366</v>
      </c>
      <c r="D369" s="4" t="str">
        <f>IF(Produits!D369="","",Produits!D369)</f>
        <v>AA490</v>
      </c>
      <c r="E369" s="4" t="str">
        <f>IF(Produits!E369="","",Produits!E369)</f>
        <v/>
      </c>
      <c r="F369" s="49" t="str">
        <f>IF(Produits!F369="","",Produits!F369)</f>
        <v>1 pcs</v>
      </c>
      <c r="J369" s="61" t="str">
        <f>IF($J$1="","",HLOOKUP($J$1,$M$1:$AAY$1000,369,0))</f>
        <v/>
      </c>
    </row>
    <row r="370" spans="1:10" x14ac:dyDescent="0.25">
      <c r="A370" s="4" t="str">
        <f>IF(Produits!A370="","",Produits!A370)</f>
        <v>ComfortDrive</v>
      </c>
      <c r="B370" s="4" t="str">
        <f>IF(Produits!B370="","",Produits!B370)</f>
        <v>Câble</v>
      </c>
      <c r="C370" s="4" t="str">
        <f>IF(Produits!C370="","",Produits!C370)</f>
        <v>1000,00,0367</v>
      </c>
      <c r="D370" s="4" t="str">
        <f>IF(Produits!D370="","",Produits!D370)</f>
        <v>AA491</v>
      </c>
      <c r="E370" s="4" t="str">
        <f>IF(Produits!E370="","",Produits!E370)</f>
        <v/>
      </c>
      <c r="F370" s="49" t="str">
        <f>IF(Produits!F370="","",Produits!F370)</f>
        <v>1 pcs</v>
      </c>
      <c r="J370" s="61" t="str">
        <f>IF($J$1="","",HLOOKUP($J$1,$M$1:$AAY$1000,370,0))</f>
        <v/>
      </c>
    </row>
    <row r="371" spans="1:10" x14ac:dyDescent="0.25">
      <c r="A371" s="4" t="str">
        <f>IF(Produits!A371="","",Produits!A371)</f>
        <v>ComfortDrive</v>
      </c>
      <c r="B371" s="4" t="str">
        <f>IF(Produits!B371="","",Produits!B371)</f>
        <v>Câble</v>
      </c>
      <c r="C371" s="4" t="str">
        <f>IF(Produits!C371="","",Produits!C371)</f>
        <v>1000,00,0368</v>
      </c>
      <c r="D371" s="4" t="str">
        <f>IF(Produits!D371="","",Produits!D371)</f>
        <v>AA492</v>
      </c>
      <c r="E371" s="4" t="str">
        <f>IF(Produits!E371="","",Produits!E371)</f>
        <v/>
      </c>
      <c r="F371" s="49" t="str">
        <f>IF(Produits!F371="","",Produits!F371)</f>
        <v>1 pcs</v>
      </c>
      <c r="J371" s="61" t="str">
        <f>IF($J$1="","",HLOOKUP($J$1,$M$1:$AAY$1000,371,0))</f>
        <v/>
      </c>
    </row>
    <row r="372" spans="1:10" x14ac:dyDescent="0.25">
      <c r="A372" s="4" t="str">
        <f>IF(Produits!A372="","",Produits!A372)</f>
        <v>ComfortDrive</v>
      </c>
      <c r="B372" s="4" t="str">
        <f>IF(Produits!B372="","",Produits!B372)</f>
        <v>Câble</v>
      </c>
      <c r="C372" s="4" t="str">
        <f>IF(Produits!C372="","",Produits!C372)</f>
        <v>1000,00,0369</v>
      </c>
      <c r="D372" s="4" t="str">
        <f>IF(Produits!D372="","",Produits!D372)</f>
        <v>AA493</v>
      </c>
      <c r="E372" s="4" t="str">
        <f>IF(Produits!E372="","",Produits!E372)</f>
        <v/>
      </c>
      <c r="F372" s="49" t="str">
        <f>IF(Produits!F372="","",Produits!F372)</f>
        <v>1 pcs</v>
      </c>
      <c r="J372" s="61" t="str">
        <f>IF($J$1="","",HLOOKUP($J$1,$M$1:$AAY$1000,372,0))</f>
        <v/>
      </c>
    </row>
    <row r="373" spans="1:10" x14ac:dyDescent="0.25">
      <c r="A373" s="4" t="str">
        <f>IF(Produits!A373="","",Produits!A373)</f>
        <v>ComfortDrive</v>
      </c>
      <c r="B373" s="4" t="str">
        <f>IF(Produits!B373="","",Produits!B373)</f>
        <v>Outils</v>
      </c>
      <c r="C373" s="4" t="str">
        <f>IF(Produits!C373="","",Produits!C373)</f>
        <v>1000,00,0370</v>
      </c>
      <c r="D373" s="4" t="str">
        <f>IF(Produits!D373="","",Produits!D373)</f>
        <v>AA494</v>
      </c>
      <c r="E373" s="4" t="str">
        <f>IF(Produits!E373="","",Produits!E373)</f>
        <v/>
      </c>
      <c r="F373" s="49" t="str">
        <f>IF(Produits!F373="","",Produits!F373)</f>
        <v>1 pcs</v>
      </c>
      <c r="J373" s="61" t="str">
        <f>IF($J$1="","",HLOOKUP($J$1,$M$1:$AAY$1000,373,0))</f>
        <v/>
      </c>
    </row>
    <row r="374" spans="1:10" x14ac:dyDescent="0.25">
      <c r="A374" s="4" t="str">
        <f>IF(Produits!A374="","",Produits!A374)</f>
        <v>ComfortDrive</v>
      </c>
      <c r="B374" s="4" t="str">
        <f>IF(Produits!B374="","",Produits!B374)</f>
        <v>Outils</v>
      </c>
      <c r="C374" s="4" t="str">
        <f>IF(Produits!C374="","",Produits!C374)</f>
        <v>1000,00,0371</v>
      </c>
      <c r="D374" s="4" t="str">
        <f>IF(Produits!D374="","",Produits!D374)</f>
        <v>AA495</v>
      </c>
      <c r="E374" s="4" t="str">
        <f>IF(Produits!E374="","",Produits!E374)</f>
        <v/>
      </c>
      <c r="F374" s="49" t="str">
        <f>IF(Produits!F374="","",Produits!F374)</f>
        <v>1 pcs</v>
      </c>
      <c r="J374" s="61" t="str">
        <f>IF($J$1="","",HLOOKUP($J$1,$M$1:$AAY$1000,374,0))</f>
        <v/>
      </c>
    </row>
    <row r="375" spans="1:10" x14ac:dyDescent="0.25">
      <c r="A375" s="4" t="str">
        <f>IF(Produits!A375="","",Produits!A375)</f>
        <v>ComfortDrive</v>
      </c>
      <c r="B375" s="4" t="str">
        <f>IF(Produits!B375="","",Produits!B375)</f>
        <v>Outils</v>
      </c>
      <c r="C375" s="4" t="str">
        <f>IF(Produits!C375="","",Produits!C375)</f>
        <v>1000,00,0372</v>
      </c>
      <c r="D375" s="4" t="str">
        <f>IF(Produits!D375="","",Produits!D375)</f>
        <v>AA496</v>
      </c>
      <c r="E375" s="4" t="str">
        <f>IF(Produits!E375="","",Produits!E375)</f>
        <v/>
      </c>
      <c r="F375" s="49" t="str">
        <f>IF(Produits!F375="","",Produits!F375)</f>
        <v>1 pcs</v>
      </c>
      <c r="J375" s="61" t="str">
        <f>IF($J$1="","",HLOOKUP($J$1,$M$1:$AAY$1000,375,0))</f>
        <v/>
      </c>
    </row>
    <row r="376" spans="1:10" x14ac:dyDescent="0.25">
      <c r="A376" s="4" t="str">
        <f>IF(Produits!A376="","",Produits!A376)</f>
        <v>ComfortDrive</v>
      </c>
      <c r="B376" s="4" t="str">
        <f>IF(Produits!B376="","",Produits!B376)</f>
        <v>Variflex</v>
      </c>
      <c r="C376" s="4" t="str">
        <f>IF(Produits!C376="","",Produits!C376)</f>
        <v>1000,00,0373</v>
      </c>
      <c r="D376" s="4" t="str">
        <f>IF(Produits!D376="","",Produits!D376)</f>
        <v>AA497</v>
      </c>
      <c r="E376" s="4" t="str">
        <f>IF(Produits!E376="","",Produits!E376)</f>
        <v/>
      </c>
      <c r="F376" s="49" t="str">
        <f>IF(Produits!F376="","",Produits!F376)</f>
        <v>1 pcs</v>
      </c>
      <c r="J376" s="61" t="str">
        <f>IF($J$1="","",HLOOKUP($J$1,$M$1:$AAY$1000,376,0))</f>
        <v/>
      </c>
    </row>
    <row r="377" spans="1:10" x14ac:dyDescent="0.25">
      <c r="A377" s="4" t="str">
        <f>IF(Produits!A377="","",Produits!A377)</f>
        <v>ComfortDrive</v>
      </c>
      <c r="B377" s="4" t="str">
        <f>IF(Produits!B377="","",Produits!B377)</f>
        <v>Variflex</v>
      </c>
      <c r="C377" s="4" t="str">
        <f>IF(Produits!C377="","",Produits!C377)</f>
        <v>1000,00,0374</v>
      </c>
      <c r="D377" s="4" t="str">
        <f>IF(Produits!D377="","",Produits!D377)</f>
        <v>AA498</v>
      </c>
      <c r="E377" s="4" t="str">
        <f>IF(Produits!E377="","",Produits!E377)</f>
        <v/>
      </c>
      <c r="F377" s="49" t="str">
        <f>IF(Produits!F377="","",Produits!F377)</f>
        <v>1 pcs</v>
      </c>
      <c r="J377" s="61" t="str">
        <f>IF($J$1="","",HLOOKUP($J$1,$M$1:$AAY$1000,377,0))</f>
        <v/>
      </c>
    </row>
    <row r="378" spans="1:10" x14ac:dyDescent="0.25">
      <c r="A378" s="4" t="str">
        <f>IF(Produits!A378="","",Produits!A378)</f>
        <v>ComfortDrive</v>
      </c>
      <c r="B378" s="4" t="str">
        <f>IF(Produits!B378="","",Produits!B378)</f>
        <v>Variflex</v>
      </c>
      <c r="C378" s="4" t="str">
        <f>IF(Produits!C378="","",Produits!C378)</f>
        <v>1000,00,0375</v>
      </c>
      <c r="D378" s="4" t="str">
        <f>IF(Produits!D378="","",Produits!D378)</f>
        <v>AA499</v>
      </c>
      <c r="E378" s="4" t="str">
        <f>IF(Produits!E378="","",Produits!E378)</f>
        <v/>
      </c>
      <c r="F378" s="49" t="str">
        <f>IF(Produits!F378="","",Produits!F378)</f>
        <v>1 pcs</v>
      </c>
      <c r="J378" s="61" t="str">
        <f>IF($J$1="","",HLOOKUP($J$1,$M$1:$AAY$1000,378,0))</f>
        <v/>
      </c>
    </row>
    <row r="379" spans="1:10" x14ac:dyDescent="0.25">
      <c r="A379" s="4" t="str">
        <f>IF(Produits!A379="","",Produits!A379)</f>
        <v>ComfortDrive</v>
      </c>
      <c r="B379" s="4" t="str">
        <f>IF(Produits!B379="","",Produits!B379)</f>
        <v>Variflex</v>
      </c>
      <c r="C379" s="4" t="str">
        <f>IF(Produits!C379="","",Produits!C379)</f>
        <v>1000,00,0376</v>
      </c>
      <c r="D379" s="4" t="str">
        <f>IF(Produits!D379="","",Produits!D379)</f>
        <v>AA500</v>
      </c>
      <c r="E379" s="4" t="str">
        <f>IF(Produits!E379="","",Produits!E379)</f>
        <v/>
      </c>
      <c r="F379" s="49" t="str">
        <f>IF(Produits!F379="","",Produits!F379)</f>
        <v>1 pcs</v>
      </c>
      <c r="J379" s="61" t="str">
        <f>IF($J$1="","",HLOOKUP($J$1,$M$1:$AAY$1000,379,0))</f>
        <v/>
      </c>
    </row>
    <row r="380" spans="1:10" x14ac:dyDescent="0.25">
      <c r="A380" s="4" t="str">
        <f>IF(Produits!A380="","",Produits!A380)</f>
        <v>ComfortDrive</v>
      </c>
      <c r="B380" s="4" t="str">
        <f>IF(Produits!B380="","",Produits!B380)</f>
        <v>Variflex</v>
      </c>
      <c r="C380" s="4" t="str">
        <f>IF(Produits!C380="","",Produits!C380)</f>
        <v>1000,00,0377</v>
      </c>
      <c r="D380" s="4" t="str">
        <f>IF(Produits!D380="","",Produits!D380)</f>
        <v>AA501</v>
      </c>
      <c r="E380" s="4" t="str">
        <f>IF(Produits!E380="","",Produits!E380)</f>
        <v/>
      </c>
      <c r="F380" s="49" t="str">
        <f>IF(Produits!F380="","",Produits!F380)</f>
        <v>1 pcs</v>
      </c>
      <c r="J380" s="61" t="str">
        <f>IF($J$1="","",HLOOKUP($J$1,$M$1:$AAY$1000,380,0))</f>
        <v/>
      </c>
    </row>
    <row r="381" spans="1:10" x14ac:dyDescent="0.25">
      <c r="A381" s="4" t="str">
        <f>IF(Produits!A381="","",Produits!A381)</f>
        <v>ComfortDrive</v>
      </c>
      <c r="B381" s="4" t="str">
        <f>IF(Produits!B381="","",Produits!B381)</f>
        <v>Variflex</v>
      </c>
      <c r="C381" s="4" t="str">
        <f>IF(Produits!C381="","",Produits!C381)</f>
        <v>1000,00,0378</v>
      </c>
      <c r="D381" s="4" t="str">
        <f>IF(Produits!D381="","",Produits!D381)</f>
        <v>AA502</v>
      </c>
      <c r="E381" s="4" t="str">
        <f>IF(Produits!E381="","",Produits!E381)</f>
        <v/>
      </c>
      <c r="F381" s="49" t="str">
        <f>IF(Produits!F381="","",Produits!F381)</f>
        <v>1 pcs</v>
      </c>
      <c r="J381" s="61" t="str">
        <f>IF($J$1="","",HLOOKUP($J$1,$M$1:$AAY$1000,381,0))</f>
        <v/>
      </c>
    </row>
    <row r="382" spans="1:10" x14ac:dyDescent="0.25">
      <c r="A382" s="4" t="str">
        <f>IF(Produits!A382="","",Produits!A382)</f>
        <v>ComfortDrive</v>
      </c>
      <c r="B382" s="4" t="str">
        <f>IF(Produits!B382="","",Produits!B382)</f>
        <v>Variflex</v>
      </c>
      <c r="C382" s="4" t="str">
        <f>IF(Produits!C382="","",Produits!C382)</f>
        <v>1000,00,0379</v>
      </c>
      <c r="D382" s="4" t="str">
        <f>IF(Produits!D382="","",Produits!D382)</f>
        <v>AA503</v>
      </c>
      <c r="E382" s="4" t="str">
        <f>IF(Produits!E382="","",Produits!E382)</f>
        <v/>
      </c>
      <c r="F382" s="49" t="str">
        <f>IF(Produits!F382="","",Produits!F382)</f>
        <v>1 pcs</v>
      </c>
      <c r="J382" s="61" t="str">
        <f>IF($J$1="","",HLOOKUP($J$1,$M$1:$AAY$1000,382,0))</f>
        <v/>
      </c>
    </row>
    <row r="383" spans="1:10" x14ac:dyDescent="0.25">
      <c r="A383" s="4" t="str">
        <f>IF(Produits!A383="","",Produits!A383)</f>
        <v>ComfortDrive</v>
      </c>
      <c r="B383" s="4" t="str">
        <f>IF(Produits!B383="","",Produits!B383)</f>
        <v>Variflex</v>
      </c>
      <c r="C383" s="4" t="str">
        <f>IF(Produits!C383="","",Produits!C383)</f>
        <v>1000,00,0380</v>
      </c>
      <c r="D383" s="4" t="str">
        <f>IF(Produits!D383="","",Produits!D383)</f>
        <v>AA504</v>
      </c>
      <c r="E383" s="4" t="str">
        <f>IF(Produits!E383="","",Produits!E383)</f>
        <v/>
      </c>
      <c r="F383" s="49" t="str">
        <f>IF(Produits!F383="","",Produits!F383)</f>
        <v>1 pcs</v>
      </c>
      <c r="J383" s="61" t="str">
        <f>IF($J$1="","",HLOOKUP($J$1,$M$1:$AAY$1000,383,0))</f>
        <v/>
      </c>
    </row>
    <row r="384" spans="1:10" x14ac:dyDescent="0.25">
      <c r="A384" s="4" t="str">
        <f>IF(Produits!A384="","",Produits!A384)</f>
        <v>ComfortDrive</v>
      </c>
      <c r="B384" s="4" t="str">
        <f>IF(Produits!B384="","",Produits!B384)</f>
        <v>Moveo</v>
      </c>
      <c r="C384" s="4" t="str">
        <f>IF(Produits!C384="","",Produits!C384)</f>
        <v>1000,00,0381</v>
      </c>
      <c r="D384" s="4" t="str">
        <f>IF(Produits!D384="","",Produits!D384)</f>
        <v>AA505</v>
      </c>
      <c r="E384" s="4" t="str">
        <f>IF(Produits!E384="","",Produits!E384)</f>
        <v/>
      </c>
      <c r="F384" s="49" t="str">
        <f>IF(Produits!F384="","",Produits!F384)</f>
        <v>1 pcs</v>
      </c>
      <c r="J384" s="61" t="str">
        <f>IF($J$1="","",HLOOKUP($J$1,$M$1:$AAY$1000,384,0))</f>
        <v/>
      </c>
    </row>
    <row r="385" spans="1:10" x14ac:dyDescent="0.25">
      <c r="A385" s="4" t="str">
        <f>IF(Produits!A385="","",Produits!A385)</f>
        <v>ComfortDrive</v>
      </c>
      <c r="B385" s="4" t="str">
        <f>IF(Produits!B385="","",Produits!B385)</f>
        <v>Moveo</v>
      </c>
      <c r="C385" s="4" t="str">
        <f>IF(Produits!C385="","",Produits!C385)</f>
        <v>1000,00,0382</v>
      </c>
      <c r="D385" s="4" t="str">
        <f>IF(Produits!D385="","",Produits!D385)</f>
        <v>AA506</v>
      </c>
      <c r="E385" s="4" t="str">
        <f>IF(Produits!E385="","",Produits!E385)</f>
        <v/>
      </c>
      <c r="F385" s="49" t="str">
        <f>IF(Produits!F385="","",Produits!F385)</f>
        <v>1 pcs</v>
      </c>
      <c r="J385" s="61" t="str">
        <f>IF($J$1="","",HLOOKUP($J$1,$M$1:$AAY$1000,385,0))</f>
        <v/>
      </c>
    </row>
    <row r="386" spans="1:10" x14ac:dyDescent="0.25">
      <c r="A386" s="4" t="str">
        <f>IF(Produits!A386="","",Produits!A386)</f>
        <v>ComfortDrive</v>
      </c>
      <c r="B386" s="4" t="str">
        <f>IF(Produits!B386="","",Produits!B386)</f>
        <v>Moveo</v>
      </c>
      <c r="C386" s="4" t="str">
        <f>IF(Produits!C386="","",Produits!C386)</f>
        <v>1000,00,0383</v>
      </c>
      <c r="D386" s="4" t="str">
        <f>IF(Produits!D386="","",Produits!D386)</f>
        <v>AA507</v>
      </c>
      <c r="E386" s="4" t="str">
        <f>IF(Produits!E386="","",Produits!E386)</f>
        <v/>
      </c>
      <c r="F386" s="49" t="str">
        <f>IF(Produits!F386="","",Produits!F386)</f>
        <v>1 pcs</v>
      </c>
      <c r="J386" s="61" t="str">
        <f>IF($J$1="","",HLOOKUP($J$1,$M$1:$AAY$1000,386,0))</f>
        <v/>
      </c>
    </row>
    <row r="387" spans="1:10" x14ac:dyDescent="0.25">
      <c r="A387" s="4" t="str">
        <f>IF(Produits!A387="","",Produits!A387)</f>
        <v>ComfortDrive</v>
      </c>
      <c r="B387" s="4" t="str">
        <f>IF(Produits!B387="","",Produits!B387)</f>
        <v>Moveo</v>
      </c>
      <c r="C387" s="4" t="str">
        <f>IF(Produits!C387="","",Produits!C387)</f>
        <v>1000,00,0384</v>
      </c>
      <c r="D387" s="4" t="str">
        <f>IF(Produits!D387="","",Produits!D387)</f>
        <v>AA508</v>
      </c>
      <c r="E387" s="4" t="str">
        <f>IF(Produits!E387="","",Produits!E387)</f>
        <v/>
      </c>
      <c r="F387" s="49" t="str">
        <f>IF(Produits!F387="","",Produits!F387)</f>
        <v>1 pcs</v>
      </c>
      <c r="J387" s="61" t="str">
        <f>IF($J$1="","",HLOOKUP($J$1,$M$1:$AAY$1000,387,0))</f>
        <v/>
      </c>
    </row>
    <row r="388" spans="1:10" x14ac:dyDescent="0.25">
      <c r="A388" s="4" t="str">
        <f>IF(Produits!A388="","",Produits!A388)</f>
        <v>ComfortDrive</v>
      </c>
      <c r="B388" s="4" t="str">
        <f>IF(Produits!B388="","",Produits!B388)</f>
        <v>Moveo</v>
      </c>
      <c r="C388" s="4" t="str">
        <f>IF(Produits!C388="","",Produits!C388)</f>
        <v>1000,00,0385</v>
      </c>
      <c r="D388" s="4" t="str">
        <f>IF(Produits!D388="","",Produits!D388)</f>
        <v>AA509</v>
      </c>
      <c r="E388" s="4" t="str">
        <f>IF(Produits!E388="","",Produits!E388)</f>
        <v/>
      </c>
      <c r="F388" s="49" t="str">
        <f>IF(Produits!F388="","",Produits!F388)</f>
        <v>1 pcs</v>
      </c>
      <c r="J388" s="61" t="str">
        <f>IF($J$1="","",HLOOKUP($J$1,$M$1:$AAY$1000,388,0))</f>
        <v/>
      </c>
    </row>
    <row r="389" spans="1:10" x14ac:dyDescent="0.25">
      <c r="A389" s="4" t="str">
        <f>IF(Produits!A389="","",Produits!A389)</f>
        <v>ComfortDrive</v>
      </c>
      <c r="B389" s="4" t="str">
        <f>IF(Produits!B389="","",Produits!B389)</f>
        <v>Moveo</v>
      </c>
      <c r="C389" s="4" t="str">
        <f>IF(Produits!C389="","",Produits!C389)</f>
        <v>1000,00,0386</v>
      </c>
      <c r="D389" s="4" t="str">
        <f>IF(Produits!D389="","",Produits!D389)</f>
        <v>AA510</v>
      </c>
      <c r="E389" s="4" t="str">
        <f>IF(Produits!E389="","",Produits!E389)</f>
        <v/>
      </c>
      <c r="F389" s="49" t="str">
        <f>IF(Produits!F389="","",Produits!F389)</f>
        <v>1 pcs</v>
      </c>
      <c r="J389" s="61" t="str">
        <f>IF($J$1="","",HLOOKUP($J$1,$M$1:$AAY$1000,389,0))</f>
        <v/>
      </c>
    </row>
    <row r="390" spans="1:10" x14ac:dyDescent="0.25">
      <c r="A390" s="4" t="str">
        <f>IF(Produits!A390="","",Produits!A390)</f>
        <v>ComfortDrive</v>
      </c>
      <c r="B390" s="4" t="str">
        <f>IF(Produits!B390="","",Produits!B390)</f>
        <v>Moveo</v>
      </c>
      <c r="C390" s="4" t="str">
        <f>IF(Produits!C390="","",Produits!C390)</f>
        <v>1000,00,0387</v>
      </c>
      <c r="D390" s="4" t="str">
        <f>IF(Produits!D390="","",Produits!D390)</f>
        <v>AA511</v>
      </c>
      <c r="E390" s="4" t="str">
        <f>IF(Produits!E390="","",Produits!E390)</f>
        <v/>
      </c>
      <c r="F390" s="49" t="str">
        <f>IF(Produits!F390="","",Produits!F390)</f>
        <v>1 pcs</v>
      </c>
      <c r="J390" s="61" t="str">
        <f>IF($J$1="","",HLOOKUP($J$1,$M$1:$AAY$1000,390,0))</f>
        <v/>
      </c>
    </row>
    <row r="391" spans="1:10" x14ac:dyDescent="0.25">
      <c r="A391" s="4" t="str">
        <f>IF(Produits!A391="","",Produits!A391)</f>
        <v>Varitrans</v>
      </c>
      <c r="B391" s="4" t="str">
        <f>IF(Produits!B391="","",Produits!B391)</f>
        <v>VE</v>
      </c>
      <c r="C391" s="4" t="str">
        <f>IF(Produits!C391="","",Produits!C391)</f>
        <v>1000,00,0388</v>
      </c>
      <c r="D391" s="4" t="str">
        <f>IF(Produits!D391="","",Produits!D391)</f>
        <v>AA512</v>
      </c>
      <c r="E391" s="4" t="str">
        <f>IF(Produits!E391="","",Produits!E391)</f>
        <v/>
      </c>
      <c r="F391" s="49" t="str">
        <f>IF(Produits!F391="","",Produits!F391)</f>
        <v>1 pcs</v>
      </c>
      <c r="J391" s="61" t="str">
        <f>IF($J$1="","",HLOOKUP($J$1,$M$1:$AAY$1000,391,0))</f>
        <v/>
      </c>
    </row>
    <row r="392" spans="1:10" x14ac:dyDescent="0.25">
      <c r="A392" s="4" t="str">
        <f>IF(Produits!A392="","",Produits!A392)</f>
        <v>Varitrans</v>
      </c>
      <c r="B392" s="4" t="str">
        <f>IF(Produits!B392="","",Produits!B392)</f>
        <v>VE</v>
      </c>
      <c r="C392" s="4" t="str">
        <f>IF(Produits!C392="","",Produits!C392)</f>
        <v>1000,00,0389</v>
      </c>
      <c r="D392" s="4" t="str">
        <f>IF(Produits!D392="","",Produits!D392)</f>
        <v>AA513</v>
      </c>
      <c r="E392" s="4" t="str">
        <f>IF(Produits!E392="","",Produits!E392)</f>
        <v/>
      </c>
      <c r="F392" s="49" t="str">
        <f>IF(Produits!F392="","",Produits!F392)</f>
        <v>1 pcs</v>
      </c>
      <c r="J392" s="61" t="str">
        <f>IF($J$1="","",HLOOKUP($J$1,$M$1:$AAY$1000,392,0))</f>
        <v/>
      </c>
    </row>
    <row r="393" spans="1:10" x14ac:dyDescent="0.25">
      <c r="A393" s="4" t="str">
        <f>IF(Produits!A393="","",Produits!A393)</f>
        <v>Varitrans</v>
      </c>
      <c r="B393" s="4" t="str">
        <f>IF(Produits!B393="","",Produits!B393)</f>
        <v>VE</v>
      </c>
      <c r="C393" s="4" t="str">
        <f>IF(Produits!C393="","",Produits!C393)</f>
        <v>1000,00,0390</v>
      </c>
      <c r="D393" s="4" t="str">
        <f>IF(Produits!D393="","",Produits!D393)</f>
        <v>AA514</v>
      </c>
      <c r="E393" s="4" t="str">
        <f>IF(Produits!E393="","",Produits!E393)</f>
        <v/>
      </c>
      <c r="F393" s="49" t="str">
        <f>IF(Produits!F393="","",Produits!F393)</f>
        <v>1 pcs</v>
      </c>
      <c r="J393" s="61" t="str">
        <f>IF($J$1="","",HLOOKUP($J$1,$M$1:$AAY$1000,393,0))</f>
        <v/>
      </c>
    </row>
    <row r="394" spans="1:10" x14ac:dyDescent="0.25">
      <c r="A394" s="4" t="str">
        <f>IF(Produits!A394="","",Produits!A394)</f>
        <v>Varitrans</v>
      </c>
      <c r="B394" s="4" t="str">
        <f>IF(Produits!B394="","",Produits!B394)</f>
        <v>VE</v>
      </c>
      <c r="C394" s="4" t="str">
        <f>IF(Produits!C394="","",Produits!C394)</f>
        <v>1000,00,0391</v>
      </c>
      <c r="D394" s="4" t="str">
        <f>IF(Produits!D394="","",Produits!D394)</f>
        <v>AA515</v>
      </c>
      <c r="E394" s="4" t="str">
        <f>IF(Produits!E394="","",Produits!E394)</f>
        <v/>
      </c>
      <c r="F394" s="49" t="str">
        <f>IF(Produits!F394="","",Produits!F394)</f>
        <v>1 pcs</v>
      </c>
      <c r="J394" s="61" t="str">
        <f>IF($J$1="","",HLOOKUP($J$1,$M$1:$AAY$1000,394,0))</f>
        <v/>
      </c>
    </row>
    <row r="395" spans="1:10" x14ac:dyDescent="0.25">
      <c r="A395" s="4" t="str">
        <f>IF(Produits!A395="","",Produits!A395)</f>
        <v>Varitrans</v>
      </c>
      <c r="B395" s="4" t="str">
        <f>IF(Produits!B395="","",Produits!B395)</f>
        <v>VE</v>
      </c>
      <c r="C395" s="4" t="str">
        <f>IF(Produits!C395="","",Produits!C395)</f>
        <v>1000,00,0392</v>
      </c>
      <c r="D395" s="4" t="str">
        <f>IF(Produits!D395="","",Produits!D395)</f>
        <v>AA516</v>
      </c>
      <c r="E395" s="4" t="str">
        <f>IF(Produits!E395="","",Produits!E395)</f>
        <v/>
      </c>
      <c r="F395" s="49" t="str">
        <f>IF(Produits!F395="","",Produits!F395)</f>
        <v>1 pcs</v>
      </c>
      <c r="J395" s="61" t="str">
        <f>IF($J$1="","",HLOOKUP($J$1,$M$1:$AAY$1000,395,0))</f>
        <v/>
      </c>
    </row>
    <row r="396" spans="1:10" x14ac:dyDescent="0.25">
      <c r="A396" s="4" t="str">
        <f>IF(Produits!A396="","",Produits!A396)</f>
        <v>Varitrans</v>
      </c>
      <c r="B396" s="4" t="str">
        <f>IF(Produits!B396="","",Produits!B396)</f>
        <v>VE</v>
      </c>
      <c r="C396" s="4" t="str">
        <f>IF(Produits!C396="","",Produits!C396)</f>
        <v>1000,00,0393</v>
      </c>
      <c r="D396" s="4" t="str">
        <f>IF(Produits!D396="","",Produits!D396)</f>
        <v>AA517</v>
      </c>
      <c r="E396" s="4" t="str">
        <f>IF(Produits!E396="","",Produits!E396)</f>
        <v/>
      </c>
      <c r="F396" s="49" t="str">
        <f>IF(Produits!F396="","",Produits!F396)</f>
        <v>1 pcs</v>
      </c>
      <c r="J396" s="61" t="str">
        <f>IF($J$1="","",HLOOKUP($J$1,$M$1:$AAY$1000,396,0))</f>
        <v/>
      </c>
    </row>
    <row r="397" spans="1:10" x14ac:dyDescent="0.25">
      <c r="A397" s="4" t="str">
        <f>IF(Produits!A397="","",Produits!A397)</f>
        <v>Varitrans</v>
      </c>
      <c r="B397" s="4" t="str">
        <f>IF(Produits!B397="","",Produits!B397)</f>
        <v>VE</v>
      </c>
      <c r="C397" s="4" t="str">
        <f>IF(Produits!C397="","",Produits!C397)</f>
        <v>1000,00,0394</v>
      </c>
      <c r="D397" s="4" t="str">
        <f>IF(Produits!D397="","",Produits!D397)</f>
        <v>AA518</v>
      </c>
      <c r="E397" s="4" t="str">
        <f>IF(Produits!E397="","",Produits!E397)</f>
        <v/>
      </c>
      <c r="F397" s="49" t="str">
        <f>IF(Produits!F397="","",Produits!F397)</f>
        <v>1 pcs</v>
      </c>
      <c r="J397" s="61" t="str">
        <f>IF($J$1="","",HLOOKUP($J$1,$M$1:$AAY$1000,397,0))</f>
        <v/>
      </c>
    </row>
    <row r="398" spans="1:10" x14ac:dyDescent="0.25">
      <c r="A398" s="4" t="str">
        <f>IF(Produits!A398="","",Produits!A398)</f>
        <v>Varitrans</v>
      </c>
      <c r="B398" s="4" t="str">
        <f>IF(Produits!B398="","",Produits!B398)</f>
        <v>VE</v>
      </c>
      <c r="C398" s="4" t="str">
        <f>IF(Produits!C398="","",Produits!C398)</f>
        <v>1000,00,0395</v>
      </c>
      <c r="D398" s="4" t="str">
        <f>IF(Produits!D398="","",Produits!D398)</f>
        <v>AA519</v>
      </c>
      <c r="E398" s="4" t="str">
        <f>IF(Produits!E398="","",Produits!E398)</f>
        <v/>
      </c>
      <c r="F398" s="49" t="str">
        <f>IF(Produits!F398="","",Produits!F398)</f>
        <v>1 pcs</v>
      </c>
      <c r="J398" s="61" t="str">
        <f>IF($J$1="","",HLOOKUP($J$1,$M$1:$AAY$1000,398,0))</f>
        <v/>
      </c>
    </row>
    <row r="399" spans="1:10" x14ac:dyDescent="0.25">
      <c r="A399" s="4" t="str">
        <f>IF(Produits!A399="","",Produits!A399)</f>
        <v>Varitrans</v>
      </c>
      <c r="B399" s="4" t="str">
        <f>IF(Produits!B399="","",Produits!B399)</f>
        <v>VE</v>
      </c>
      <c r="C399" s="4" t="str">
        <f>IF(Produits!C399="","",Produits!C399)</f>
        <v>1000,00,0396</v>
      </c>
      <c r="D399" s="4" t="str">
        <f>IF(Produits!D399="","",Produits!D399)</f>
        <v>AA520</v>
      </c>
      <c r="E399" s="4" t="str">
        <f>IF(Produits!E399="","",Produits!E399)</f>
        <v/>
      </c>
      <c r="F399" s="49" t="str">
        <f>IF(Produits!F399="","",Produits!F399)</f>
        <v>1 pcs</v>
      </c>
      <c r="J399" s="61" t="str">
        <f>IF($J$1="","",HLOOKUP($J$1,$M$1:$AAY$1000,399,0))</f>
        <v/>
      </c>
    </row>
    <row r="400" spans="1:10" x14ac:dyDescent="0.25">
      <c r="A400" s="4" t="str">
        <f>IF(Produits!A400="","",Produits!A400)</f>
        <v>Varitrans</v>
      </c>
      <c r="B400" s="4" t="str">
        <f>IF(Produits!B400="","",Produits!B400)</f>
        <v>VE</v>
      </c>
      <c r="C400" s="4" t="str">
        <f>IF(Produits!C400="","",Produits!C400)</f>
        <v>1000,00,0397</v>
      </c>
      <c r="D400" s="4" t="str">
        <f>IF(Produits!D400="","",Produits!D400)</f>
        <v>AA521</v>
      </c>
      <c r="E400" s="4" t="str">
        <f>IF(Produits!E400="","",Produits!E400)</f>
        <v/>
      </c>
      <c r="F400" s="49" t="str">
        <f>IF(Produits!F400="","",Produits!F400)</f>
        <v>1 pcs</v>
      </c>
      <c r="J400" s="61" t="str">
        <f>IF($J$1="","",HLOOKUP($J$1,$M$1:$AAY$1000,400,0))</f>
        <v/>
      </c>
    </row>
    <row r="401" spans="1:10" x14ac:dyDescent="0.25">
      <c r="A401" s="4" t="str">
        <f>IF(Produits!A401="","",Produits!A401)</f>
        <v>Varitrans</v>
      </c>
      <c r="B401" s="4" t="str">
        <f>IF(Produits!B401="","",Produits!B401)</f>
        <v>VE</v>
      </c>
      <c r="C401" s="4" t="str">
        <f>IF(Produits!C401="","",Produits!C401)</f>
        <v>1000,00,0398</v>
      </c>
      <c r="D401" s="4" t="str">
        <f>IF(Produits!D401="","",Produits!D401)</f>
        <v>AA522</v>
      </c>
      <c r="E401" s="4" t="str">
        <f>IF(Produits!E401="","",Produits!E401)</f>
        <v/>
      </c>
      <c r="F401" s="49" t="str">
        <f>IF(Produits!F401="","",Produits!F401)</f>
        <v>1 pcs</v>
      </c>
      <c r="J401" s="61" t="str">
        <f>IF($J$1="","",HLOOKUP($J$1,$M$1:$AAY$1000,401,0))</f>
        <v/>
      </c>
    </row>
    <row r="402" spans="1:10" x14ac:dyDescent="0.25">
      <c r="A402" s="4" t="str">
        <f>IF(Produits!A402="","",Produits!A402)</f>
        <v>Varitrans</v>
      </c>
      <c r="B402" s="4" t="str">
        <f>IF(Produits!B402="","",Produits!B402)</f>
        <v>VE</v>
      </c>
      <c r="C402" s="4" t="str">
        <f>IF(Produits!C402="","",Produits!C402)</f>
        <v>1000,00,0399</v>
      </c>
      <c r="D402" s="4" t="str">
        <f>IF(Produits!D402="","",Produits!D402)</f>
        <v>AA523</v>
      </c>
      <c r="E402" s="4" t="str">
        <f>IF(Produits!E402="","",Produits!E402)</f>
        <v/>
      </c>
      <c r="F402" s="49" t="str">
        <f>IF(Produits!F402="","",Produits!F402)</f>
        <v>1 pcs</v>
      </c>
      <c r="J402" s="61" t="str">
        <f>IF($J$1="","",HLOOKUP($J$1,$M$1:$AAY$1000,402,0))</f>
        <v/>
      </c>
    </row>
    <row r="403" spans="1:10" x14ac:dyDescent="0.25">
      <c r="A403" s="4" t="str">
        <f>IF(Produits!A403="","",Produits!A403)</f>
        <v>Varitrans</v>
      </c>
      <c r="B403" s="4" t="str">
        <f>IF(Produits!B403="","",Produits!B403)</f>
        <v>VE</v>
      </c>
      <c r="C403" s="4" t="str">
        <f>IF(Produits!C403="","",Produits!C403)</f>
        <v>1000,00,0400</v>
      </c>
      <c r="D403" s="4" t="str">
        <f>IF(Produits!D403="","",Produits!D403)</f>
        <v>AA524</v>
      </c>
      <c r="E403" s="4" t="str">
        <f>IF(Produits!E403="","",Produits!E403)</f>
        <v/>
      </c>
      <c r="F403" s="49" t="str">
        <f>IF(Produits!F403="","",Produits!F403)</f>
        <v>1 pcs</v>
      </c>
      <c r="J403" s="61" t="str">
        <f>IF($J$1="","",HLOOKUP($J$1,$M$1:$AAY$1000,403,0))</f>
        <v/>
      </c>
    </row>
    <row r="404" spans="1:10" x14ac:dyDescent="0.25">
      <c r="A404" s="4" t="str">
        <f>IF(Produits!A404="","",Produits!A404)</f>
        <v>Varitrans</v>
      </c>
      <c r="B404" s="4" t="str">
        <f>IF(Produits!B404="","",Produits!B404)</f>
        <v>VE</v>
      </c>
      <c r="C404" s="4" t="str">
        <f>IF(Produits!C404="","",Produits!C404)</f>
        <v>1000,00,0401</v>
      </c>
      <c r="D404" s="4" t="str">
        <f>IF(Produits!D404="","",Produits!D404)</f>
        <v>AA525</v>
      </c>
      <c r="E404" s="4" t="str">
        <f>IF(Produits!E404="","",Produits!E404)</f>
        <v/>
      </c>
      <c r="F404" s="49" t="str">
        <f>IF(Produits!F404="","",Produits!F404)</f>
        <v>1 pcs</v>
      </c>
      <c r="J404" s="61" t="str">
        <f>IF($J$1="","",HLOOKUP($J$1,$M$1:$AAY$1000,404,0))</f>
        <v/>
      </c>
    </row>
    <row r="405" spans="1:10" x14ac:dyDescent="0.25">
      <c r="A405" s="4" t="str">
        <f>IF(Produits!A405="","",Produits!A405)</f>
        <v>Varitrans</v>
      </c>
      <c r="B405" s="4" t="str">
        <f>IF(Produits!B405="","",Produits!B405)</f>
        <v>DT</v>
      </c>
      <c r="C405" s="4" t="str">
        <f>IF(Produits!C405="","",Produits!C405)</f>
        <v>1000,00,0402</v>
      </c>
      <c r="D405" s="4" t="str">
        <f>IF(Produits!D405="","",Produits!D405)</f>
        <v>AA526</v>
      </c>
      <c r="E405" s="4" t="str">
        <f>IF(Produits!E405="","",Produits!E405)</f>
        <v/>
      </c>
      <c r="F405" s="49" t="str">
        <f>IF(Produits!F405="","",Produits!F405)</f>
        <v>1 pcs</v>
      </c>
      <c r="J405" s="61" t="str">
        <f>IF($J$1="","",HLOOKUP($J$1,$M$1:$AAY$1000,405,0))</f>
        <v/>
      </c>
    </row>
    <row r="406" spans="1:10" x14ac:dyDescent="0.25">
      <c r="A406" s="4" t="str">
        <f>IF(Produits!A406="","",Produits!A406)</f>
        <v>Varitrans</v>
      </c>
      <c r="B406" s="4" t="str">
        <f>IF(Produits!B406="","",Produits!B406)</f>
        <v>DT</v>
      </c>
      <c r="C406" s="4" t="str">
        <f>IF(Produits!C406="","",Produits!C406)</f>
        <v>1000,00,0403</v>
      </c>
      <c r="D406" s="4" t="str">
        <f>IF(Produits!D406="","",Produits!D406)</f>
        <v>AA527</v>
      </c>
      <c r="E406" s="4" t="str">
        <f>IF(Produits!E406="","",Produits!E406)</f>
        <v/>
      </c>
      <c r="F406" s="49" t="str">
        <f>IF(Produits!F406="","",Produits!F406)</f>
        <v>1 pcs</v>
      </c>
      <c r="J406" s="61" t="str">
        <f>IF($J$1="","",HLOOKUP($J$1,$M$1:$AAY$1000,406,0))</f>
        <v/>
      </c>
    </row>
    <row r="407" spans="1:10" x14ac:dyDescent="0.25">
      <c r="A407" s="4" t="str">
        <f>IF(Produits!A407="","",Produits!A407)</f>
        <v>Varitrans</v>
      </c>
      <c r="B407" s="4" t="str">
        <f>IF(Produits!B407="","",Produits!B407)</f>
        <v>DT</v>
      </c>
      <c r="C407" s="4" t="str">
        <f>IF(Produits!C407="","",Produits!C407)</f>
        <v>1000,00,0404</v>
      </c>
      <c r="D407" s="4" t="str">
        <f>IF(Produits!D407="","",Produits!D407)</f>
        <v>AA528</v>
      </c>
      <c r="E407" s="4" t="str">
        <f>IF(Produits!E407="","",Produits!E407)</f>
        <v/>
      </c>
      <c r="F407" s="49" t="str">
        <f>IF(Produits!F407="","",Produits!F407)</f>
        <v>1 pcs</v>
      </c>
      <c r="J407" s="61" t="str">
        <f>IF($J$1="","",HLOOKUP($J$1,$M$1:$AAY$1000,407,0))</f>
        <v/>
      </c>
    </row>
    <row r="408" spans="1:10" x14ac:dyDescent="0.25">
      <c r="A408" s="4" t="str">
        <f>IF(Produits!A408="","",Produits!A408)</f>
        <v>Varitrans</v>
      </c>
      <c r="B408" s="4" t="str">
        <f>IF(Produits!B408="","",Produits!B408)</f>
        <v>DT</v>
      </c>
      <c r="C408" s="4" t="str">
        <f>IF(Produits!C408="","",Produits!C408)</f>
        <v>1000,00,0405</v>
      </c>
      <c r="D408" s="4" t="str">
        <f>IF(Produits!D408="","",Produits!D408)</f>
        <v>AA529</v>
      </c>
      <c r="E408" s="4" t="str">
        <f>IF(Produits!E408="","",Produits!E408)</f>
        <v/>
      </c>
      <c r="F408" s="49" t="str">
        <f>IF(Produits!F408="","",Produits!F408)</f>
        <v>1 pcs</v>
      </c>
      <c r="J408" s="61" t="str">
        <f>IF($J$1="","",HLOOKUP($J$1,$M$1:$AAY$1000,408,0))</f>
        <v/>
      </c>
    </row>
    <row r="409" spans="1:10" x14ac:dyDescent="0.25">
      <c r="A409" s="4" t="str">
        <f>IF(Produits!A409="","",Produits!A409)</f>
        <v>Varitrans</v>
      </c>
      <c r="B409" s="4" t="str">
        <f>IF(Produits!B409="","",Produits!B409)</f>
        <v>DT</v>
      </c>
      <c r="C409" s="4" t="str">
        <f>IF(Produits!C409="","",Produits!C409)</f>
        <v>1000,00,0406</v>
      </c>
      <c r="D409" s="4" t="str">
        <f>IF(Produits!D409="","",Produits!D409)</f>
        <v>AA530</v>
      </c>
      <c r="E409" s="4" t="str">
        <f>IF(Produits!E409="","",Produits!E409)</f>
        <v/>
      </c>
      <c r="F409" s="49" t="str">
        <f>IF(Produits!F409="","",Produits!F409)</f>
        <v>1 pcs</v>
      </c>
      <c r="J409" s="61" t="str">
        <f>IF($J$1="","",HLOOKUP($J$1,$M$1:$AAY$1000,409,0))</f>
        <v/>
      </c>
    </row>
    <row r="410" spans="1:10" x14ac:dyDescent="0.25">
      <c r="A410" s="4" t="str">
        <f>IF(Produits!A410="","",Produits!A410)</f>
        <v>Varitrans</v>
      </c>
      <c r="B410" s="4" t="str">
        <f>IF(Produits!B410="","",Produits!B410)</f>
        <v>DT</v>
      </c>
      <c r="C410" s="4" t="str">
        <f>IF(Produits!C410="","",Produits!C410)</f>
        <v>1000,00,0407</v>
      </c>
      <c r="D410" s="4" t="str">
        <f>IF(Produits!D410="","",Produits!D410)</f>
        <v>AA531</v>
      </c>
      <c r="E410" s="4" t="str">
        <f>IF(Produits!E410="","",Produits!E410)</f>
        <v/>
      </c>
      <c r="F410" s="49" t="str">
        <f>IF(Produits!F410="","",Produits!F410)</f>
        <v>1 pcs</v>
      </c>
      <c r="J410" s="61" t="str">
        <f>IF($J$1="","",HLOOKUP($J$1,$M$1:$AAY$1000,410,0))</f>
        <v/>
      </c>
    </row>
    <row r="411" spans="1:10" x14ac:dyDescent="0.25">
      <c r="A411" s="4" t="str">
        <f>IF(Produits!A411="","",Produits!A411)</f>
        <v>Varitrans</v>
      </c>
      <c r="B411" s="4" t="str">
        <f>IF(Produits!B411="","",Produits!B411)</f>
        <v>DT</v>
      </c>
      <c r="C411" s="4" t="str">
        <f>IF(Produits!C411="","",Produits!C411)</f>
        <v>1000,00,0408</v>
      </c>
      <c r="D411" s="4" t="str">
        <f>IF(Produits!D411="","",Produits!D411)</f>
        <v>AA532</v>
      </c>
      <c r="E411" s="4" t="str">
        <f>IF(Produits!E411="","",Produits!E411)</f>
        <v/>
      </c>
      <c r="F411" s="49" t="str">
        <f>IF(Produits!F411="","",Produits!F411)</f>
        <v>1 pcs</v>
      </c>
      <c r="J411" s="61" t="str">
        <f>IF($J$1="","",HLOOKUP($J$1,$M$1:$AAY$1000,411,0))</f>
        <v/>
      </c>
    </row>
    <row r="412" spans="1:10" x14ac:dyDescent="0.25">
      <c r="A412" s="4" t="str">
        <f>IF(Produits!A412="","",Produits!A412)</f>
        <v>Varitrans</v>
      </c>
      <c r="B412" s="4" t="str">
        <f>IF(Produits!B412="","",Produits!B412)</f>
        <v>DT</v>
      </c>
      <c r="C412" s="4" t="str">
        <f>IF(Produits!C412="","",Produits!C412)</f>
        <v>1000,00,0409</v>
      </c>
      <c r="D412" s="4" t="str">
        <f>IF(Produits!D412="","",Produits!D412)</f>
        <v>AA533</v>
      </c>
      <c r="E412" s="4" t="str">
        <f>IF(Produits!E412="","",Produits!E412)</f>
        <v/>
      </c>
      <c r="F412" s="49" t="str">
        <f>IF(Produits!F412="","",Produits!F412)</f>
        <v>1 pcs</v>
      </c>
      <c r="J412" s="61" t="str">
        <f>IF($J$1="","",HLOOKUP($J$1,$M$1:$AAY$1000,412,0))</f>
        <v/>
      </c>
    </row>
    <row r="413" spans="1:10" x14ac:dyDescent="0.25">
      <c r="A413" s="4" t="str">
        <f>IF(Produits!A413="","",Produits!A413)</f>
        <v>Varitrans</v>
      </c>
      <c r="B413" s="4" t="str">
        <f>IF(Produits!B413="","",Produits!B413)</f>
        <v>DT</v>
      </c>
      <c r="C413" s="4" t="str">
        <f>IF(Produits!C413="","",Produits!C413)</f>
        <v>1000,00,0410</v>
      </c>
      <c r="D413" s="4" t="str">
        <f>IF(Produits!D413="","",Produits!D413)</f>
        <v>AA534</v>
      </c>
      <c r="E413" s="4" t="str">
        <f>IF(Produits!E413="","",Produits!E413)</f>
        <v/>
      </c>
      <c r="F413" s="49" t="str">
        <f>IF(Produits!F413="","",Produits!F413)</f>
        <v>1 pcs</v>
      </c>
      <c r="J413" s="61" t="str">
        <f>IF($J$1="","",HLOOKUP($J$1,$M$1:$AAY$1000,413,0))</f>
        <v/>
      </c>
    </row>
    <row r="414" spans="1:10" x14ac:dyDescent="0.25">
      <c r="A414" s="4" t="str">
        <f>IF(Produits!A414="","",Produits!A414)</f>
        <v>Varitrans</v>
      </c>
      <c r="B414" s="4" t="str">
        <f>IF(Produits!B414="","",Produits!B414)</f>
        <v>DT</v>
      </c>
      <c r="C414" s="4" t="str">
        <f>IF(Produits!C414="","",Produits!C414)</f>
        <v>1000,00,0411</v>
      </c>
      <c r="D414" s="4" t="str">
        <f>IF(Produits!D414="","",Produits!D414)</f>
        <v>AA535</v>
      </c>
      <c r="E414" s="4" t="str">
        <f>IF(Produits!E414="","",Produits!E414)</f>
        <v/>
      </c>
      <c r="F414" s="49" t="str">
        <f>IF(Produits!F414="","",Produits!F414)</f>
        <v>1 pcs</v>
      </c>
      <c r="J414" s="61" t="str">
        <f>IF($J$1="","",HLOOKUP($J$1,$M$1:$AAY$1000,414,0))</f>
        <v/>
      </c>
    </row>
    <row r="415" spans="1:10" x14ac:dyDescent="0.25">
      <c r="A415" s="4" t="str">
        <f>IF(Produits!A415="","",Produits!A415)</f>
        <v>Varitrans</v>
      </c>
      <c r="B415" s="4" t="str">
        <f>IF(Produits!B415="","",Produits!B415)</f>
        <v>DT</v>
      </c>
      <c r="C415" s="4" t="str">
        <f>IF(Produits!C415="","",Produits!C415)</f>
        <v>1000,00,0412</v>
      </c>
      <c r="D415" s="4" t="str">
        <f>IF(Produits!D415="","",Produits!D415)</f>
        <v>AA536</v>
      </c>
      <c r="E415" s="4" t="str">
        <f>IF(Produits!E415="","",Produits!E415)</f>
        <v/>
      </c>
      <c r="F415" s="49" t="str">
        <f>IF(Produits!F415="","",Produits!F415)</f>
        <v>1 pcs</v>
      </c>
      <c r="J415" s="61" t="str">
        <f>IF($J$1="","",HLOOKUP($J$1,$M$1:$AAY$1000,415,0))</f>
        <v/>
      </c>
    </row>
    <row r="416" spans="1:10" x14ac:dyDescent="0.25">
      <c r="A416" s="4" t="str">
        <f>IF(Produits!A416="","",Produits!A416)</f>
        <v>Varitrans</v>
      </c>
      <c r="B416" s="4" t="str">
        <f>IF(Produits!B416="","",Produits!B416)</f>
        <v>Corner Element</v>
      </c>
      <c r="C416" s="4" t="str">
        <f>IF(Produits!C416="","",Produits!C416)</f>
        <v>1000,00,0413</v>
      </c>
      <c r="D416" s="4" t="str">
        <f>IF(Produits!D416="","",Produits!D416)</f>
        <v>AA537</v>
      </c>
      <c r="E416" s="4" t="str">
        <f>IF(Produits!E416="","",Produits!E416)</f>
        <v/>
      </c>
      <c r="F416" s="49" t="str">
        <f>IF(Produits!F416="","",Produits!F416)</f>
        <v>1 pcs</v>
      </c>
      <c r="J416" s="61" t="str">
        <f>IF($J$1="","",HLOOKUP($J$1,$M$1:$AAY$1000,416,0))</f>
        <v/>
      </c>
    </row>
    <row r="417" spans="1:10" x14ac:dyDescent="0.25">
      <c r="A417" s="4" t="str">
        <f>IF(Produits!A417="","",Produits!A417)</f>
        <v>Varitrans</v>
      </c>
      <c r="B417" s="4" t="str">
        <f>IF(Produits!B417="","",Produits!B417)</f>
        <v>Corner Element</v>
      </c>
      <c r="C417" s="4" t="str">
        <f>IF(Produits!C417="","",Produits!C417)</f>
        <v>1000,00,0414</v>
      </c>
      <c r="D417" s="4" t="str">
        <f>IF(Produits!D417="","",Produits!D417)</f>
        <v>AA538</v>
      </c>
      <c r="E417" s="4" t="str">
        <f>IF(Produits!E417="","",Produits!E417)</f>
        <v/>
      </c>
      <c r="F417" s="49" t="str">
        <f>IF(Produits!F417="","",Produits!F417)</f>
        <v>1 pcs</v>
      </c>
      <c r="J417" s="61" t="str">
        <f>IF($J$1="","",HLOOKUP($J$1,$M$1:$AAY$1000,417,0))</f>
        <v/>
      </c>
    </row>
    <row r="418" spans="1:10" x14ac:dyDescent="0.25">
      <c r="A418" s="4" t="str">
        <f>IF(Produits!A418="","",Produits!A418)</f>
        <v>Varitrans</v>
      </c>
      <c r="B418" s="4" t="str">
        <f>IF(Produits!B418="","",Produits!B418)</f>
        <v>Corner Element</v>
      </c>
      <c r="C418" s="4" t="str">
        <f>IF(Produits!C418="","",Produits!C418)</f>
        <v>1000,00,0415</v>
      </c>
      <c r="D418" s="4" t="str">
        <f>IF(Produits!D418="","",Produits!D418)</f>
        <v>AA539</v>
      </c>
      <c r="E418" s="4" t="str">
        <f>IF(Produits!E418="","",Produits!E418)</f>
        <v/>
      </c>
      <c r="F418" s="49" t="str">
        <f>IF(Produits!F418="","",Produits!F418)</f>
        <v>1 pcs</v>
      </c>
      <c r="J418" s="61" t="str">
        <f>IF($J$1="","",HLOOKUP($J$1,$M$1:$AAY$1000,418,0))</f>
        <v/>
      </c>
    </row>
    <row r="419" spans="1:10" x14ac:dyDescent="0.25">
      <c r="A419" s="4" t="str">
        <f>IF(Produits!A419="","",Produits!A419)</f>
        <v>Varitrans</v>
      </c>
      <c r="B419" s="4" t="str">
        <f>IF(Produits!B419="","",Produits!B419)</f>
        <v>Corner Element</v>
      </c>
      <c r="C419" s="4" t="str">
        <f>IF(Produits!C419="","",Produits!C419)</f>
        <v>1000,00,0416</v>
      </c>
      <c r="D419" s="4" t="str">
        <f>IF(Produits!D419="","",Produits!D419)</f>
        <v>AA540</v>
      </c>
      <c r="E419" s="4" t="str">
        <f>IF(Produits!E419="","",Produits!E419)</f>
        <v/>
      </c>
      <c r="F419" s="49" t="str">
        <f>IF(Produits!F419="","",Produits!F419)</f>
        <v>1 pcs</v>
      </c>
      <c r="J419" s="61" t="str">
        <f>IF($J$1="","",HLOOKUP($J$1,$M$1:$AAY$1000,419,0))</f>
        <v/>
      </c>
    </row>
    <row r="420" spans="1:10" x14ac:dyDescent="0.25">
      <c r="A420" s="4" t="str">
        <f>IF(Produits!A420="","",Produits!A420)</f>
        <v>Varitrans</v>
      </c>
      <c r="B420" s="4" t="str">
        <f>IF(Produits!B420="","",Produits!B420)</f>
        <v>Corner Element</v>
      </c>
      <c r="C420" s="4" t="str">
        <f>IF(Produits!C420="","",Produits!C420)</f>
        <v>1000,00,0417</v>
      </c>
      <c r="D420" s="4" t="str">
        <f>IF(Produits!D420="","",Produits!D420)</f>
        <v>AA541</v>
      </c>
      <c r="E420" s="4" t="str">
        <f>IF(Produits!E420="","",Produits!E420)</f>
        <v/>
      </c>
      <c r="F420" s="49" t="str">
        <f>IF(Produits!F420="","",Produits!F420)</f>
        <v>1 pcs</v>
      </c>
      <c r="J420" s="61" t="str">
        <f>IF($J$1="","",HLOOKUP($J$1,$M$1:$AAY$1000,420,0))</f>
        <v/>
      </c>
    </row>
    <row r="421" spans="1:10" x14ac:dyDescent="0.25">
      <c r="A421" s="4" t="str">
        <f>IF(Produits!A421="","",Produits!A421)</f>
        <v>Varitrans</v>
      </c>
      <c r="B421" s="4" t="str">
        <f>IF(Produits!B421="","",Produits!B421)</f>
        <v>Corner Element</v>
      </c>
      <c r="C421" s="4" t="str">
        <f>IF(Produits!C421="","",Produits!C421)</f>
        <v>1000,00,0418</v>
      </c>
      <c r="D421" s="4" t="str">
        <f>IF(Produits!D421="","",Produits!D421)</f>
        <v>AA542</v>
      </c>
      <c r="E421" s="4" t="str">
        <f>IF(Produits!E421="","",Produits!E421)</f>
        <v/>
      </c>
      <c r="F421" s="49" t="str">
        <f>IF(Produits!F421="","",Produits!F421)</f>
        <v>1 pcs</v>
      </c>
      <c r="J421" s="61" t="str">
        <f>IF($J$1="","",HLOOKUP($J$1,$M$1:$AAY$1000,421,0))</f>
        <v/>
      </c>
    </row>
    <row r="422" spans="1:10" x14ac:dyDescent="0.25">
      <c r="A422" s="4" t="str">
        <f>IF(Produits!A422="","",Produits!A422)</f>
        <v>Varitrans</v>
      </c>
      <c r="B422" s="4" t="str">
        <f>IF(Produits!B422="","",Produits!B422)</f>
        <v>Corner Element</v>
      </c>
      <c r="C422" s="4" t="str">
        <f>IF(Produits!C422="","",Produits!C422)</f>
        <v>1000,00,0419</v>
      </c>
      <c r="D422" s="4" t="str">
        <f>IF(Produits!D422="","",Produits!D422)</f>
        <v>AA543</v>
      </c>
      <c r="E422" s="4" t="str">
        <f>IF(Produits!E422="","",Produits!E422)</f>
        <v/>
      </c>
      <c r="F422" s="49" t="str">
        <f>IF(Produits!F422="","",Produits!F422)</f>
        <v>1 pcs</v>
      </c>
      <c r="J422" s="61" t="str">
        <f>IF($J$1="","",HLOOKUP($J$1,$M$1:$AAY$1000,422,0))</f>
        <v/>
      </c>
    </row>
    <row r="423" spans="1:10" x14ac:dyDescent="0.25">
      <c r="A423" s="4" t="str">
        <f>IF(Produits!A423="","",Produits!A423)</f>
        <v>Varitrans</v>
      </c>
      <c r="B423" s="4" t="str">
        <f>IF(Produits!B423="","",Produits!B423)</f>
        <v>Corner Element</v>
      </c>
      <c r="C423" s="4" t="str">
        <f>IF(Produits!C423="","",Produits!C423)</f>
        <v>1000,00,0420</v>
      </c>
      <c r="D423" s="4" t="str">
        <f>IF(Produits!D423="","",Produits!D423)</f>
        <v>AA544</v>
      </c>
      <c r="E423" s="4" t="str">
        <f>IF(Produits!E423="","",Produits!E423)</f>
        <v/>
      </c>
      <c r="F423" s="49" t="str">
        <f>IF(Produits!F423="","",Produits!F423)</f>
        <v>1 pcs</v>
      </c>
      <c r="J423" s="61" t="str">
        <f>IF($J$1="","",HLOOKUP($J$1,$M$1:$AAY$1000,423,0))</f>
        <v/>
      </c>
    </row>
    <row r="424" spans="1:10" x14ac:dyDescent="0.25">
      <c r="A424" s="4" t="str">
        <f>IF(Produits!A424="","",Produits!A424)</f>
        <v>Varitrans</v>
      </c>
      <c r="B424" s="4" t="str">
        <f>IF(Produits!B424="","",Produits!B424)</f>
        <v>Corner Element</v>
      </c>
      <c r="C424" s="4" t="str">
        <f>IF(Produits!C424="","",Produits!C424)</f>
        <v>1000,00,0421</v>
      </c>
      <c r="D424" s="4" t="str">
        <f>IF(Produits!D424="","",Produits!D424)</f>
        <v>AA545</v>
      </c>
      <c r="E424" s="4" t="str">
        <f>IF(Produits!E424="","",Produits!E424)</f>
        <v/>
      </c>
      <c r="F424" s="49" t="str">
        <f>IF(Produits!F424="","",Produits!F424)</f>
        <v>1 pcs</v>
      </c>
      <c r="J424" s="61" t="str">
        <f>IF($J$1="","",HLOOKUP($J$1,$M$1:$AAY$1000,424,0))</f>
        <v/>
      </c>
    </row>
    <row r="425" spans="1:10" x14ac:dyDescent="0.25">
      <c r="A425" s="4" t="str">
        <f>IF(Produits!A425="","",Produits!A425)</f>
        <v>Varitrans</v>
      </c>
      <c r="B425" s="4" t="str">
        <f>IF(Produits!B425="","",Produits!B425)</f>
        <v>Corner Element</v>
      </c>
      <c r="C425" s="4" t="str">
        <f>IF(Produits!C425="","",Produits!C425)</f>
        <v>1000,00,0422</v>
      </c>
      <c r="D425" s="4" t="str">
        <f>IF(Produits!D425="","",Produits!D425)</f>
        <v>AA546</v>
      </c>
      <c r="E425" s="4" t="str">
        <f>IF(Produits!E425="","",Produits!E425)</f>
        <v/>
      </c>
      <c r="F425" s="49" t="str">
        <f>IF(Produits!F425="","",Produits!F425)</f>
        <v>1 pcs</v>
      </c>
      <c r="J425" s="61" t="str">
        <f>IF($J$1="","",HLOOKUP($J$1,$M$1:$AAY$1000,425,0))</f>
        <v/>
      </c>
    </row>
    <row r="426" spans="1:10" x14ac:dyDescent="0.25">
      <c r="A426" s="4" t="str">
        <f>IF(Produits!A426="","",Produits!A426)</f>
        <v>Varitrans</v>
      </c>
      <c r="B426" s="4" t="str">
        <f>IF(Produits!B426="","",Produits!B426)</f>
        <v>Swing Door</v>
      </c>
      <c r="C426" s="4" t="str">
        <f>IF(Produits!C426="","",Produits!C426)</f>
        <v>1000,00,0423</v>
      </c>
      <c r="D426" s="4" t="str">
        <f>IF(Produits!D426="","",Produits!D426)</f>
        <v>AA547</v>
      </c>
      <c r="E426" s="4" t="str">
        <f>IF(Produits!E426="","",Produits!E426)</f>
        <v/>
      </c>
      <c r="F426" s="49" t="str">
        <f>IF(Produits!F426="","",Produits!F426)</f>
        <v>1 pcs</v>
      </c>
      <c r="J426" s="61" t="str">
        <f>IF($J$1="","",HLOOKUP($J$1,$M$1:$AAY$1000,426,0))</f>
        <v/>
      </c>
    </row>
    <row r="427" spans="1:10" x14ac:dyDescent="0.25">
      <c r="A427" s="4" t="str">
        <f>IF(Produits!A427="","",Produits!A427)</f>
        <v>Varitrans</v>
      </c>
      <c r="B427" s="4" t="str">
        <f>IF(Produits!B427="","",Produits!B427)</f>
        <v>Swing Door</v>
      </c>
      <c r="C427" s="4" t="str">
        <f>IF(Produits!C427="","",Produits!C427)</f>
        <v>1000,00,0424</v>
      </c>
      <c r="D427" s="4" t="str">
        <f>IF(Produits!D427="","",Produits!D427)</f>
        <v>AA548</v>
      </c>
      <c r="E427" s="4" t="str">
        <f>IF(Produits!E427="","",Produits!E427)</f>
        <v/>
      </c>
      <c r="F427" s="49" t="str">
        <f>IF(Produits!F427="","",Produits!F427)</f>
        <v>1 pcs</v>
      </c>
      <c r="J427" s="61" t="str">
        <f>IF($J$1="","",HLOOKUP($J$1,$M$1:$AAY$1000,427,0))</f>
        <v/>
      </c>
    </row>
    <row r="428" spans="1:10" x14ac:dyDescent="0.25">
      <c r="A428" s="4" t="str">
        <f>IF(Produits!A428="","",Produits!A428)</f>
        <v>Varitrans</v>
      </c>
      <c r="B428" s="4" t="str">
        <f>IF(Produits!B428="","",Produits!B428)</f>
        <v>Swing Door</v>
      </c>
      <c r="C428" s="4" t="str">
        <f>IF(Produits!C428="","",Produits!C428)</f>
        <v>1000,00,0425</v>
      </c>
      <c r="D428" s="4" t="str">
        <f>IF(Produits!D428="","",Produits!D428)</f>
        <v>AA549</v>
      </c>
      <c r="E428" s="4" t="str">
        <f>IF(Produits!E428="","",Produits!E428)</f>
        <v/>
      </c>
      <c r="F428" s="49" t="str">
        <f>IF(Produits!F428="","",Produits!F428)</f>
        <v>1 pcs</v>
      </c>
      <c r="J428" s="61" t="str">
        <f>IF($J$1="","",HLOOKUP($J$1,$M$1:$AAY$1000,428,0))</f>
        <v/>
      </c>
    </row>
    <row r="429" spans="1:10" x14ac:dyDescent="0.25">
      <c r="A429" s="4" t="str">
        <f>IF(Produits!A429="","",Produits!A429)</f>
        <v>Varitrans</v>
      </c>
      <c r="B429" s="4" t="str">
        <f>IF(Produits!B429="","",Produits!B429)</f>
        <v>Swing Door</v>
      </c>
      <c r="C429" s="4" t="str">
        <f>IF(Produits!C429="","",Produits!C429)</f>
        <v>1000,00,0426</v>
      </c>
      <c r="D429" s="4" t="str">
        <f>IF(Produits!D429="","",Produits!D429)</f>
        <v>AA550</v>
      </c>
      <c r="E429" s="4" t="str">
        <f>IF(Produits!E429="","",Produits!E429)</f>
        <v/>
      </c>
      <c r="F429" s="49" t="str">
        <f>IF(Produits!F429="","",Produits!F429)</f>
        <v>1 pcs</v>
      </c>
      <c r="J429" s="61" t="str">
        <f>IF($J$1="","",HLOOKUP($J$1,$M$1:$AAY$1000,429,0))</f>
        <v/>
      </c>
    </row>
    <row r="430" spans="1:10" x14ac:dyDescent="0.25">
      <c r="A430" s="4" t="str">
        <f>IF(Produits!A430="","",Produits!A430)</f>
        <v>Varitrans</v>
      </c>
      <c r="B430" s="4" t="str">
        <f>IF(Produits!B430="","",Produits!B430)</f>
        <v>Swing Door</v>
      </c>
      <c r="C430" s="4" t="str">
        <f>IF(Produits!C430="","",Produits!C430)</f>
        <v>1000,00,0427</v>
      </c>
      <c r="D430" s="4" t="str">
        <f>IF(Produits!D430="","",Produits!D430)</f>
        <v>AA551</v>
      </c>
      <c r="E430" s="4" t="str">
        <f>IF(Produits!E430="","",Produits!E430)</f>
        <v/>
      </c>
      <c r="F430" s="49" t="str">
        <f>IF(Produits!F430="","",Produits!F430)</f>
        <v>1 pcs</v>
      </c>
      <c r="J430" s="61" t="str">
        <f>IF($J$1="","",HLOOKUP($J$1,$M$1:$AAY$1000,430,0))</f>
        <v/>
      </c>
    </row>
    <row r="431" spans="1:10" x14ac:dyDescent="0.25">
      <c r="A431" s="4" t="str">
        <f>IF(Produits!A431="","",Produits!A431)</f>
        <v>Varitrans</v>
      </c>
      <c r="B431" s="4" t="str">
        <f>IF(Produits!B431="","",Produits!B431)</f>
        <v>Profile Cylinder</v>
      </c>
      <c r="C431" s="4" t="str">
        <f>IF(Produits!C431="","",Produits!C431)</f>
        <v>1000,00,0428</v>
      </c>
      <c r="D431" s="4" t="str">
        <f>IF(Produits!D431="","",Produits!D431)</f>
        <v>AA552</v>
      </c>
      <c r="E431" s="4" t="str">
        <f>IF(Produits!E431="","",Produits!E431)</f>
        <v/>
      </c>
      <c r="F431" s="49" t="str">
        <f>IF(Produits!F431="","",Produits!F431)</f>
        <v>1 pcs</v>
      </c>
      <c r="J431" s="61" t="str">
        <f>IF($J$1="","",HLOOKUP($J$1,$M$1:$AAY$1000,431,0))</f>
        <v/>
      </c>
    </row>
    <row r="432" spans="1:10" x14ac:dyDescent="0.25">
      <c r="A432" s="4" t="str">
        <f>IF(Produits!A432="","",Produits!A432)</f>
        <v>Varitrans</v>
      </c>
      <c r="B432" s="4" t="str">
        <f>IF(Produits!B432="","",Produits!B432)</f>
        <v>Profile Cylinder</v>
      </c>
      <c r="C432" s="4" t="str">
        <f>IF(Produits!C432="","",Produits!C432)</f>
        <v>1000,00,0429</v>
      </c>
      <c r="D432" s="4" t="str">
        <f>IF(Produits!D432="","",Produits!D432)</f>
        <v>AA553</v>
      </c>
      <c r="E432" s="4" t="str">
        <f>IF(Produits!E432="","",Produits!E432)</f>
        <v/>
      </c>
      <c r="F432" s="49" t="str">
        <f>IF(Produits!F432="","",Produits!F432)</f>
        <v>1 pcs</v>
      </c>
      <c r="J432" s="61" t="str">
        <f>IF($J$1="","",HLOOKUP($J$1,$M$1:$AAY$1000,432,0))</f>
        <v/>
      </c>
    </row>
    <row r="433" spans="1:10" x14ac:dyDescent="0.25">
      <c r="A433" s="4" t="str">
        <f>IF(Produits!A433="","",Produits!A433)</f>
        <v>Varitrans</v>
      </c>
      <c r="B433" s="4" t="str">
        <f>IF(Produits!B433="","",Produits!B433)</f>
        <v>Profile Cylinder</v>
      </c>
      <c r="C433" s="4" t="str">
        <f>IF(Produits!C433="","",Produits!C433)</f>
        <v>1000,00,0430</v>
      </c>
      <c r="D433" s="4" t="str">
        <f>IF(Produits!D433="","",Produits!D433)</f>
        <v>AA554</v>
      </c>
      <c r="E433" s="4" t="str">
        <f>IF(Produits!E433="","",Produits!E433)</f>
        <v/>
      </c>
      <c r="F433" s="49" t="str">
        <f>IF(Produits!F433="","",Produits!F433)</f>
        <v>1 pcs</v>
      </c>
      <c r="J433" s="61" t="str">
        <f>IF($J$1="","",HLOOKUP($J$1,$M$1:$AAY$1000,433,0))</f>
        <v/>
      </c>
    </row>
    <row r="434" spans="1:10" x14ac:dyDescent="0.25">
      <c r="A434" s="4" t="str">
        <f>IF(Produits!A434="","",Produits!A434)</f>
        <v>Varitrans</v>
      </c>
      <c r="B434" s="4" t="str">
        <f>IF(Produits!B434="","",Produits!B434)</f>
        <v>Profile Cylinder</v>
      </c>
      <c r="C434" s="4" t="str">
        <f>IF(Produits!C434="","",Produits!C434)</f>
        <v>1000,00,0431</v>
      </c>
      <c r="D434" s="4" t="str">
        <f>IF(Produits!D434="","",Produits!D434)</f>
        <v>AA555</v>
      </c>
      <c r="E434" s="4" t="str">
        <f>IF(Produits!E434="","",Produits!E434)</f>
        <v/>
      </c>
      <c r="F434" s="49" t="str">
        <f>IF(Produits!F434="","",Produits!F434)</f>
        <v>1 pcs</v>
      </c>
      <c r="J434" s="61" t="str">
        <f>IF($J$1="","",HLOOKUP($J$1,$M$1:$AAY$1000,434,0))</f>
        <v/>
      </c>
    </row>
    <row r="435" spans="1:10" x14ac:dyDescent="0.25">
      <c r="A435" s="4" t="str">
        <f>IF(Produits!A435="","",Produits!A435)</f>
        <v>Varitrans</v>
      </c>
      <c r="B435" s="4" t="str">
        <f>IF(Produits!B435="","",Produits!B435)</f>
        <v>Profile Cylinder</v>
      </c>
      <c r="C435" s="4" t="str">
        <f>IF(Produits!C435="","",Produits!C435)</f>
        <v>1000,00,0432</v>
      </c>
      <c r="D435" s="4" t="str">
        <f>IF(Produits!D435="","",Produits!D435)</f>
        <v>AA556</v>
      </c>
      <c r="E435" s="4" t="str">
        <f>IF(Produits!E435="","",Produits!E435)</f>
        <v/>
      </c>
      <c r="F435" s="49" t="str">
        <f>IF(Produits!F435="","",Produits!F435)</f>
        <v>1 pcs</v>
      </c>
      <c r="J435" s="61" t="str">
        <f>IF($J$1="","",HLOOKUP($J$1,$M$1:$AAY$1000,435,0))</f>
        <v/>
      </c>
    </row>
    <row r="436" spans="1:10" x14ac:dyDescent="0.25">
      <c r="A436" s="4" t="str">
        <f>IF(Produits!A436="","",Produits!A436)</f>
        <v>Varitrans</v>
      </c>
      <c r="B436" s="4" t="str">
        <f>IF(Produits!B436="","",Produits!B436)</f>
        <v>Profile Cylinder</v>
      </c>
      <c r="C436" s="4" t="str">
        <f>IF(Produits!C436="","",Produits!C436)</f>
        <v>1000,00,0433</v>
      </c>
      <c r="D436" s="4" t="str">
        <f>IF(Produits!D436="","",Produits!D436)</f>
        <v>AA557</v>
      </c>
      <c r="E436" s="4" t="str">
        <f>IF(Produits!E436="","",Produits!E436)</f>
        <v/>
      </c>
      <c r="F436" s="49" t="str">
        <f>IF(Produits!F436="","",Produits!F436)</f>
        <v>1 pcs</v>
      </c>
      <c r="J436" s="61" t="str">
        <f>IF($J$1="","",HLOOKUP($J$1,$M$1:$AAY$1000,436,0))</f>
        <v/>
      </c>
    </row>
    <row r="437" spans="1:10" x14ac:dyDescent="0.25">
      <c r="A437" s="4" t="str">
        <f>IF(Produits!A437="","",Produits!A437)</f>
        <v>Varitrans</v>
      </c>
      <c r="B437" s="4" t="str">
        <f>IF(Produits!B437="","",Produits!B437)</f>
        <v>Profile Cylinder</v>
      </c>
      <c r="C437" s="4" t="str">
        <f>IF(Produits!C437="","",Produits!C437)</f>
        <v>1000,00,0434</v>
      </c>
      <c r="D437" s="4" t="str">
        <f>IF(Produits!D437="","",Produits!D437)</f>
        <v>AA558</v>
      </c>
      <c r="E437" s="4" t="str">
        <f>IF(Produits!E437="","",Produits!E437)</f>
        <v/>
      </c>
      <c r="F437" s="49" t="str">
        <f>IF(Produits!F437="","",Produits!F437)</f>
        <v>1 pcs</v>
      </c>
      <c r="J437" s="61" t="str">
        <f>IF($J$1="","",HLOOKUP($J$1,$M$1:$AAY$1000,437,0))</f>
        <v/>
      </c>
    </row>
    <row r="438" spans="1:10" x14ac:dyDescent="0.25">
      <c r="A438" s="4" t="str">
        <f>IF(Produits!A438="","",Produits!A438)</f>
        <v>Varitrans</v>
      </c>
      <c r="B438" s="4" t="str">
        <f>IF(Produits!B438="","",Produits!B438)</f>
        <v>Profile Cylinder</v>
      </c>
      <c r="C438" s="4" t="str">
        <f>IF(Produits!C438="","",Produits!C438)</f>
        <v>1000,00,0435</v>
      </c>
      <c r="D438" s="4" t="str">
        <f>IF(Produits!D438="","",Produits!D438)</f>
        <v>AA559</v>
      </c>
      <c r="E438" s="4" t="str">
        <f>IF(Produits!E438="","",Produits!E438)</f>
        <v/>
      </c>
      <c r="F438" s="49" t="str">
        <f>IF(Produits!F438="","",Produits!F438)</f>
        <v>1 pcs</v>
      </c>
      <c r="J438" s="61" t="str">
        <f>IF($J$1="","",HLOOKUP($J$1,$M$1:$AAY$1000,438,0))</f>
        <v/>
      </c>
    </row>
    <row r="439" spans="1:10" x14ac:dyDescent="0.25">
      <c r="A439" s="4" t="str">
        <f>IF(Produits!A439="","",Produits!A439)</f>
        <v>Varitrans</v>
      </c>
      <c r="B439" s="4" t="str">
        <f>IF(Produits!B439="","",Produits!B439)</f>
        <v>Profile Cylinder</v>
      </c>
      <c r="C439" s="4" t="str">
        <f>IF(Produits!C439="","",Produits!C439)</f>
        <v>1000,00,0436</v>
      </c>
      <c r="D439" s="4" t="str">
        <f>IF(Produits!D439="","",Produits!D439)</f>
        <v>AA560</v>
      </c>
      <c r="E439" s="4" t="str">
        <f>IF(Produits!E439="","",Produits!E439)</f>
        <v/>
      </c>
      <c r="F439" s="49" t="str">
        <f>IF(Produits!F439="","",Produits!F439)</f>
        <v>1 pcs</v>
      </c>
      <c r="J439" s="61" t="str">
        <f>IF($J$1="","",HLOOKUP($J$1,$M$1:$AAY$1000,439,0))</f>
        <v/>
      </c>
    </row>
    <row r="440" spans="1:10" x14ac:dyDescent="0.25">
      <c r="A440" s="4" t="str">
        <f>IF(Produits!A440="","",Produits!A440)</f>
        <v>Porte</v>
      </c>
      <c r="B440" s="4" t="str">
        <f>IF(Produits!B440="","",Produits!B440)</f>
        <v/>
      </c>
      <c r="C440" s="4" t="str">
        <f>IF(Produits!C440="","",Produits!C440)</f>
        <v>1000,00,0437</v>
      </c>
      <c r="D440" s="4" t="str">
        <f>IF(Produits!D440="","",Produits!D440)</f>
        <v>AA561</v>
      </c>
      <c r="E440" s="4" t="str">
        <f>IF(Produits!E440="","",Produits!E440)</f>
        <v/>
      </c>
      <c r="F440" s="49" t="str">
        <f>IF(Produits!F440="","",Produits!F440)</f>
        <v>1 pcs</v>
      </c>
      <c r="J440" s="61" t="str">
        <f>IF($J$1="","",HLOOKUP($J$1,$M$1:$AAY$1000,440,0))</f>
        <v/>
      </c>
    </row>
    <row r="441" spans="1:10" x14ac:dyDescent="0.25">
      <c r="A441" s="4" t="str">
        <f>IF(Produits!A441="","",Produits!A441)</f>
        <v>Porte</v>
      </c>
      <c r="B441" s="4" t="str">
        <f>IF(Produits!B441="","",Produits!B441)</f>
        <v/>
      </c>
      <c r="C441" s="4" t="str">
        <f>IF(Produits!C441="","",Produits!C441)</f>
        <v>1000,00,0438</v>
      </c>
      <c r="D441" s="4" t="str">
        <f>IF(Produits!D441="","",Produits!D441)</f>
        <v>AA562</v>
      </c>
      <c r="E441" s="4" t="str">
        <f>IF(Produits!E441="","",Produits!E441)</f>
        <v/>
      </c>
      <c r="F441" s="49" t="str">
        <f>IF(Produits!F441="","",Produits!F441)</f>
        <v>1 pcs</v>
      </c>
      <c r="J441" s="61" t="str">
        <f>IF($J$1="","",HLOOKUP($J$1,$M$1:$AAY$1000,441,0))</f>
        <v/>
      </c>
    </row>
    <row r="442" spans="1:10" x14ac:dyDescent="0.25">
      <c r="A442" s="4" t="str">
        <f>IF(Produits!A442="","",Produits!A442)</f>
        <v>Porte</v>
      </c>
      <c r="B442" s="4" t="str">
        <f>IF(Produits!B442="","",Produits!B442)</f>
        <v/>
      </c>
      <c r="C442" s="4" t="str">
        <f>IF(Produits!C442="","",Produits!C442)</f>
        <v>1000,00,0439</v>
      </c>
      <c r="D442" s="4" t="str">
        <f>IF(Produits!D442="","",Produits!D442)</f>
        <v>AA563</v>
      </c>
      <c r="E442" s="4" t="str">
        <f>IF(Produits!E442="","",Produits!E442)</f>
        <v/>
      </c>
      <c r="F442" s="49" t="str">
        <f>IF(Produits!F442="","",Produits!F442)</f>
        <v>1 pcs</v>
      </c>
      <c r="J442" s="61" t="str">
        <f>IF($J$1="","",HLOOKUP($J$1,$M$1:$AAY$1000,442,0))</f>
        <v/>
      </c>
    </row>
    <row r="443" spans="1:10" x14ac:dyDescent="0.25">
      <c r="A443" s="4" t="str">
        <f>IF(Produits!A443="","",Produits!A443)</f>
        <v>Capot</v>
      </c>
      <c r="B443" s="4" t="str">
        <f>IF(Produits!B443="","",Produits!B443)</f>
        <v>RAL 9010</v>
      </c>
      <c r="C443" s="4" t="str">
        <f>IF(Produits!C443="","",Produits!C443)</f>
        <v>1000,00,0440</v>
      </c>
      <c r="D443" s="4" t="str">
        <f>IF(Produits!D443="","",Produits!D443)</f>
        <v>AA564</v>
      </c>
      <c r="E443" s="4" t="str">
        <f>IF(Produits!E443="","",Produits!E443)</f>
        <v/>
      </c>
      <c r="F443" s="49" t="str">
        <f>IF(Produits!F443="","",Produits!F443)</f>
        <v>1 pcs</v>
      </c>
      <c r="J443" s="61" t="str">
        <f>IF($J$1="","",HLOOKUP($J$1,$M$1:$AAY$1000,443,0))</f>
        <v/>
      </c>
    </row>
    <row r="444" spans="1:10" x14ac:dyDescent="0.25">
      <c r="A444" s="4" t="str">
        <f>IF(Produits!A444="","",Produits!A444)</f>
        <v>Capot</v>
      </c>
      <c r="B444" s="4" t="str">
        <f>IF(Produits!B444="","",Produits!B444)</f>
        <v>RAL 9010</v>
      </c>
      <c r="C444" s="4" t="str">
        <f>IF(Produits!C444="","",Produits!C444)</f>
        <v>1000,00,0441</v>
      </c>
      <c r="D444" s="4" t="str">
        <f>IF(Produits!D444="","",Produits!D444)</f>
        <v>AA565</v>
      </c>
      <c r="E444" s="4" t="str">
        <f>IF(Produits!E444="","",Produits!E444)</f>
        <v/>
      </c>
      <c r="F444" s="49" t="str">
        <f>IF(Produits!F444="","",Produits!F444)</f>
        <v>1 pcs</v>
      </c>
      <c r="J444" s="61" t="str">
        <f>IF($J$1="","",HLOOKUP($J$1,$M$1:$AAY$1000,444,0))</f>
        <v/>
      </c>
    </row>
    <row r="445" spans="1:10" x14ac:dyDescent="0.25">
      <c r="A445" s="4" t="str">
        <f>IF(Produits!A445="","",Produits!A445)</f>
        <v>Capot</v>
      </c>
      <c r="B445" s="4" t="str">
        <f>IF(Produits!B445="","",Produits!B445)</f>
        <v>RAL 9010</v>
      </c>
      <c r="C445" s="4" t="str">
        <f>IF(Produits!C445="","",Produits!C445)</f>
        <v>1000,00,0442</v>
      </c>
      <c r="D445" s="4" t="str">
        <f>IF(Produits!D445="","",Produits!D445)</f>
        <v>AA566</v>
      </c>
      <c r="E445" s="4" t="str">
        <f>IF(Produits!E445="","",Produits!E445)</f>
        <v/>
      </c>
      <c r="F445" s="49" t="str">
        <f>IF(Produits!F445="","",Produits!F445)</f>
        <v>1 pcs</v>
      </c>
      <c r="J445" s="61" t="str">
        <f>IF($J$1="","",HLOOKUP($J$1,$M$1:$AAY$1000,445,0))</f>
        <v/>
      </c>
    </row>
    <row r="446" spans="1:10" x14ac:dyDescent="0.25">
      <c r="A446" s="4" t="str">
        <f>IF(Produits!A446="","",Produits!A446)</f>
        <v>Capot</v>
      </c>
      <c r="B446" s="4" t="str">
        <f>IF(Produits!B446="","",Produits!B446)</f>
        <v>RAL 9010</v>
      </c>
      <c r="C446" s="4" t="str">
        <f>IF(Produits!C446="","",Produits!C446)</f>
        <v>1000,00,0443</v>
      </c>
      <c r="D446" s="4" t="str">
        <f>IF(Produits!D446="","",Produits!D446)</f>
        <v>AA567</v>
      </c>
      <c r="E446" s="4" t="str">
        <f>IF(Produits!E446="","",Produits!E446)</f>
        <v/>
      </c>
      <c r="F446" s="49" t="str">
        <f>IF(Produits!F446="","",Produits!F446)</f>
        <v>1 pcs</v>
      </c>
      <c r="J446" s="61" t="str">
        <f>IF($J$1="","",HLOOKUP($J$1,$M$1:$AAY$1000,446,0))</f>
        <v/>
      </c>
    </row>
    <row r="447" spans="1:10" x14ac:dyDescent="0.25">
      <c r="A447" s="4" t="str">
        <f>IF(Produits!A447="","",Produits!A447)</f>
        <v>Capot</v>
      </c>
      <c r="B447" s="4" t="str">
        <f>IF(Produits!B447="","",Produits!B447)</f>
        <v>RAL 9010</v>
      </c>
      <c r="C447" s="4" t="str">
        <f>IF(Produits!C447="","",Produits!C447)</f>
        <v>1000,00,0444</v>
      </c>
      <c r="D447" s="4" t="str">
        <f>IF(Produits!D447="","",Produits!D447)</f>
        <v>AA568</v>
      </c>
      <c r="E447" s="4" t="str">
        <f>IF(Produits!E447="","",Produits!E447)</f>
        <v/>
      </c>
      <c r="F447" s="49" t="str">
        <f>IF(Produits!F447="","",Produits!F447)</f>
        <v>1 pcs</v>
      </c>
      <c r="J447" s="61" t="str">
        <f>IF($J$1="","",HLOOKUP($J$1,$M$1:$AAY$1000,447,0))</f>
        <v/>
      </c>
    </row>
    <row r="448" spans="1:10" x14ac:dyDescent="0.25">
      <c r="A448" s="4" t="str">
        <f>IF(Produits!A448="","",Produits!A448)</f>
        <v>Capot</v>
      </c>
      <c r="B448" s="4" t="str">
        <f>IF(Produits!B448="","",Produits!B448)</f>
        <v>RAL 9003</v>
      </c>
      <c r="C448" s="4" t="str">
        <f>IF(Produits!C448="","",Produits!C448)</f>
        <v>1000,00,0445</v>
      </c>
      <c r="D448" s="4" t="str">
        <f>IF(Produits!D448="","",Produits!D448)</f>
        <v>AA569</v>
      </c>
      <c r="E448" s="4" t="str">
        <f>IF(Produits!E448="","",Produits!E448)</f>
        <v/>
      </c>
      <c r="F448" s="49" t="str">
        <f>IF(Produits!F448="","",Produits!F448)</f>
        <v>1 pcs</v>
      </c>
      <c r="J448" s="61" t="str">
        <f>IF($J$1="","",HLOOKUP($J$1,$M$1:$AAY$1000,448,0))</f>
        <v/>
      </c>
    </row>
    <row r="449" spans="1:10" x14ac:dyDescent="0.25">
      <c r="A449" s="4" t="str">
        <f>IF(Produits!A449="","",Produits!A449)</f>
        <v>Capot</v>
      </c>
      <c r="B449" s="4" t="str">
        <f>IF(Produits!B449="","",Produits!B449)</f>
        <v>RAL 9003</v>
      </c>
      <c r="C449" s="4" t="str">
        <f>IF(Produits!C449="","",Produits!C449)</f>
        <v>1000,00,0446</v>
      </c>
      <c r="D449" s="4" t="str">
        <f>IF(Produits!D449="","",Produits!D449)</f>
        <v>AA570</v>
      </c>
      <c r="E449" s="4" t="str">
        <f>IF(Produits!E449="","",Produits!E449)</f>
        <v/>
      </c>
      <c r="F449" s="49" t="str">
        <f>IF(Produits!F449="","",Produits!F449)</f>
        <v>1 pcs</v>
      </c>
      <c r="J449" s="61" t="str">
        <f>IF($J$1="","",HLOOKUP($J$1,$M$1:$AAY$1000,449,0))</f>
        <v/>
      </c>
    </row>
    <row r="450" spans="1:10" x14ac:dyDescent="0.25">
      <c r="A450" s="4" t="str">
        <f>IF(Produits!A450="","",Produits!A450)</f>
        <v>Capot</v>
      </c>
      <c r="B450" s="4" t="str">
        <f>IF(Produits!B450="","",Produits!B450)</f>
        <v>RAL 9003</v>
      </c>
      <c r="C450" s="4" t="str">
        <f>IF(Produits!C450="","",Produits!C450)</f>
        <v>1000,00,0447</v>
      </c>
      <c r="D450" s="4" t="str">
        <f>IF(Produits!D450="","",Produits!D450)</f>
        <v>AA571</v>
      </c>
      <c r="E450" s="4" t="str">
        <f>IF(Produits!E450="","",Produits!E450)</f>
        <v/>
      </c>
      <c r="F450" s="49" t="str">
        <f>IF(Produits!F450="","",Produits!F450)</f>
        <v>1 pcs</v>
      </c>
      <c r="J450" s="61" t="str">
        <f>IF($J$1="","",HLOOKUP($J$1,$M$1:$AAY$1000,450,0))</f>
        <v/>
      </c>
    </row>
    <row r="451" spans="1:10" x14ac:dyDescent="0.25">
      <c r="A451" s="4" t="str">
        <f>IF(Produits!A451="","",Produits!A451)</f>
        <v>Capot</v>
      </c>
      <c r="B451" s="4" t="str">
        <f>IF(Produits!B451="","",Produits!B451)</f>
        <v>RAL 9003</v>
      </c>
      <c r="C451" s="4" t="str">
        <f>IF(Produits!C451="","",Produits!C451)</f>
        <v>1000,00,0448</v>
      </c>
      <c r="D451" s="4" t="str">
        <f>IF(Produits!D451="","",Produits!D451)</f>
        <v>AA572</v>
      </c>
      <c r="E451" s="4" t="str">
        <f>IF(Produits!E451="","",Produits!E451)</f>
        <v/>
      </c>
      <c r="F451" s="49" t="str">
        <f>IF(Produits!F451="","",Produits!F451)</f>
        <v>1 pcs</v>
      </c>
      <c r="J451" s="61" t="str">
        <f>IF($J$1="","",HLOOKUP($J$1,$M$1:$AAY$1000,451,0))</f>
        <v/>
      </c>
    </row>
    <row r="452" spans="1:10" x14ac:dyDescent="0.25">
      <c r="A452" s="4" t="str">
        <f>IF(Produits!A452="","",Produits!A452)</f>
        <v>Capot</v>
      </c>
      <c r="B452" s="4" t="str">
        <f>IF(Produits!B452="","",Produits!B452)</f>
        <v>RAL 9003</v>
      </c>
      <c r="C452" s="4" t="str">
        <f>IF(Produits!C452="","",Produits!C452)</f>
        <v>1000,00,0449</v>
      </c>
      <c r="D452" s="4" t="str">
        <f>IF(Produits!D452="","",Produits!D452)</f>
        <v>AA573</v>
      </c>
      <c r="E452" s="4" t="str">
        <f>IF(Produits!E452="","",Produits!E452)</f>
        <v/>
      </c>
      <c r="F452" s="49" t="str">
        <f>IF(Produits!F452="","",Produits!F452)</f>
        <v>1 pcs</v>
      </c>
      <c r="J452" s="61" t="str">
        <f>IF($J$1="","",HLOOKUP($J$1,$M$1:$AAY$1000,452,0))</f>
        <v/>
      </c>
    </row>
    <row r="453" spans="1:10" x14ac:dyDescent="0.25">
      <c r="A453" s="4"/>
      <c r="C453" s="4"/>
      <c r="D453" s="4"/>
      <c r="E453" s="4"/>
      <c r="F453" s="49"/>
      <c r="J453" s="61" t="str">
        <f>IF($J$1="","",HLOOKUP($J$1,$M$1:$AAY$1000,453,0))</f>
        <v/>
      </c>
    </row>
    <row r="454" spans="1:10" x14ac:dyDescent="0.25">
      <c r="A454" s="4"/>
      <c r="C454" s="4"/>
      <c r="D454" s="4"/>
      <c r="E454" s="4"/>
      <c r="F454" s="49"/>
      <c r="J454" s="61" t="str">
        <f>IF($J$1="","",HLOOKUP($J$1,$M$1:$AAY$1000,454,0))</f>
        <v/>
      </c>
    </row>
    <row r="455" spans="1:10" x14ac:dyDescent="0.25">
      <c r="A455" s="4"/>
      <c r="C455" s="4"/>
      <c r="D455" s="4"/>
      <c r="E455" s="4"/>
      <c r="F455" s="49"/>
      <c r="J455" s="61" t="str">
        <f>IF($J$1="","",HLOOKUP($J$1,$M$1:$AAY$1000,455,0))</f>
        <v/>
      </c>
    </row>
    <row r="456" spans="1:10" x14ac:dyDescent="0.25">
      <c r="A456" s="4"/>
      <c r="C456" s="4"/>
      <c r="D456" s="4"/>
      <c r="E456" s="4"/>
      <c r="F456" s="49"/>
      <c r="J456" s="61" t="str">
        <f>IF($J$1="","",HLOOKUP($J$1,$M$1:$AAY$1000,456,0))</f>
        <v/>
      </c>
    </row>
    <row r="457" spans="1:10" x14ac:dyDescent="0.25">
      <c r="A457" s="4"/>
      <c r="C457" s="4"/>
      <c r="D457" s="4"/>
      <c r="E457" s="4"/>
      <c r="F457" s="49"/>
      <c r="J457" s="61" t="str">
        <f>IF($J$1="","",HLOOKUP($J$1,$M$1:$AAY$1000,457,0))</f>
        <v/>
      </c>
    </row>
    <row r="458" spans="1:10" x14ac:dyDescent="0.25">
      <c r="A458" s="4"/>
      <c r="C458" s="4"/>
      <c r="D458" s="4"/>
      <c r="E458" s="4"/>
      <c r="F458" s="49"/>
      <c r="J458" s="61" t="str">
        <f>IF($J$1="","",HLOOKUP($J$1,$M$1:$AAY$1000,458,0))</f>
        <v/>
      </c>
    </row>
    <row r="459" spans="1:10" x14ac:dyDescent="0.25">
      <c r="A459" s="4"/>
      <c r="C459" s="4"/>
      <c r="D459" s="4"/>
      <c r="E459" s="4"/>
      <c r="F459" s="49"/>
      <c r="J459" s="61" t="str">
        <f>IF($J$1="","",HLOOKUP($J$1,$M$1:$AAY$1000,459,0))</f>
        <v/>
      </c>
    </row>
    <row r="460" spans="1:10" x14ac:dyDescent="0.25">
      <c r="A460" s="4"/>
      <c r="C460" s="4"/>
      <c r="D460" s="4"/>
      <c r="E460" s="4"/>
      <c r="F460" s="49"/>
      <c r="J460" s="61" t="str">
        <f>IF($J$1="","",HLOOKUP($J$1,$M$1:$AAY$1000,460,0))</f>
        <v/>
      </c>
    </row>
    <row r="461" spans="1:10" x14ac:dyDescent="0.25">
      <c r="A461" s="4"/>
      <c r="C461" s="4"/>
      <c r="D461" s="4"/>
      <c r="E461" s="4"/>
      <c r="F461" s="49"/>
      <c r="J461" s="61" t="str">
        <f>IF($J$1="","",HLOOKUP($J$1,$M$1:$AAY$1000,461,0))</f>
        <v/>
      </c>
    </row>
    <row r="462" spans="1:10" x14ac:dyDescent="0.25">
      <c r="A462" s="4"/>
      <c r="C462" s="4"/>
      <c r="D462" s="4"/>
      <c r="E462" s="4"/>
      <c r="F462" s="49"/>
      <c r="J462" s="61" t="str">
        <f>IF($J$1="","",HLOOKUP($J$1,$M$1:$AAY$1000,462,0))</f>
        <v/>
      </c>
    </row>
    <row r="463" spans="1:10" x14ac:dyDescent="0.25">
      <c r="A463" s="4"/>
      <c r="C463" s="4"/>
      <c r="D463" s="4"/>
      <c r="E463" s="4"/>
      <c r="F463" s="49"/>
      <c r="J463" s="61" t="str">
        <f>IF($J$1="","",HLOOKUP($J$1,$M$1:$AAY$1000,463,0))</f>
        <v/>
      </c>
    </row>
    <row r="464" spans="1:10" x14ac:dyDescent="0.25">
      <c r="A464" s="4"/>
      <c r="C464" s="4"/>
      <c r="D464" s="4"/>
      <c r="E464" s="4"/>
      <c r="F464" s="49"/>
      <c r="J464" s="61" t="str">
        <f>IF($J$1="","",HLOOKUP($J$1,$M$1:$AAY$1000,464,0))</f>
        <v/>
      </c>
    </row>
    <row r="465" spans="1:10" x14ac:dyDescent="0.25">
      <c r="A465" s="4"/>
      <c r="C465" s="4"/>
      <c r="D465" s="4"/>
      <c r="E465" s="4"/>
      <c r="F465" s="49"/>
      <c r="J465" s="61" t="str">
        <f>IF($J$1="","",HLOOKUP($J$1,$M$1:$AAY$1000,465,0))</f>
        <v/>
      </c>
    </row>
    <row r="466" spans="1:10" x14ac:dyDescent="0.25">
      <c r="A466" s="4"/>
      <c r="C466" s="4"/>
      <c r="D466" s="4"/>
      <c r="E466" s="4"/>
      <c r="F466" s="49"/>
      <c r="J466" s="61" t="str">
        <f>IF($J$1="","",HLOOKUP($J$1,$M$1:$AAY$1000,466,0))</f>
        <v/>
      </c>
    </row>
    <row r="467" spans="1:10" x14ac:dyDescent="0.25">
      <c r="A467" s="4"/>
      <c r="C467" s="4"/>
      <c r="D467" s="4"/>
      <c r="E467" s="4"/>
      <c r="F467" s="49"/>
      <c r="J467" s="61" t="str">
        <f>IF($J$1="","",HLOOKUP($J$1,$M$1:$AAY$1000,467,0))</f>
        <v/>
      </c>
    </row>
    <row r="468" spans="1:10" x14ac:dyDescent="0.25">
      <c r="A468" s="4"/>
      <c r="C468" s="4"/>
      <c r="D468" s="4"/>
      <c r="E468" s="4"/>
      <c r="F468" s="49"/>
      <c r="J468" s="61" t="str">
        <f>IF($J$1="","",HLOOKUP($J$1,$M$1:$AAY$1000,468,0))</f>
        <v/>
      </c>
    </row>
    <row r="469" spans="1:10" x14ac:dyDescent="0.25">
      <c r="A469" s="4"/>
      <c r="C469" s="4"/>
      <c r="D469" s="4"/>
      <c r="E469" s="4"/>
      <c r="F469" s="49"/>
      <c r="J469" s="61" t="str">
        <f>IF($J$1="","",HLOOKUP($J$1,$M$1:$AAY$1000,469,0))</f>
        <v/>
      </c>
    </row>
    <row r="470" spans="1:10" x14ac:dyDescent="0.25">
      <c r="A470" s="4"/>
      <c r="C470" s="4"/>
      <c r="D470" s="4"/>
      <c r="E470" s="4"/>
      <c r="F470" s="49"/>
      <c r="J470" s="61" t="str">
        <f>IF($J$1="","",HLOOKUP($J$1,$M$1:$AAY$1000,470,0))</f>
        <v/>
      </c>
    </row>
    <row r="471" spans="1:10" x14ac:dyDescent="0.25">
      <c r="A471" s="4"/>
      <c r="C471" s="4"/>
      <c r="D471" s="4"/>
      <c r="E471" s="4"/>
      <c r="F471" s="49"/>
      <c r="J471" s="61" t="str">
        <f>IF($J$1="","",HLOOKUP($J$1,$M$1:$AAY$1000,471,0))</f>
        <v/>
      </c>
    </row>
    <row r="472" spans="1:10" x14ac:dyDescent="0.25">
      <c r="A472" s="4"/>
      <c r="C472" s="4"/>
      <c r="D472" s="4"/>
      <c r="E472" s="4"/>
      <c r="F472" s="49"/>
      <c r="J472" s="61" t="str">
        <f>IF($J$1="","",HLOOKUP($J$1,$M$1:$AAY$1000,472,0))</f>
        <v/>
      </c>
    </row>
    <row r="473" spans="1:10" x14ac:dyDescent="0.25">
      <c r="A473" s="4"/>
      <c r="C473" s="4"/>
      <c r="D473" s="4"/>
      <c r="E473" s="4"/>
      <c r="F473" s="49"/>
      <c r="J473" s="61" t="str">
        <f>IF($J$1="","",HLOOKUP($J$1,$M$1:$AAY$1000,473,0))</f>
        <v/>
      </c>
    </row>
    <row r="474" spans="1:10" x14ac:dyDescent="0.25">
      <c r="A474" s="4"/>
      <c r="C474" s="4"/>
      <c r="D474" s="4"/>
      <c r="E474" s="4"/>
      <c r="F474" s="49"/>
      <c r="J474" s="61" t="str">
        <f>IF($J$1="","",HLOOKUP($J$1,$M$1:$AAY$1000,474,0))</f>
        <v/>
      </c>
    </row>
    <row r="475" spans="1:10" x14ac:dyDescent="0.25">
      <c r="A475" s="4"/>
      <c r="C475" s="4"/>
      <c r="D475" s="4"/>
      <c r="E475" s="4"/>
      <c r="F475" s="49"/>
      <c r="J475" s="61" t="str">
        <f>IF($J$1="","",HLOOKUP($J$1,$M$1:$AAY$1000,475,0))</f>
        <v/>
      </c>
    </row>
    <row r="476" spans="1:10" x14ac:dyDescent="0.25">
      <c r="A476" s="4"/>
      <c r="C476" s="4"/>
      <c r="D476" s="4"/>
      <c r="E476" s="4"/>
      <c r="F476" s="49"/>
      <c r="J476" s="61" t="str">
        <f>IF($J$1="","",HLOOKUP($J$1,$M$1:$AAY$1000,476,0))</f>
        <v/>
      </c>
    </row>
    <row r="477" spans="1:10" x14ac:dyDescent="0.25">
      <c r="A477" s="4"/>
      <c r="C477" s="4"/>
      <c r="D477" s="4"/>
      <c r="E477" s="4"/>
      <c r="F477" s="49"/>
      <c r="J477" s="61" t="str">
        <f>IF($J$1="","",HLOOKUP($J$1,$M$1:$AAY$1000,477,0))</f>
        <v/>
      </c>
    </row>
    <row r="478" spans="1:10" x14ac:dyDescent="0.25">
      <c r="A478" s="4"/>
      <c r="C478" s="4"/>
      <c r="D478" s="4"/>
      <c r="E478" s="4"/>
      <c r="F478" s="49"/>
      <c r="J478" s="61" t="str">
        <f>IF($J$1="","",HLOOKUP($J$1,$M$1:$AAY$1000,478,0))</f>
        <v/>
      </c>
    </row>
    <row r="479" spans="1:10" x14ac:dyDescent="0.25">
      <c r="A479" s="4"/>
      <c r="C479" s="4"/>
      <c r="D479" s="4"/>
      <c r="E479" s="4"/>
      <c r="F479" s="49"/>
      <c r="J479" s="61" t="str">
        <f>IF($J$1="","",HLOOKUP($J$1,$M$1:$AAY$1000,479,0))</f>
        <v/>
      </c>
    </row>
    <row r="480" spans="1:10" x14ac:dyDescent="0.25">
      <c r="A480" s="4"/>
      <c r="C480" s="4"/>
      <c r="D480" s="4"/>
      <c r="E480" s="4"/>
      <c r="F480" s="49"/>
      <c r="J480" s="61" t="str">
        <f>IF($J$1="","",HLOOKUP($J$1,$M$1:$AAY$1000,480,0))</f>
        <v/>
      </c>
    </row>
    <row r="481" spans="1:10" x14ac:dyDescent="0.25">
      <c r="A481" s="4"/>
      <c r="C481" s="4"/>
      <c r="D481" s="4"/>
      <c r="E481" s="4"/>
      <c r="F481" s="49"/>
      <c r="J481" s="61" t="str">
        <f>IF($J$1="","",HLOOKUP($J$1,$M$1:$AAY$1000,481,0))</f>
        <v/>
      </c>
    </row>
    <row r="482" spans="1:10" x14ac:dyDescent="0.25">
      <c r="A482" s="4"/>
      <c r="C482" s="4"/>
      <c r="D482" s="4"/>
      <c r="E482" s="4"/>
      <c r="F482" s="49"/>
      <c r="J482" s="61" t="str">
        <f>IF($J$1="","",HLOOKUP($J$1,$M$1:$AAY$1000,482,0))</f>
        <v/>
      </c>
    </row>
    <row r="483" spans="1:10" x14ac:dyDescent="0.25">
      <c r="A483" s="4"/>
      <c r="C483" s="4"/>
      <c r="D483" s="4"/>
      <c r="E483" s="4"/>
      <c r="F483" s="49"/>
      <c r="J483" s="61" t="str">
        <f>IF($J$1="","",HLOOKUP($J$1,$M$1:$AAY$1000,483,0))</f>
        <v/>
      </c>
    </row>
    <row r="484" spans="1:10" x14ac:dyDescent="0.25">
      <c r="A484" s="4"/>
      <c r="C484" s="4"/>
      <c r="D484" s="4"/>
      <c r="E484" s="4"/>
      <c r="F484" s="49"/>
      <c r="J484" s="61" t="str">
        <f>IF($J$1="","",HLOOKUP($J$1,$M$1:$AAY$1000,484,0))</f>
        <v/>
      </c>
    </row>
    <row r="485" spans="1:10" x14ac:dyDescent="0.25">
      <c r="A485" s="4"/>
      <c r="C485" s="4"/>
      <c r="D485" s="4"/>
      <c r="E485" s="4"/>
      <c r="F485" s="49"/>
      <c r="J485" s="61" t="str">
        <f>IF($J$1="","",HLOOKUP($J$1,$M$1:$AAY$1000,485,0))</f>
        <v/>
      </c>
    </row>
    <row r="486" spans="1:10" x14ac:dyDescent="0.25">
      <c r="A486" s="4"/>
      <c r="C486" s="4"/>
      <c r="D486" s="4"/>
      <c r="E486" s="4"/>
      <c r="F486" s="49"/>
      <c r="J486" s="61" t="str">
        <f>IF($J$1="","",HLOOKUP($J$1,$M$1:$AAY$1000,486,0))</f>
        <v/>
      </c>
    </row>
    <row r="487" spans="1:10" x14ac:dyDescent="0.25">
      <c r="A487" s="4"/>
      <c r="C487" s="4"/>
      <c r="D487" s="4"/>
      <c r="E487" s="4"/>
      <c r="F487" s="49"/>
      <c r="J487" s="61" t="str">
        <f>IF($J$1="","",HLOOKUP($J$1,$M$1:$AAY$1000,487,0))</f>
        <v/>
      </c>
    </row>
    <row r="488" spans="1:10" x14ac:dyDescent="0.25">
      <c r="A488" s="4"/>
      <c r="C488" s="4"/>
      <c r="D488" s="4"/>
      <c r="E488" s="4"/>
      <c r="F488" s="49"/>
      <c r="J488" s="61" t="str">
        <f>IF($J$1="","",HLOOKUP($J$1,$M$1:$AAY$1000,488,0))</f>
        <v/>
      </c>
    </row>
    <row r="489" spans="1:10" x14ac:dyDescent="0.25">
      <c r="A489" s="4"/>
      <c r="C489" s="4"/>
      <c r="D489" s="4"/>
      <c r="E489" s="4"/>
      <c r="F489" s="49"/>
      <c r="J489" s="61" t="str">
        <f>IF($J$1="","",HLOOKUP($J$1,$M$1:$AAY$1000,489,0))</f>
        <v/>
      </c>
    </row>
    <row r="490" spans="1:10" x14ac:dyDescent="0.25">
      <c r="A490" s="4"/>
      <c r="C490" s="4"/>
      <c r="D490" s="4"/>
      <c r="E490" s="4"/>
      <c r="F490" s="49"/>
      <c r="J490" s="61" t="str">
        <f>IF($J$1="","",HLOOKUP($J$1,$M$1:$AAY$1000,490,0))</f>
        <v/>
      </c>
    </row>
    <row r="491" spans="1:10" x14ac:dyDescent="0.25">
      <c r="A491" s="4"/>
      <c r="C491" s="4"/>
      <c r="D491" s="4"/>
      <c r="E491" s="4"/>
      <c r="F491" s="49"/>
      <c r="J491" s="61" t="str">
        <f>IF($J$1="","",HLOOKUP($J$1,$M$1:$AAY$1000,491,0))</f>
        <v/>
      </c>
    </row>
    <row r="492" spans="1:10" x14ac:dyDescent="0.25">
      <c r="A492" s="4"/>
      <c r="C492" s="4"/>
      <c r="D492" s="4"/>
      <c r="E492" s="4"/>
      <c r="F492" s="49"/>
      <c r="J492" s="61" t="str">
        <f>IF($J$1="","",HLOOKUP($J$1,$M$1:$AAY$1000,492,0))</f>
        <v/>
      </c>
    </row>
    <row r="493" spans="1:10" x14ac:dyDescent="0.25">
      <c r="A493" s="4"/>
      <c r="C493" s="4"/>
      <c r="D493" s="4"/>
      <c r="E493" s="4"/>
      <c r="F493" s="49"/>
      <c r="J493" s="61" t="str">
        <f>IF($J$1="","",HLOOKUP($J$1,$M$1:$AAY$1000,493,0))</f>
        <v/>
      </c>
    </row>
    <row r="494" spans="1:10" x14ac:dyDescent="0.25">
      <c r="A494" s="4"/>
      <c r="C494" s="4"/>
      <c r="D494" s="4"/>
      <c r="E494" s="4"/>
      <c r="F494" s="49"/>
      <c r="J494" s="61" t="str">
        <f>IF($J$1="","",HLOOKUP($J$1,$M$1:$AAY$1000,494,0))</f>
        <v/>
      </c>
    </row>
    <row r="495" spans="1:10" x14ac:dyDescent="0.25">
      <c r="A495" s="4"/>
      <c r="C495" s="4"/>
      <c r="D495" s="4"/>
      <c r="E495" s="4"/>
      <c r="F495" s="49"/>
      <c r="J495" s="61" t="str">
        <f>IF($J$1="","",HLOOKUP($J$1,$M$1:$AAY$1000,495,0))</f>
        <v/>
      </c>
    </row>
    <row r="496" spans="1:10" x14ac:dyDescent="0.25">
      <c r="A496" s="4"/>
      <c r="C496" s="4"/>
      <c r="D496" s="4"/>
      <c r="E496" s="4"/>
      <c r="F496" s="49"/>
      <c r="J496" s="61" t="str">
        <f>IF($J$1="","",HLOOKUP($J$1,$M$1:$AAY$1000,496,0))</f>
        <v/>
      </c>
    </row>
    <row r="497" spans="1:10" x14ac:dyDescent="0.25">
      <c r="A497" s="4"/>
      <c r="C497" s="4"/>
      <c r="D497" s="4"/>
      <c r="E497" s="4"/>
      <c r="F497" s="49"/>
      <c r="J497" s="61" t="str">
        <f>IF($J$1="","",HLOOKUP($J$1,$M$1:$AAY$1000,497,0))</f>
        <v/>
      </c>
    </row>
    <row r="498" spans="1:10" x14ac:dyDescent="0.25">
      <c r="A498" s="4"/>
      <c r="C498" s="4"/>
      <c r="D498" s="4"/>
      <c r="E498" s="4"/>
      <c r="F498" s="49"/>
      <c r="J498" s="61" t="str">
        <f>IF($J$1="","",HLOOKUP($J$1,$M$1:$AAY$1000,498,0))</f>
        <v/>
      </c>
    </row>
    <row r="499" spans="1:10" x14ac:dyDescent="0.25">
      <c r="A499" s="4"/>
      <c r="C499" s="4"/>
      <c r="D499" s="4"/>
      <c r="E499" s="4"/>
      <c r="F499" s="49"/>
      <c r="J499" s="61" t="str">
        <f>IF($J$1="","",HLOOKUP($J$1,$M$1:$AAY$1000,499,0))</f>
        <v/>
      </c>
    </row>
    <row r="500" spans="1:10" x14ac:dyDescent="0.25">
      <c r="A500" s="4"/>
      <c r="C500" s="4"/>
      <c r="D500" s="4"/>
      <c r="E500" s="4"/>
      <c r="F500" s="49"/>
      <c r="J500" s="61" t="str">
        <f>IF($J$1="","",HLOOKUP($J$1,$M$1:$AAY$1000,500,0))</f>
        <v/>
      </c>
    </row>
    <row r="501" spans="1:10" x14ac:dyDescent="0.25">
      <c r="A501" s="4"/>
      <c r="C501" s="4"/>
      <c r="D501" s="4"/>
      <c r="E501" s="4"/>
      <c r="F501" s="49"/>
      <c r="J501" s="101" t="str">
        <f>IF($J$1="","",HLOOKUP($J$1,$M$1:$AAY$1000,501,0))</f>
        <v/>
      </c>
    </row>
    <row r="502" spans="1:10" x14ac:dyDescent="0.25">
      <c r="A502" s="4"/>
      <c r="C502" s="4"/>
      <c r="D502" s="4"/>
      <c r="E502" s="4"/>
      <c r="F502" s="49"/>
      <c r="J502" s="88" t="str">
        <f>IF($J$1="","",HLOOKUP($J$1,$M$1:$AAY$1000,502,0))</f>
        <v/>
      </c>
    </row>
    <row r="503" spans="1:10" x14ac:dyDescent="0.25">
      <c r="A503" s="4"/>
      <c r="C503" s="4"/>
      <c r="D503" s="4"/>
      <c r="E503" s="4"/>
      <c r="F503" s="49"/>
      <c r="J503" s="88" t="str">
        <f>IF($J$1="","",HLOOKUP($J$1,$M$1:$AAY$1000,503,0))</f>
        <v/>
      </c>
    </row>
    <row r="504" spans="1:10" x14ac:dyDescent="0.25">
      <c r="A504" s="4"/>
      <c r="C504" s="4"/>
      <c r="D504" s="4"/>
      <c r="E504" s="4"/>
      <c r="F504" s="49"/>
      <c r="J504" s="88" t="str">
        <f>IF($J$1="","",HLOOKUP($J$1,$M$1:$AAY$1000,504,0))</f>
        <v/>
      </c>
    </row>
    <row r="505" spans="1:10" x14ac:dyDescent="0.25">
      <c r="A505" s="4"/>
      <c r="C505" s="4"/>
      <c r="D505" s="4"/>
      <c r="E505" s="4"/>
      <c r="F505" s="49"/>
      <c r="J505" s="88" t="str">
        <f>IF($J$1="","",HLOOKUP($J$1,$M$1:$AAY$1000,505,0))</f>
        <v/>
      </c>
    </row>
    <row r="506" spans="1:10" x14ac:dyDescent="0.25">
      <c r="A506" s="4"/>
      <c r="C506" s="4"/>
      <c r="D506" s="4"/>
      <c r="E506" s="4"/>
      <c r="F506" s="49"/>
      <c r="J506" s="88" t="str">
        <f>IF($J$1="","",HLOOKUP($J$1,$M$1:$AAY$1000,506,0))</f>
        <v/>
      </c>
    </row>
    <row r="507" spans="1:10" x14ac:dyDescent="0.25">
      <c r="A507" s="4"/>
      <c r="C507" s="4"/>
      <c r="D507" s="4"/>
      <c r="E507" s="4"/>
      <c r="F507" s="49"/>
      <c r="J507" s="88" t="str">
        <f>IF($J$1="","",HLOOKUP($J$1,$M$1:$AAY$1000,507,0))</f>
        <v/>
      </c>
    </row>
    <row r="508" spans="1:10" x14ac:dyDescent="0.25">
      <c r="A508" s="4"/>
      <c r="C508" s="4"/>
      <c r="D508" s="4"/>
      <c r="E508" s="4"/>
      <c r="F508" s="49"/>
      <c r="J508" s="88" t="str">
        <f>IF($J$1="","",HLOOKUP($J$1,$M$1:$AAY$1000,508,0))</f>
        <v/>
      </c>
    </row>
    <row r="509" spans="1:10" x14ac:dyDescent="0.25">
      <c r="A509" s="4"/>
      <c r="C509" s="4"/>
      <c r="D509" s="4"/>
      <c r="E509" s="4"/>
      <c r="F509" s="49"/>
      <c r="J509" s="88" t="str">
        <f>IF($J$1="","",HLOOKUP($J$1,$M$1:$AAY$1000,509,0))</f>
        <v/>
      </c>
    </row>
    <row r="510" spans="1:10" x14ac:dyDescent="0.25">
      <c r="A510" s="4"/>
      <c r="C510" s="4"/>
      <c r="D510" s="4"/>
      <c r="E510" s="4"/>
      <c r="F510" s="49"/>
      <c r="J510" s="88" t="str">
        <f>IF($J$1="","",HLOOKUP($J$1,$M$1:$AAY$1000,510,0))</f>
        <v/>
      </c>
    </row>
    <row r="511" spans="1:10" x14ac:dyDescent="0.25">
      <c r="A511" s="4"/>
      <c r="C511" s="4"/>
      <c r="D511" s="4"/>
      <c r="E511" s="4"/>
      <c r="F511" s="49"/>
      <c r="J511" s="88" t="str">
        <f>IF($J$1="","",HLOOKUP($J$1,$M$1:$AAY$1000,511,0))</f>
        <v/>
      </c>
    </row>
    <row r="512" spans="1:10" x14ac:dyDescent="0.25">
      <c r="A512" s="4"/>
      <c r="C512" s="4"/>
      <c r="D512" s="4"/>
      <c r="E512" s="4"/>
      <c r="F512" s="49"/>
      <c r="J512" s="88" t="str">
        <f>IF($J$1="","",HLOOKUP($J$1,$M$1:$AAY$1000,512,0))</f>
        <v/>
      </c>
    </row>
    <row r="513" spans="1:10" x14ac:dyDescent="0.25">
      <c r="A513" s="4"/>
      <c r="C513" s="4"/>
      <c r="D513" s="4"/>
      <c r="E513" s="4"/>
      <c r="F513" s="49"/>
      <c r="J513" s="88" t="str">
        <f>IF($J$1="","",HLOOKUP($J$1,$M$1:$AAY$1000,513,0))</f>
        <v/>
      </c>
    </row>
    <row r="514" spans="1:10" x14ac:dyDescent="0.25">
      <c r="A514" s="4"/>
      <c r="C514" s="4"/>
      <c r="D514" s="4"/>
      <c r="E514" s="4"/>
      <c r="F514" s="49"/>
      <c r="J514" s="88" t="str">
        <f>IF($J$1="","",HLOOKUP($J$1,$M$1:$AAY$1000,514,0))</f>
        <v/>
      </c>
    </row>
    <row r="515" spans="1:10" x14ac:dyDescent="0.25">
      <c r="A515" s="4"/>
      <c r="C515" s="4"/>
      <c r="D515" s="4"/>
      <c r="E515" s="4"/>
      <c r="F515" s="49"/>
      <c r="J515" s="88" t="str">
        <f>IF($J$1="","",HLOOKUP($J$1,$M$1:$AAY$1000,515,0))</f>
        <v/>
      </c>
    </row>
    <row r="516" spans="1:10" x14ac:dyDescent="0.25">
      <c r="A516" s="4"/>
      <c r="C516" s="4"/>
      <c r="D516" s="4"/>
      <c r="E516" s="4"/>
      <c r="F516" s="49"/>
      <c r="J516" s="88" t="str">
        <f>IF($J$1="","",HLOOKUP($J$1,$M$1:$AAY$1000,516,0))</f>
        <v/>
      </c>
    </row>
    <row r="517" spans="1:10" x14ac:dyDescent="0.25">
      <c r="A517" s="4"/>
      <c r="C517" s="4"/>
      <c r="D517" s="4"/>
      <c r="E517" s="4"/>
      <c r="F517" s="49"/>
      <c r="J517" s="88" t="str">
        <f>IF($J$1="","",HLOOKUP($J$1,$M$1:$AAY$1000,517,0))</f>
        <v/>
      </c>
    </row>
    <row r="518" spans="1:10" x14ac:dyDescent="0.25">
      <c r="A518" s="4"/>
      <c r="C518" s="4"/>
      <c r="D518" s="4"/>
      <c r="E518" s="4"/>
      <c r="F518" s="49"/>
      <c r="J518" s="88" t="str">
        <f>IF($J$1="","",HLOOKUP($J$1,$M$1:$AAY$1000,518,0))</f>
        <v/>
      </c>
    </row>
    <row r="519" spans="1:10" x14ac:dyDescent="0.25">
      <c r="A519" s="4"/>
      <c r="C519" s="4"/>
      <c r="D519" s="4"/>
      <c r="E519" s="4"/>
      <c r="F519" s="49"/>
      <c r="J519" s="88" t="str">
        <f>IF($J$1="","",HLOOKUP($J$1,$M$1:$AAY$1000,519,0))</f>
        <v/>
      </c>
    </row>
    <row r="520" spans="1:10" x14ac:dyDescent="0.25">
      <c r="A520" s="4"/>
      <c r="C520" s="4"/>
      <c r="D520" s="4"/>
      <c r="E520" s="4"/>
      <c r="F520" s="49"/>
      <c r="J520" s="88" t="str">
        <f>IF($J$1="","",HLOOKUP($J$1,$M$1:$AAY$1000,520,0))</f>
        <v/>
      </c>
    </row>
    <row r="521" spans="1:10" x14ac:dyDescent="0.25">
      <c r="A521" s="4"/>
      <c r="C521" s="4"/>
      <c r="D521" s="4"/>
      <c r="E521" s="4"/>
      <c r="F521" s="49"/>
      <c r="J521" s="88" t="str">
        <f>IF($J$1="","",HLOOKUP($J$1,$M$1:$AAY$1000,521,0))</f>
        <v/>
      </c>
    </row>
    <row r="522" spans="1:10" x14ac:dyDescent="0.25">
      <c r="A522" s="4"/>
      <c r="C522" s="4"/>
      <c r="D522" s="4"/>
      <c r="E522" s="4"/>
      <c r="F522" s="49"/>
      <c r="J522" s="88" t="str">
        <f>IF($J$1="","",HLOOKUP($J$1,$M$1:$AAY$1000,522,0))</f>
        <v/>
      </c>
    </row>
    <row r="523" spans="1:10" x14ac:dyDescent="0.25">
      <c r="A523" s="4"/>
      <c r="C523" s="4"/>
      <c r="D523" s="4"/>
      <c r="E523" s="4"/>
      <c r="F523" s="49"/>
      <c r="J523" s="88" t="str">
        <f>IF($J$1="","",HLOOKUP($J$1,$M$1:$AAY$1000,523,0))</f>
        <v/>
      </c>
    </row>
    <row r="524" spans="1:10" x14ac:dyDescent="0.25">
      <c r="A524" s="4"/>
      <c r="C524" s="4"/>
      <c r="D524" s="4"/>
      <c r="E524" s="4"/>
      <c r="F524" s="49"/>
      <c r="J524" s="88" t="str">
        <f>IF($J$1="","",HLOOKUP($J$1,$M$1:$AAY$1000,524,0))</f>
        <v/>
      </c>
    </row>
    <row r="525" spans="1:10" x14ac:dyDescent="0.25">
      <c r="A525" s="4"/>
      <c r="C525" s="4"/>
      <c r="D525" s="4"/>
      <c r="E525" s="4"/>
      <c r="F525" s="49"/>
      <c r="J525" s="88" t="str">
        <f>IF($J$1="","",HLOOKUP($J$1,$M$1:$AAY$1000,525,0))</f>
        <v/>
      </c>
    </row>
    <row r="526" spans="1:10" x14ac:dyDescent="0.25">
      <c r="A526" s="4"/>
      <c r="C526" s="4"/>
      <c r="D526" s="4"/>
      <c r="E526" s="4"/>
      <c r="F526" s="49"/>
      <c r="J526" s="88" t="str">
        <f>IF($J$1="","",HLOOKUP($J$1,$M$1:$AAY$1000,526,0))</f>
        <v/>
      </c>
    </row>
    <row r="527" spans="1:10" x14ac:dyDescent="0.25">
      <c r="A527" s="4"/>
      <c r="C527" s="4"/>
      <c r="D527" s="4"/>
      <c r="E527" s="4"/>
      <c r="F527" s="49"/>
      <c r="J527" s="88" t="str">
        <f>IF($J$1="","",HLOOKUP($J$1,$M$1:$AAY$1000,527,0))</f>
        <v/>
      </c>
    </row>
    <row r="528" spans="1:10" x14ac:dyDescent="0.25">
      <c r="A528" s="4"/>
      <c r="C528" s="4"/>
      <c r="D528" s="4"/>
      <c r="E528" s="4"/>
      <c r="F528" s="49"/>
      <c r="J528" s="88" t="str">
        <f>IF($J$1="","",HLOOKUP($J$1,$M$1:$AAY$1000,528,0))</f>
        <v/>
      </c>
    </row>
    <row r="529" spans="1:10" x14ac:dyDescent="0.25">
      <c r="A529" s="4"/>
      <c r="C529" s="4"/>
      <c r="D529" s="4"/>
      <c r="E529" s="4"/>
      <c r="F529" s="49"/>
      <c r="J529" s="88" t="str">
        <f>IF($J$1="","",HLOOKUP($J$1,$M$1:$AAY$1000,529,0))</f>
        <v/>
      </c>
    </row>
    <row r="530" spans="1:10" x14ac:dyDescent="0.25">
      <c r="A530" s="4"/>
      <c r="C530" s="4"/>
      <c r="D530" s="4"/>
      <c r="E530" s="4"/>
      <c r="F530" s="49"/>
      <c r="J530" s="88" t="str">
        <f>IF($J$1="","",HLOOKUP($J$1,$M$1:$AAY$1000,530,0))</f>
        <v/>
      </c>
    </row>
    <row r="531" spans="1:10" x14ac:dyDescent="0.25">
      <c r="A531" s="4"/>
      <c r="C531" s="4"/>
      <c r="D531" s="4"/>
      <c r="E531" s="4"/>
      <c r="F531" s="49"/>
      <c r="J531" s="88" t="str">
        <f>IF($J$1="","",HLOOKUP($J$1,$M$1:$AAY$1000,531,0))</f>
        <v/>
      </c>
    </row>
    <row r="532" spans="1:10" x14ac:dyDescent="0.25">
      <c r="A532" s="4"/>
      <c r="C532" s="4"/>
      <c r="D532" s="4"/>
      <c r="E532" s="4"/>
      <c r="F532" s="49"/>
      <c r="J532" s="88" t="str">
        <f>IF($J$1="","",HLOOKUP($J$1,$M$1:$AAY$1000,532,0))</f>
        <v/>
      </c>
    </row>
    <row r="533" spans="1:10" x14ac:dyDescent="0.25">
      <c r="A533" s="4"/>
      <c r="C533" s="4"/>
      <c r="D533" s="4"/>
      <c r="E533" s="4"/>
      <c r="F533" s="49"/>
      <c r="J533" s="88" t="str">
        <f>IF($J$1="","",HLOOKUP($J$1,$M$1:$AAY$1000,533,0))</f>
        <v/>
      </c>
    </row>
    <row r="534" spans="1:10" x14ac:dyDescent="0.25">
      <c r="A534" s="4"/>
      <c r="C534" s="4"/>
      <c r="D534" s="4"/>
      <c r="E534" s="4"/>
      <c r="F534" s="49"/>
      <c r="J534" s="88" t="str">
        <f>IF($J$1="","",HLOOKUP($J$1,$M$1:$AAY$1000,534,0))</f>
        <v/>
      </c>
    </row>
    <row r="535" spans="1:10" x14ac:dyDescent="0.25">
      <c r="A535" s="4"/>
      <c r="C535" s="4"/>
      <c r="D535" s="4"/>
      <c r="E535" s="4"/>
      <c r="F535" s="49"/>
      <c r="J535" s="88" t="str">
        <f>IF($J$1="","",HLOOKUP($J$1,$M$1:$AAY$1000,535,0))</f>
        <v/>
      </c>
    </row>
    <row r="536" spans="1:10" x14ac:dyDescent="0.25">
      <c r="A536" s="4"/>
      <c r="C536" s="4"/>
      <c r="D536" s="4"/>
      <c r="E536" s="4"/>
      <c r="F536" s="49"/>
      <c r="J536" s="88" t="str">
        <f>IF($J$1="","",HLOOKUP($J$1,$M$1:$AAY$1000,536,0))</f>
        <v/>
      </c>
    </row>
    <row r="537" spans="1:10" x14ac:dyDescent="0.25">
      <c r="A537" s="4"/>
      <c r="C537" s="4"/>
      <c r="D537" s="4"/>
      <c r="E537" s="4"/>
      <c r="F537" s="49"/>
      <c r="J537" s="88" t="str">
        <f>IF($J$1="","",HLOOKUP($J$1,$M$1:$AAY$1000,537,0))</f>
        <v/>
      </c>
    </row>
    <row r="538" spans="1:10" x14ac:dyDescent="0.25">
      <c r="A538" s="4"/>
      <c r="C538" s="4"/>
      <c r="D538" s="4"/>
      <c r="E538" s="4"/>
      <c r="F538" s="49"/>
      <c r="J538" s="88" t="str">
        <f>IF($J$1="","",HLOOKUP($J$1,$M$1:$AAY$1000,538,0))</f>
        <v/>
      </c>
    </row>
    <row r="539" spans="1:10" x14ac:dyDescent="0.25">
      <c r="A539" s="4"/>
      <c r="C539" s="4"/>
      <c r="D539" s="4"/>
      <c r="E539" s="4"/>
      <c r="F539" s="49"/>
      <c r="J539" s="88" t="str">
        <f>IF($J$1="","",HLOOKUP($J$1,$M$1:$AAY$1000,539,0))</f>
        <v/>
      </c>
    </row>
    <row r="540" spans="1:10" x14ac:dyDescent="0.25">
      <c r="A540" s="4"/>
      <c r="C540" s="4"/>
      <c r="D540" s="4"/>
      <c r="E540" s="4"/>
      <c r="F540" s="49"/>
      <c r="J540" s="88" t="str">
        <f>IF($J$1="","",HLOOKUP($J$1,$M$1:$AAY$1000,540,0))</f>
        <v/>
      </c>
    </row>
    <row r="541" spans="1:10" x14ac:dyDescent="0.25">
      <c r="A541" s="4"/>
      <c r="C541" s="4"/>
      <c r="D541" s="4"/>
      <c r="E541" s="4"/>
      <c r="F541" s="49"/>
      <c r="J541" s="88" t="str">
        <f>IF($J$1="","",HLOOKUP($J$1,$M$1:$AAY$1000,541,0))</f>
        <v/>
      </c>
    </row>
    <row r="542" spans="1:10" x14ac:dyDescent="0.25">
      <c r="A542" s="4"/>
      <c r="C542" s="4"/>
      <c r="D542" s="4"/>
      <c r="E542" s="4"/>
      <c r="F542" s="49"/>
      <c r="J542" s="88" t="str">
        <f>IF($J$1="","",HLOOKUP($J$1,$M$1:$AAY$1000,542,0))</f>
        <v/>
      </c>
    </row>
    <row r="543" spans="1:10" x14ac:dyDescent="0.25">
      <c r="A543" s="4"/>
      <c r="C543" s="4"/>
      <c r="D543" s="4"/>
      <c r="E543" s="4"/>
      <c r="F543" s="49"/>
      <c r="J543" s="88" t="str">
        <f>IF($J$1="","",HLOOKUP($J$1,$M$1:$AAY$1000,543,0))</f>
        <v/>
      </c>
    </row>
    <row r="544" spans="1:10" x14ac:dyDescent="0.25">
      <c r="A544" s="4"/>
      <c r="C544" s="4"/>
      <c r="D544" s="4"/>
      <c r="E544" s="4"/>
      <c r="F544" s="49"/>
      <c r="J544" s="88" t="str">
        <f>IF($J$1="","",HLOOKUP($J$1,$M$1:$AAY$1000,544,0))</f>
        <v/>
      </c>
    </row>
    <row r="545" spans="1:10" x14ac:dyDescent="0.25">
      <c r="A545" s="4"/>
      <c r="C545" s="4"/>
      <c r="D545" s="4"/>
      <c r="E545" s="4"/>
      <c r="F545" s="49"/>
      <c r="J545" s="88" t="str">
        <f>IF($J$1="","",HLOOKUP($J$1,$M$1:$AAY$1000,545,0))</f>
        <v/>
      </c>
    </row>
    <row r="546" spans="1:10" x14ac:dyDescent="0.25">
      <c r="A546" s="4"/>
      <c r="C546" s="4"/>
      <c r="D546" s="4"/>
      <c r="E546" s="4"/>
      <c r="F546" s="49"/>
      <c r="J546" s="88" t="str">
        <f>IF($J$1="","",HLOOKUP($J$1,$M$1:$AAY$1000,546,0))</f>
        <v/>
      </c>
    </row>
    <row r="547" spans="1:10" x14ac:dyDescent="0.25">
      <c r="A547" s="4"/>
      <c r="C547" s="4"/>
      <c r="D547" s="4"/>
      <c r="E547" s="4"/>
      <c r="F547" s="49"/>
      <c r="J547" s="88" t="str">
        <f>IF($J$1="","",HLOOKUP($J$1,$M$1:$AAY$1000,547,0))</f>
        <v/>
      </c>
    </row>
    <row r="548" spans="1:10" x14ac:dyDescent="0.25">
      <c r="A548" s="4"/>
      <c r="C548" s="4"/>
      <c r="D548" s="4"/>
      <c r="E548" s="4"/>
      <c r="F548" s="49"/>
      <c r="J548" s="88" t="str">
        <f>IF($J$1="","",HLOOKUP($J$1,$M$1:$AAY$1000,548,0))</f>
        <v/>
      </c>
    </row>
    <row r="549" spans="1:10" x14ac:dyDescent="0.25">
      <c r="A549" s="4"/>
      <c r="C549" s="4"/>
      <c r="D549" s="4"/>
      <c r="E549" s="4"/>
      <c r="F549" s="49"/>
      <c r="J549" s="88" t="str">
        <f>IF($J$1="","",HLOOKUP($J$1,$M$1:$AAY$1000,549,0))</f>
        <v/>
      </c>
    </row>
    <row r="550" spans="1:10" x14ac:dyDescent="0.25">
      <c r="A550" s="4"/>
      <c r="C550" s="4"/>
      <c r="D550" s="4"/>
      <c r="E550" s="4"/>
      <c r="F550" s="49"/>
      <c r="J550" s="88" t="str">
        <f>IF($J$1="","",HLOOKUP($J$1,$M$1:$AAY$1000,550,0))</f>
        <v/>
      </c>
    </row>
    <row r="551" spans="1:10" x14ac:dyDescent="0.25">
      <c r="A551" s="4"/>
      <c r="C551" s="4"/>
      <c r="D551" s="4"/>
      <c r="E551" s="4"/>
      <c r="F551" s="49"/>
      <c r="J551" s="88" t="str">
        <f>IF($J$1="","",HLOOKUP($J$1,$M$1:$AAY$1000,551,0))</f>
        <v/>
      </c>
    </row>
    <row r="552" spans="1:10" x14ac:dyDescent="0.25">
      <c r="A552" s="4"/>
      <c r="C552" s="4"/>
      <c r="D552" s="4"/>
      <c r="E552" s="4"/>
      <c r="F552" s="49"/>
      <c r="J552" s="88" t="str">
        <f>IF($J$1="","",HLOOKUP($J$1,$M$1:$AAY$1000,552,0))</f>
        <v/>
      </c>
    </row>
    <row r="553" spans="1:10" x14ac:dyDescent="0.25">
      <c r="A553" s="4"/>
      <c r="C553" s="4"/>
      <c r="D553" s="4"/>
      <c r="E553" s="4"/>
      <c r="F553" s="49"/>
      <c r="J553" s="88" t="str">
        <f>IF($J$1="","",HLOOKUP($J$1,$M$1:$AAY$1000,553,0))</f>
        <v/>
      </c>
    </row>
    <row r="554" spans="1:10" x14ac:dyDescent="0.25">
      <c r="A554" s="4"/>
      <c r="C554" s="4"/>
      <c r="D554" s="4"/>
      <c r="E554" s="4"/>
      <c r="F554" s="49"/>
      <c r="J554" s="88" t="str">
        <f>IF($J$1="","",HLOOKUP($J$1,$M$1:$AAY$1000,554,0))</f>
        <v/>
      </c>
    </row>
    <row r="555" spans="1:10" x14ac:dyDescent="0.25">
      <c r="A555" s="4"/>
      <c r="C555" s="4"/>
      <c r="D555" s="4"/>
      <c r="E555" s="4"/>
      <c r="F555" s="49"/>
      <c r="J555" s="88" t="str">
        <f>IF($J$1="","",HLOOKUP($J$1,$M$1:$AAY$1000,555,0))</f>
        <v/>
      </c>
    </row>
    <row r="556" spans="1:10" x14ac:dyDescent="0.25">
      <c r="A556" s="4"/>
      <c r="C556" s="4"/>
      <c r="D556" s="4"/>
      <c r="E556" s="4"/>
      <c r="F556" s="49"/>
      <c r="J556" s="88" t="str">
        <f>IF($J$1="","",HLOOKUP($J$1,$M$1:$AAY$1000,556,0))</f>
        <v/>
      </c>
    </row>
    <row r="557" spans="1:10" x14ac:dyDescent="0.25">
      <c r="A557" s="4"/>
      <c r="C557" s="4"/>
      <c r="D557" s="4"/>
      <c r="E557" s="4"/>
      <c r="F557" s="49"/>
      <c r="J557" s="88" t="str">
        <f>IF($J$1="","",HLOOKUP($J$1,$M$1:$AAY$1000,557,0))</f>
        <v/>
      </c>
    </row>
    <row r="558" spans="1:10" x14ac:dyDescent="0.25">
      <c r="A558" s="4"/>
      <c r="C558" s="4"/>
      <c r="D558" s="4"/>
      <c r="E558" s="4"/>
      <c r="F558" s="49"/>
      <c r="J558" s="88" t="str">
        <f>IF($J$1="","",HLOOKUP($J$1,$M$1:$AAY$1000,558,0))</f>
        <v/>
      </c>
    </row>
    <row r="559" spans="1:10" x14ac:dyDescent="0.25">
      <c r="A559" s="4"/>
      <c r="C559" s="4"/>
      <c r="D559" s="4"/>
      <c r="E559" s="4"/>
      <c r="F559" s="49"/>
      <c r="J559" s="88" t="str">
        <f>IF($J$1="","",HLOOKUP($J$1,$M$1:$AAY$1000,559,0))</f>
        <v/>
      </c>
    </row>
    <row r="560" spans="1:10" x14ac:dyDescent="0.25">
      <c r="A560" s="4"/>
      <c r="C560" s="4"/>
      <c r="D560" s="4"/>
      <c r="E560" s="4"/>
      <c r="F560" s="49"/>
      <c r="J560" s="88" t="str">
        <f>IF($J$1="","",HLOOKUP($J$1,$M$1:$AAY$1000,560,0))</f>
        <v/>
      </c>
    </row>
    <row r="561" spans="1:10" x14ac:dyDescent="0.25">
      <c r="A561" s="4"/>
      <c r="C561" s="4"/>
      <c r="D561" s="4"/>
      <c r="E561" s="4"/>
      <c r="F561" s="49"/>
      <c r="J561" s="88" t="str">
        <f>IF($J$1="","",HLOOKUP($J$1,$M$1:$AAY$1000,561,0))</f>
        <v/>
      </c>
    </row>
    <row r="562" spans="1:10" x14ac:dyDescent="0.25">
      <c r="A562" s="4"/>
      <c r="C562" s="4"/>
      <c r="D562" s="4"/>
      <c r="E562" s="4"/>
      <c r="F562" s="49"/>
      <c r="J562" s="88" t="str">
        <f>IF($J$1="","",HLOOKUP($J$1,$M$1:$AAY$1000,562,0))</f>
        <v/>
      </c>
    </row>
    <row r="563" spans="1:10" x14ac:dyDescent="0.25">
      <c r="A563" s="4"/>
      <c r="C563" s="4"/>
      <c r="D563" s="4"/>
      <c r="E563" s="4"/>
      <c r="F563" s="49"/>
      <c r="J563" s="88" t="str">
        <f>IF($J$1="","",HLOOKUP($J$1,$M$1:$AAY$1000,563,0))</f>
        <v/>
      </c>
    </row>
    <row r="564" spans="1:10" x14ac:dyDescent="0.25">
      <c r="A564" s="4"/>
      <c r="C564" s="4"/>
      <c r="D564" s="4"/>
      <c r="E564" s="4"/>
      <c r="F564" s="49"/>
      <c r="J564" s="88" t="str">
        <f>IF($J$1="","",HLOOKUP($J$1,$M$1:$AAY$1000,564,0))</f>
        <v/>
      </c>
    </row>
    <row r="565" spans="1:10" x14ac:dyDescent="0.25">
      <c r="A565" s="4"/>
      <c r="C565" s="4"/>
      <c r="D565" s="4"/>
      <c r="E565" s="4"/>
      <c r="F565" s="49"/>
      <c r="J565" s="88" t="str">
        <f>IF($J$1="","",HLOOKUP($J$1,$M$1:$AAY$1000,565,0))</f>
        <v/>
      </c>
    </row>
    <row r="566" spans="1:10" x14ac:dyDescent="0.25">
      <c r="A566" s="4"/>
      <c r="C566" s="4"/>
      <c r="D566" s="4"/>
      <c r="E566" s="4"/>
      <c r="F566" s="49"/>
      <c r="J566" s="88" t="str">
        <f>IF($J$1="","",HLOOKUP($J$1,$M$1:$AAY$1000,566,0))</f>
        <v/>
      </c>
    </row>
    <row r="567" spans="1:10" x14ac:dyDescent="0.25">
      <c r="A567" s="4"/>
      <c r="C567" s="4"/>
      <c r="D567" s="4"/>
      <c r="E567" s="4"/>
      <c r="F567" s="49"/>
      <c r="J567" s="88" t="str">
        <f>IF($J$1="","",HLOOKUP($J$1,$M$1:$AAY$1000,567,0))</f>
        <v/>
      </c>
    </row>
    <row r="568" spans="1:10" x14ac:dyDescent="0.25">
      <c r="A568" s="4"/>
      <c r="C568" s="4"/>
      <c r="D568" s="4"/>
      <c r="E568" s="4"/>
      <c r="F568" s="49"/>
      <c r="J568" s="88" t="str">
        <f>IF($J$1="","",HLOOKUP($J$1,$M$1:$AAY$1000,568,0))</f>
        <v/>
      </c>
    </row>
    <row r="569" spans="1:10" x14ac:dyDescent="0.25">
      <c r="A569" s="4"/>
      <c r="C569" s="4"/>
      <c r="D569" s="4"/>
      <c r="E569" s="4"/>
      <c r="F569" s="49"/>
      <c r="J569" s="88" t="str">
        <f>IF($J$1="","",HLOOKUP($J$1,$M$1:$AAY$1000,569,0))</f>
        <v/>
      </c>
    </row>
    <row r="570" spans="1:10" x14ac:dyDescent="0.25">
      <c r="A570" s="4"/>
      <c r="C570" s="4"/>
      <c r="D570" s="4"/>
      <c r="E570" s="4"/>
      <c r="F570" s="49"/>
      <c r="J570" s="88" t="str">
        <f>IF($J$1="","",HLOOKUP($J$1,$M$1:$AAY$1000,570,0))</f>
        <v/>
      </c>
    </row>
    <row r="571" spans="1:10" x14ac:dyDescent="0.25">
      <c r="A571" s="4"/>
      <c r="C571" s="4"/>
      <c r="D571" s="4"/>
      <c r="E571" s="4"/>
      <c r="F571" s="49"/>
      <c r="J571" s="88" t="str">
        <f>IF($J$1="","",HLOOKUP($J$1,$M$1:$AAY$1000,571,0))</f>
        <v/>
      </c>
    </row>
    <row r="572" spans="1:10" x14ac:dyDescent="0.25">
      <c r="A572" s="4"/>
      <c r="C572" s="4"/>
      <c r="D572" s="4"/>
      <c r="E572" s="4"/>
      <c r="F572" s="49"/>
      <c r="J572" s="88" t="str">
        <f>IF($J$1="","",HLOOKUP($J$1,$M$1:$AAY$1000,572,0))</f>
        <v/>
      </c>
    </row>
    <row r="573" spans="1:10" x14ac:dyDescent="0.25">
      <c r="A573" s="4"/>
      <c r="C573" s="4"/>
      <c r="D573" s="4"/>
      <c r="E573" s="4"/>
      <c r="F573" s="49"/>
      <c r="J573" s="88" t="str">
        <f>IF($J$1="","",HLOOKUP($J$1,$M$1:$AAY$1000,573,0))</f>
        <v/>
      </c>
    </row>
    <row r="574" spans="1:10" x14ac:dyDescent="0.25">
      <c r="A574" s="4"/>
      <c r="C574" s="4"/>
      <c r="D574" s="4"/>
      <c r="E574" s="4"/>
      <c r="F574" s="49"/>
      <c r="J574" s="88" t="str">
        <f>IF($J$1="","",HLOOKUP($J$1,$M$1:$AAY$1000,574,0))</f>
        <v/>
      </c>
    </row>
    <row r="575" spans="1:10" x14ac:dyDescent="0.25">
      <c r="A575" s="4"/>
      <c r="C575" s="4"/>
      <c r="D575" s="4"/>
      <c r="E575" s="4"/>
      <c r="F575" s="49"/>
      <c r="J575" s="88" t="str">
        <f>IF($J$1="","",HLOOKUP($J$1,$M$1:$AAY$1000,575,0))</f>
        <v/>
      </c>
    </row>
    <row r="576" spans="1:10" x14ac:dyDescent="0.25">
      <c r="A576" s="4"/>
      <c r="C576" s="4"/>
      <c r="D576" s="4"/>
      <c r="E576" s="4"/>
      <c r="F576" s="49"/>
      <c r="J576" s="88" t="str">
        <f>IF($J$1="","",HLOOKUP($J$1,$M$1:$AAY$1000,576,0))</f>
        <v/>
      </c>
    </row>
    <row r="577" spans="1:10" x14ac:dyDescent="0.25">
      <c r="A577" s="4"/>
      <c r="C577" s="4"/>
      <c r="D577" s="4"/>
      <c r="E577" s="4"/>
      <c r="F577" s="49"/>
      <c r="J577" s="88" t="str">
        <f>IF($J$1="","",HLOOKUP($J$1,$M$1:$AAY$1000,577,0))</f>
        <v/>
      </c>
    </row>
    <row r="578" spans="1:10" x14ac:dyDescent="0.25">
      <c r="A578" s="4"/>
      <c r="C578" s="4"/>
      <c r="D578" s="4"/>
      <c r="E578" s="4"/>
      <c r="F578" s="49"/>
      <c r="J578" s="88" t="str">
        <f>IF($J$1="","",HLOOKUP($J$1,$M$1:$AAY$1000,578,0))</f>
        <v/>
      </c>
    </row>
    <row r="579" spans="1:10" x14ac:dyDescent="0.25">
      <c r="A579" s="4"/>
      <c r="C579" s="4"/>
      <c r="D579" s="4"/>
      <c r="E579" s="4"/>
      <c r="F579" s="49"/>
      <c r="J579" s="88" t="str">
        <f>IF($J$1="","",HLOOKUP($J$1,$M$1:$AAY$1000,579,0))</f>
        <v/>
      </c>
    </row>
    <row r="580" spans="1:10" x14ac:dyDescent="0.25">
      <c r="A580" s="4"/>
      <c r="C580" s="4"/>
      <c r="D580" s="4"/>
      <c r="E580" s="4"/>
      <c r="F580" s="49"/>
      <c r="J580" s="88" t="str">
        <f>IF($J$1="","",HLOOKUP($J$1,$M$1:$AAY$1000,580,0))</f>
        <v/>
      </c>
    </row>
    <row r="581" spans="1:10" x14ac:dyDescent="0.25">
      <c r="A581" s="4"/>
      <c r="C581" s="4"/>
      <c r="D581" s="4"/>
      <c r="E581" s="4"/>
      <c r="F581" s="49"/>
      <c r="J581" s="88" t="str">
        <f>IF($J$1="","",HLOOKUP($J$1,$M$1:$AAY$1000,581,0))</f>
        <v/>
      </c>
    </row>
    <row r="582" spans="1:10" x14ac:dyDescent="0.25">
      <c r="A582" s="4"/>
      <c r="C582" s="4"/>
      <c r="D582" s="4"/>
      <c r="E582" s="4"/>
      <c r="F582" s="49"/>
      <c r="J582" s="88" t="str">
        <f>IF($J$1="","",HLOOKUP($J$1,$M$1:$AAY$1000,582,0))</f>
        <v/>
      </c>
    </row>
    <row r="583" spans="1:10" x14ac:dyDescent="0.25">
      <c r="A583" s="4"/>
      <c r="C583" s="4"/>
      <c r="D583" s="4"/>
      <c r="E583" s="4"/>
      <c r="F583" s="49"/>
      <c r="J583" s="88" t="str">
        <f>IF($J$1="","",HLOOKUP($J$1,$M$1:$AAY$1000,583,0))</f>
        <v/>
      </c>
    </row>
    <row r="584" spans="1:10" x14ac:dyDescent="0.25">
      <c r="A584" s="4"/>
      <c r="C584" s="4"/>
      <c r="D584" s="4"/>
      <c r="E584" s="4"/>
      <c r="F584" s="49"/>
      <c r="J584" s="88" t="str">
        <f>IF($J$1="","",HLOOKUP($J$1,$M$1:$AAY$1000,584,0))</f>
        <v/>
      </c>
    </row>
    <row r="585" spans="1:10" x14ac:dyDescent="0.25">
      <c r="A585" s="4"/>
      <c r="C585" s="4"/>
      <c r="D585" s="4"/>
      <c r="E585" s="4"/>
      <c r="F585" s="49"/>
      <c r="J585" s="88" t="str">
        <f>IF($J$1="","",HLOOKUP($J$1,$M$1:$AAY$1000,585,0))</f>
        <v/>
      </c>
    </row>
    <row r="586" spans="1:10" x14ac:dyDescent="0.25">
      <c r="A586" s="4"/>
      <c r="C586" s="4"/>
      <c r="D586" s="4"/>
      <c r="E586" s="4"/>
      <c r="F586" s="49"/>
      <c r="J586" s="88" t="str">
        <f>IF($J$1="","",HLOOKUP($J$1,$M$1:$AAY$1000,586,0))</f>
        <v/>
      </c>
    </row>
    <row r="587" spans="1:10" x14ac:dyDescent="0.25">
      <c r="A587" s="4"/>
      <c r="C587" s="4"/>
      <c r="D587" s="4"/>
      <c r="E587" s="4"/>
      <c r="F587" s="49"/>
      <c r="J587" s="88" t="str">
        <f>IF($J$1="","",HLOOKUP($J$1,$M$1:$AAY$1000,587,0))</f>
        <v/>
      </c>
    </row>
    <row r="588" spans="1:10" x14ac:dyDescent="0.25">
      <c r="A588" s="4"/>
      <c r="C588" s="4"/>
      <c r="D588" s="4"/>
      <c r="E588" s="4"/>
      <c r="F588" s="49"/>
      <c r="J588" s="88" t="str">
        <f>IF($J$1="","",HLOOKUP($J$1,$M$1:$AAY$1000,588,0))</f>
        <v/>
      </c>
    </row>
    <row r="589" spans="1:10" x14ac:dyDescent="0.25">
      <c r="A589" s="4"/>
      <c r="C589" s="4"/>
      <c r="D589" s="4"/>
      <c r="E589" s="4"/>
      <c r="F589" s="49"/>
      <c r="J589" s="88" t="str">
        <f>IF($J$1="","",HLOOKUP($J$1,$M$1:$AAY$1000,589,0))</f>
        <v/>
      </c>
    </row>
    <row r="590" spans="1:10" x14ac:dyDescent="0.25">
      <c r="A590" s="4"/>
      <c r="C590" s="4"/>
      <c r="D590" s="4"/>
      <c r="E590" s="4"/>
      <c r="F590" s="49"/>
      <c r="J590" s="88" t="str">
        <f>IF($J$1="","",HLOOKUP($J$1,$M$1:$AAY$1000,590,0))</f>
        <v/>
      </c>
    </row>
    <row r="591" spans="1:10" x14ac:dyDescent="0.25">
      <c r="A591" s="4"/>
      <c r="C591" s="4"/>
      <c r="D591" s="4"/>
      <c r="E591" s="4"/>
      <c r="F591" s="49"/>
      <c r="J591" s="88" t="str">
        <f>IF($J$1="","",HLOOKUP($J$1,$M$1:$AAY$1000,591,0))</f>
        <v/>
      </c>
    </row>
    <row r="592" spans="1:10" x14ac:dyDescent="0.25">
      <c r="A592" s="4"/>
      <c r="C592" s="4"/>
      <c r="D592" s="4"/>
      <c r="E592" s="4"/>
      <c r="F592" s="49"/>
      <c r="J592" s="88" t="str">
        <f>IF($J$1="","",HLOOKUP($J$1,$M$1:$AAY$1000,592,0))</f>
        <v/>
      </c>
    </row>
    <row r="593" spans="1:10" x14ac:dyDescent="0.25">
      <c r="A593" s="4"/>
      <c r="C593" s="4"/>
      <c r="D593" s="4"/>
      <c r="E593" s="4"/>
      <c r="F593" s="49"/>
      <c r="J593" s="88" t="str">
        <f>IF($J$1="","",HLOOKUP($J$1,$M$1:$AAY$1000,593,0))</f>
        <v/>
      </c>
    </row>
    <row r="594" spans="1:10" x14ac:dyDescent="0.25">
      <c r="A594" s="4"/>
      <c r="C594" s="4"/>
      <c r="D594" s="4"/>
      <c r="E594" s="4"/>
      <c r="F594" s="49"/>
      <c r="J594" s="88" t="str">
        <f>IF($J$1="","",HLOOKUP($J$1,$M$1:$AAY$1000,594,0))</f>
        <v/>
      </c>
    </row>
    <row r="595" spans="1:10" x14ac:dyDescent="0.25">
      <c r="A595" s="4"/>
      <c r="C595" s="4"/>
      <c r="D595" s="4"/>
      <c r="E595" s="4"/>
      <c r="F595" s="49"/>
      <c r="J595" s="88" t="str">
        <f>IF($J$1="","",HLOOKUP($J$1,$M$1:$AAY$1000,595,0))</f>
        <v/>
      </c>
    </row>
    <row r="596" spans="1:10" x14ac:dyDescent="0.25">
      <c r="A596" s="4"/>
      <c r="C596" s="4"/>
      <c r="D596" s="4"/>
      <c r="E596" s="4"/>
      <c r="F596" s="49"/>
      <c r="J596" s="88" t="str">
        <f>IF($J$1="","",HLOOKUP($J$1,$M$1:$AAY$1000,596,0))</f>
        <v/>
      </c>
    </row>
    <row r="597" spans="1:10" x14ac:dyDescent="0.25">
      <c r="A597" s="4"/>
      <c r="C597" s="4"/>
      <c r="D597" s="4"/>
      <c r="E597" s="4"/>
      <c r="F597" s="49"/>
      <c r="J597" s="88" t="str">
        <f>IF($J$1="","",HLOOKUP($J$1,$M$1:$AAY$1000,597,0))</f>
        <v/>
      </c>
    </row>
    <row r="598" spans="1:10" x14ac:dyDescent="0.25">
      <c r="A598" s="4"/>
      <c r="C598" s="4"/>
      <c r="D598" s="4"/>
      <c r="E598" s="4"/>
      <c r="F598" s="49"/>
      <c r="J598" s="88" t="str">
        <f>IF($J$1="","",HLOOKUP($J$1,$M$1:$AAY$1000,598,0))</f>
        <v/>
      </c>
    </row>
    <row r="599" spans="1:10" x14ac:dyDescent="0.25">
      <c r="A599" s="4"/>
      <c r="C599" s="4"/>
      <c r="D599" s="4"/>
      <c r="E599" s="4"/>
      <c r="F599" s="49"/>
      <c r="J599" s="88" t="str">
        <f>IF($J$1="","",HLOOKUP($J$1,$M$1:$AAY$1000,599,0))</f>
        <v/>
      </c>
    </row>
    <row r="600" spans="1:10" x14ac:dyDescent="0.25">
      <c r="A600" s="4"/>
      <c r="C600" s="4"/>
      <c r="D600" s="4"/>
      <c r="E600" s="4"/>
      <c r="F600" s="49"/>
      <c r="J600" s="88" t="str">
        <f>IF($J$1="","",HLOOKUP($J$1,$M$1:$AAY$1000,600,0))</f>
        <v/>
      </c>
    </row>
    <row r="601" spans="1:10" x14ac:dyDescent="0.25">
      <c r="A601" s="4"/>
      <c r="C601" s="4"/>
      <c r="D601" s="4"/>
      <c r="E601" s="4"/>
      <c r="F601" s="49"/>
      <c r="J601" s="88" t="str">
        <f>IF($J$1="","",HLOOKUP($J$1,$M$1:$AAY$1000,601,0))</f>
        <v/>
      </c>
    </row>
    <row r="602" spans="1:10" x14ac:dyDescent="0.25">
      <c r="A602" s="4"/>
      <c r="C602" s="4"/>
      <c r="D602" s="4"/>
      <c r="E602" s="4"/>
      <c r="F602" s="49"/>
      <c r="J602" s="88" t="str">
        <f>IF($J$1="","",HLOOKUP($J$1,$M$1:$AAY$1000,602,0))</f>
        <v/>
      </c>
    </row>
    <row r="603" spans="1:10" x14ac:dyDescent="0.25">
      <c r="A603" s="4"/>
      <c r="C603" s="4"/>
      <c r="D603" s="4"/>
      <c r="E603" s="4"/>
      <c r="F603" s="49"/>
      <c r="J603" s="88" t="str">
        <f>IF($J$1="","",HLOOKUP($J$1,$M$1:$AAY$1000,603,0))</f>
        <v/>
      </c>
    </row>
    <row r="604" spans="1:10" x14ac:dyDescent="0.25">
      <c r="A604" s="4"/>
      <c r="C604" s="4"/>
      <c r="D604" s="4"/>
      <c r="E604" s="4"/>
      <c r="F604" s="49"/>
      <c r="J604" s="88" t="str">
        <f>IF($J$1="","",HLOOKUP($J$1,$M$1:$AAY$1000,604,0))</f>
        <v/>
      </c>
    </row>
    <row r="605" spans="1:10" x14ac:dyDescent="0.25">
      <c r="A605" s="4"/>
      <c r="C605" s="4"/>
      <c r="D605" s="4"/>
      <c r="E605" s="4"/>
      <c r="F605" s="49"/>
      <c r="J605" s="88" t="str">
        <f>IF($J$1="","",HLOOKUP($J$1,$M$1:$AAY$1000,605,0))</f>
        <v/>
      </c>
    </row>
    <row r="606" spans="1:10" x14ac:dyDescent="0.25">
      <c r="A606" s="4"/>
      <c r="C606" s="4"/>
      <c r="D606" s="4"/>
      <c r="E606" s="4"/>
      <c r="F606" s="49"/>
      <c r="J606" s="88" t="str">
        <f>IF($J$1="","",HLOOKUP($J$1,$M$1:$AAY$1000,606,0))</f>
        <v/>
      </c>
    </row>
    <row r="607" spans="1:10" x14ac:dyDescent="0.25">
      <c r="A607" s="4"/>
      <c r="C607" s="4"/>
      <c r="D607" s="4"/>
      <c r="E607" s="4"/>
      <c r="F607" s="49"/>
      <c r="J607" s="88" t="str">
        <f>IF($J$1="","",HLOOKUP($J$1,$M$1:$AAY$1000,607,0))</f>
        <v/>
      </c>
    </row>
    <row r="608" spans="1:10" x14ac:dyDescent="0.25">
      <c r="A608" s="4"/>
      <c r="C608" s="4"/>
      <c r="D608" s="4"/>
      <c r="E608" s="4"/>
      <c r="F608" s="49"/>
      <c r="J608" s="88" t="str">
        <f>IF($J$1="","",HLOOKUP($J$1,$M$1:$AAY$1000,608,0))</f>
        <v/>
      </c>
    </row>
    <row r="609" spans="1:10" x14ac:dyDescent="0.25">
      <c r="A609" s="4"/>
      <c r="C609" s="4"/>
      <c r="D609" s="4"/>
      <c r="E609" s="4"/>
      <c r="F609" s="49"/>
      <c r="J609" s="88" t="str">
        <f>IF($J$1="","",HLOOKUP($J$1,$M$1:$AAY$1000,609,0))</f>
        <v/>
      </c>
    </row>
    <row r="610" spans="1:10" x14ac:dyDescent="0.25">
      <c r="A610" s="4"/>
      <c r="C610" s="4"/>
      <c r="D610" s="4"/>
      <c r="E610" s="4"/>
      <c r="F610" s="49"/>
      <c r="J610" s="88" t="str">
        <f>IF($J$1="","",HLOOKUP($J$1,$M$1:$AAY$1000,610,0))</f>
        <v/>
      </c>
    </row>
    <row r="611" spans="1:10" x14ac:dyDescent="0.25">
      <c r="A611" s="4"/>
      <c r="C611" s="4"/>
      <c r="D611" s="4"/>
      <c r="E611" s="4"/>
      <c r="F611" s="49"/>
      <c r="J611" s="88" t="str">
        <f>IF($J$1="","",HLOOKUP($J$1,$M$1:$AAY$1000,611,0))</f>
        <v/>
      </c>
    </row>
    <row r="612" spans="1:10" x14ac:dyDescent="0.25">
      <c r="A612" s="4"/>
      <c r="C612" s="4"/>
      <c r="D612" s="4"/>
      <c r="E612" s="4"/>
      <c r="F612" s="49"/>
      <c r="J612" s="88" t="str">
        <f>IF($J$1="","",HLOOKUP($J$1,$M$1:$AAY$1000,612,0))</f>
        <v/>
      </c>
    </row>
    <row r="613" spans="1:10" x14ac:dyDescent="0.25">
      <c r="A613" s="4"/>
      <c r="C613" s="4"/>
      <c r="D613" s="4"/>
      <c r="E613" s="4"/>
      <c r="F613" s="49"/>
      <c r="J613" s="88" t="str">
        <f>IF($J$1="","",HLOOKUP($J$1,$M$1:$AAY$1000,613,0))</f>
        <v/>
      </c>
    </row>
    <row r="614" spans="1:10" x14ac:dyDescent="0.25">
      <c r="A614" s="4"/>
      <c r="C614" s="4"/>
      <c r="D614" s="4"/>
      <c r="E614" s="4"/>
      <c r="F614" s="49"/>
      <c r="J614" s="88" t="str">
        <f>IF($J$1="","",HLOOKUP($J$1,$M$1:$AAY$1000,614,0))</f>
        <v/>
      </c>
    </row>
    <row r="615" spans="1:10" x14ac:dyDescent="0.25">
      <c r="A615" s="4"/>
      <c r="C615" s="4"/>
      <c r="D615" s="4"/>
      <c r="E615" s="4"/>
      <c r="F615" s="49"/>
      <c r="J615" s="88" t="str">
        <f>IF($J$1="","",HLOOKUP($J$1,$M$1:$AAY$1000,615,0))</f>
        <v/>
      </c>
    </row>
    <row r="616" spans="1:10" x14ac:dyDescent="0.25">
      <c r="A616" s="4"/>
      <c r="C616" s="4"/>
      <c r="D616" s="4"/>
      <c r="E616" s="4"/>
      <c r="F616" s="49"/>
      <c r="J616" s="88" t="str">
        <f>IF($J$1="","",HLOOKUP($J$1,$M$1:$AAY$1000,616,0))</f>
        <v/>
      </c>
    </row>
    <row r="617" spans="1:10" x14ac:dyDescent="0.25">
      <c r="A617" s="4"/>
      <c r="C617" s="4"/>
      <c r="D617" s="4"/>
      <c r="E617" s="4"/>
      <c r="F617" s="49"/>
      <c r="J617" s="88" t="str">
        <f>IF($J$1="","",HLOOKUP($J$1,$M$1:$AAY$1000,617,0))</f>
        <v/>
      </c>
    </row>
    <row r="618" spans="1:10" x14ac:dyDescent="0.25">
      <c r="A618" s="4"/>
      <c r="C618" s="4"/>
      <c r="D618" s="4"/>
      <c r="E618" s="4"/>
      <c r="F618" s="49"/>
      <c r="J618" s="88" t="str">
        <f>IF($J$1="","",HLOOKUP($J$1,$M$1:$AAY$1000,618,0))</f>
        <v/>
      </c>
    </row>
    <row r="619" spans="1:10" x14ac:dyDescent="0.25">
      <c r="A619" s="4"/>
      <c r="C619" s="4"/>
      <c r="D619" s="4"/>
      <c r="E619" s="4"/>
      <c r="F619" s="49"/>
      <c r="J619" s="88" t="str">
        <f>IF($J$1="","",HLOOKUP($J$1,$M$1:$AAY$1000,619,0))</f>
        <v/>
      </c>
    </row>
    <row r="620" spans="1:10" x14ac:dyDescent="0.25">
      <c r="A620" s="4"/>
      <c r="C620" s="4"/>
      <c r="D620" s="4"/>
      <c r="E620" s="4"/>
      <c r="F620" s="49"/>
      <c r="J620" s="88" t="str">
        <f>IF($J$1="","",HLOOKUP($J$1,$M$1:$AAY$1000,620,0))</f>
        <v/>
      </c>
    </row>
    <row r="621" spans="1:10" x14ac:dyDescent="0.25">
      <c r="A621" s="4"/>
      <c r="C621" s="4"/>
      <c r="D621" s="4"/>
      <c r="E621" s="4"/>
      <c r="F621" s="49"/>
      <c r="J621" s="88" t="str">
        <f>IF($J$1="","",HLOOKUP($J$1,$M$1:$AAY$1000,621,0))</f>
        <v/>
      </c>
    </row>
    <row r="622" spans="1:10" x14ac:dyDescent="0.25">
      <c r="A622" s="4"/>
      <c r="C622" s="4"/>
      <c r="D622" s="4"/>
      <c r="E622" s="4"/>
      <c r="F622" s="49"/>
      <c r="J622" s="88" t="str">
        <f>IF($J$1="","",HLOOKUP($J$1,$M$1:$AAY$1000,622,0))</f>
        <v/>
      </c>
    </row>
    <row r="623" spans="1:10" x14ac:dyDescent="0.25">
      <c r="A623" s="4"/>
      <c r="C623" s="4"/>
      <c r="D623" s="4"/>
      <c r="E623" s="4"/>
      <c r="F623" s="49"/>
      <c r="J623" s="88" t="str">
        <f>IF($J$1="","",HLOOKUP($J$1,$M$1:$AAY$1000,623,0))</f>
        <v/>
      </c>
    </row>
    <row r="624" spans="1:10" x14ac:dyDescent="0.25">
      <c r="A624" s="4"/>
      <c r="C624" s="4"/>
      <c r="D624" s="4"/>
      <c r="E624" s="4"/>
      <c r="F624" s="49"/>
      <c r="J624" s="88" t="str">
        <f>IF($J$1="","",HLOOKUP($J$1,$M$1:$AAY$1000,624,0))</f>
        <v/>
      </c>
    </row>
    <row r="625" spans="1:10" x14ac:dyDescent="0.25">
      <c r="A625" s="4"/>
      <c r="C625" s="4"/>
      <c r="D625" s="4"/>
      <c r="E625" s="4"/>
      <c r="F625" s="49"/>
      <c r="J625" s="88" t="str">
        <f>IF($J$1="","",HLOOKUP($J$1,$M$1:$AAY$1000,625,0))</f>
        <v/>
      </c>
    </row>
    <row r="626" spans="1:10" x14ac:dyDescent="0.25">
      <c r="A626" s="4"/>
      <c r="C626" s="4"/>
      <c r="D626" s="4"/>
      <c r="E626" s="4"/>
      <c r="F626" s="49"/>
      <c r="J626" s="88" t="str">
        <f>IF($J$1="","",HLOOKUP($J$1,$M$1:$AAY$1000,626,0))</f>
        <v/>
      </c>
    </row>
    <row r="627" spans="1:10" x14ac:dyDescent="0.25">
      <c r="A627" s="4"/>
      <c r="C627" s="4"/>
      <c r="D627" s="4"/>
      <c r="E627" s="4"/>
      <c r="F627" s="49"/>
      <c r="J627" s="88" t="str">
        <f>IF($J$1="","",HLOOKUP($J$1,$M$1:$AAY$1000,627,0))</f>
        <v/>
      </c>
    </row>
    <row r="628" spans="1:10" x14ac:dyDescent="0.25">
      <c r="A628" s="4"/>
      <c r="C628" s="4"/>
      <c r="D628" s="4"/>
      <c r="E628" s="4"/>
      <c r="F628" s="49"/>
      <c r="J628" s="88" t="str">
        <f>IF($J$1="","",HLOOKUP($J$1,$M$1:$AAY$1000,628,0))</f>
        <v/>
      </c>
    </row>
    <row r="629" spans="1:10" x14ac:dyDescent="0.25">
      <c r="A629" s="4"/>
      <c r="C629" s="4"/>
      <c r="D629" s="4"/>
      <c r="E629" s="4"/>
      <c r="F629" s="49"/>
      <c r="J629" s="88" t="str">
        <f>IF($J$1="","",HLOOKUP($J$1,$M$1:$AAY$1000,629,0))</f>
        <v/>
      </c>
    </row>
    <row r="630" spans="1:10" x14ac:dyDescent="0.25">
      <c r="A630" s="4"/>
      <c r="C630" s="4"/>
      <c r="D630" s="4"/>
      <c r="E630" s="4"/>
      <c r="F630" s="49"/>
      <c r="J630" s="88" t="str">
        <f>IF($J$1="","",HLOOKUP($J$1,$M$1:$AAY$1000,630,0))</f>
        <v/>
      </c>
    </row>
    <row r="631" spans="1:10" x14ac:dyDescent="0.25">
      <c r="A631" s="4"/>
      <c r="C631" s="4"/>
      <c r="D631" s="4"/>
      <c r="E631" s="4"/>
      <c r="F631" s="49"/>
      <c r="J631" s="88" t="str">
        <f>IF($J$1="","",HLOOKUP($J$1,$M$1:$AAY$1000,631,0))</f>
        <v/>
      </c>
    </row>
    <row r="632" spans="1:10" x14ac:dyDescent="0.25">
      <c r="A632" s="4"/>
      <c r="C632" s="4"/>
      <c r="D632" s="4"/>
      <c r="E632" s="4"/>
      <c r="F632" s="49"/>
      <c r="J632" s="88" t="str">
        <f>IF($J$1="","",HLOOKUP($J$1,$M$1:$AAY$1000,632,0))</f>
        <v/>
      </c>
    </row>
    <row r="633" spans="1:10" x14ac:dyDescent="0.25">
      <c r="A633" s="4"/>
      <c r="C633" s="4"/>
      <c r="D633" s="4"/>
      <c r="E633" s="4"/>
      <c r="F633" s="49"/>
      <c r="J633" s="88" t="str">
        <f>IF($J$1="","",HLOOKUP($J$1,$M$1:$AAY$1000,633,0))</f>
        <v/>
      </c>
    </row>
    <row r="634" spans="1:10" x14ac:dyDescent="0.25">
      <c r="A634" s="4"/>
      <c r="C634" s="4"/>
      <c r="D634" s="4"/>
      <c r="E634" s="4"/>
      <c r="F634" s="49"/>
      <c r="J634" s="88" t="str">
        <f>IF($J$1="","",HLOOKUP($J$1,$M$1:$AAY$1000,634,0))</f>
        <v/>
      </c>
    </row>
    <row r="635" spans="1:10" x14ac:dyDescent="0.25">
      <c r="A635" s="4"/>
      <c r="C635" s="4"/>
      <c r="D635" s="4"/>
      <c r="E635" s="4"/>
      <c r="F635" s="49"/>
      <c r="J635" s="88" t="str">
        <f>IF($J$1="","",HLOOKUP($J$1,$M$1:$AAY$1000,635,0))</f>
        <v/>
      </c>
    </row>
    <row r="636" spans="1:10" x14ac:dyDescent="0.25">
      <c r="A636" s="4"/>
      <c r="C636" s="4"/>
      <c r="D636" s="4"/>
      <c r="E636" s="4"/>
      <c r="F636" s="49"/>
      <c r="J636" s="88" t="str">
        <f>IF($J$1="","",HLOOKUP($J$1,$M$1:$AAY$1000,636,0))</f>
        <v/>
      </c>
    </row>
    <row r="637" spans="1:10" x14ac:dyDescent="0.25">
      <c r="A637" s="4"/>
      <c r="C637" s="4"/>
      <c r="D637" s="4"/>
      <c r="E637" s="4"/>
      <c r="F637" s="49"/>
      <c r="J637" s="88" t="str">
        <f>IF($J$1="","",HLOOKUP($J$1,$M$1:$AAY$1000,637,0))</f>
        <v/>
      </c>
    </row>
    <row r="638" spans="1:10" x14ac:dyDescent="0.25">
      <c r="A638" s="4"/>
      <c r="C638" s="4"/>
      <c r="D638" s="4"/>
      <c r="E638" s="4"/>
      <c r="F638" s="49"/>
      <c r="J638" s="88" t="str">
        <f>IF($J$1="","",HLOOKUP($J$1,$M$1:$AAY$1000,638,0))</f>
        <v/>
      </c>
    </row>
    <row r="639" spans="1:10" x14ac:dyDescent="0.25">
      <c r="A639" s="4"/>
      <c r="C639" s="4"/>
      <c r="D639" s="4"/>
      <c r="E639" s="4"/>
      <c r="F639" s="49"/>
      <c r="J639" s="88" t="str">
        <f>IF($J$1="","",HLOOKUP($J$1,$M$1:$AAY$1000,639,0))</f>
        <v/>
      </c>
    </row>
    <row r="640" spans="1:10" x14ac:dyDescent="0.25">
      <c r="A640" s="4"/>
      <c r="C640" s="4"/>
      <c r="D640" s="4"/>
      <c r="E640" s="4"/>
      <c r="F640" s="49"/>
      <c r="J640" s="88" t="str">
        <f>IF($J$1="","",HLOOKUP($J$1,$M$1:$AAY$1000,640,0))</f>
        <v/>
      </c>
    </row>
    <row r="641" spans="1:10" x14ac:dyDescent="0.25">
      <c r="A641" s="4"/>
      <c r="C641" s="4"/>
      <c r="D641" s="4"/>
      <c r="E641" s="4"/>
      <c r="F641" s="49"/>
      <c r="J641" s="88" t="str">
        <f>IF($J$1="","",HLOOKUP($J$1,$M$1:$AAY$1000,641,0))</f>
        <v/>
      </c>
    </row>
    <row r="642" spans="1:10" x14ac:dyDescent="0.25">
      <c r="A642" s="4"/>
      <c r="C642" s="4"/>
      <c r="D642" s="4"/>
      <c r="E642" s="4"/>
      <c r="F642" s="49"/>
      <c r="J642" s="88" t="str">
        <f>IF($J$1="","",HLOOKUP($J$1,$M$1:$AAY$1000,642,0))</f>
        <v/>
      </c>
    </row>
    <row r="643" spans="1:10" x14ac:dyDescent="0.25">
      <c r="A643" s="4"/>
      <c r="C643" s="4"/>
      <c r="D643" s="4"/>
      <c r="E643" s="4"/>
      <c r="F643" s="49"/>
      <c r="J643" s="88" t="str">
        <f>IF($J$1="","",HLOOKUP($J$1,$M$1:$AAY$1000,643,0))</f>
        <v/>
      </c>
    </row>
    <row r="644" spans="1:10" x14ac:dyDescent="0.25">
      <c r="A644" s="4"/>
      <c r="C644" s="4"/>
      <c r="D644" s="4"/>
      <c r="E644" s="4"/>
      <c r="F644" s="49"/>
      <c r="J644" s="88" t="str">
        <f>IF($J$1="","",HLOOKUP($J$1,$M$1:$AAY$1000,644,0))</f>
        <v/>
      </c>
    </row>
    <row r="645" spans="1:10" x14ac:dyDescent="0.25">
      <c r="A645" s="4"/>
      <c r="C645" s="4"/>
      <c r="D645" s="4"/>
      <c r="E645" s="4"/>
      <c r="F645" s="49"/>
      <c r="J645" s="88" t="str">
        <f>IF($J$1="","",HLOOKUP($J$1,$M$1:$AAY$1000,645,0))</f>
        <v/>
      </c>
    </row>
    <row r="646" spans="1:10" x14ac:dyDescent="0.25">
      <c r="A646" s="4"/>
      <c r="C646" s="4"/>
      <c r="D646" s="4"/>
      <c r="E646" s="4"/>
      <c r="F646" s="49"/>
      <c r="J646" s="88" t="str">
        <f>IF($J$1="","",HLOOKUP($J$1,$M$1:$AAY$1000,646,0))</f>
        <v/>
      </c>
    </row>
    <row r="647" spans="1:10" x14ac:dyDescent="0.25">
      <c r="A647" s="4"/>
      <c r="C647" s="4"/>
      <c r="D647" s="4"/>
      <c r="E647" s="4"/>
      <c r="F647" s="49"/>
      <c r="J647" s="88" t="str">
        <f>IF($J$1="","",HLOOKUP($J$1,$M$1:$AAY$1000,647,0))</f>
        <v/>
      </c>
    </row>
    <row r="648" spans="1:10" x14ac:dyDescent="0.25">
      <c r="A648" s="4"/>
      <c r="C648" s="4"/>
      <c r="D648" s="4"/>
      <c r="E648" s="4"/>
      <c r="F648" s="49"/>
      <c r="J648" s="88" t="str">
        <f>IF($J$1="","",HLOOKUP($J$1,$M$1:$AAY$1000,648,0))</f>
        <v/>
      </c>
    </row>
    <row r="649" spans="1:10" x14ac:dyDescent="0.25">
      <c r="A649" s="4"/>
      <c r="C649" s="4"/>
      <c r="D649" s="4"/>
      <c r="E649" s="4"/>
      <c r="F649" s="49"/>
      <c r="J649" s="88" t="str">
        <f>IF($J$1="","",HLOOKUP($J$1,$M$1:$AAY$1000,649,0))</f>
        <v/>
      </c>
    </row>
    <row r="650" spans="1:10" x14ac:dyDescent="0.25">
      <c r="A650" s="4"/>
      <c r="C650" s="4"/>
      <c r="D650" s="4"/>
      <c r="E650" s="4"/>
      <c r="F650" s="49"/>
      <c r="J650" s="88" t="str">
        <f>IF($J$1="","",HLOOKUP($J$1,$M$1:$AAY$1000,650,0))</f>
        <v/>
      </c>
    </row>
    <row r="651" spans="1:10" x14ac:dyDescent="0.25">
      <c r="A651" s="4"/>
      <c r="C651" s="4"/>
      <c r="D651" s="4"/>
      <c r="E651" s="4"/>
      <c r="F651" s="49"/>
      <c r="J651" s="88" t="str">
        <f>IF($J$1="","",HLOOKUP($J$1,$M$1:$AAY$1000,651,0))</f>
        <v/>
      </c>
    </row>
    <row r="652" spans="1:10" x14ac:dyDescent="0.25">
      <c r="A652" s="4"/>
      <c r="C652" s="4"/>
      <c r="D652" s="4"/>
      <c r="E652" s="4"/>
      <c r="F652" s="49"/>
      <c r="J652" s="88" t="str">
        <f>IF($J$1="","",HLOOKUP($J$1,$M$1:$AAY$1000,652,0))</f>
        <v/>
      </c>
    </row>
    <row r="653" spans="1:10" x14ac:dyDescent="0.25">
      <c r="A653" s="4"/>
      <c r="C653" s="4"/>
      <c r="D653" s="4"/>
      <c r="E653" s="4"/>
      <c r="F653" s="49"/>
      <c r="J653" s="88" t="str">
        <f>IF($J$1="","",HLOOKUP($J$1,$M$1:$AAY$1000,653,0))</f>
        <v/>
      </c>
    </row>
    <row r="654" spans="1:10" x14ac:dyDescent="0.25">
      <c r="A654" s="4"/>
      <c r="C654" s="4"/>
      <c r="D654" s="4"/>
      <c r="E654" s="4"/>
      <c r="F654" s="49"/>
      <c r="J654" s="88" t="str">
        <f>IF($J$1="","",HLOOKUP($J$1,$M$1:$AAY$1000,654,0))</f>
        <v/>
      </c>
    </row>
    <row r="655" spans="1:10" x14ac:dyDescent="0.25">
      <c r="A655" s="4"/>
      <c r="C655" s="4"/>
      <c r="D655" s="4"/>
      <c r="E655" s="4"/>
      <c r="F655" s="49"/>
      <c r="J655" s="88" t="str">
        <f>IF($J$1="","",HLOOKUP($J$1,$M$1:$AAY$1000,655,0))</f>
        <v/>
      </c>
    </row>
    <row r="656" spans="1:10" x14ac:dyDescent="0.25">
      <c r="A656" s="4"/>
      <c r="C656" s="4"/>
      <c r="D656" s="4"/>
      <c r="E656" s="4"/>
      <c r="F656" s="49"/>
      <c r="J656" s="88" t="str">
        <f>IF($J$1="","",HLOOKUP($J$1,$M$1:$AAY$1000,656,0))</f>
        <v/>
      </c>
    </row>
    <row r="657" spans="1:10" x14ac:dyDescent="0.25">
      <c r="A657" s="4"/>
      <c r="C657" s="4"/>
      <c r="D657" s="4"/>
      <c r="E657" s="4"/>
      <c r="F657" s="49"/>
      <c r="J657" s="88" t="str">
        <f>IF($J$1="","",HLOOKUP($J$1,$M$1:$AAY$1000,657,0))</f>
        <v/>
      </c>
    </row>
    <row r="658" spans="1:10" x14ac:dyDescent="0.25">
      <c r="A658" s="4"/>
      <c r="C658" s="4"/>
      <c r="D658" s="4"/>
      <c r="E658" s="4"/>
      <c r="F658" s="49"/>
      <c r="J658" s="88" t="str">
        <f>IF($J$1="","",HLOOKUP($J$1,$M$1:$AAY$1000,658,0))</f>
        <v/>
      </c>
    </row>
    <row r="659" spans="1:10" x14ac:dyDescent="0.25">
      <c r="A659" s="4"/>
      <c r="C659" s="4"/>
      <c r="D659" s="4"/>
      <c r="E659" s="4"/>
      <c r="F659" s="49"/>
      <c r="J659" s="88" t="str">
        <f>IF($J$1="","",HLOOKUP($J$1,$M$1:$AAY$1000,659,0))</f>
        <v/>
      </c>
    </row>
    <row r="660" spans="1:10" x14ac:dyDescent="0.25">
      <c r="A660" s="4"/>
      <c r="C660" s="4"/>
      <c r="D660" s="4"/>
      <c r="E660" s="4"/>
      <c r="F660" s="49"/>
      <c r="J660" s="88" t="str">
        <f>IF($J$1="","",HLOOKUP($J$1,$M$1:$AAY$1000,660,0))</f>
        <v/>
      </c>
    </row>
    <row r="661" spans="1:10" x14ac:dyDescent="0.25">
      <c r="A661" s="4"/>
      <c r="C661" s="4"/>
      <c r="D661" s="4"/>
      <c r="E661" s="4"/>
      <c r="F661" s="49"/>
      <c r="J661" s="88" t="str">
        <f>IF($J$1="","",HLOOKUP($J$1,$M$1:$AAY$1000,661,0))</f>
        <v/>
      </c>
    </row>
    <row r="662" spans="1:10" x14ac:dyDescent="0.25">
      <c r="A662" s="4"/>
      <c r="C662" s="4"/>
      <c r="D662" s="4"/>
      <c r="E662" s="4"/>
      <c r="F662" s="49"/>
      <c r="J662" s="88" t="str">
        <f>IF($J$1="","",HLOOKUP($J$1,$M$1:$AAY$1000,662,0))</f>
        <v/>
      </c>
    </row>
    <row r="663" spans="1:10" x14ac:dyDescent="0.25">
      <c r="A663" s="4"/>
      <c r="C663" s="4"/>
      <c r="D663" s="4"/>
      <c r="E663" s="4"/>
      <c r="F663" s="49"/>
      <c r="J663" s="88" t="str">
        <f>IF($J$1="","",HLOOKUP($J$1,$M$1:$AAY$1000,663,0))</f>
        <v/>
      </c>
    </row>
    <row r="664" spans="1:10" x14ac:dyDescent="0.25">
      <c r="A664" s="4"/>
      <c r="C664" s="4"/>
      <c r="D664" s="4"/>
      <c r="E664" s="4"/>
      <c r="F664" s="49"/>
      <c r="J664" s="88" t="str">
        <f>IF($J$1="","",HLOOKUP($J$1,$M$1:$AAY$1000,664,0))</f>
        <v/>
      </c>
    </row>
    <row r="665" spans="1:10" x14ac:dyDescent="0.25">
      <c r="A665" s="4"/>
      <c r="C665" s="4"/>
      <c r="D665" s="4"/>
      <c r="E665" s="4"/>
      <c r="F665" s="49"/>
      <c r="J665" s="88" t="str">
        <f>IF($J$1="","",HLOOKUP($J$1,$M$1:$AAY$1000,665,0))</f>
        <v/>
      </c>
    </row>
    <row r="666" spans="1:10" x14ac:dyDescent="0.25">
      <c r="A666" s="4"/>
      <c r="C666" s="4"/>
      <c r="D666" s="4"/>
      <c r="E666" s="4"/>
      <c r="F666" s="49"/>
      <c r="J666" s="88" t="str">
        <f>IF($J$1="","",HLOOKUP($J$1,$M$1:$AAY$1000,666,0))</f>
        <v/>
      </c>
    </row>
    <row r="667" spans="1:10" x14ac:dyDescent="0.25">
      <c r="A667" s="4"/>
      <c r="C667" s="4"/>
      <c r="D667" s="4"/>
      <c r="E667" s="4"/>
      <c r="F667" s="49"/>
      <c r="J667" s="88" t="str">
        <f>IF($J$1="","",HLOOKUP($J$1,$M$1:$AAY$1000,667,0))</f>
        <v/>
      </c>
    </row>
    <row r="668" spans="1:10" x14ac:dyDescent="0.25">
      <c r="A668" s="4"/>
      <c r="C668" s="4"/>
      <c r="D668" s="4"/>
      <c r="E668" s="4"/>
      <c r="F668" s="49"/>
      <c r="J668" s="88" t="str">
        <f>IF($J$1="","",HLOOKUP($J$1,$M$1:$AAY$1000,668,0))</f>
        <v/>
      </c>
    </row>
    <row r="669" spans="1:10" x14ac:dyDescent="0.25">
      <c r="A669" s="4"/>
      <c r="C669" s="4"/>
      <c r="D669" s="4"/>
      <c r="E669" s="4"/>
      <c r="F669" s="49"/>
      <c r="J669" s="88" t="str">
        <f>IF($J$1="","",HLOOKUP($J$1,$M$1:$AAY$1000,669,0))</f>
        <v/>
      </c>
    </row>
    <row r="670" spans="1:10" x14ac:dyDescent="0.25">
      <c r="A670" s="4"/>
      <c r="C670" s="4"/>
      <c r="D670" s="4"/>
      <c r="E670" s="4"/>
      <c r="F670" s="49"/>
      <c r="J670" s="88" t="str">
        <f>IF($J$1="","",HLOOKUP($J$1,$M$1:$AAY$1000,670,0))</f>
        <v/>
      </c>
    </row>
    <row r="671" spans="1:10" x14ac:dyDescent="0.25">
      <c r="A671" s="4"/>
      <c r="C671" s="4"/>
      <c r="D671" s="4"/>
      <c r="E671" s="4"/>
      <c r="F671" s="49"/>
      <c r="J671" s="88" t="str">
        <f>IF($J$1="","",HLOOKUP($J$1,$M$1:$AAY$1000,671,0))</f>
        <v/>
      </c>
    </row>
    <row r="672" spans="1:10" x14ac:dyDescent="0.25">
      <c r="A672" s="4"/>
      <c r="C672" s="4"/>
      <c r="D672" s="4"/>
      <c r="E672" s="4"/>
      <c r="F672" s="49"/>
      <c r="J672" s="88" t="str">
        <f>IF($J$1="","",HLOOKUP($J$1,$M$1:$AAY$1000,672,0))</f>
        <v/>
      </c>
    </row>
    <row r="673" spans="1:10" x14ac:dyDescent="0.25">
      <c r="A673" s="4"/>
      <c r="C673" s="4"/>
      <c r="D673" s="4"/>
      <c r="E673" s="4"/>
      <c r="F673" s="49"/>
      <c r="J673" s="88" t="str">
        <f>IF($J$1="","",HLOOKUP($J$1,$M$1:$AAY$1000,673,0))</f>
        <v/>
      </c>
    </row>
    <row r="674" spans="1:10" x14ac:dyDescent="0.25">
      <c r="A674" s="4"/>
      <c r="C674" s="4"/>
      <c r="D674" s="4"/>
      <c r="E674" s="4"/>
      <c r="F674" s="49"/>
      <c r="J674" s="88" t="str">
        <f>IF($J$1="","",HLOOKUP($J$1,$M$1:$AAY$1000,674,0))</f>
        <v/>
      </c>
    </row>
    <row r="675" spans="1:10" x14ac:dyDescent="0.25">
      <c r="A675" s="4"/>
      <c r="C675" s="4"/>
      <c r="D675" s="4"/>
      <c r="E675" s="4"/>
      <c r="F675" s="49"/>
      <c r="J675" s="88" t="str">
        <f>IF($J$1="","",HLOOKUP($J$1,$M$1:$AAY$1000,675,0))</f>
        <v/>
      </c>
    </row>
    <row r="676" spans="1:10" x14ac:dyDescent="0.25">
      <c r="A676" s="4"/>
      <c r="C676" s="4"/>
      <c r="D676" s="4"/>
      <c r="E676" s="4"/>
      <c r="F676" s="49"/>
      <c r="J676" s="88" t="str">
        <f>IF($J$1="","",HLOOKUP($J$1,$M$1:$AAY$1000,676,0))</f>
        <v/>
      </c>
    </row>
    <row r="677" spans="1:10" x14ac:dyDescent="0.25">
      <c r="A677" s="4"/>
      <c r="C677" s="4"/>
      <c r="D677" s="4"/>
      <c r="E677" s="4"/>
      <c r="F677" s="49"/>
      <c r="J677" s="88" t="str">
        <f>IF($J$1="","",HLOOKUP($J$1,$M$1:$AAY$1000,677,0))</f>
        <v/>
      </c>
    </row>
    <row r="678" spans="1:10" x14ac:dyDescent="0.25">
      <c r="A678" s="4"/>
      <c r="C678" s="4"/>
      <c r="D678" s="4"/>
      <c r="E678" s="4"/>
      <c r="F678" s="49"/>
      <c r="J678" s="88" t="str">
        <f>IF($J$1="","",HLOOKUP($J$1,$M$1:$AAY$1000,678,0))</f>
        <v/>
      </c>
    </row>
    <row r="679" spans="1:10" x14ac:dyDescent="0.25">
      <c r="A679" s="4"/>
      <c r="C679" s="4"/>
      <c r="D679" s="4"/>
      <c r="E679" s="4"/>
      <c r="F679" s="49"/>
      <c r="J679" s="88" t="str">
        <f>IF($J$1="","",HLOOKUP($J$1,$M$1:$AAY$1000,679,0))</f>
        <v/>
      </c>
    </row>
    <row r="680" spans="1:10" x14ac:dyDescent="0.25">
      <c r="A680" s="4"/>
      <c r="C680" s="4"/>
      <c r="D680" s="4"/>
      <c r="E680" s="4"/>
      <c r="F680" s="49"/>
      <c r="J680" s="88" t="str">
        <f>IF($J$1="","",HLOOKUP($J$1,$M$1:$AAY$1000,680,0))</f>
        <v/>
      </c>
    </row>
    <row r="681" spans="1:10" x14ac:dyDescent="0.25">
      <c r="A681" s="4"/>
      <c r="C681" s="4"/>
      <c r="D681" s="4"/>
      <c r="E681" s="4"/>
      <c r="F681" s="49"/>
      <c r="J681" s="88" t="str">
        <f>IF($J$1="","",HLOOKUP($J$1,$M$1:$AAY$1000,681,0))</f>
        <v/>
      </c>
    </row>
    <row r="682" spans="1:10" x14ac:dyDescent="0.25">
      <c r="A682" s="4"/>
      <c r="C682" s="4"/>
      <c r="D682" s="4"/>
      <c r="E682" s="4"/>
      <c r="F682" s="49"/>
      <c r="J682" s="88" t="str">
        <f>IF($J$1="","",HLOOKUP($J$1,$M$1:$AAY$1000,682,0))</f>
        <v/>
      </c>
    </row>
    <row r="683" spans="1:10" x14ac:dyDescent="0.25">
      <c r="A683" s="4"/>
      <c r="C683" s="4"/>
      <c r="D683" s="4"/>
      <c r="E683" s="4"/>
      <c r="F683" s="49"/>
      <c r="J683" s="88" t="str">
        <f>IF($J$1="","",HLOOKUP($J$1,$M$1:$AAY$1000,683,0))</f>
        <v/>
      </c>
    </row>
    <row r="684" spans="1:10" x14ac:dyDescent="0.25">
      <c r="A684" s="4" t="str">
        <f>IF(Produits!A565="","",Produits!A565)</f>
        <v/>
      </c>
      <c r="B684" s="4" t="str">
        <f>IF(Produits!B565="","",Produits!B565)</f>
        <v/>
      </c>
      <c r="C684" s="4" t="str">
        <f>IF(Produits!C565="","",Produits!C565)</f>
        <v/>
      </c>
      <c r="D684" s="4" t="str">
        <f>IF(Produits!D565="","",Produits!D565)</f>
        <v/>
      </c>
      <c r="E684" s="4" t="str">
        <f>IF(Produits!E565="","",Produits!E565)</f>
        <v/>
      </c>
      <c r="F684" s="49" t="str">
        <f>IF(Produits!F565="","",Produits!F565)</f>
        <v/>
      </c>
      <c r="J684" s="88" t="str">
        <f>IF($J$1="","",HLOOKUP($J$1,$M$1:$AAY$1000,684,0))</f>
        <v/>
      </c>
    </row>
    <row r="685" spans="1:10" x14ac:dyDescent="0.25">
      <c r="A685" s="4" t="str">
        <f>IF(Produits!A566="","",Produits!A566)</f>
        <v/>
      </c>
      <c r="B685" s="4" t="str">
        <f>IF(Produits!B566="","",Produits!B566)</f>
        <v/>
      </c>
      <c r="C685" s="4" t="str">
        <f>IF(Produits!C566="","",Produits!C566)</f>
        <v/>
      </c>
      <c r="D685" s="4" t="str">
        <f>IF(Produits!D566="","",Produits!D566)</f>
        <v/>
      </c>
      <c r="E685" s="4" t="str">
        <f>IF(Produits!E566="","",Produits!E566)</f>
        <v/>
      </c>
      <c r="F685" s="49" t="str">
        <f>IF(Produits!F566="","",Produits!F566)</f>
        <v/>
      </c>
      <c r="J685" s="88" t="str">
        <f>IF($J$1="","",HLOOKUP($J$1,$M$1:$AAY$1000,685,0))</f>
        <v/>
      </c>
    </row>
    <row r="686" spans="1:10" x14ac:dyDescent="0.25">
      <c r="A686" s="4" t="str">
        <f>IF(Produits!A567="","",Produits!A567)</f>
        <v/>
      </c>
      <c r="B686" s="4" t="str">
        <f>IF(Produits!B567="","",Produits!B567)</f>
        <v/>
      </c>
      <c r="C686" s="4" t="str">
        <f>IF(Produits!C567="","",Produits!C567)</f>
        <v/>
      </c>
      <c r="D686" s="4" t="str">
        <f>IF(Produits!D567="","",Produits!D567)</f>
        <v/>
      </c>
      <c r="E686" s="4" t="str">
        <f>IF(Produits!E567="","",Produits!E567)</f>
        <v/>
      </c>
      <c r="F686" s="49" t="str">
        <f>IF(Produits!F567="","",Produits!F567)</f>
        <v/>
      </c>
      <c r="J686" s="88" t="str">
        <f>IF($J$1="","",HLOOKUP($J$1,$M$1:$AAY$1000,686,0))</f>
        <v/>
      </c>
    </row>
    <row r="687" spans="1:10" x14ac:dyDescent="0.25">
      <c r="A687" s="4" t="str">
        <f>IF(Produits!A568="","",Produits!A568)</f>
        <v/>
      </c>
      <c r="B687" s="4" t="str">
        <f>IF(Produits!B568="","",Produits!B568)</f>
        <v/>
      </c>
      <c r="C687" s="4" t="str">
        <f>IF(Produits!C568="","",Produits!C568)</f>
        <v/>
      </c>
      <c r="D687" s="4" t="str">
        <f>IF(Produits!D568="","",Produits!D568)</f>
        <v/>
      </c>
      <c r="E687" s="4" t="str">
        <f>IF(Produits!E568="","",Produits!E568)</f>
        <v/>
      </c>
      <c r="F687" s="49" t="str">
        <f>IF(Produits!F568="","",Produits!F568)</f>
        <v/>
      </c>
      <c r="J687" s="88" t="str">
        <f>IF($J$1="","",HLOOKUP($J$1,$M$1:$AAY$1000,687,0))</f>
        <v/>
      </c>
    </row>
    <row r="688" spans="1:10" x14ac:dyDescent="0.25">
      <c r="A688" s="4" t="str">
        <f>IF(Produits!A569="","",Produits!A569)</f>
        <v/>
      </c>
      <c r="B688" s="4" t="str">
        <f>IF(Produits!B569="","",Produits!B569)</f>
        <v/>
      </c>
      <c r="C688" s="4" t="str">
        <f>IF(Produits!C569="","",Produits!C569)</f>
        <v/>
      </c>
      <c r="D688" s="4" t="str">
        <f>IF(Produits!D569="","",Produits!D569)</f>
        <v/>
      </c>
      <c r="E688" s="4" t="str">
        <f>IF(Produits!E569="","",Produits!E569)</f>
        <v/>
      </c>
      <c r="F688" s="49" t="str">
        <f>IF(Produits!F569="","",Produits!F569)</f>
        <v/>
      </c>
      <c r="J688" s="88" t="str">
        <f>IF($J$1="","",HLOOKUP($J$1,$M$1:$AAY$1000,688,0))</f>
        <v/>
      </c>
    </row>
    <row r="689" spans="1:10" x14ac:dyDescent="0.25">
      <c r="A689" s="4" t="str">
        <f>IF(Produits!A570="","",Produits!A570)</f>
        <v/>
      </c>
      <c r="B689" s="4" t="str">
        <f>IF(Produits!B570="","",Produits!B570)</f>
        <v/>
      </c>
      <c r="C689" s="4" t="str">
        <f>IF(Produits!C570="","",Produits!C570)</f>
        <v/>
      </c>
      <c r="D689" s="4" t="str">
        <f>IF(Produits!D570="","",Produits!D570)</f>
        <v/>
      </c>
      <c r="E689" s="4" t="str">
        <f>IF(Produits!E570="","",Produits!E570)</f>
        <v/>
      </c>
      <c r="F689" s="49" t="str">
        <f>IF(Produits!F570="","",Produits!F570)</f>
        <v/>
      </c>
      <c r="J689" s="88" t="str">
        <f>IF($J$1="","",HLOOKUP($J$1,$M$1:$AAY$1000,689,0))</f>
        <v/>
      </c>
    </row>
    <row r="690" spans="1:10" x14ac:dyDescent="0.25">
      <c r="A690" s="4" t="str">
        <f>IF(Produits!A571="","",Produits!A571)</f>
        <v/>
      </c>
      <c r="B690" s="4" t="str">
        <f>IF(Produits!B571="","",Produits!B571)</f>
        <v/>
      </c>
      <c r="C690" s="4" t="str">
        <f>IF(Produits!C571="","",Produits!C571)</f>
        <v/>
      </c>
      <c r="D690" s="4" t="str">
        <f>IF(Produits!D571="","",Produits!D571)</f>
        <v/>
      </c>
      <c r="E690" s="4" t="str">
        <f>IF(Produits!E571="","",Produits!E571)</f>
        <v/>
      </c>
      <c r="F690" s="49" t="str">
        <f>IF(Produits!F571="","",Produits!F571)</f>
        <v/>
      </c>
      <c r="J690" s="88" t="str">
        <f>IF($J$1="","",HLOOKUP($J$1,$M$1:$AAY$1000,690,0))</f>
        <v/>
      </c>
    </row>
    <row r="691" spans="1:10" x14ac:dyDescent="0.25">
      <c r="A691" s="4" t="str">
        <f>IF(Produits!A572="","",Produits!A572)</f>
        <v/>
      </c>
      <c r="B691" s="4" t="str">
        <f>IF(Produits!B572="","",Produits!B572)</f>
        <v/>
      </c>
      <c r="C691" s="4" t="str">
        <f>IF(Produits!C572="","",Produits!C572)</f>
        <v/>
      </c>
      <c r="D691" s="4" t="str">
        <f>IF(Produits!D572="","",Produits!D572)</f>
        <v/>
      </c>
      <c r="E691" s="4" t="str">
        <f>IF(Produits!E572="","",Produits!E572)</f>
        <v/>
      </c>
      <c r="F691" s="49" t="str">
        <f>IF(Produits!F572="","",Produits!F572)</f>
        <v/>
      </c>
      <c r="J691" s="88" t="str">
        <f>IF($J$1="","",HLOOKUP($J$1,$M$1:$AAY$1000,691,0))</f>
        <v/>
      </c>
    </row>
    <row r="692" spans="1:10" x14ac:dyDescent="0.25">
      <c r="A692" s="4" t="str">
        <f>IF(Produits!A573="","",Produits!A573)</f>
        <v/>
      </c>
      <c r="B692" s="4" t="str">
        <f>IF(Produits!B573="","",Produits!B573)</f>
        <v/>
      </c>
      <c r="C692" s="4" t="str">
        <f>IF(Produits!C573="","",Produits!C573)</f>
        <v/>
      </c>
      <c r="D692" s="4" t="str">
        <f>IF(Produits!D573="","",Produits!D573)</f>
        <v/>
      </c>
      <c r="E692" s="4" t="str">
        <f>IF(Produits!E573="","",Produits!E573)</f>
        <v/>
      </c>
      <c r="F692" s="49" t="str">
        <f>IF(Produits!F573="","",Produits!F573)</f>
        <v/>
      </c>
      <c r="J692" s="88" t="str">
        <f>IF($J$1="","",HLOOKUP($J$1,$M$1:$AAY$1000,692,0))</f>
        <v/>
      </c>
    </row>
    <row r="693" spans="1:10" x14ac:dyDescent="0.25">
      <c r="A693" s="4" t="str">
        <f>IF(Produits!A574="","",Produits!A574)</f>
        <v/>
      </c>
      <c r="B693" s="4" t="str">
        <f>IF(Produits!B574="","",Produits!B574)</f>
        <v/>
      </c>
      <c r="C693" s="4" t="str">
        <f>IF(Produits!C574="","",Produits!C574)</f>
        <v/>
      </c>
      <c r="D693" s="4" t="str">
        <f>IF(Produits!D574="","",Produits!D574)</f>
        <v/>
      </c>
      <c r="E693" s="4" t="str">
        <f>IF(Produits!E574="","",Produits!E574)</f>
        <v/>
      </c>
      <c r="F693" s="49" t="str">
        <f>IF(Produits!F574="","",Produits!F574)</f>
        <v/>
      </c>
      <c r="J693" s="88" t="str">
        <f>IF($J$1="","",HLOOKUP($J$1,$M$1:$AAY$1000,693,0))</f>
        <v/>
      </c>
    </row>
    <row r="694" spans="1:10" x14ac:dyDescent="0.25">
      <c r="A694" s="4" t="str">
        <f>IF(Produits!A575="","",Produits!A575)</f>
        <v/>
      </c>
      <c r="B694" s="4" t="str">
        <f>IF(Produits!B575="","",Produits!B575)</f>
        <v/>
      </c>
      <c r="C694" s="4" t="str">
        <f>IF(Produits!C575="","",Produits!C575)</f>
        <v/>
      </c>
      <c r="D694" s="4" t="str">
        <f>IF(Produits!D575="","",Produits!D575)</f>
        <v/>
      </c>
      <c r="E694" s="4" t="str">
        <f>IF(Produits!E575="","",Produits!E575)</f>
        <v/>
      </c>
      <c r="F694" s="49" t="str">
        <f>IF(Produits!F575="","",Produits!F575)</f>
        <v/>
      </c>
      <c r="J694" s="88" t="str">
        <f>IF($J$1="","",HLOOKUP($J$1,$M$1:$AAY$1000,694,0))</f>
        <v/>
      </c>
    </row>
    <row r="695" spans="1:10" x14ac:dyDescent="0.25">
      <c r="A695" s="4" t="str">
        <f>IF(Produits!A576="","",Produits!A576)</f>
        <v/>
      </c>
      <c r="B695" s="4" t="str">
        <f>IF(Produits!B576="","",Produits!B576)</f>
        <v/>
      </c>
      <c r="C695" s="4" t="str">
        <f>IF(Produits!C576="","",Produits!C576)</f>
        <v/>
      </c>
      <c r="D695" s="4" t="str">
        <f>IF(Produits!D576="","",Produits!D576)</f>
        <v/>
      </c>
      <c r="E695" s="4" t="str">
        <f>IF(Produits!E576="","",Produits!E576)</f>
        <v/>
      </c>
      <c r="F695" s="49" t="str">
        <f>IF(Produits!F576="","",Produits!F576)</f>
        <v/>
      </c>
      <c r="J695" s="88" t="str">
        <f>IF($J$1="","",HLOOKUP($J$1,$M$1:$AAY$1000,695,0))</f>
        <v/>
      </c>
    </row>
    <row r="696" spans="1:10" x14ac:dyDescent="0.25">
      <c r="A696" s="4" t="str">
        <f>IF(Produits!A577="","",Produits!A577)</f>
        <v/>
      </c>
      <c r="B696" s="4" t="str">
        <f>IF(Produits!B577="","",Produits!B577)</f>
        <v/>
      </c>
      <c r="C696" s="4" t="str">
        <f>IF(Produits!C577="","",Produits!C577)</f>
        <v/>
      </c>
      <c r="D696" s="4" t="str">
        <f>IF(Produits!D577="","",Produits!D577)</f>
        <v/>
      </c>
      <c r="E696" s="4" t="str">
        <f>IF(Produits!E577="","",Produits!E577)</f>
        <v/>
      </c>
      <c r="F696" s="49" t="str">
        <f>IF(Produits!F577="","",Produits!F577)</f>
        <v/>
      </c>
      <c r="J696" s="88" t="str">
        <f>IF($J$1="","",HLOOKUP($J$1,$M$1:$AAY$1000,696,0))</f>
        <v/>
      </c>
    </row>
    <row r="697" spans="1:10" x14ac:dyDescent="0.25">
      <c r="A697" s="4" t="str">
        <f>IF(Produits!A578="","",Produits!A578)</f>
        <v/>
      </c>
      <c r="B697" s="4" t="str">
        <f>IF(Produits!B578="","",Produits!B578)</f>
        <v/>
      </c>
      <c r="C697" s="4" t="str">
        <f>IF(Produits!C578="","",Produits!C578)</f>
        <v/>
      </c>
      <c r="D697" s="4" t="str">
        <f>IF(Produits!D578="","",Produits!D578)</f>
        <v/>
      </c>
      <c r="E697" s="4" t="str">
        <f>IF(Produits!E578="","",Produits!E578)</f>
        <v/>
      </c>
      <c r="F697" s="49" t="str">
        <f>IF(Produits!F578="","",Produits!F578)</f>
        <v/>
      </c>
      <c r="J697" s="88" t="str">
        <f>IF($J$1="","",HLOOKUP($J$1,$M$1:$AAY$1000,697,0))</f>
        <v/>
      </c>
    </row>
    <row r="698" spans="1:10" x14ac:dyDescent="0.25">
      <c r="A698" s="4" t="str">
        <f>IF(Produits!A579="","",Produits!A579)</f>
        <v/>
      </c>
      <c r="B698" s="4" t="str">
        <f>IF(Produits!B579="","",Produits!B579)</f>
        <v/>
      </c>
      <c r="C698" s="4" t="str">
        <f>IF(Produits!C579="","",Produits!C579)</f>
        <v/>
      </c>
      <c r="D698" s="4" t="str">
        <f>IF(Produits!D579="","",Produits!D579)</f>
        <v/>
      </c>
      <c r="E698" s="4" t="str">
        <f>IF(Produits!E579="","",Produits!E579)</f>
        <v/>
      </c>
      <c r="F698" s="49" t="str">
        <f>IF(Produits!F579="","",Produits!F579)</f>
        <v/>
      </c>
      <c r="J698" s="88" t="str">
        <f>IF($J$1="","",HLOOKUP($J$1,$M$1:$AAY$1000,698,0))</f>
        <v/>
      </c>
    </row>
    <row r="699" spans="1:10" x14ac:dyDescent="0.25">
      <c r="A699" s="4" t="str">
        <f>IF(Produits!A580="","",Produits!A580)</f>
        <v/>
      </c>
      <c r="B699" s="4" t="str">
        <f>IF(Produits!B580="","",Produits!B580)</f>
        <v/>
      </c>
      <c r="C699" s="4" t="str">
        <f>IF(Produits!C580="","",Produits!C580)</f>
        <v/>
      </c>
      <c r="D699" s="4" t="str">
        <f>IF(Produits!D580="","",Produits!D580)</f>
        <v/>
      </c>
      <c r="E699" s="4" t="str">
        <f>IF(Produits!E580="","",Produits!E580)</f>
        <v/>
      </c>
      <c r="F699" s="49" t="str">
        <f>IF(Produits!F580="","",Produits!F580)</f>
        <v/>
      </c>
      <c r="J699" s="88" t="str">
        <f>IF($J$1="","",HLOOKUP($J$1,$M$1:$AAY$1000,699,0))</f>
        <v/>
      </c>
    </row>
    <row r="700" spans="1:10" x14ac:dyDescent="0.25">
      <c r="A700" s="4" t="str">
        <f>IF(Produits!A581="","",Produits!A581)</f>
        <v/>
      </c>
      <c r="B700" s="4" t="str">
        <f>IF(Produits!B581="","",Produits!B581)</f>
        <v/>
      </c>
      <c r="C700" s="4" t="str">
        <f>IF(Produits!C581="","",Produits!C581)</f>
        <v/>
      </c>
      <c r="D700" s="4" t="str">
        <f>IF(Produits!D581="","",Produits!D581)</f>
        <v/>
      </c>
      <c r="E700" s="4" t="str">
        <f>IF(Produits!E581="","",Produits!E581)</f>
        <v/>
      </c>
      <c r="F700" s="49" t="str">
        <f>IF(Produits!F581="","",Produits!F581)</f>
        <v/>
      </c>
      <c r="J700" s="88" t="str">
        <f>IF($J$1="","",HLOOKUP($J$1,$M$1:$AAY$1000,700,0))</f>
        <v/>
      </c>
    </row>
    <row r="701" spans="1:10" x14ac:dyDescent="0.25">
      <c r="A701" s="4" t="str">
        <f>IF(Produits!A582="","",Produits!A582)</f>
        <v/>
      </c>
      <c r="B701" s="4" t="str">
        <f>IF(Produits!B582="","",Produits!B582)</f>
        <v/>
      </c>
      <c r="C701" s="4" t="str">
        <f>IF(Produits!C582="","",Produits!C582)</f>
        <v/>
      </c>
      <c r="D701" s="4" t="str">
        <f>IF(Produits!D582="","",Produits!D582)</f>
        <v/>
      </c>
      <c r="E701" s="4" t="str">
        <f>IF(Produits!E582="","",Produits!E582)</f>
        <v/>
      </c>
      <c r="F701" s="49" t="str">
        <f>IF(Produits!F582="","",Produits!F582)</f>
        <v/>
      </c>
      <c r="J701" s="88" t="str">
        <f>IF($J$1="","",HLOOKUP($J$1,$M$1:$AAY$1000,701,0))</f>
        <v/>
      </c>
    </row>
    <row r="702" spans="1:10" x14ac:dyDescent="0.25">
      <c r="A702" s="4" t="str">
        <f>IF(Produits!A583="","",Produits!A583)</f>
        <v/>
      </c>
      <c r="B702" s="4" t="str">
        <f>IF(Produits!B583="","",Produits!B583)</f>
        <v/>
      </c>
      <c r="C702" s="4" t="str">
        <f>IF(Produits!C583="","",Produits!C583)</f>
        <v/>
      </c>
      <c r="D702" s="4" t="str">
        <f>IF(Produits!D583="","",Produits!D583)</f>
        <v/>
      </c>
      <c r="E702" s="4" t="str">
        <f>IF(Produits!E583="","",Produits!E583)</f>
        <v/>
      </c>
      <c r="F702" s="49" t="str">
        <f>IF(Produits!F583="","",Produits!F583)</f>
        <v/>
      </c>
      <c r="J702" s="88" t="str">
        <f>IF($J$1="","",HLOOKUP($J$1,$M$1:$AAY$1000,702,0))</f>
        <v/>
      </c>
    </row>
    <row r="703" spans="1:10" x14ac:dyDescent="0.25">
      <c r="A703" s="4" t="str">
        <f>IF(Produits!A584="","",Produits!A584)</f>
        <v/>
      </c>
      <c r="B703" s="4" t="str">
        <f>IF(Produits!B584="","",Produits!B584)</f>
        <v/>
      </c>
      <c r="C703" s="4" t="str">
        <f>IF(Produits!C584="","",Produits!C584)</f>
        <v/>
      </c>
      <c r="D703" s="4" t="str">
        <f>IF(Produits!D584="","",Produits!D584)</f>
        <v/>
      </c>
      <c r="E703" s="4" t="str">
        <f>IF(Produits!E584="","",Produits!E584)</f>
        <v/>
      </c>
      <c r="F703" s="49" t="str">
        <f>IF(Produits!F584="","",Produits!F584)</f>
        <v/>
      </c>
      <c r="J703" s="88" t="str">
        <f>IF($J$1="","",HLOOKUP($J$1,$M$1:$AAY$1000,703,0))</f>
        <v/>
      </c>
    </row>
    <row r="704" spans="1:10" x14ac:dyDescent="0.25">
      <c r="A704" s="4" t="str">
        <f>IF(Produits!A585="","",Produits!A585)</f>
        <v/>
      </c>
      <c r="B704" s="4" t="str">
        <f>IF(Produits!B585="","",Produits!B585)</f>
        <v/>
      </c>
      <c r="C704" s="4" t="str">
        <f>IF(Produits!C585="","",Produits!C585)</f>
        <v/>
      </c>
      <c r="D704" s="4" t="str">
        <f>IF(Produits!D585="","",Produits!D585)</f>
        <v/>
      </c>
      <c r="E704" s="4" t="str">
        <f>IF(Produits!E585="","",Produits!E585)</f>
        <v/>
      </c>
      <c r="F704" s="49" t="str">
        <f>IF(Produits!F585="","",Produits!F585)</f>
        <v/>
      </c>
      <c r="J704" s="88" t="str">
        <f>IF($J$1="","",HLOOKUP($J$1,$M$1:$AAY$1000,704,0))</f>
        <v/>
      </c>
    </row>
    <row r="705" spans="1:10" x14ac:dyDescent="0.25">
      <c r="A705" s="4" t="str">
        <f>IF(Produits!A586="","",Produits!A586)</f>
        <v/>
      </c>
      <c r="B705" s="4" t="str">
        <f>IF(Produits!B586="","",Produits!B586)</f>
        <v/>
      </c>
      <c r="C705" s="4" t="str">
        <f>IF(Produits!C586="","",Produits!C586)</f>
        <v/>
      </c>
      <c r="D705" s="4" t="str">
        <f>IF(Produits!D586="","",Produits!D586)</f>
        <v/>
      </c>
      <c r="E705" s="4" t="str">
        <f>IF(Produits!E586="","",Produits!E586)</f>
        <v/>
      </c>
      <c r="F705" s="49" t="str">
        <f>IF(Produits!F586="","",Produits!F586)</f>
        <v/>
      </c>
      <c r="J705" s="88" t="str">
        <f>IF($J$1="","",HLOOKUP($J$1,$M$1:$AAY$1000,705,0))</f>
        <v/>
      </c>
    </row>
    <row r="706" spans="1:10" x14ac:dyDescent="0.25">
      <c r="A706" s="4" t="str">
        <f>IF(Produits!A587="","",Produits!A587)</f>
        <v/>
      </c>
      <c r="B706" s="4" t="str">
        <f>IF(Produits!B587="","",Produits!B587)</f>
        <v/>
      </c>
      <c r="C706" s="4" t="str">
        <f>IF(Produits!C587="","",Produits!C587)</f>
        <v/>
      </c>
      <c r="D706" s="4" t="str">
        <f>IF(Produits!D587="","",Produits!D587)</f>
        <v/>
      </c>
      <c r="E706" s="4" t="str">
        <f>IF(Produits!E587="","",Produits!E587)</f>
        <v/>
      </c>
      <c r="F706" s="49" t="str">
        <f>IF(Produits!F587="","",Produits!F587)</f>
        <v/>
      </c>
      <c r="J706" s="88" t="str">
        <f>IF($J$1="","",HLOOKUP($J$1,$M$1:$AAY$1000,706,0))</f>
        <v/>
      </c>
    </row>
    <row r="707" spans="1:10" x14ac:dyDescent="0.25">
      <c r="A707" s="4" t="str">
        <f>IF(Produits!A588="","",Produits!A588)</f>
        <v/>
      </c>
      <c r="B707" s="4" t="str">
        <f>IF(Produits!B588="","",Produits!B588)</f>
        <v/>
      </c>
      <c r="C707" s="4" t="str">
        <f>IF(Produits!C588="","",Produits!C588)</f>
        <v/>
      </c>
      <c r="D707" s="4" t="str">
        <f>IF(Produits!D588="","",Produits!D588)</f>
        <v/>
      </c>
      <c r="E707" s="4" t="str">
        <f>IF(Produits!E588="","",Produits!E588)</f>
        <v/>
      </c>
      <c r="F707" s="49" t="str">
        <f>IF(Produits!F588="","",Produits!F588)</f>
        <v/>
      </c>
      <c r="J707" s="88" t="str">
        <f>IF($J$1="","",HLOOKUP($J$1,$M$1:$AAY$1000,707,0))</f>
        <v/>
      </c>
    </row>
    <row r="708" spans="1:10" x14ac:dyDescent="0.25">
      <c r="A708" s="4" t="str">
        <f>IF(Produits!A589="","",Produits!A589)</f>
        <v/>
      </c>
      <c r="B708" s="4" t="str">
        <f>IF(Produits!B589="","",Produits!B589)</f>
        <v/>
      </c>
      <c r="C708" s="4" t="str">
        <f>IF(Produits!C589="","",Produits!C589)</f>
        <v/>
      </c>
      <c r="D708" s="4" t="str">
        <f>IF(Produits!D589="","",Produits!D589)</f>
        <v/>
      </c>
      <c r="E708" s="4" t="str">
        <f>IF(Produits!E589="","",Produits!E589)</f>
        <v/>
      </c>
      <c r="F708" s="49" t="str">
        <f>IF(Produits!F589="","",Produits!F589)</f>
        <v/>
      </c>
      <c r="J708" s="88" t="str">
        <f>IF($J$1="","",HLOOKUP($J$1,$M$1:$AAY$1000,708,0))</f>
        <v/>
      </c>
    </row>
    <row r="709" spans="1:10" x14ac:dyDescent="0.25">
      <c r="A709" s="4" t="str">
        <f>IF(Produits!A590="","",Produits!A590)</f>
        <v/>
      </c>
      <c r="B709" s="4" t="str">
        <f>IF(Produits!B590="","",Produits!B590)</f>
        <v/>
      </c>
      <c r="C709" s="4" t="str">
        <f>IF(Produits!C590="","",Produits!C590)</f>
        <v/>
      </c>
      <c r="D709" s="4" t="str">
        <f>IF(Produits!D590="","",Produits!D590)</f>
        <v/>
      </c>
      <c r="E709" s="4" t="str">
        <f>IF(Produits!E590="","",Produits!E590)</f>
        <v/>
      </c>
      <c r="F709" s="49" t="str">
        <f>IF(Produits!F590="","",Produits!F590)</f>
        <v/>
      </c>
      <c r="J709" s="88" t="str">
        <f>IF($J$1="","",HLOOKUP($J$1,$M$1:$AAY$1000,709,0))</f>
        <v/>
      </c>
    </row>
    <row r="710" spans="1:10" x14ac:dyDescent="0.25">
      <c r="A710" s="4" t="str">
        <f>IF(Produits!A591="","",Produits!A591)</f>
        <v/>
      </c>
      <c r="B710" s="4" t="str">
        <f>IF(Produits!B591="","",Produits!B591)</f>
        <v/>
      </c>
      <c r="C710" s="4" t="str">
        <f>IF(Produits!C591="","",Produits!C591)</f>
        <v/>
      </c>
      <c r="D710" s="4" t="str">
        <f>IF(Produits!D591="","",Produits!D591)</f>
        <v/>
      </c>
      <c r="E710" s="4" t="str">
        <f>IF(Produits!E591="","",Produits!E591)</f>
        <v/>
      </c>
      <c r="F710" s="49" t="str">
        <f>IF(Produits!F591="","",Produits!F591)</f>
        <v/>
      </c>
      <c r="J710" s="88" t="str">
        <f>IF($J$1="","",HLOOKUP($J$1,$M$1:$AAY$1000,710,0))</f>
        <v/>
      </c>
    </row>
    <row r="711" spans="1:10" x14ac:dyDescent="0.25">
      <c r="A711" s="4" t="str">
        <f>IF(Produits!A592="","",Produits!A592)</f>
        <v/>
      </c>
      <c r="B711" s="4" t="str">
        <f>IF(Produits!B592="","",Produits!B592)</f>
        <v/>
      </c>
      <c r="C711" s="4" t="str">
        <f>IF(Produits!C592="","",Produits!C592)</f>
        <v/>
      </c>
      <c r="D711" s="4" t="str">
        <f>IF(Produits!D592="","",Produits!D592)</f>
        <v/>
      </c>
      <c r="E711" s="4" t="str">
        <f>IF(Produits!E592="","",Produits!E592)</f>
        <v/>
      </c>
      <c r="F711" s="49" t="str">
        <f>IF(Produits!F592="","",Produits!F592)</f>
        <v/>
      </c>
      <c r="J711" s="88" t="str">
        <f>IF($J$1="","",HLOOKUP($J$1,$M$1:$AAY$1000,711,0))</f>
        <v/>
      </c>
    </row>
    <row r="712" spans="1:10" x14ac:dyDescent="0.25">
      <c r="A712" s="4" t="str">
        <f>IF(Produits!A593="","",Produits!A593)</f>
        <v/>
      </c>
      <c r="B712" s="4" t="str">
        <f>IF(Produits!B593="","",Produits!B593)</f>
        <v/>
      </c>
      <c r="C712" s="4" t="str">
        <f>IF(Produits!C593="","",Produits!C593)</f>
        <v/>
      </c>
      <c r="D712" s="4" t="str">
        <f>IF(Produits!D593="","",Produits!D593)</f>
        <v/>
      </c>
      <c r="E712" s="4" t="str">
        <f>IF(Produits!E593="","",Produits!E593)</f>
        <v/>
      </c>
      <c r="F712" s="49" t="str">
        <f>IF(Produits!F593="","",Produits!F593)</f>
        <v/>
      </c>
      <c r="J712" s="88" t="str">
        <f>IF($J$1="","",HLOOKUP($J$1,$M$1:$AAY$1000,712,0))</f>
        <v/>
      </c>
    </row>
    <row r="713" spans="1:10" x14ac:dyDescent="0.25">
      <c r="A713" s="4" t="str">
        <f>IF(Produits!A594="","",Produits!A594)</f>
        <v/>
      </c>
      <c r="B713" s="4" t="str">
        <f>IF(Produits!B594="","",Produits!B594)</f>
        <v/>
      </c>
      <c r="C713" s="4" t="str">
        <f>IF(Produits!C594="","",Produits!C594)</f>
        <v/>
      </c>
      <c r="D713" s="4" t="str">
        <f>IF(Produits!D594="","",Produits!D594)</f>
        <v/>
      </c>
      <c r="E713" s="4" t="str">
        <f>IF(Produits!E594="","",Produits!E594)</f>
        <v/>
      </c>
      <c r="F713" s="49" t="str">
        <f>IF(Produits!F594="","",Produits!F594)</f>
        <v/>
      </c>
      <c r="J713" s="88" t="str">
        <f>IF($J$1="","",HLOOKUP($J$1,$M$1:$AAY$1000,713,0))</f>
        <v/>
      </c>
    </row>
    <row r="714" spans="1:10" x14ac:dyDescent="0.25">
      <c r="A714" s="4" t="str">
        <f>IF(Produits!A595="","",Produits!A595)</f>
        <v/>
      </c>
      <c r="B714" s="4" t="str">
        <f>IF(Produits!B595="","",Produits!B595)</f>
        <v/>
      </c>
      <c r="C714" s="4" t="str">
        <f>IF(Produits!C595="","",Produits!C595)</f>
        <v/>
      </c>
      <c r="D714" s="4" t="str">
        <f>IF(Produits!D595="","",Produits!D595)</f>
        <v/>
      </c>
      <c r="E714" s="4" t="str">
        <f>IF(Produits!E595="","",Produits!E595)</f>
        <v/>
      </c>
      <c r="F714" s="49" t="str">
        <f>IF(Produits!F595="","",Produits!F595)</f>
        <v/>
      </c>
      <c r="J714" s="88" t="str">
        <f>IF($J$1="","",HLOOKUP($J$1,$M$1:$AAY$1000,714,0))</f>
        <v/>
      </c>
    </row>
    <row r="715" spans="1:10" x14ac:dyDescent="0.25">
      <c r="A715" s="4" t="str">
        <f>IF(Produits!A596="","",Produits!A596)</f>
        <v/>
      </c>
      <c r="B715" s="4" t="str">
        <f>IF(Produits!B596="","",Produits!B596)</f>
        <v/>
      </c>
      <c r="C715" s="4" t="str">
        <f>IF(Produits!C596="","",Produits!C596)</f>
        <v/>
      </c>
      <c r="D715" s="4" t="str">
        <f>IF(Produits!D596="","",Produits!D596)</f>
        <v/>
      </c>
      <c r="E715" s="4" t="str">
        <f>IF(Produits!E596="","",Produits!E596)</f>
        <v/>
      </c>
      <c r="F715" s="49" t="str">
        <f>IF(Produits!F596="","",Produits!F596)</f>
        <v/>
      </c>
      <c r="J715" s="88" t="str">
        <f>IF($J$1="","",HLOOKUP($J$1,$M$1:$AAY$1000,715,0))</f>
        <v/>
      </c>
    </row>
    <row r="716" spans="1:10" x14ac:dyDescent="0.25">
      <c r="A716" s="4" t="str">
        <f>IF(Produits!A597="","",Produits!A597)</f>
        <v/>
      </c>
      <c r="B716" s="4" t="str">
        <f>IF(Produits!B597="","",Produits!B597)</f>
        <v/>
      </c>
      <c r="C716" s="4" t="str">
        <f>IF(Produits!C597="","",Produits!C597)</f>
        <v/>
      </c>
      <c r="D716" s="4" t="str">
        <f>IF(Produits!D597="","",Produits!D597)</f>
        <v/>
      </c>
      <c r="E716" s="4" t="str">
        <f>IF(Produits!E597="","",Produits!E597)</f>
        <v/>
      </c>
      <c r="F716" s="49" t="str">
        <f>IF(Produits!F597="","",Produits!F597)</f>
        <v/>
      </c>
      <c r="J716" s="88" t="str">
        <f>IF($J$1="","",HLOOKUP($J$1,$M$1:$AAY$1000,716,0))</f>
        <v/>
      </c>
    </row>
    <row r="717" spans="1:10" x14ac:dyDescent="0.25">
      <c r="A717" s="4" t="str">
        <f>IF(Produits!A598="","",Produits!A598)</f>
        <v/>
      </c>
      <c r="B717" s="4" t="str">
        <f>IF(Produits!B598="","",Produits!B598)</f>
        <v/>
      </c>
      <c r="C717" s="4" t="str">
        <f>IF(Produits!C598="","",Produits!C598)</f>
        <v/>
      </c>
      <c r="D717" s="4" t="str">
        <f>IF(Produits!D598="","",Produits!D598)</f>
        <v/>
      </c>
      <c r="E717" s="4" t="str">
        <f>IF(Produits!E598="","",Produits!E598)</f>
        <v/>
      </c>
      <c r="F717" s="49" t="str">
        <f>IF(Produits!F598="","",Produits!F598)</f>
        <v/>
      </c>
      <c r="J717" s="88" t="str">
        <f>IF($J$1="","",HLOOKUP($J$1,$M$1:$AAY$1000,717,0))</f>
        <v/>
      </c>
    </row>
    <row r="718" spans="1:10" x14ac:dyDescent="0.25">
      <c r="A718" s="4" t="str">
        <f>IF(Produits!A599="","",Produits!A599)</f>
        <v/>
      </c>
      <c r="B718" s="4" t="str">
        <f>IF(Produits!B599="","",Produits!B599)</f>
        <v/>
      </c>
      <c r="C718" s="4" t="str">
        <f>IF(Produits!C599="","",Produits!C599)</f>
        <v/>
      </c>
      <c r="D718" s="4" t="str">
        <f>IF(Produits!D599="","",Produits!D599)</f>
        <v/>
      </c>
      <c r="E718" s="4" t="str">
        <f>IF(Produits!E599="","",Produits!E599)</f>
        <v/>
      </c>
      <c r="F718" s="49" t="str">
        <f>IF(Produits!F599="","",Produits!F599)</f>
        <v/>
      </c>
      <c r="J718" s="88" t="str">
        <f>IF($J$1="","",HLOOKUP($J$1,$M$1:$AAY$1000,718,0))</f>
        <v/>
      </c>
    </row>
    <row r="719" spans="1:10" x14ac:dyDescent="0.25">
      <c r="A719" s="4" t="str">
        <f>IF(Produits!A600="","",Produits!A600)</f>
        <v/>
      </c>
      <c r="B719" s="4" t="str">
        <f>IF(Produits!B600="","",Produits!B600)</f>
        <v/>
      </c>
      <c r="C719" s="4" t="str">
        <f>IF(Produits!C600="","",Produits!C600)</f>
        <v/>
      </c>
      <c r="D719" s="4" t="str">
        <f>IF(Produits!D600="","",Produits!D600)</f>
        <v/>
      </c>
      <c r="E719" s="4" t="str">
        <f>IF(Produits!E600="","",Produits!E600)</f>
        <v/>
      </c>
      <c r="F719" s="49" t="str">
        <f>IF(Produits!F600="","",Produits!F600)</f>
        <v/>
      </c>
      <c r="J719" s="88" t="str">
        <f>IF($J$1="","",HLOOKUP($J$1,$M$1:$AAY$1000,719,0))</f>
        <v/>
      </c>
    </row>
    <row r="720" spans="1:10" x14ac:dyDescent="0.25">
      <c r="A720" s="4" t="str">
        <f>IF(Produits!A601="","",Produits!A601)</f>
        <v/>
      </c>
      <c r="B720" s="4" t="str">
        <f>IF(Produits!B601="","",Produits!B601)</f>
        <v/>
      </c>
      <c r="C720" s="4" t="str">
        <f>IF(Produits!C601="","",Produits!C601)</f>
        <v/>
      </c>
      <c r="D720" s="4" t="str">
        <f>IF(Produits!D601="","",Produits!D601)</f>
        <v/>
      </c>
      <c r="E720" s="4" t="str">
        <f>IF(Produits!E601="","",Produits!E601)</f>
        <v/>
      </c>
      <c r="F720" s="49" t="str">
        <f>IF(Produits!F601="","",Produits!F601)</f>
        <v/>
      </c>
      <c r="J720" s="88" t="str">
        <f>IF($J$1="","",HLOOKUP($J$1,$M$1:$AAY$1000,720,0))</f>
        <v/>
      </c>
    </row>
    <row r="721" spans="1:10" x14ac:dyDescent="0.25">
      <c r="A721" s="4" t="str">
        <f>IF(Produits!A602="","",Produits!A602)</f>
        <v/>
      </c>
      <c r="B721" s="4" t="str">
        <f>IF(Produits!B602="","",Produits!B602)</f>
        <v/>
      </c>
      <c r="C721" s="4" t="str">
        <f>IF(Produits!C602="","",Produits!C602)</f>
        <v/>
      </c>
      <c r="D721" s="4" t="str">
        <f>IF(Produits!D602="","",Produits!D602)</f>
        <v/>
      </c>
      <c r="E721" s="4" t="str">
        <f>IF(Produits!E602="","",Produits!E602)</f>
        <v/>
      </c>
      <c r="F721" s="49" t="str">
        <f>IF(Produits!F602="","",Produits!F602)</f>
        <v/>
      </c>
      <c r="J721" s="88" t="str">
        <f>IF($J$1="","",HLOOKUP($J$1,$M$1:$AAY$1000,721,0))</f>
        <v/>
      </c>
    </row>
    <row r="722" spans="1:10" x14ac:dyDescent="0.25">
      <c r="A722" s="4" t="str">
        <f>IF(Produits!A603="","",Produits!A603)</f>
        <v/>
      </c>
      <c r="B722" s="4" t="str">
        <f>IF(Produits!B603="","",Produits!B603)</f>
        <v/>
      </c>
      <c r="C722" s="4" t="str">
        <f>IF(Produits!C603="","",Produits!C603)</f>
        <v/>
      </c>
      <c r="D722" s="4" t="str">
        <f>IF(Produits!D603="","",Produits!D603)</f>
        <v/>
      </c>
      <c r="E722" s="4" t="str">
        <f>IF(Produits!E603="","",Produits!E603)</f>
        <v/>
      </c>
      <c r="F722" s="49" t="str">
        <f>IF(Produits!F603="","",Produits!F603)</f>
        <v/>
      </c>
      <c r="J722" s="88" t="str">
        <f>IF($J$1="","",HLOOKUP($J$1,$M$1:$AAY$1000,722,0))</f>
        <v/>
      </c>
    </row>
    <row r="723" spans="1:10" x14ac:dyDescent="0.25">
      <c r="A723" s="4" t="str">
        <f>IF(Produits!A604="","",Produits!A604)</f>
        <v/>
      </c>
      <c r="B723" s="4" t="str">
        <f>IF(Produits!B604="","",Produits!B604)</f>
        <v/>
      </c>
      <c r="C723" s="4" t="str">
        <f>IF(Produits!C604="","",Produits!C604)</f>
        <v/>
      </c>
      <c r="D723" s="4" t="str">
        <f>IF(Produits!D604="","",Produits!D604)</f>
        <v/>
      </c>
      <c r="E723" s="4" t="str">
        <f>IF(Produits!E604="","",Produits!E604)</f>
        <v/>
      </c>
      <c r="F723" s="49" t="str">
        <f>IF(Produits!F604="","",Produits!F604)</f>
        <v/>
      </c>
      <c r="J723" s="88" t="str">
        <f>IF($J$1="","",HLOOKUP($J$1,$M$1:$AAY$1000,723,0))</f>
        <v/>
      </c>
    </row>
    <row r="724" spans="1:10" x14ac:dyDescent="0.25">
      <c r="A724" s="4" t="str">
        <f>IF(Produits!A605="","",Produits!A605)</f>
        <v/>
      </c>
      <c r="B724" s="4" t="str">
        <f>IF(Produits!B605="","",Produits!B605)</f>
        <v/>
      </c>
      <c r="C724" s="4" t="str">
        <f>IF(Produits!C605="","",Produits!C605)</f>
        <v/>
      </c>
      <c r="D724" s="4" t="str">
        <f>IF(Produits!D605="","",Produits!D605)</f>
        <v/>
      </c>
      <c r="E724" s="4" t="str">
        <f>IF(Produits!E605="","",Produits!E605)</f>
        <v/>
      </c>
      <c r="F724" s="49" t="str">
        <f>IF(Produits!F605="","",Produits!F605)</f>
        <v/>
      </c>
      <c r="J724" s="88" t="str">
        <f>IF($J$1="","",HLOOKUP($J$1,$M$1:$AAY$1000,724,0))</f>
        <v/>
      </c>
    </row>
    <row r="725" spans="1:10" x14ac:dyDescent="0.25">
      <c r="A725" s="4" t="str">
        <f>IF(Produits!A606="","",Produits!A606)</f>
        <v/>
      </c>
      <c r="B725" s="4" t="str">
        <f>IF(Produits!B606="","",Produits!B606)</f>
        <v/>
      </c>
      <c r="C725" s="4" t="str">
        <f>IF(Produits!C606="","",Produits!C606)</f>
        <v/>
      </c>
      <c r="D725" s="4" t="str">
        <f>IF(Produits!D606="","",Produits!D606)</f>
        <v/>
      </c>
      <c r="E725" s="4" t="str">
        <f>IF(Produits!E606="","",Produits!E606)</f>
        <v/>
      </c>
      <c r="F725" s="49" t="str">
        <f>IF(Produits!F606="","",Produits!F606)</f>
        <v/>
      </c>
      <c r="J725" s="88" t="str">
        <f>IF($J$1="","",HLOOKUP($J$1,$M$1:$AAY$1000,725,0))</f>
        <v/>
      </c>
    </row>
    <row r="726" spans="1:10" x14ac:dyDescent="0.25">
      <c r="A726" s="4" t="str">
        <f>IF(Produits!A607="","",Produits!A607)</f>
        <v/>
      </c>
      <c r="B726" s="4" t="str">
        <f>IF(Produits!B607="","",Produits!B607)</f>
        <v/>
      </c>
      <c r="C726" s="4" t="str">
        <f>IF(Produits!C607="","",Produits!C607)</f>
        <v/>
      </c>
      <c r="D726" s="4" t="str">
        <f>IF(Produits!D607="","",Produits!D607)</f>
        <v/>
      </c>
      <c r="E726" s="4" t="str">
        <f>IF(Produits!E607="","",Produits!E607)</f>
        <v/>
      </c>
      <c r="F726" s="49" t="str">
        <f>IF(Produits!F607="","",Produits!F607)</f>
        <v/>
      </c>
      <c r="J726" s="88" t="str">
        <f>IF($J$1="","",HLOOKUP($J$1,$M$1:$AAY$1000,726,0))</f>
        <v/>
      </c>
    </row>
    <row r="727" spans="1:10" x14ac:dyDescent="0.25">
      <c r="A727" s="4" t="str">
        <f>IF(Produits!A608="","",Produits!A608)</f>
        <v/>
      </c>
      <c r="B727" s="4" t="str">
        <f>IF(Produits!B608="","",Produits!B608)</f>
        <v/>
      </c>
      <c r="C727" s="4" t="str">
        <f>IF(Produits!C608="","",Produits!C608)</f>
        <v/>
      </c>
      <c r="D727" s="4" t="str">
        <f>IF(Produits!D608="","",Produits!D608)</f>
        <v/>
      </c>
      <c r="E727" s="4" t="str">
        <f>IF(Produits!E608="","",Produits!E608)</f>
        <v/>
      </c>
      <c r="F727" s="49" t="str">
        <f>IF(Produits!F608="","",Produits!F608)</f>
        <v/>
      </c>
      <c r="J727" s="88" t="str">
        <f>IF($J$1="","",HLOOKUP($J$1,$M$1:$AAY$1000,727,0))</f>
        <v/>
      </c>
    </row>
    <row r="728" spans="1:10" x14ac:dyDescent="0.25">
      <c r="A728" s="4" t="str">
        <f>IF(Produits!A609="","",Produits!A609)</f>
        <v/>
      </c>
      <c r="B728" s="4" t="str">
        <f>IF(Produits!B609="","",Produits!B609)</f>
        <v/>
      </c>
      <c r="C728" s="4" t="str">
        <f>IF(Produits!C609="","",Produits!C609)</f>
        <v/>
      </c>
      <c r="D728" s="4" t="str">
        <f>IF(Produits!D609="","",Produits!D609)</f>
        <v/>
      </c>
      <c r="E728" s="4" t="str">
        <f>IF(Produits!E609="","",Produits!E609)</f>
        <v/>
      </c>
      <c r="F728" s="49" t="str">
        <f>IF(Produits!F609="","",Produits!F609)</f>
        <v/>
      </c>
      <c r="J728" s="88" t="str">
        <f>IF($J$1="","",HLOOKUP($J$1,$M$1:$AAY$1000,728,0))</f>
        <v/>
      </c>
    </row>
    <row r="729" spans="1:10" x14ac:dyDescent="0.25">
      <c r="A729" s="4" t="str">
        <f>IF(Produits!A610="","",Produits!A610)</f>
        <v/>
      </c>
      <c r="B729" s="4" t="str">
        <f>IF(Produits!B610="","",Produits!B610)</f>
        <v/>
      </c>
      <c r="C729" s="4" t="str">
        <f>IF(Produits!C610="","",Produits!C610)</f>
        <v/>
      </c>
      <c r="D729" s="4" t="str">
        <f>IF(Produits!D610="","",Produits!D610)</f>
        <v/>
      </c>
      <c r="E729" s="4" t="str">
        <f>IF(Produits!E610="","",Produits!E610)</f>
        <v/>
      </c>
      <c r="F729" s="49" t="str">
        <f>IF(Produits!F610="","",Produits!F610)</f>
        <v/>
      </c>
      <c r="J729" s="88" t="str">
        <f>IF($J$1="","",HLOOKUP($J$1,$M$1:$AAY$1000,729,0))</f>
        <v/>
      </c>
    </row>
    <row r="730" spans="1:10" x14ac:dyDescent="0.25">
      <c r="A730" s="4" t="str">
        <f>IF(Produits!A611="","",Produits!A611)</f>
        <v/>
      </c>
      <c r="B730" s="4" t="str">
        <f>IF(Produits!B611="","",Produits!B611)</f>
        <v/>
      </c>
      <c r="C730" s="4" t="str">
        <f>IF(Produits!C611="","",Produits!C611)</f>
        <v/>
      </c>
      <c r="D730" s="4" t="str">
        <f>IF(Produits!D611="","",Produits!D611)</f>
        <v/>
      </c>
      <c r="E730" s="4" t="str">
        <f>IF(Produits!E611="","",Produits!E611)</f>
        <v/>
      </c>
      <c r="F730" s="49" t="str">
        <f>IF(Produits!F611="","",Produits!F611)</f>
        <v/>
      </c>
      <c r="J730" s="88" t="str">
        <f>IF($J$1="","",HLOOKUP($J$1,$M$1:$AAY$1000,730,0))</f>
        <v/>
      </c>
    </row>
    <row r="731" spans="1:10" x14ac:dyDescent="0.25">
      <c r="A731" s="4" t="str">
        <f>IF(Produits!A612="","",Produits!A612)</f>
        <v/>
      </c>
      <c r="B731" s="4" t="str">
        <f>IF(Produits!B612="","",Produits!B612)</f>
        <v/>
      </c>
      <c r="C731" s="4" t="str">
        <f>IF(Produits!C612="","",Produits!C612)</f>
        <v/>
      </c>
      <c r="D731" s="4" t="str">
        <f>IF(Produits!D612="","",Produits!D612)</f>
        <v/>
      </c>
      <c r="E731" s="4" t="str">
        <f>IF(Produits!E612="","",Produits!E612)</f>
        <v/>
      </c>
      <c r="F731" s="49" t="str">
        <f>IF(Produits!F612="","",Produits!F612)</f>
        <v/>
      </c>
      <c r="J731" s="88" t="str">
        <f>IF($J$1="","",HLOOKUP($J$1,$M$1:$AAY$1000,731,0))</f>
        <v/>
      </c>
    </row>
    <row r="732" spans="1:10" x14ac:dyDescent="0.25">
      <c r="A732" s="4" t="str">
        <f>IF(Produits!A613="","",Produits!A613)</f>
        <v/>
      </c>
      <c r="B732" s="4" t="str">
        <f>IF(Produits!B613="","",Produits!B613)</f>
        <v/>
      </c>
      <c r="C732" s="4" t="str">
        <f>IF(Produits!C613="","",Produits!C613)</f>
        <v/>
      </c>
      <c r="D732" s="4" t="str">
        <f>IF(Produits!D613="","",Produits!D613)</f>
        <v/>
      </c>
      <c r="E732" s="4" t="str">
        <f>IF(Produits!E613="","",Produits!E613)</f>
        <v/>
      </c>
      <c r="F732" s="49" t="str">
        <f>IF(Produits!F613="","",Produits!F613)</f>
        <v/>
      </c>
      <c r="J732" s="88" t="str">
        <f>IF($J$1="","",HLOOKUP($J$1,$M$1:$AAY$1000,732,0))</f>
        <v/>
      </c>
    </row>
    <row r="733" spans="1:10" x14ac:dyDescent="0.25">
      <c r="A733" s="4" t="str">
        <f>IF(Produits!A614="","",Produits!A614)</f>
        <v/>
      </c>
      <c r="B733" s="4" t="str">
        <f>IF(Produits!B614="","",Produits!B614)</f>
        <v/>
      </c>
      <c r="C733" s="4" t="str">
        <f>IF(Produits!C614="","",Produits!C614)</f>
        <v/>
      </c>
      <c r="D733" s="4" t="str">
        <f>IF(Produits!D614="","",Produits!D614)</f>
        <v/>
      </c>
      <c r="E733" s="4" t="str">
        <f>IF(Produits!E614="","",Produits!E614)</f>
        <v/>
      </c>
      <c r="F733" s="49" t="str">
        <f>IF(Produits!F614="","",Produits!F614)</f>
        <v/>
      </c>
      <c r="J733" s="88" t="str">
        <f>IF($J$1="","",HLOOKUP($J$1,$M$1:$AAY$1000,733,0))</f>
        <v/>
      </c>
    </row>
    <row r="734" spans="1:10" x14ac:dyDescent="0.25">
      <c r="A734" s="4" t="str">
        <f>IF(Produits!A615="","",Produits!A615)</f>
        <v/>
      </c>
      <c r="B734" s="4" t="str">
        <f>IF(Produits!B615="","",Produits!B615)</f>
        <v/>
      </c>
      <c r="C734" s="4" t="str">
        <f>IF(Produits!C615="","",Produits!C615)</f>
        <v/>
      </c>
      <c r="D734" s="4" t="str">
        <f>IF(Produits!D615="","",Produits!D615)</f>
        <v/>
      </c>
      <c r="E734" s="4" t="str">
        <f>IF(Produits!E615="","",Produits!E615)</f>
        <v/>
      </c>
      <c r="F734" s="49" t="str">
        <f>IF(Produits!F615="","",Produits!F615)</f>
        <v/>
      </c>
      <c r="J734" s="88" t="str">
        <f>IF($J$1="","",HLOOKUP($J$1,$M$1:$AAY$1000,734,0))</f>
        <v/>
      </c>
    </row>
    <row r="735" spans="1:10" x14ac:dyDescent="0.25">
      <c r="A735" s="4" t="str">
        <f>IF(Produits!A616="","",Produits!A616)</f>
        <v/>
      </c>
      <c r="B735" s="4" t="str">
        <f>IF(Produits!B616="","",Produits!B616)</f>
        <v/>
      </c>
      <c r="C735" s="4" t="str">
        <f>IF(Produits!C616="","",Produits!C616)</f>
        <v/>
      </c>
      <c r="D735" s="4" t="str">
        <f>IF(Produits!D616="","",Produits!D616)</f>
        <v/>
      </c>
      <c r="E735" s="4" t="str">
        <f>IF(Produits!E616="","",Produits!E616)</f>
        <v/>
      </c>
      <c r="F735" s="49" t="str">
        <f>IF(Produits!F616="","",Produits!F616)</f>
        <v/>
      </c>
      <c r="J735" s="88" t="str">
        <f>IF($J$1="","",HLOOKUP($J$1,$M$1:$AAY$1000,735,0))</f>
        <v/>
      </c>
    </row>
    <row r="736" spans="1:10" x14ac:dyDescent="0.25">
      <c r="A736" s="4" t="str">
        <f>IF(Produits!A617="","",Produits!A617)</f>
        <v/>
      </c>
      <c r="B736" s="4" t="str">
        <f>IF(Produits!B617="","",Produits!B617)</f>
        <v/>
      </c>
      <c r="C736" s="4" t="str">
        <f>IF(Produits!C617="","",Produits!C617)</f>
        <v/>
      </c>
      <c r="D736" s="4" t="str">
        <f>IF(Produits!D617="","",Produits!D617)</f>
        <v/>
      </c>
      <c r="E736" s="4" t="str">
        <f>IF(Produits!E617="","",Produits!E617)</f>
        <v/>
      </c>
      <c r="F736" s="49" t="str">
        <f>IF(Produits!F617="","",Produits!F617)</f>
        <v/>
      </c>
      <c r="J736" s="88" t="str">
        <f>IF($J$1="","",HLOOKUP($J$1,$M$1:$AAY$1000,736,0))</f>
        <v/>
      </c>
    </row>
    <row r="737" spans="1:10" x14ac:dyDescent="0.25">
      <c r="A737" s="4" t="str">
        <f>IF(Produits!A618="","",Produits!A618)</f>
        <v/>
      </c>
      <c r="B737" s="4" t="str">
        <f>IF(Produits!B618="","",Produits!B618)</f>
        <v/>
      </c>
      <c r="C737" s="4" t="str">
        <f>IF(Produits!C618="","",Produits!C618)</f>
        <v/>
      </c>
      <c r="D737" s="4" t="str">
        <f>IF(Produits!D618="","",Produits!D618)</f>
        <v/>
      </c>
      <c r="E737" s="4" t="str">
        <f>IF(Produits!E618="","",Produits!E618)</f>
        <v/>
      </c>
      <c r="F737" s="49" t="str">
        <f>IF(Produits!F618="","",Produits!F618)</f>
        <v/>
      </c>
      <c r="J737" s="88" t="str">
        <f>IF($J$1="","",HLOOKUP($J$1,$M$1:$AAY$1000,737,0))</f>
        <v/>
      </c>
    </row>
    <row r="738" spans="1:10" x14ac:dyDescent="0.25">
      <c r="A738" s="4" t="str">
        <f>IF(Produits!A619="","",Produits!A619)</f>
        <v/>
      </c>
      <c r="B738" s="4" t="str">
        <f>IF(Produits!B619="","",Produits!B619)</f>
        <v/>
      </c>
      <c r="C738" s="4" t="str">
        <f>IF(Produits!C619="","",Produits!C619)</f>
        <v/>
      </c>
      <c r="D738" s="4" t="str">
        <f>IF(Produits!D619="","",Produits!D619)</f>
        <v/>
      </c>
      <c r="E738" s="4" t="str">
        <f>IF(Produits!E619="","",Produits!E619)</f>
        <v/>
      </c>
      <c r="F738" s="49" t="str">
        <f>IF(Produits!F619="","",Produits!F619)</f>
        <v/>
      </c>
      <c r="J738" s="88" t="str">
        <f>IF($J$1="","",HLOOKUP($J$1,$M$1:$AAY$1000,738,0))</f>
        <v/>
      </c>
    </row>
    <row r="739" spans="1:10" x14ac:dyDescent="0.25">
      <c r="A739" s="4" t="str">
        <f>IF(Produits!A620="","",Produits!A620)</f>
        <v/>
      </c>
      <c r="B739" s="4" t="str">
        <f>IF(Produits!B620="","",Produits!B620)</f>
        <v/>
      </c>
      <c r="C739" s="4" t="str">
        <f>IF(Produits!C620="","",Produits!C620)</f>
        <v/>
      </c>
      <c r="D739" s="4" t="str">
        <f>IF(Produits!D620="","",Produits!D620)</f>
        <v/>
      </c>
      <c r="E739" s="4" t="str">
        <f>IF(Produits!E620="","",Produits!E620)</f>
        <v/>
      </c>
      <c r="F739" s="49" t="str">
        <f>IF(Produits!F620="","",Produits!F620)</f>
        <v/>
      </c>
      <c r="J739" s="88" t="str">
        <f>IF($J$1="","",HLOOKUP($J$1,$M$1:$AAY$1000,739,0))</f>
        <v/>
      </c>
    </row>
    <row r="740" spans="1:10" x14ac:dyDescent="0.25">
      <c r="A740" s="4" t="str">
        <f>IF(Produits!A621="","",Produits!A621)</f>
        <v/>
      </c>
      <c r="B740" s="4" t="str">
        <f>IF(Produits!B621="","",Produits!B621)</f>
        <v/>
      </c>
      <c r="C740" s="4" t="str">
        <f>IF(Produits!C621="","",Produits!C621)</f>
        <v/>
      </c>
      <c r="D740" s="4" t="str">
        <f>IF(Produits!D621="","",Produits!D621)</f>
        <v/>
      </c>
      <c r="E740" s="4" t="str">
        <f>IF(Produits!E621="","",Produits!E621)</f>
        <v/>
      </c>
      <c r="F740" s="49" t="str">
        <f>IF(Produits!F621="","",Produits!F621)</f>
        <v/>
      </c>
      <c r="J740" s="88" t="str">
        <f>IF($J$1="","",HLOOKUP($J$1,$M$1:$AAY$1000,740,0))</f>
        <v/>
      </c>
    </row>
    <row r="741" spans="1:10" x14ac:dyDescent="0.25">
      <c r="A741" s="4" t="str">
        <f>IF(Produits!A622="","",Produits!A622)</f>
        <v/>
      </c>
      <c r="B741" s="4" t="str">
        <f>IF(Produits!B622="","",Produits!B622)</f>
        <v/>
      </c>
      <c r="C741" s="4" t="str">
        <f>IF(Produits!C622="","",Produits!C622)</f>
        <v/>
      </c>
      <c r="D741" s="4" t="str">
        <f>IF(Produits!D622="","",Produits!D622)</f>
        <v/>
      </c>
      <c r="E741" s="4" t="str">
        <f>IF(Produits!E622="","",Produits!E622)</f>
        <v/>
      </c>
      <c r="F741" s="49" t="str">
        <f>IF(Produits!F622="","",Produits!F622)</f>
        <v/>
      </c>
      <c r="J741" s="88" t="str">
        <f>IF($J$1="","",HLOOKUP($J$1,$M$1:$AAY$1000,741,0))</f>
        <v/>
      </c>
    </row>
    <row r="742" spans="1:10" x14ac:dyDescent="0.25">
      <c r="A742" s="4" t="str">
        <f>IF(Produits!A623="","",Produits!A623)</f>
        <v/>
      </c>
      <c r="B742" s="4" t="str">
        <f>IF(Produits!B623="","",Produits!B623)</f>
        <v/>
      </c>
      <c r="C742" s="4" t="str">
        <f>IF(Produits!C623="","",Produits!C623)</f>
        <v/>
      </c>
      <c r="D742" s="4" t="str">
        <f>IF(Produits!D623="","",Produits!D623)</f>
        <v/>
      </c>
      <c r="E742" s="4" t="str">
        <f>IF(Produits!E623="","",Produits!E623)</f>
        <v/>
      </c>
      <c r="F742" s="49" t="str">
        <f>IF(Produits!F623="","",Produits!F623)</f>
        <v/>
      </c>
      <c r="J742" s="88" t="str">
        <f>IF($J$1="","",HLOOKUP($J$1,$M$1:$AAY$1000,742,0))</f>
        <v/>
      </c>
    </row>
    <row r="743" spans="1:10" x14ac:dyDescent="0.25">
      <c r="A743" s="4" t="str">
        <f>IF(Produits!A624="","",Produits!A624)</f>
        <v/>
      </c>
      <c r="B743" s="4" t="str">
        <f>IF(Produits!B624="","",Produits!B624)</f>
        <v/>
      </c>
      <c r="C743" s="4" t="str">
        <f>IF(Produits!C624="","",Produits!C624)</f>
        <v/>
      </c>
      <c r="D743" s="4" t="str">
        <f>IF(Produits!D624="","",Produits!D624)</f>
        <v/>
      </c>
      <c r="E743" s="4" t="str">
        <f>IF(Produits!E624="","",Produits!E624)</f>
        <v/>
      </c>
      <c r="F743" s="49" t="str">
        <f>IF(Produits!F624="","",Produits!F624)</f>
        <v/>
      </c>
      <c r="J743" s="88" t="str">
        <f>IF($J$1="","",HLOOKUP($J$1,$M$1:$AAY$1000,743,0))</f>
        <v/>
      </c>
    </row>
    <row r="744" spans="1:10" x14ac:dyDescent="0.25">
      <c r="A744" s="4" t="str">
        <f>IF(Produits!A625="","",Produits!A625)</f>
        <v/>
      </c>
      <c r="B744" s="4" t="str">
        <f>IF(Produits!B625="","",Produits!B625)</f>
        <v/>
      </c>
      <c r="C744" s="4" t="str">
        <f>IF(Produits!C625="","",Produits!C625)</f>
        <v/>
      </c>
      <c r="D744" s="4" t="str">
        <f>IF(Produits!D625="","",Produits!D625)</f>
        <v/>
      </c>
      <c r="E744" s="4" t="str">
        <f>IF(Produits!E625="","",Produits!E625)</f>
        <v/>
      </c>
      <c r="F744" s="49" t="str">
        <f>IF(Produits!F625="","",Produits!F625)</f>
        <v/>
      </c>
      <c r="J744" s="88" t="str">
        <f>IF($J$1="","",HLOOKUP($J$1,$M$1:$AAY$1000,744,0))</f>
        <v/>
      </c>
    </row>
    <row r="745" spans="1:10" x14ac:dyDescent="0.25">
      <c r="A745" s="4" t="str">
        <f>IF(Produits!A626="","",Produits!A626)</f>
        <v/>
      </c>
      <c r="B745" s="4" t="str">
        <f>IF(Produits!B626="","",Produits!B626)</f>
        <v/>
      </c>
      <c r="C745" s="4" t="str">
        <f>IF(Produits!C626="","",Produits!C626)</f>
        <v/>
      </c>
      <c r="D745" s="4" t="str">
        <f>IF(Produits!D626="","",Produits!D626)</f>
        <v/>
      </c>
      <c r="E745" s="4" t="str">
        <f>IF(Produits!E626="","",Produits!E626)</f>
        <v/>
      </c>
      <c r="F745" s="49" t="str">
        <f>IF(Produits!F626="","",Produits!F626)</f>
        <v/>
      </c>
      <c r="J745" s="88" t="str">
        <f>IF($J$1="","",HLOOKUP($J$1,$M$1:$AAY$1000,745,0))</f>
        <v/>
      </c>
    </row>
    <row r="746" spans="1:10" x14ac:dyDescent="0.25">
      <c r="A746" s="4" t="str">
        <f>IF(Produits!A627="","",Produits!A627)</f>
        <v/>
      </c>
      <c r="B746" s="4" t="str">
        <f>IF(Produits!B627="","",Produits!B627)</f>
        <v/>
      </c>
      <c r="C746" s="4" t="str">
        <f>IF(Produits!C627="","",Produits!C627)</f>
        <v/>
      </c>
      <c r="D746" s="4" t="str">
        <f>IF(Produits!D627="","",Produits!D627)</f>
        <v/>
      </c>
      <c r="E746" s="4" t="str">
        <f>IF(Produits!E627="","",Produits!E627)</f>
        <v/>
      </c>
      <c r="F746" s="49" t="str">
        <f>IF(Produits!F627="","",Produits!F627)</f>
        <v/>
      </c>
      <c r="J746" s="88" t="str">
        <f>IF($J$1="","",HLOOKUP($J$1,$M$1:$AAY$1000,746,0))</f>
        <v/>
      </c>
    </row>
    <row r="747" spans="1:10" x14ac:dyDescent="0.25">
      <c r="A747" s="4" t="str">
        <f>IF(Produits!A628="","",Produits!A628)</f>
        <v/>
      </c>
      <c r="B747" s="4" t="str">
        <f>IF(Produits!B628="","",Produits!B628)</f>
        <v/>
      </c>
      <c r="C747" s="4" t="str">
        <f>IF(Produits!C628="","",Produits!C628)</f>
        <v/>
      </c>
      <c r="D747" s="4" t="str">
        <f>IF(Produits!D628="","",Produits!D628)</f>
        <v/>
      </c>
      <c r="E747" s="4" t="str">
        <f>IF(Produits!E628="","",Produits!E628)</f>
        <v/>
      </c>
      <c r="F747" s="49" t="str">
        <f>IF(Produits!F628="","",Produits!F628)</f>
        <v/>
      </c>
      <c r="J747" s="88" t="str">
        <f>IF($J$1="","",HLOOKUP($J$1,$M$1:$AAY$1000,747,0))</f>
        <v/>
      </c>
    </row>
    <row r="748" spans="1:10" x14ac:dyDescent="0.25">
      <c r="A748" s="4" t="str">
        <f>IF(Produits!A629="","",Produits!A629)</f>
        <v/>
      </c>
      <c r="B748" s="4" t="str">
        <f>IF(Produits!B629="","",Produits!B629)</f>
        <v/>
      </c>
      <c r="C748" s="4" t="str">
        <f>IF(Produits!C629="","",Produits!C629)</f>
        <v/>
      </c>
      <c r="D748" s="4" t="str">
        <f>IF(Produits!D629="","",Produits!D629)</f>
        <v/>
      </c>
      <c r="E748" s="4" t="str">
        <f>IF(Produits!E629="","",Produits!E629)</f>
        <v/>
      </c>
      <c r="F748" s="49" t="str">
        <f>IF(Produits!F629="","",Produits!F629)</f>
        <v/>
      </c>
      <c r="J748" s="88" t="str">
        <f>IF($J$1="","",HLOOKUP($J$1,$M$1:$AAY$1000,748,0))</f>
        <v/>
      </c>
    </row>
    <row r="749" spans="1:10" x14ac:dyDescent="0.25">
      <c r="A749" s="4" t="str">
        <f>IF(Produits!A630="","",Produits!A630)</f>
        <v/>
      </c>
      <c r="B749" s="4" t="str">
        <f>IF(Produits!B630="","",Produits!B630)</f>
        <v/>
      </c>
      <c r="C749" s="4" t="str">
        <f>IF(Produits!C630="","",Produits!C630)</f>
        <v/>
      </c>
      <c r="D749" s="4" t="str">
        <f>IF(Produits!D630="","",Produits!D630)</f>
        <v/>
      </c>
      <c r="E749" s="4" t="str">
        <f>IF(Produits!E630="","",Produits!E630)</f>
        <v/>
      </c>
      <c r="F749" s="49" t="str">
        <f>IF(Produits!F630="","",Produits!F630)</f>
        <v/>
      </c>
      <c r="J749" s="88" t="str">
        <f>IF($J$1="","",HLOOKUP($J$1,$M$1:$AAY$1000,749,0))</f>
        <v/>
      </c>
    </row>
    <row r="750" spans="1:10" x14ac:dyDescent="0.25">
      <c r="A750" s="4" t="str">
        <f>IF(Produits!A631="","",Produits!A631)</f>
        <v/>
      </c>
      <c r="B750" s="4" t="str">
        <f>IF(Produits!B631="","",Produits!B631)</f>
        <v/>
      </c>
      <c r="C750" s="4" t="str">
        <f>IF(Produits!C631="","",Produits!C631)</f>
        <v/>
      </c>
      <c r="D750" s="4" t="str">
        <f>IF(Produits!D631="","",Produits!D631)</f>
        <v/>
      </c>
      <c r="E750" s="4" t="str">
        <f>IF(Produits!E631="","",Produits!E631)</f>
        <v/>
      </c>
      <c r="F750" s="49" t="str">
        <f>IF(Produits!F631="","",Produits!F631)</f>
        <v/>
      </c>
      <c r="J750" s="88" t="str">
        <f>IF($J$1="","",HLOOKUP($J$1,$M$1:$AAY$1000,750,0))</f>
        <v/>
      </c>
    </row>
    <row r="751" spans="1:10" x14ac:dyDescent="0.25">
      <c r="A751" s="4" t="str">
        <f>IF(Produits!A632="","",Produits!A632)</f>
        <v/>
      </c>
      <c r="B751" s="4" t="str">
        <f>IF(Produits!B632="","",Produits!B632)</f>
        <v/>
      </c>
      <c r="C751" s="4" t="str">
        <f>IF(Produits!C632="","",Produits!C632)</f>
        <v/>
      </c>
      <c r="D751" s="4" t="str">
        <f>IF(Produits!D632="","",Produits!D632)</f>
        <v/>
      </c>
      <c r="E751" s="4" t="str">
        <f>IF(Produits!E632="","",Produits!E632)</f>
        <v/>
      </c>
      <c r="F751" s="49" t="str">
        <f>IF(Produits!F632="","",Produits!F632)</f>
        <v/>
      </c>
      <c r="J751" s="88" t="str">
        <f>IF($J$1="","",HLOOKUP($J$1,$M$1:$AAY$1000,751,0))</f>
        <v/>
      </c>
    </row>
    <row r="752" spans="1:10" x14ac:dyDescent="0.25">
      <c r="A752" s="4" t="str">
        <f>IF(Produits!A633="","",Produits!A633)</f>
        <v/>
      </c>
      <c r="B752" s="4" t="str">
        <f>IF(Produits!B633="","",Produits!B633)</f>
        <v/>
      </c>
      <c r="C752" s="4" t="str">
        <f>IF(Produits!C633="","",Produits!C633)</f>
        <v/>
      </c>
      <c r="D752" s="4" t="str">
        <f>IF(Produits!D633="","",Produits!D633)</f>
        <v/>
      </c>
      <c r="E752" s="4" t="str">
        <f>IF(Produits!E633="","",Produits!E633)</f>
        <v/>
      </c>
      <c r="F752" s="49" t="str">
        <f>IF(Produits!F633="","",Produits!F633)</f>
        <v/>
      </c>
      <c r="J752" s="88" t="str">
        <f>IF($J$1="","",HLOOKUP($J$1,$M$1:$AAY$1000,752,0))</f>
        <v/>
      </c>
    </row>
    <row r="753" spans="1:10" x14ac:dyDescent="0.25">
      <c r="A753" s="4" t="str">
        <f>IF(Produits!A634="","",Produits!A634)</f>
        <v/>
      </c>
      <c r="B753" s="4" t="str">
        <f>IF(Produits!B634="","",Produits!B634)</f>
        <v/>
      </c>
      <c r="C753" s="4" t="str">
        <f>IF(Produits!C634="","",Produits!C634)</f>
        <v/>
      </c>
      <c r="D753" s="4" t="str">
        <f>IF(Produits!D634="","",Produits!D634)</f>
        <v/>
      </c>
      <c r="E753" s="4" t="str">
        <f>IF(Produits!E634="","",Produits!E634)</f>
        <v/>
      </c>
      <c r="F753" s="49" t="str">
        <f>IF(Produits!F634="","",Produits!F634)</f>
        <v/>
      </c>
      <c r="J753" s="88" t="str">
        <f>IF($J$1="","",HLOOKUP($J$1,$M$1:$AAY$1000,753,0))</f>
        <v/>
      </c>
    </row>
    <row r="754" spans="1:10" x14ac:dyDescent="0.25">
      <c r="A754" s="4" t="str">
        <f>IF(Produits!A635="","",Produits!A635)</f>
        <v/>
      </c>
      <c r="B754" s="4" t="str">
        <f>IF(Produits!B635="","",Produits!B635)</f>
        <v/>
      </c>
      <c r="C754" s="4" t="str">
        <f>IF(Produits!C635="","",Produits!C635)</f>
        <v/>
      </c>
      <c r="D754" s="4" t="str">
        <f>IF(Produits!D635="","",Produits!D635)</f>
        <v/>
      </c>
      <c r="E754" s="4" t="str">
        <f>IF(Produits!E635="","",Produits!E635)</f>
        <v/>
      </c>
      <c r="F754" s="49" t="str">
        <f>IF(Produits!F635="","",Produits!F635)</f>
        <v/>
      </c>
      <c r="J754" s="88" t="str">
        <f>IF($J$1="","",HLOOKUP($J$1,$M$1:$AAY$1000,754,0))</f>
        <v/>
      </c>
    </row>
    <row r="755" spans="1:10" x14ac:dyDescent="0.25">
      <c r="A755" s="4" t="str">
        <f>IF(Produits!A636="","",Produits!A636)</f>
        <v/>
      </c>
      <c r="B755" s="4" t="str">
        <f>IF(Produits!B636="","",Produits!B636)</f>
        <v/>
      </c>
      <c r="C755" s="4" t="str">
        <f>IF(Produits!C636="","",Produits!C636)</f>
        <v/>
      </c>
      <c r="D755" s="4" t="str">
        <f>IF(Produits!D636="","",Produits!D636)</f>
        <v/>
      </c>
      <c r="E755" s="4" t="str">
        <f>IF(Produits!E636="","",Produits!E636)</f>
        <v/>
      </c>
      <c r="F755" s="49" t="str">
        <f>IF(Produits!F636="","",Produits!F636)</f>
        <v/>
      </c>
      <c r="J755" s="88" t="str">
        <f>IF($J$1="","",HLOOKUP($J$1,$M$1:$AAY$1000,755,0))</f>
        <v/>
      </c>
    </row>
    <row r="756" spans="1:10" x14ac:dyDescent="0.25">
      <c r="A756" s="4" t="str">
        <f>IF(Produits!A637="","",Produits!A637)</f>
        <v/>
      </c>
      <c r="B756" s="4" t="str">
        <f>IF(Produits!B637="","",Produits!B637)</f>
        <v/>
      </c>
      <c r="C756" s="4" t="str">
        <f>IF(Produits!C637="","",Produits!C637)</f>
        <v/>
      </c>
      <c r="D756" s="4" t="str">
        <f>IF(Produits!D637="","",Produits!D637)</f>
        <v/>
      </c>
      <c r="E756" s="4" t="str">
        <f>IF(Produits!E637="","",Produits!E637)</f>
        <v/>
      </c>
      <c r="F756" s="49" t="str">
        <f>IF(Produits!F637="","",Produits!F637)</f>
        <v/>
      </c>
      <c r="J756" s="88" t="str">
        <f>IF($J$1="","",HLOOKUP($J$1,$M$1:$AAY$1000,756,0))</f>
        <v/>
      </c>
    </row>
    <row r="757" spans="1:10" x14ac:dyDescent="0.25">
      <c r="A757" s="4" t="str">
        <f>IF(Produits!A638="","",Produits!A638)</f>
        <v/>
      </c>
      <c r="B757" s="4" t="str">
        <f>IF(Produits!B638="","",Produits!B638)</f>
        <v/>
      </c>
      <c r="C757" s="4" t="str">
        <f>IF(Produits!C638="","",Produits!C638)</f>
        <v/>
      </c>
      <c r="D757" s="4" t="str">
        <f>IF(Produits!D638="","",Produits!D638)</f>
        <v/>
      </c>
      <c r="E757" s="4" t="str">
        <f>IF(Produits!E638="","",Produits!E638)</f>
        <v/>
      </c>
      <c r="F757" s="49" t="str">
        <f>IF(Produits!F638="","",Produits!F638)</f>
        <v/>
      </c>
      <c r="J757" s="88" t="str">
        <f>IF($J$1="","",HLOOKUP($J$1,$M$1:$AAY$1000,757,0))</f>
        <v/>
      </c>
    </row>
    <row r="758" spans="1:10" x14ac:dyDescent="0.25">
      <c r="A758" s="4" t="str">
        <f>IF(Produits!A639="","",Produits!A639)</f>
        <v/>
      </c>
      <c r="B758" s="4" t="str">
        <f>IF(Produits!B639="","",Produits!B639)</f>
        <v/>
      </c>
      <c r="C758" s="4" t="str">
        <f>IF(Produits!C639="","",Produits!C639)</f>
        <v/>
      </c>
      <c r="D758" s="4" t="str">
        <f>IF(Produits!D639="","",Produits!D639)</f>
        <v/>
      </c>
      <c r="E758" s="4" t="str">
        <f>IF(Produits!E639="","",Produits!E639)</f>
        <v/>
      </c>
      <c r="F758" s="49" t="str">
        <f>IF(Produits!F639="","",Produits!F639)</f>
        <v/>
      </c>
      <c r="J758" s="88" t="str">
        <f>IF($J$1="","",HLOOKUP($J$1,$M$1:$AAY$1000,758,0))</f>
        <v/>
      </c>
    </row>
    <row r="759" spans="1:10" x14ac:dyDescent="0.25">
      <c r="A759" s="4" t="str">
        <f>IF(Produits!A640="","",Produits!A640)</f>
        <v/>
      </c>
      <c r="B759" s="4" t="str">
        <f>IF(Produits!B640="","",Produits!B640)</f>
        <v/>
      </c>
      <c r="C759" s="4" t="str">
        <f>IF(Produits!C640="","",Produits!C640)</f>
        <v/>
      </c>
      <c r="D759" s="4" t="str">
        <f>IF(Produits!D640="","",Produits!D640)</f>
        <v/>
      </c>
      <c r="E759" s="4" t="str">
        <f>IF(Produits!E640="","",Produits!E640)</f>
        <v/>
      </c>
      <c r="F759" s="49" t="str">
        <f>IF(Produits!F640="","",Produits!F640)</f>
        <v/>
      </c>
      <c r="J759" s="88" t="str">
        <f>IF($J$1="","",HLOOKUP($J$1,$M$1:$AAY$1000,759,0))</f>
        <v/>
      </c>
    </row>
    <row r="760" spans="1:10" x14ac:dyDescent="0.25">
      <c r="A760" s="4" t="str">
        <f>IF(Produits!A641="","",Produits!A641)</f>
        <v/>
      </c>
      <c r="B760" s="4" t="str">
        <f>IF(Produits!B641="","",Produits!B641)</f>
        <v/>
      </c>
      <c r="C760" s="4" t="str">
        <f>IF(Produits!C641="","",Produits!C641)</f>
        <v/>
      </c>
      <c r="D760" s="4" t="str">
        <f>IF(Produits!D641="","",Produits!D641)</f>
        <v/>
      </c>
      <c r="E760" s="4" t="str">
        <f>IF(Produits!E641="","",Produits!E641)</f>
        <v/>
      </c>
      <c r="F760" s="49" t="str">
        <f>IF(Produits!F641="","",Produits!F641)</f>
        <v/>
      </c>
      <c r="J760" s="88" t="str">
        <f>IF($J$1="","",HLOOKUP($J$1,$M$1:$AAY$1000,760,0))</f>
        <v/>
      </c>
    </row>
    <row r="761" spans="1:10" x14ac:dyDescent="0.25">
      <c r="A761" s="4" t="str">
        <f>IF(Produits!A642="","",Produits!A642)</f>
        <v/>
      </c>
      <c r="B761" s="4" t="str">
        <f>IF(Produits!B642="","",Produits!B642)</f>
        <v/>
      </c>
      <c r="C761" s="4" t="str">
        <f>IF(Produits!C642="","",Produits!C642)</f>
        <v/>
      </c>
      <c r="D761" s="4" t="str">
        <f>IF(Produits!D642="","",Produits!D642)</f>
        <v/>
      </c>
      <c r="E761" s="4" t="str">
        <f>IF(Produits!E642="","",Produits!E642)</f>
        <v/>
      </c>
      <c r="F761" s="49" t="str">
        <f>IF(Produits!F642="","",Produits!F642)</f>
        <v/>
      </c>
      <c r="J761" s="88" t="str">
        <f>IF($J$1="","",HLOOKUP($J$1,$M$1:$AAY$1000,761,0))</f>
        <v/>
      </c>
    </row>
    <row r="762" spans="1:10" x14ac:dyDescent="0.25">
      <c r="A762" s="4" t="str">
        <f>IF(Produits!A643="","",Produits!A643)</f>
        <v/>
      </c>
      <c r="B762" s="4" t="str">
        <f>IF(Produits!B643="","",Produits!B643)</f>
        <v/>
      </c>
      <c r="C762" s="4" t="str">
        <f>IF(Produits!C643="","",Produits!C643)</f>
        <v/>
      </c>
      <c r="D762" s="4" t="str">
        <f>IF(Produits!D643="","",Produits!D643)</f>
        <v/>
      </c>
      <c r="E762" s="4" t="str">
        <f>IF(Produits!E643="","",Produits!E643)</f>
        <v/>
      </c>
      <c r="F762" s="49" t="str">
        <f>IF(Produits!F643="","",Produits!F643)</f>
        <v/>
      </c>
      <c r="J762" s="88" t="str">
        <f>IF($J$1="","",HLOOKUP($J$1,$M$1:$AAY$1000,762,0))</f>
        <v/>
      </c>
    </row>
    <row r="763" spans="1:10" x14ac:dyDescent="0.25">
      <c r="A763" s="4" t="str">
        <f>IF(Produits!A644="","",Produits!A644)</f>
        <v/>
      </c>
      <c r="B763" s="4" t="str">
        <f>IF(Produits!B644="","",Produits!B644)</f>
        <v/>
      </c>
      <c r="C763" s="4" t="str">
        <f>IF(Produits!C644="","",Produits!C644)</f>
        <v/>
      </c>
      <c r="D763" s="4" t="str">
        <f>IF(Produits!D644="","",Produits!D644)</f>
        <v/>
      </c>
      <c r="E763" s="4" t="str">
        <f>IF(Produits!E644="","",Produits!E644)</f>
        <v/>
      </c>
      <c r="F763" s="49" t="str">
        <f>IF(Produits!F644="","",Produits!F644)</f>
        <v/>
      </c>
      <c r="J763" s="88" t="str">
        <f>IF($J$1="","",HLOOKUP($J$1,$M$1:$AAY$1000,763,0))</f>
        <v/>
      </c>
    </row>
    <row r="764" spans="1:10" x14ac:dyDescent="0.25">
      <c r="A764" s="4" t="str">
        <f>IF(Produits!A645="","",Produits!A645)</f>
        <v/>
      </c>
      <c r="B764" s="4" t="str">
        <f>IF(Produits!B645="","",Produits!B645)</f>
        <v/>
      </c>
      <c r="C764" s="4" t="str">
        <f>IF(Produits!C645="","",Produits!C645)</f>
        <v/>
      </c>
      <c r="D764" s="4" t="str">
        <f>IF(Produits!D645="","",Produits!D645)</f>
        <v/>
      </c>
      <c r="E764" s="4" t="str">
        <f>IF(Produits!E645="","",Produits!E645)</f>
        <v/>
      </c>
      <c r="F764" s="49" t="str">
        <f>IF(Produits!F645="","",Produits!F645)</f>
        <v/>
      </c>
      <c r="J764" s="88" t="str">
        <f>IF($J$1="","",HLOOKUP($J$1,$M$1:$AAY$1000,764,0))</f>
        <v/>
      </c>
    </row>
    <row r="765" spans="1:10" x14ac:dyDescent="0.25">
      <c r="A765" s="4" t="str">
        <f>IF(Produits!A646="","",Produits!A646)</f>
        <v/>
      </c>
      <c r="B765" s="4" t="str">
        <f>IF(Produits!B646="","",Produits!B646)</f>
        <v/>
      </c>
      <c r="C765" s="4" t="str">
        <f>IF(Produits!C646="","",Produits!C646)</f>
        <v/>
      </c>
      <c r="D765" s="4" t="str">
        <f>IF(Produits!D646="","",Produits!D646)</f>
        <v/>
      </c>
      <c r="E765" s="4" t="str">
        <f>IF(Produits!E646="","",Produits!E646)</f>
        <v/>
      </c>
      <c r="F765" s="49" t="str">
        <f>IF(Produits!F646="","",Produits!F646)</f>
        <v/>
      </c>
      <c r="J765" s="88" t="str">
        <f>IF($J$1="","",HLOOKUP($J$1,$M$1:$AAY$1000,765,0))</f>
        <v/>
      </c>
    </row>
    <row r="766" spans="1:10" x14ac:dyDescent="0.25">
      <c r="A766" s="4" t="str">
        <f>IF(Produits!A647="","",Produits!A647)</f>
        <v/>
      </c>
      <c r="B766" s="4" t="str">
        <f>IF(Produits!B647="","",Produits!B647)</f>
        <v/>
      </c>
      <c r="C766" s="4" t="str">
        <f>IF(Produits!C647="","",Produits!C647)</f>
        <v/>
      </c>
      <c r="D766" s="4" t="str">
        <f>IF(Produits!D647="","",Produits!D647)</f>
        <v/>
      </c>
      <c r="E766" s="4" t="str">
        <f>IF(Produits!E647="","",Produits!E647)</f>
        <v/>
      </c>
      <c r="F766" s="49" t="str">
        <f>IF(Produits!F647="","",Produits!F647)</f>
        <v/>
      </c>
      <c r="J766" s="88" t="str">
        <f>IF($J$1="","",HLOOKUP($J$1,$M$1:$AAY$1000,766,0))</f>
        <v/>
      </c>
    </row>
    <row r="767" spans="1:10" x14ac:dyDescent="0.25">
      <c r="A767" s="4" t="str">
        <f>IF(Produits!A648="","",Produits!A648)</f>
        <v/>
      </c>
      <c r="B767" s="4" t="str">
        <f>IF(Produits!B648="","",Produits!B648)</f>
        <v/>
      </c>
      <c r="C767" s="4" t="str">
        <f>IF(Produits!C648="","",Produits!C648)</f>
        <v/>
      </c>
      <c r="D767" s="4" t="str">
        <f>IF(Produits!D648="","",Produits!D648)</f>
        <v/>
      </c>
      <c r="E767" s="4" t="str">
        <f>IF(Produits!E648="","",Produits!E648)</f>
        <v/>
      </c>
      <c r="F767" s="49" t="str">
        <f>IF(Produits!F648="","",Produits!F648)</f>
        <v/>
      </c>
      <c r="J767" s="88" t="str">
        <f>IF($J$1="","",HLOOKUP($J$1,$M$1:$AAY$1000,767,0))</f>
        <v/>
      </c>
    </row>
    <row r="768" spans="1:10" x14ac:dyDescent="0.25">
      <c r="A768" s="4" t="str">
        <f>IF(Produits!A649="","",Produits!A649)</f>
        <v/>
      </c>
      <c r="B768" s="4" t="str">
        <f>IF(Produits!B649="","",Produits!B649)</f>
        <v/>
      </c>
      <c r="C768" s="4" t="str">
        <f>IF(Produits!C649="","",Produits!C649)</f>
        <v/>
      </c>
      <c r="D768" s="4" t="str">
        <f>IF(Produits!D649="","",Produits!D649)</f>
        <v/>
      </c>
      <c r="E768" s="4" t="str">
        <f>IF(Produits!E649="","",Produits!E649)</f>
        <v/>
      </c>
      <c r="F768" s="49" t="str">
        <f>IF(Produits!F649="","",Produits!F649)</f>
        <v/>
      </c>
      <c r="J768" s="88" t="str">
        <f>IF($J$1="","",HLOOKUP($J$1,$M$1:$AAY$1000,768,0))</f>
        <v/>
      </c>
    </row>
    <row r="769" spans="1:10" x14ac:dyDescent="0.25">
      <c r="A769" s="4" t="str">
        <f>IF(Produits!A650="","",Produits!A650)</f>
        <v/>
      </c>
      <c r="B769" s="4" t="str">
        <f>IF(Produits!B650="","",Produits!B650)</f>
        <v/>
      </c>
      <c r="C769" s="4" t="str">
        <f>IF(Produits!C650="","",Produits!C650)</f>
        <v/>
      </c>
      <c r="D769" s="4" t="str">
        <f>IF(Produits!D650="","",Produits!D650)</f>
        <v/>
      </c>
      <c r="E769" s="4" t="str">
        <f>IF(Produits!E650="","",Produits!E650)</f>
        <v/>
      </c>
      <c r="F769" s="49" t="str">
        <f>IF(Produits!F650="","",Produits!F650)</f>
        <v/>
      </c>
      <c r="J769" s="88" t="str">
        <f>IF($J$1="","",HLOOKUP($J$1,$M$1:$AAY$1000,769,0))</f>
        <v/>
      </c>
    </row>
    <row r="770" spans="1:10" x14ac:dyDescent="0.25">
      <c r="A770" s="4" t="str">
        <f>IF(Produits!A651="","",Produits!A651)</f>
        <v/>
      </c>
      <c r="B770" s="4" t="str">
        <f>IF(Produits!B651="","",Produits!B651)</f>
        <v/>
      </c>
      <c r="C770" s="4" t="str">
        <f>IF(Produits!C651="","",Produits!C651)</f>
        <v/>
      </c>
      <c r="D770" s="4" t="str">
        <f>IF(Produits!D651="","",Produits!D651)</f>
        <v/>
      </c>
      <c r="E770" s="4" t="str">
        <f>IF(Produits!E651="","",Produits!E651)</f>
        <v/>
      </c>
      <c r="F770" s="49" t="str">
        <f>IF(Produits!F651="","",Produits!F651)</f>
        <v/>
      </c>
      <c r="J770" s="88" t="str">
        <f>IF($J$1="","",HLOOKUP($J$1,$M$1:$AAY$1000,770,0))</f>
        <v/>
      </c>
    </row>
    <row r="771" spans="1:10" x14ac:dyDescent="0.25">
      <c r="A771" s="4" t="str">
        <f>IF(Produits!A652="","",Produits!A652)</f>
        <v/>
      </c>
      <c r="B771" s="4" t="str">
        <f>IF(Produits!B652="","",Produits!B652)</f>
        <v/>
      </c>
      <c r="C771" s="4" t="str">
        <f>IF(Produits!C652="","",Produits!C652)</f>
        <v/>
      </c>
      <c r="D771" s="4" t="str">
        <f>IF(Produits!D652="","",Produits!D652)</f>
        <v/>
      </c>
      <c r="E771" s="4" t="str">
        <f>IF(Produits!E652="","",Produits!E652)</f>
        <v/>
      </c>
      <c r="F771" s="49" t="str">
        <f>IF(Produits!F652="","",Produits!F652)</f>
        <v/>
      </c>
      <c r="J771" s="88" t="str">
        <f>IF($J$1="","",HLOOKUP($J$1,$M$1:$AAY$1000,771,0))</f>
        <v/>
      </c>
    </row>
    <row r="772" spans="1:10" x14ac:dyDescent="0.25">
      <c r="A772" s="4" t="str">
        <f>IF(Produits!A653="","",Produits!A653)</f>
        <v/>
      </c>
      <c r="B772" s="4" t="str">
        <f>IF(Produits!B653="","",Produits!B653)</f>
        <v/>
      </c>
      <c r="C772" s="4" t="str">
        <f>IF(Produits!C653="","",Produits!C653)</f>
        <v/>
      </c>
      <c r="D772" s="4" t="str">
        <f>IF(Produits!D653="","",Produits!D653)</f>
        <v/>
      </c>
      <c r="E772" s="4" t="str">
        <f>IF(Produits!E653="","",Produits!E653)</f>
        <v/>
      </c>
      <c r="F772" s="49" t="str">
        <f>IF(Produits!F653="","",Produits!F653)</f>
        <v/>
      </c>
      <c r="J772" s="88" t="str">
        <f>IF($J$1="","",HLOOKUP($J$1,$M$1:$AAY$1000,772,0))</f>
        <v/>
      </c>
    </row>
    <row r="773" spans="1:10" x14ac:dyDescent="0.25">
      <c r="A773" s="4" t="str">
        <f>IF(Produits!A654="","",Produits!A654)</f>
        <v/>
      </c>
      <c r="B773" s="4" t="str">
        <f>IF(Produits!B654="","",Produits!B654)</f>
        <v/>
      </c>
      <c r="C773" s="4" t="str">
        <f>IF(Produits!C654="","",Produits!C654)</f>
        <v/>
      </c>
      <c r="D773" s="4" t="str">
        <f>IF(Produits!D654="","",Produits!D654)</f>
        <v/>
      </c>
      <c r="E773" s="4" t="str">
        <f>IF(Produits!E654="","",Produits!E654)</f>
        <v/>
      </c>
      <c r="F773" s="49" t="str">
        <f>IF(Produits!F654="","",Produits!F654)</f>
        <v/>
      </c>
      <c r="J773" s="88" t="str">
        <f>IF($J$1="","",HLOOKUP($J$1,$M$1:$AAY$1000,773,0))</f>
        <v/>
      </c>
    </row>
    <row r="774" spans="1:10" x14ac:dyDescent="0.25">
      <c r="A774" s="4" t="str">
        <f>IF(Produits!A655="","",Produits!A655)</f>
        <v/>
      </c>
      <c r="B774" s="4" t="str">
        <f>IF(Produits!B655="","",Produits!B655)</f>
        <v/>
      </c>
      <c r="C774" s="4" t="str">
        <f>IF(Produits!C655="","",Produits!C655)</f>
        <v/>
      </c>
      <c r="D774" s="4" t="str">
        <f>IF(Produits!D655="","",Produits!D655)</f>
        <v/>
      </c>
      <c r="E774" s="4" t="str">
        <f>IF(Produits!E655="","",Produits!E655)</f>
        <v/>
      </c>
      <c r="F774" s="49" t="str">
        <f>IF(Produits!F655="","",Produits!F655)</f>
        <v/>
      </c>
      <c r="J774" s="88" t="str">
        <f>IF($J$1="","",HLOOKUP($J$1,$M$1:$AAY$1000,774,0))</f>
        <v/>
      </c>
    </row>
    <row r="775" spans="1:10" x14ac:dyDescent="0.25">
      <c r="A775" s="4" t="str">
        <f>IF(Produits!A656="","",Produits!A656)</f>
        <v/>
      </c>
      <c r="B775" s="4" t="str">
        <f>IF(Produits!B656="","",Produits!B656)</f>
        <v/>
      </c>
      <c r="C775" s="4" t="str">
        <f>IF(Produits!C656="","",Produits!C656)</f>
        <v/>
      </c>
      <c r="D775" s="4" t="str">
        <f>IF(Produits!D656="","",Produits!D656)</f>
        <v/>
      </c>
      <c r="E775" s="4" t="str">
        <f>IF(Produits!E656="","",Produits!E656)</f>
        <v/>
      </c>
      <c r="F775" s="49" t="str">
        <f>IF(Produits!F656="","",Produits!F656)</f>
        <v/>
      </c>
      <c r="J775" s="88" t="str">
        <f>IF($J$1="","",HLOOKUP($J$1,$M$1:$AAY$1000,775,0))</f>
        <v/>
      </c>
    </row>
    <row r="776" spans="1:10" x14ac:dyDescent="0.25">
      <c r="A776" s="4" t="str">
        <f>IF(Produits!A657="","",Produits!A657)</f>
        <v/>
      </c>
      <c r="B776" s="4" t="str">
        <f>IF(Produits!B657="","",Produits!B657)</f>
        <v/>
      </c>
      <c r="C776" s="4" t="str">
        <f>IF(Produits!C657="","",Produits!C657)</f>
        <v/>
      </c>
      <c r="D776" s="4" t="str">
        <f>IF(Produits!D657="","",Produits!D657)</f>
        <v/>
      </c>
      <c r="E776" s="4" t="str">
        <f>IF(Produits!E657="","",Produits!E657)</f>
        <v/>
      </c>
      <c r="F776" s="49" t="str">
        <f>IF(Produits!F657="","",Produits!F657)</f>
        <v/>
      </c>
      <c r="J776" s="88" t="str">
        <f>IF($J$1="","",HLOOKUP($J$1,$M$1:$AAY$1000,776,0))</f>
        <v/>
      </c>
    </row>
    <row r="777" spans="1:10" x14ac:dyDescent="0.25">
      <c r="A777" s="4" t="str">
        <f>IF(Produits!A658="","",Produits!A658)</f>
        <v/>
      </c>
      <c r="B777" s="4" t="str">
        <f>IF(Produits!B658="","",Produits!B658)</f>
        <v/>
      </c>
      <c r="C777" s="4" t="str">
        <f>IF(Produits!C658="","",Produits!C658)</f>
        <v/>
      </c>
      <c r="D777" s="4" t="str">
        <f>IF(Produits!D658="","",Produits!D658)</f>
        <v/>
      </c>
      <c r="E777" s="4" t="str">
        <f>IF(Produits!E658="","",Produits!E658)</f>
        <v/>
      </c>
      <c r="F777" s="49" t="str">
        <f>IF(Produits!F658="","",Produits!F658)</f>
        <v/>
      </c>
      <c r="J777" s="88" t="str">
        <f>IF($J$1="","",HLOOKUP($J$1,$M$1:$AAY$1000,777,0))</f>
        <v/>
      </c>
    </row>
    <row r="778" spans="1:10" x14ac:dyDescent="0.25">
      <c r="A778" s="4" t="str">
        <f>IF(Produits!A659="","",Produits!A659)</f>
        <v/>
      </c>
      <c r="B778" s="4" t="str">
        <f>IF(Produits!B659="","",Produits!B659)</f>
        <v/>
      </c>
      <c r="C778" s="4" t="str">
        <f>IF(Produits!C659="","",Produits!C659)</f>
        <v/>
      </c>
      <c r="D778" s="4" t="str">
        <f>IF(Produits!D659="","",Produits!D659)</f>
        <v/>
      </c>
      <c r="E778" s="4" t="str">
        <f>IF(Produits!E659="","",Produits!E659)</f>
        <v/>
      </c>
      <c r="F778" s="49" t="str">
        <f>IF(Produits!F659="","",Produits!F659)</f>
        <v/>
      </c>
      <c r="J778" s="88" t="str">
        <f>IF($J$1="","",HLOOKUP($J$1,$M$1:$AAY$1000,778,0))</f>
        <v/>
      </c>
    </row>
    <row r="779" spans="1:10" x14ac:dyDescent="0.25">
      <c r="A779" s="4" t="str">
        <f>IF(Produits!A660="","",Produits!A660)</f>
        <v/>
      </c>
      <c r="B779" s="4" t="str">
        <f>IF(Produits!B660="","",Produits!B660)</f>
        <v/>
      </c>
      <c r="C779" s="4" t="str">
        <f>IF(Produits!C660="","",Produits!C660)</f>
        <v/>
      </c>
      <c r="D779" s="4" t="str">
        <f>IF(Produits!D660="","",Produits!D660)</f>
        <v/>
      </c>
      <c r="E779" s="4" t="str">
        <f>IF(Produits!E660="","",Produits!E660)</f>
        <v/>
      </c>
      <c r="F779" s="49" t="str">
        <f>IF(Produits!F660="","",Produits!F660)</f>
        <v/>
      </c>
      <c r="J779" s="88" t="str">
        <f>IF($J$1="","",HLOOKUP($J$1,$M$1:$AAY$1000,779,0))</f>
        <v/>
      </c>
    </row>
    <row r="780" spans="1:10" x14ac:dyDescent="0.25">
      <c r="A780" s="4" t="str">
        <f>IF(Produits!A661="","",Produits!A661)</f>
        <v/>
      </c>
      <c r="B780" s="4" t="str">
        <f>IF(Produits!B661="","",Produits!B661)</f>
        <v/>
      </c>
      <c r="C780" s="4" t="str">
        <f>IF(Produits!C661="","",Produits!C661)</f>
        <v/>
      </c>
      <c r="D780" s="4" t="str">
        <f>IF(Produits!D661="","",Produits!D661)</f>
        <v/>
      </c>
      <c r="E780" s="4" t="str">
        <f>IF(Produits!E661="","",Produits!E661)</f>
        <v/>
      </c>
      <c r="F780" s="49" t="str">
        <f>IF(Produits!F661="","",Produits!F661)</f>
        <v/>
      </c>
      <c r="J780" s="88" t="str">
        <f>IF($J$1="","",HLOOKUP($J$1,$M$1:$AAY$1000,780,0))</f>
        <v/>
      </c>
    </row>
    <row r="781" spans="1:10" x14ac:dyDescent="0.25">
      <c r="A781" s="4" t="str">
        <f>IF(Produits!A662="","",Produits!A662)</f>
        <v/>
      </c>
      <c r="B781" s="4" t="str">
        <f>IF(Produits!B662="","",Produits!B662)</f>
        <v/>
      </c>
      <c r="C781" s="4" t="str">
        <f>IF(Produits!C662="","",Produits!C662)</f>
        <v/>
      </c>
      <c r="D781" s="4" t="str">
        <f>IF(Produits!D662="","",Produits!D662)</f>
        <v/>
      </c>
      <c r="E781" s="4" t="str">
        <f>IF(Produits!E662="","",Produits!E662)</f>
        <v/>
      </c>
      <c r="F781" s="49" t="str">
        <f>IF(Produits!F662="","",Produits!F662)</f>
        <v/>
      </c>
      <c r="J781" s="88" t="str">
        <f>IF($J$1="","",HLOOKUP($J$1,$M$1:$AAY$1000,781,0))</f>
        <v/>
      </c>
    </row>
    <row r="782" spans="1:10" x14ac:dyDescent="0.25">
      <c r="A782" s="4" t="str">
        <f>IF(Produits!A663="","",Produits!A663)</f>
        <v/>
      </c>
      <c r="B782" s="4" t="str">
        <f>IF(Produits!B663="","",Produits!B663)</f>
        <v/>
      </c>
      <c r="C782" s="4" t="str">
        <f>IF(Produits!C663="","",Produits!C663)</f>
        <v/>
      </c>
      <c r="D782" s="4" t="str">
        <f>IF(Produits!D663="","",Produits!D663)</f>
        <v/>
      </c>
      <c r="E782" s="4" t="str">
        <f>IF(Produits!E663="","",Produits!E663)</f>
        <v/>
      </c>
      <c r="F782" s="49" t="str">
        <f>IF(Produits!F663="","",Produits!F663)</f>
        <v/>
      </c>
      <c r="J782" s="88" t="str">
        <f>IF($J$1="","",HLOOKUP($J$1,$M$1:$AAY$1000,782,0))</f>
        <v/>
      </c>
    </row>
    <row r="783" spans="1:10" x14ac:dyDescent="0.25">
      <c r="A783" s="4" t="str">
        <f>IF(Produits!A664="","",Produits!A664)</f>
        <v/>
      </c>
      <c r="B783" s="4" t="str">
        <f>IF(Produits!B664="","",Produits!B664)</f>
        <v/>
      </c>
      <c r="C783" s="4" t="str">
        <f>IF(Produits!C664="","",Produits!C664)</f>
        <v/>
      </c>
      <c r="D783" s="4" t="str">
        <f>IF(Produits!D664="","",Produits!D664)</f>
        <v/>
      </c>
      <c r="E783" s="4" t="str">
        <f>IF(Produits!E664="","",Produits!E664)</f>
        <v/>
      </c>
      <c r="F783" s="49" t="str">
        <f>IF(Produits!F664="","",Produits!F664)</f>
        <v/>
      </c>
      <c r="J783" s="88" t="str">
        <f>IF($J$1="","",HLOOKUP($J$1,$M$1:$AAY$1000,783,0))</f>
        <v/>
      </c>
    </row>
    <row r="784" spans="1:10" x14ac:dyDescent="0.25">
      <c r="A784" s="4" t="str">
        <f>IF(Produits!A665="","",Produits!A665)</f>
        <v/>
      </c>
      <c r="B784" s="4" t="str">
        <f>IF(Produits!B665="","",Produits!B665)</f>
        <v/>
      </c>
      <c r="C784" s="4" t="str">
        <f>IF(Produits!C665="","",Produits!C665)</f>
        <v/>
      </c>
      <c r="D784" s="4" t="str">
        <f>IF(Produits!D665="","",Produits!D665)</f>
        <v/>
      </c>
      <c r="E784" s="4" t="str">
        <f>IF(Produits!E665="","",Produits!E665)</f>
        <v/>
      </c>
      <c r="F784" s="49" t="str">
        <f>IF(Produits!F665="","",Produits!F665)</f>
        <v/>
      </c>
      <c r="J784" s="88" t="str">
        <f>IF($J$1="","",HLOOKUP($J$1,$M$1:$AAY$1000,784,0))</f>
        <v/>
      </c>
    </row>
    <row r="785" spans="1:10" x14ac:dyDescent="0.25">
      <c r="A785" s="4" t="str">
        <f>IF(Produits!A666="","",Produits!A666)</f>
        <v/>
      </c>
      <c r="B785" s="4" t="str">
        <f>IF(Produits!B666="","",Produits!B666)</f>
        <v/>
      </c>
      <c r="C785" s="4" t="str">
        <f>IF(Produits!C666="","",Produits!C666)</f>
        <v/>
      </c>
      <c r="D785" s="4" t="str">
        <f>IF(Produits!D666="","",Produits!D666)</f>
        <v/>
      </c>
      <c r="E785" s="4" t="str">
        <f>IF(Produits!E666="","",Produits!E666)</f>
        <v/>
      </c>
      <c r="F785" s="49" t="str">
        <f>IF(Produits!F666="","",Produits!F666)</f>
        <v/>
      </c>
      <c r="J785" s="88" t="str">
        <f>IF($J$1="","",HLOOKUP($J$1,$M$1:$AAY$1000,785,0))</f>
        <v/>
      </c>
    </row>
    <row r="786" spans="1:10" x14ac:dyDescent="0.25">
      <c r="A786" s="4" t="str">
        <f>IF(Produits!A667="","",Produits!A667)</f>
        <v/>
      </c>
      <c r="B786" s="4" t="str">
        <f>IF(Produits!B667="","",Produits!B667)</f>
        <v/>
      </c>
      <c r="C786" s="4" t="str">
        <f>IF(Produits!C667="","",Produits!C667)</f>
        <v/>
      </c>
      <c r="D786" s="4" t="str">
        <f>IF(Produits!D667="","",Produits!D667)</f>
        <v/>
      </c>
      <c r="E786" s="4" t="str">
        <f>IF(Produits!E667="","",Produits!E667)</f>
        <v/>
      </c>
      <c r="F786" s="49" t="str">
        <f>IF(Produits!F667="","",Produits!F667)</f>
        <v/>
      </c>
      <c r="J786" s="88" t="str">
        <f>IF($J$1="","",HLOOKUP($J$1,$M$1:$AAY$1000,786,0))</f>
        <v/>
      </c>
    </row>
    <row r="787" spans="1:10" x14ac:dyDescent="0.25">
      <c r="A787" s="4" t="str">
        <f>IF(Produits!A668="","",Produits!A668)</f>
        <v/>
      </c>
      <c r="B787" s="4" t="str">
        <f>IF(Produits!B668="","",Produits!B668)</f>
        <v/>
      </c>
      <c r="C787" s="4" t="str">
        <f>IF(Produits!C668="","",Produits!C668)</f>
        <v/>
      </c>
      <c r="D787" s="4" t="str">
        <f>IF(Produits!D668="","",Produits!D668)</f>
        <v/>
      </c>
      <c r="E787" s="4" t="str">
        <f>IF(Produits!E668="","",Produits!E668)</f>
        <v/>
      </c>
      <c r="F787" s="49" t="str">
        <f>IF(Produits!F668="","",Produits!F668)</f>
        <v/>
      </c>
      <c r="J787" s="88" t="str">
        <f>IF($J$1="","",HLOOKUP($J$1,$M$1:$AAY$1000,787,0))</f>
        <v/>
      </c>
    </row>
    <row r="788" spans="1:10" x14ac:dyDescent="0.25">
      <c r="A788" s="4" t="str">
        <f>IF(Produits!A669="","",Produits!A669)</f>
        <v/>
      </c>
      <c r="B788" s="4" t="str">
        <f>IF(Produits!B669="","",Produits!B669)</f>
        <v/>
      </c>
      <c r="C788" s="4" t="str">
        <f>IF(Produits!C669="","",Produits!C669)</f>
        <v/>
      </c>
      <c r="D788" s="4" t="str">
        <f>IF(Produits!D669="","",Produits!D669)</f>
        <v/>
      </c>
      <c r="E788" s="4" t="str">
        <f>IF(Produits!E669="","",Produits!E669)</f>
        <v/>
      </c>
      <c r="F788" s="49" t="str">
        <f>IF(Produits!F669="","",Produits!F669)</f>
        <v/>
      </c>
      <c r="J788" s="88" t="str">
        <f>IF($J$1="","",HLOOKUP($J$1,$M$1:$AAY$1000,788,0))</f>
        <v/>
      </c>
    </row>
    <row r="789" spans="1:10" x14ac:dyDescent="0.25">
      <c r="A789" s="4" t="str">
        <f>IF(Produits!A670="","",Produits!A670)</f>
        <v/>
      </c>
      <c r="B789" s="4" t="str">
        <f>IF(Produits!B670="","",Produits!B670)</f>
        <v/>
      </c>
      <c r="C789" s="4" t="str">
        <f>IF(Produits!C670="","",Produits!C670)</f>
        <v/>
      </c>
      <c r="D789" s="4" t="str">
        <f>IF(Produits!D670="","",Produits!D670)</f>
        <v/>
      </c>
      <c r="E789" s="4" t="str">
        <f>IF(Produits!E670="","",Produits!E670)</f>
        <v/>
      </c>
      <c r="F789" s="49" t="str">
        <f>IF(Produits!F670="","",Produits!F670)</f>
        <v/>
      </c>
      <c r="J789" s="88" t="str">
        <f>IF($J$1="","",HLOOKUP($J$1,$M$1:$AAY$1000,789,0))</f>
        <v/>
      </c>
    </row>
    <row r="790" spans="1:10" x14ac:dyDescent="0.25">
      <c r="A790" s="4" t="str">
        <f>IF(Produits!A671="","",Produits!A671)</f>
        <v/>
      </c>
      <c r="B790" s="4" t="str">
        <f>IF(Produits!B671="","",Produits!B671)</f>
        <v/>
      </c>
      <c r="C790" s="4" t="str">
        <f>IF(Produits!C671="","",Produits!C671)</f>
        <v/>
      </c>
      <c r="D790" s="4" t="str">
        <f>IF(Produits!D671="","",Produits!D671)</f>
        <v/>
      </c>
      <c r="E790" s="4" t="str">
        <f>IF(Produits!E671="","",Produits!E671)</f>
        <v/>
      </c>
      <c r="F790" s="49" t="str">
        <f>IF(Produits!F671="","",Produits!F671)</f>
        <v/>
      </c>
      <c r="J790" s="88" t="str">
        <f>IF($J$1="","",HLOOKUP($J$1,$M$1:$AAY$1000,790,0))</f>
        <v/>
      </c>
    </row>
    <row r="791" spans="1:10" x14ac:dyDescent="0.25">
      <c r="A791" s="4" t="str">
        <f>IF(Produits!A672="","",Produits!A672)</f>
        <v/>
      </c>
      <c r="B791" s="4" t="str">
        <f>IF(Produits!B672="","",Produits!B672)</f>
        <v/>
      </c>
      <c r="C791" s="4" t="str">
        <f>IF(Produits!C672="","",Produits!C672)</f>
        <v/>
      </c>
      <c r="D791" s="4" t="str">
        <f>IF(Produits!D672="","",Produits!D672)</f>
        <v/>
      </c>
      <c r="E791" s="4" t="str">
        <f>IF(Produits!E672="","",Produits!E672)</f>
        <v/>
      </c>
      <c r="F791" s="49" t="str">
        <f>IF(Produits!F672="","",Produits!F672)</f>
        <v/>
      </c>
      <c r="J791" s="88" t="str">
        <f>IF($J$1="","",HLOOKUP($J$1,$M$1:$AAY$1000,791,0))</f>
        <v/>
      </c>
    </row>
    <row r="792" spans="1:10" x14ac:dyDescent="0.25">
      <c r="A792" s="4" t="str">
        <f>IF(Produits!A673="","",Produits!A673)</f>
        <v/>
      </c>
      <c r="B792" s="4" t="str">
        <f>IF(Produits!B673="","",Produits!B673)</f>
        <v/>
      </c>
      <c r="C792" s="4" t="str">
        <f>IF(Produits!C673="","",Produits!C673)</f>
        <v/>
      </c>
      <c r="D792" s="4" t="str">
        <f>IF(Produits!D673="","",Produits!D673)</f>
        <v/>
      </c>
      <c r="E792" s="4" t="str">
        <f>IF(Produits!E673="","",Produits!E673)</f>
        <v/>
      </c>
      <c r="F792" s="49" t="str">
        <f>IF(Produits!F673="","",Produits!F673)</f>
        <v/>
      </c>
      <c r="J792" s="88" t="str">
        <f>IF($J$1="","",HLOOKUP($J$1,$M$1:$AAY$1000,792,0))</f>
        <v/>
      </c>
    </row>
    <row r="793" spans="1:10" x14ac:dyDescent="0.25">
      <c r="A793" s="4" t="str">
        <f>IF(Produits!A674="","",Produits!A674)</f>
        <v/>
      </c>
      <c r="B793" s="4" t="str">
        <f>IF(Produits!B674="","",Produits!B674)</f>
        <v/>
      </c>
      <c r="C793" s="4" t="str">
        <f>IF(Produits!C674="","",Produits!C674)</f>
        <v/>
      </c>
      <c r="D793" s="4" t="str">
        <f>IF(Produits!D674="","",Produits!D674)</f>
        <v/>
      </c>
      <c r="E793" s="4" t="str">
        <f>IF(Produits!E674="","",Produits!E674)</f>
        <v/>
      </c>
      <c r="F793" s="49" t="str">
        <f>IF(Produits!F674="","",Produits!F674)</f>
        <v/>
      </c>
      <c r="J793" s="88" t="str">
        <f>IF($J$1="","",HLOOKUP($J$1,$M$1:$AAY$1000,793,0))</f>
        <v/>
      </c>
    </row>
    <row r="794" spans="1:10" x14ac:dyDescent="0.25">
      <c r="A794" s="4" t="str">
        <f>IF(Produits!A675="","",Produits!A675)</f>
        <v/>
      </c>
      <c r="B794" s="4" t="str">
        <f>IF(Produits!B675="","",Produits!B675)</f>
        <v/>
      </c>
      <c r="C794" s="4" t="str">
        <f>IF(Produits!C675="","",Produits!C675)</f>
        <v/>
      </c>
      <c r="D794" s="4" t="str">
        <f>IF(Produits!D675="","",Produits!D675)</f>
        <v/>
      </c>
      <c r="E794" s="4" t="str">
        <f>IF(Produits!E675="","",Produits!E675)</f>
        <v/>
      </c>
      <c r="F794" s="49" t="str">
        <f>IF(Produits!F675="","",Produits!F675)</f>
        <v/>
      </c>
      <c r="J794" s="88" t="str">
        <f>IF($J$1="","",HLOOKUP($J$1,$M$1:$AAY$1000,794,0))</f>
        <v/>
      </c>
    </row>
    <row r="795" spans="1:10" x14ac:dyDescent="0.25">
      <c r="A795" s="4" t="str">
        <f>IF(Produits!A676="","",Produits!A676)</f>
        <v/>
      </c>
      <c r="B795" s="4" t="str">
        <f>IF(Produits!B676="","",Produits!B676)</f>
        <v/>
      </c>
      <c r="C795" s="4" t="str">
        <f>IF(Produits!C676="","",Produits!C676)</f>
        <v/>
      </c>
      <c r="D795" s="4" t="str">
        <f>IF(Produits!D676="","",Produits!D676)</f>
        <v/>
      </c>
      <c r="E795" s="4" t="str">
        <f>IF(Produits!E676="","",Produits!E676)</f>
        <v/>
      </c>
      <c r="F795" s="49" t="str">
        <f>IF(Produits!F676="","",Produits!F676)</f>
        <v/>
      </c>
      <c r="J795" s="88" t="str">
        <f>IF($J$1="","",HLOOKUP($J$1,$M$1:$AAY$1000,795,0))</f>
        <v/>
      </c>
    </row>
    <row r="796" spans="1:10" x14ac:dyDescent="0.25">
      <c r="A796" s="4" t="str">
        <f>IF(Produits!A677="","",Produits!A677)</f>
        <v/>
      </c>
      <c r="B796" s="4" t="str">
        <f>IF(Produits!B677="","",Produits!B677)</f>
        <v/>
      </c>
      <c r="C796" s="4" t="str">
        <f>IF(Produits!C677="","",Produits!C677)</f>
        <v/>
      </c>
      <c r="D796" s="4" t="str">
        <f>IF(Produits!D677="","",Produits!D677)</f>
        <v/>
      </c>
      <c r="E796" s="4" t="str">
        <f>IF(Produits!E677="","",Produits!E677)</f>
        <v/>
      </c>
      <c r="F796" s="49" t="str">
        <f>IF(Produits!F677="","",Produits!F677)</f>
        <v/>
      </c>
      <c r="J796" s="88" t="str">
        <f>IF($J$1="","",HLOOKUP($J$1,$M$1:$AAY$1000,796,0))</f>
        <v/>
      </c>
    </row>
    <row r="797" spans="1:10" x14ac:dyDescent="0.25">
      <c r="A797" s="4" t="str">
        <f>IF(Produits!A678="","",Produits!A678)</f>
        <v/>
      </c>
      <c r="B797" s="4" t="str">
        <f>IF(Produits!B678="","",Produits!B678)</f>
        <v/>
      </c>
      <c r="C797" s="4" t="str">
        <f>IF(Produits!C678="","",Produits!C678)</f>
        <v/>
      </c>
      <c r="D797" s="4" t="str">
        <f>IF(Produits!D678="","",Produits!D678)</f>
        <v/>
      </c>
      <c r="E797" s="4" t="str">
        <f>IF(Produits!E678="","",Produits!E678)</f>
        <v/>
      </c>
      <c r="F797" s="49" t="str">
        <f>IF(Produits!F678="","",Produits!F678)</f>
        <v/>
      </c>
      <c r="J797" s="88" t="str">
        <f>IF($J$1="","",HLOOKUP($J$1,$M$1:$AAY$1000,797,0))</f>
        <v/>
      </c>
    </row>
    <row r="798" spans="1:10" x14ac:dyDescent="0.25">
      <c r="A798" s="4" t="str">
        <f>IF(Produits!A679="","",Produits!A679)</f>
        <v/>
      </c>
      <c r="B798" s="4" t="str">
        <f>IF(Produits!B679="","",Produits!B679)</f>
        <v/>
      </c>
      <c r="C798" s="4" t="str">
        <f>IF(Produits!C679="","",Produits!C679)</f>
        <v/>
      </c>
      <c r="D798" s="4" t="str">
        <f>IF(Produits!D679="","",Produits!D679)</f>
        <v/>
      </c>
      <c r="E798" s="4" t="str">
        <f>IF(Produits!E679="","",Produits!E679)</f>
        <v/>
      </c>
      <c r="F798" s="49" t="str">
        <f>IF(Produits!F679="","",Produits!F679)</f>
        <v/>
      </c>
      <c r="J798" s="88" t="str">
        <f>IF($J$1="","",HLOOKUP($J$1,$M$1:$AAY$1000,798,0))</f>
        <v/>
      </c>
    </row>
    <row r="799" spans="1:10" x14ac:dyDescent="0.25">
      <c r="A799" s="4" t="str">
        <f>IF(Produits!A680="","",Produits!A680)</f>
        <v/>
      </c>
      <c r="B799" s="4" t="str">
        <f>IF(Produits!B680="","",Produits!B680)</f>
        <v/>
      </c>
      <c r="C799" s="4" t="str">
        <f>IF(Produits!C680="","",Produits!C680)</f>
        <v/>
      </c>
      <c r="D799" s="4" t="str">
        <f>IF(Produits!D680="","",Produits!D680)</f>
        <v/>
      </c>
      <c r="E799" s="4" t="str">
        <f>IF(Produits!E680="","",Produits!E680)</f>
        <v/>
      </c>
      <c r="F799" s="49" t="str">
        <f>IF(Produits!F680="","",Produits!F680)</f>
        <v/>
      </c>
      <c r="J799" s="88" t="str">
        <f>IF($J$1="","",HLOOKUP($J$1,$M$1:$AAY$1000,799,0))</f>
        <v/>
      </c>
    </row>
    <row r="800" spans="1:10" x14ac:dyDescent="0.25">
      <c r="A800" s="4" t="str">
        <f>IF(Produits!A681="","",Produits!A681)</f>
        <v/>
      </c>
      <c r="B800" s="4" t="str">
        <f>IF(Produits!B681="","",Produits!B681)</f>
        <v/>
      </c>
      <c r="C800" s="4" t="str">
        <f>IF(Produits!C681="","",Produits!C681)</f>
        <v/>
      </c>
      <c r="D800" s="4" t="str">
        <f>IF(Produits!D681="","",Produits!D681)</f>
        <v/>
      </c>
      <c r="E800" s="4" t="str">
        <f>IF(Produits!E681="","",Produits!E681)</f>
        <v/>
      </c>
      <c r="F800" s="49" t="str">
        <f>IF(Produits!F681="","",Produits!F681)</f>
        <v/>
      </c>
      <c r="J800" s="88" t="str">
        <f>IF($J$1="","",HLOOKUP($J$1,$M$1:$AAY$1000,800,0))</f>
        <v/>
      </c>
    </row>
    <row r="801" spans="1:10" x14ac:dyDescent="0.25">
      <c r="A801" s="4" t="str">
        <f>IF(Produits!A682="","",Produits!A682)</f>
        <v/>
      </c>
      <c r="B801" s="4" t="str">
        <f>IF(Produits!B682="","",Produits!B682)</f>
        <v/>
      </c>
      <c r="C801" s="4" t="str">
        <f>IF(Produits!C682="","",Produits!C682)</f>
        <v/>
      </c>
      <c r="D801" s="4" t="str">
        <f>IF(Produits!D682="","",Produits!D682)</f>
        <v/>
      </c>
      <c r="E801" s="4" t="str">
        <f>IF(Produits!E682="","",Produits!E682)</f>
        <v/>
      </c>
      <c r="F801" s="49" t="str">
        <f>IF(Produits!F682="","",Produits!F682)</f>
        <v/>
      </c>
      <c r="J801" s="88" t="str">
        <f>IF($J$1="","",HLOOKUP($J$1,$M$1:$AAY$1000,801,0))</f>
        <v/>
      </c>
    </row>
    <row r="802" spans="1:10" x14ac:dyDescent="0.25">
      <c r="A802" s="4" t="str">
        <f>IF(Produits!A683="","",Produits!A683)</f>
        <v/>
      </c>
      <c r="B802" s="4" t="str">
        <f>IF(Produits!B683="","",Produits!B683)</f>
        <v/>
      </c>
      <c r="C802" s="4" t="str">
        <f>IF(Produits!C683="","",Produits!C683)</f>
        <v/>
      </c>
      <c r="D802" s="4" t="str">
        <f>IF(Produits!D683="","",Produits!D683)</f>
        <v/>
      </c>
      <c r="E802" s="4" t="str">
        <f>IF(Produits!E683="","",Produits!E683)</f>
        <v/>
      </c>
      <c r="F802" s="49" t="str">
        <f>IF(Produits!F683="","",Produits!F683)</f>
        <v/>
      </c>
      <c r="J802" s="88" t="str">
        <f>IF($J$1="","",HLOOKUP($J$1,$M$1:$AAY$1000,802,0))</f>
        <v/>
      </c>
    </row>
    <row r="803" spans="1:10" x14ac:dyDescent="0.25">
      <c r="A803" s="4" t="str">
        <f>IF(Produits!A684="","",Produits!A684)</f>
        <v/>
      </c>
      <c r="B803" s="4" t="str">
        <f>IF(Produits!B684="","",Produits!B684)</f>
        <v/>
      </c>
      <c r="C803" s="4" t="str">
        <f>IF(Produits!C684="","",Produits!C684)</f>
        <v/>
      </c>
      <c r="D803" s="4" t="str">
        <f>IF(Produits!D684="","",Produits!D684)</f>
        <v/>
      </c>
      <c r="E803" s="4" t="str">
        <f>IF(Produits!E684="","",Produits!E684)</f>
        <v/>
      </c>
      <c r="F803" s="49" t="str">
        <f>IF(Produits!F684="","",Produits!F684)</f>
        <v/>
      </c>
      <c r="J803" s="88" t="str">
        <f>IF($J$1="","",HLOOKUP($J$1,$M$1:$AAY$1000,803,0))</f>
        <v/>
      </c>
    </row>
    <row r="804" spans="1:10" x14ac:dyDescent="0.25">
      <c r="A804" s="4" t="str">
        <f>IF(Produits!A685="","",Produits!A685)</f>
        <v/>
      </c>
      <c r="B804" s="4" t="str">
        <f>IF(Produits!B685="","",Produits!B685)</f>
        <v/>
      </c>
      <c r="C804" s="4" t="str">
        <f>IF(Produits!C685="","",Produits!C685)</f>
        <v/>
      </c>
      <c r="D804" s="4" t="str">
        <f>IF(Produits!D685="","",Produits!D685)</f>
        <v/>
      </c>
      <c r="E804" s="4" t="str">
        <f>IF(Produits!E685="","",Produits!E685)</f>
        <v/>
      </c>
      <c r="F804" s="49" t="str">
        <f>IF(Produits!F685="","",Produits!F685)</f>
        <v/>
      </c>
      <c r="J804" s="88" t="str">
        <f>IF($J$1="","",HLOOKUP($J$1,$M$1:$AAY$1000,804,0))</f>
        <v/>
      </c>
    </row>
    <row r="805" spans="1:10" x14ac:dyDescent="0.25">
      <c r="A805" s="4" t="str">
        <f>IF(Produits!A686="","",Produits!A686)</f>
        <v/>
      </c>
      <c r="B805" s="4" t="str">
        <f>IF(Produits!B686="","",Produits!B686)</f>
        <v/>
      </c>
      <c r="C805" s="4" t="str">
        <f>IF(Produits!C686="","",Produits!C686)</f>
        <v/>
      </c>
      <c r="D805" s="4" t="str">
        <f>IF(Produits!D686="","",Produits!D686)</f>
        <v/>
      </c>
      <c r="E805" s="4" t="str">
        <f>IF(Produits!E686="","",Produits!E686)</f>
        <v/>
      </c>
      <c r="F805" s="49" t="str">
        <f>IF(Produits!F686="","",Produits!F686)</f>
        <v/>
      </c>
      <c r="J805" s="88" t="str">
        <f>IF($J$1="","",HLOOKUP($J$1,$M$1:$AAY$1000,805,0))</f>
        <v/>
      </c>
    </row>
    <row r="806" spans="1:10" x14ac:dyDescent="0.25">
      <c r="A806" s="4" t="str">
        <f>IF(Produits!A687="","",Produits!A687)</f>
        <v/>
      </c>
      <c r="B806" s="4" t="str">
        <f>IF(Produits!B687="","",Produits!B687)</f>
        <v/>
      </c>
      <c r="C806" s="4" t="str">
        <f>IF(Produits!C687="","",Produits!C687)</f>
        <v/>
      </c>
      <c r="D806" s="4" t="str">
        <f>IF(Produits!D687="","",Produits!D687)</f>
        <v/>
      </c>
      <c r="E806" s="4" t="str">
        <f>IF(Produits!E687="","",Produits!E687)</f>
        <v/>
      </c>
      <c r="F806" s="49" t="str">
        <f>IF(Produits!F687="","",Produits!F687)</f>
        <v/>
      </c>
      <c r="J806" s="88" t="str">
        <f>IF($J$1="","",HLOOKUP($J$1,$M$1:$AAY$1000,806,0))</f>
        <v/>
      </c>
    </row>
    <row r="807" spans="1:10" x14ac:dyDescent="0.25">
      <c r="A807" s="4" t="str">
        <f>IF(Produits!A688="","",Produits!A688)</f>
        <v/>
      </c>
      <c r="B807" s="4" t="str">
        <f>IF(Produits!B688="","",Produits!B688)</f>
        <v/>
      </c>
      <c r="C807" s="4" t="str">
        <f>IF(Produits!C688="","",Produits!C688)</f>
        <v/>
      </c>
      <c r="D807" s="4" t="str">
        <f>IF(Produits!D688="","",Produits!D688)</f>
        <v/>
      </c>
      <c r="E807" s="4" t="str">
        <f>IF(Produits!E688="","",Produits!E688)</f>
        <v/>
      </c>
      <c r="F807" s="49" t="str">
        <f>IF(Produits!F688="","",Produits!F688)</f>
        <v/>
      </c>
      <c r="J807" s="88" t="str">
        <f>IF($J$1="","",HLOOKUP($J$1,$M$1:$AAY$1000,807,0))</f>
        <v/>
      </c>
    </row>
    <row r="808" spans="1:10" x14ac:dyDescent="0.25">
      <c r="A808" s="4" t="str">
        <f>IF(Produits!A689="","",Produits!A689)</f>
        <v/>
      </c>
      <c r="B808" s="4" t="str">
        <f>IF(Produits!B689="","",Produits!B689)</f>
        <v/>
      </c>
      <c r="C808" s="4" t="str">
        <f>IF(Produits!C689="","",Produits!C689)</f>
        <v/>
      </c>
      <c r="D808" s="4" t="str">
        <f>IF(Produits!D689="","",Produits!D689)</f>
        <v/>
      </c>
      <c r="E808" s="4" t="str">
        <f>IF(Produits!E689="","",Produits!E689)</f>
        <v/>
      </c>
      <c r="F808" s="49" t="str">
        <f>IF(Produits!F689="","",Produits!F689)</f>
        <v/>
      </c>
      <c r="J808" s="88" t="str">
        <f>IF($J$1="","",HLOOKUP($J$1,$M$1:$AAY$1000,808,0))</f>
        <v/>
      </c>
    </row>
    <row r="809" spans="1:10" x14ac:dyDescent="0.25">
      <c r="A809" s="4" t="str">
        <f>IF(Produits!A690="","",Produits!A690)</f>
        <v/>
      </c>
      <c r="B809" s="4" t="str">
        <f>IF(Produits!B690="","",Produits!B690)</f>
        <v/>
      </c>
      <c r="C809" s="4" t="str">
        <f>IF(Produits!C690="","",Produits!C690)</f>
        <v/>
      </c>
      <c r="D809" s="4" t="str">
        <f>IF(Produits!D690="","",Produits!D690)</f>
        <v/>
      </c>
      <c r="E809" s="4" t="str">
        <f>IF(Produits!E690="","",Produits!E690)</f>
        <v/>
      </c>
      <c r="F809" s="49" t="str">
        <f>IF(Produits!F690="","",Produits!F690)</f>
        <v/>
      </c>
      <c r="J809" s="88" t="str">
        <f>IF($J$1="","",HLOOKUP($J$1,$M$1:$AAY$1000,809,0))</f>
        <v/>
      </c>
    </row>
    <row r="810" spans="1:10" x14ac:dyDescent="0.25">
      <c r="A810" s="4" t="str">
        <f>IF(Produits!A691="","",Produits!A691)</f>
        <v/>
      </c>
      <c r="B810" s="4" t="str">
        <f>IF(Produits!B691="","",Produits!B691)</f>
        <v/>
      </c>
      <c r="C810" s="4" t="str">
        <f>IF(Produits!C691="","",Produits!C691)</f>
        <v/>
      </c>
      <c r="D810" s="4" t="str">
        <f>IF(Produits!D691="","",Produits!D691)</f>
        <v/>
      </c>
      <c r="E810" s="4" t="str">
        <f>IF(Produits!E691="","",Produits!E691)</f>
        <v/>
      </c>
      <c r="F810" s="49" t="str">
        <f>IF(Produits!F691="","",Produits!F691)</f>
        <v/>
      </c>
      <c r="J810" s="88" t="str">
        <f>IF($J$1="","",HLOOKUP($J$1,$M$1:$AAY$1000,810,0))</f>
        <v/>
      </c>
    </row>
    <row r="811" spans="1:10" x14ac:dyDescent="0.25">
      <c r="A811" s="4" t="str">
        <f>IF(Produits!A692="","",Produits!A692)</f>
        <v/>
      </c>
      <c r="B811" s="4" t="str">
        <f>IF(Produits!B692="","",Produits!B692)</f>
        <v/>
      </c>
      <c r="C811" s="4" t="str">
        <f>IF(Produits!C692="","",Produits!C692)</f>
        <v/>
      </c>
      <c r="D811" s="4" t="str">
        <f>IF(Produits!D692="","",Produits!D692)</f>
        <v/>
      </c>
      <c r="E811" s="4" t="str">
        <f>IF(Produits!E692="","",Produits!E692)</f>
        <v/>
      </c>
      <c r="F811" s="49" t="str">
        <f>IF(Produits!F692="","",Produits!F692)</f>
        <v/>
      </c>
      <c r="J811" s="88" t="str">
        <f>IF($J$1="","",HLOOKUP($J$1,$M$1:$AAY$1000,811,0))</f>
        <v/>
      </c>
    </row>
    <row r="812" spans="1:10" x14ac:dyDescent="0.25">
      <c r="A812" s="4" t="str">
        <f>IF(Produits!A693="","",Produits!A693)</f>
        <v/>
      </c>
      <c r="B812" s="4" t="str">
        <f>IF(Produits!B693="","",Produits!B693)</f>
        <v/>
      </c>
      <c r="C812" s="4" t="str">
        <f>IF(Produits!C693="","",Produits!C693)</f>
        <v/>
      </c>
      <c r="D812" s="4" t="str">
        <f>IF(Produits!D693="","",Produits!D693)</f>
        <v/>
      </c>
      <c r="E812" s="4" t="str">
        <f>IF(Produits!E693="","",Produits!E693)</f>
        <v/>
      </c>
      <c r="F812" s="49" t="str">
        <f>IF(Produits!F693="","",Produits!F693)</f>
        <v/>
      </c>
      <c r="J812" s="88" t="str">
        <f>IF($J$1="","",HLOOKUP($J$1,$M$1:$AAY$1000,812,0))</f>
        <v/>
      </c>
    </row>
    <row r="813" spans="1:10" x14ac:dyDescent="0.25">
      <c r="A813" s="4" t="str">
        <f>IF(Produits!A694="","",Produits!A694)</f>
        <v/>
      </c>
      <c r="B813" s="4" t="str">
        <f>IF(Produits!B694="","",Produits!B694)</f>
        <v/>
      </c>
      <c r="C813" s="4" t="str">
        <f>IF(Produits!C694="","",Produits!C694)</f>
        <v/>
      </c>
      <c r="D813" s="4" t="str">
        <f>IF(Produits!D694="","",Produits!D694)</f>
        <v/>
      </c>
      <c r="E813" s="4" t="str">
        <f>IF(Produits!E694="","",Produits!E694)</f>
        <v/>
      </c>
      <c r="F813" s="49" t="str">
        <f>IF(Produits!F694="","",Produits!F694)</f>
        <v/>
      </c>
      <c r="J813" s="88" t="str">
        <f>IF($J$1="","",HLOOKUP($J$1,$M$1:$AAY$1000,813,0))</f>
        <v/>
      </c>
    </row>
    <row r="814" spans="1:10" x14ac:dyDescent="0.25">
      <c r="A814" s="4" t="str">
        <f>IF(Produits!A695="","",Produits!A695)</f>
        <v/>
      </c>
      <c r="B814" s="4" t="str">
        <f>IF(Produits!B695="","",Produits!B695)</f>
        <v/>
      </c>
      <c r="C814" s="4" t="str">
        <f>IF(Produits!C695="","",Produits!C695)</f>
        <v/>
      </c>
      <c r="D814" s="4" t="str">
        <f>IF(Produits!D695="","",Produits!D695)</f>
        <v/>
      </c>
      <c r="E814" s="4" t="str">
        <f>IF(Produits!E695="","",Produits!E695)</f>
        <v/>
      </c>
      <c r="F814" s="49" t="str">
        <f>IF(Produits!F695="","",Produits!F695)</f>
        <v/>
      </c>
      <c r="J814" s="88" t="str">
        <f>IF($J$1="","",HLOOKUP($J$1,$M$1:$AAY$1000,814,0))</f>
        <v/>
      </c>
    </row>
    <row r="815" spans="1:10" x14ac:dyDescent="0.25">
      <c r="A815" s="4" t="str">
        <f>IF(Produits!A696="","",Produits!A696)</f>
        <v/>
      </c>
      <c r="B815" s="4" t="str">
        <f>IF(Produits!B696="","",Produits!B696)</f>
        <v/>
      </c>
      <c r="C815" s="4" t="str">
        <f>IF(Produits!C696="","",Produits!C696)</f>
        <v/>
      </c>
      <c r="D815" s="4" t="str">
        <f>IF(Produits!D696="","",Produits!D696)</f>
        <v/>
      </c>
      <c r="E815" s="4" t="str">
        <f>IF(Produits!E696="","",Produits!E696)</f>
        <v/>
      </c>
      <c r="F815" s="49" t="str">
        <f>IF(Produits!F696="","",Produits!F696)</f>
        <v/>
      </c>
      <c r="J815" s="88" t="str">
        <f>IF($J$1="","",HLOOKUP($J$1,$M$1:$AAY$1000,815,0))</f>
        <v/>
      </c>
    </row>
    <row r="816" spans="1:10" x14ac:dyDescent="0.25">
      <c r="A816" s="4" t="str">
        <f>IF(Produits!A697="","",Produits!A697)</f>
        <v/>
      </c>
      <c r="B816" s="4" t="str">
        <f>IF(Produits!B697="","",Produits!B697)</f>
        <v/>
      </c>
      <c r="C816" s="4" t="str">
        <f>IF(Produits!C697="","",Produits!C697)</f>
        <v/>
      </c>
      <c r="D816" s="4" t="str">
        <f>IF(Produits!D697="","",Produits!D697)</f>
        <v/>
      </c>
      <c r="E816" s="4" t="str">
        <f>IF(Produits!E697="","",Produits!E697)</f>
        <v/>
      </c>
      <c r="F816" s="49" t="str">
        <f>IF(Produits!F697="","",Produits!F697)</f>
        <v/>
      </c>
      <c r="J816" s="88" t="str">
        <f>IF($J$1="","",HLOOKUP($J$1,$M$1:$AAY$1000,816,0))</f>
        <v/>
      </c>
    </row>
    <row r="817" spans="1:10" x14ac:dyDescent="0.25">
      <c r="A817" s="4" t="str">
        <f>IF(Produits!A698="","",Produits!A698)</f>
        <v/>
      </c>
      <c r="B817" s="4" t="str">
        <f>IF(Produits!B698="","",Produits!B698)</f>
        <v/>
      </c>
      <c r="C817" s="4" t="str">
        <f>IF(Produits!C698="","",Produits!C698)</f>
        <v/>
      </c>
      <c r="D817" s="4" t="str">
        <f>IF(Produits!D698="","",Produits!D698)</f>
        <v/>
      </c>
      <c r="E817" s="4" t="str">
        <f>IF(Produits!E698="","",Produits!E698)</f>
        <v/>
      </c>
      <c r="F817" s="49" t="str">
        <f>IF(Produits!F698="","",Produits!F698)</f>
        <v/>
      </c>
      <c r="J817" s="88" t="str">
        <f>IF($J$1="","",HLOOKUP($J$1,$M$1:$AAY$1000,817,0))</f>
        <v/>
      </c>
    </row>
    <row r="818" spans="1:10" x14ac:dyDescent="0.25">
      <c r="A818" s="4" t="str">
        <f>IF(Produits!A699="","",Produits!A699)</f>
        <v/>
      </c>
      <c r="B818" s="4" t="str">
        <f>IF(Produits!B699="","",Produits!B699)</f>
        <v/>
      </c>
      <c r="C818" s="4" t="str">
        <f>IF(Produits!C699="","",Produits!C699)</f>
        <v/>
      </c>
      <c r="D818" s="4" t="str">
        <f>IF(Produits!D699="","",Produits!D699)</f>
        <v/>
      </c>
      <c r="E818" s="4" t="str">
        <f>IF(Produits!E699="","",Produits!E699)</f>
        <v/>
      </c>
      <c r="F818" s="49" t="str">
        <f>IF(Produits!F699="","",Produits!F699)</f>
        <v/>
      </c>
      <c r="J818" s="88" t="str">
        <f>IF($J$1="","",HLOOKUP($J$1,$M$1:$AAY$1000,818,0))</f>
        <v/>
      </c>
    </row>
    <row r="819" spans="1:10" x14ac:dyDescent="0.25">
      <c r="A819" s="4" t="str">
        <f>IF(Produits!A700="","",Produits!A700)</f>
        <v/>
      </c>
      <c r="B819" s="4" t="str">
        <f>IF(Produits!B700="","",Produits!B700)</f>
        <v/>
      </c>
      <c r="C819" s="4" t="str">
        <f>IF(Produits!C700="","",Produits!C700)</f>
        <v/>
      </c>
      <c r="D819" s="4" t="str">
        <f>IF(Produits!D700="","",Produits!D700)</f>
        <v/>
      </c>
      <c r="E819" s="4" t="str">
        <f>IF(Produits!E700="","",Produits!E700)</f>
        <v/>
      </c>
      <c r="F819" s="49" t="str">
        <f>IF(Produits!F700="","",Produits!F700)</f>
        <v/>
      </c>
      <c r="J819" s="88" t="str">
        <f>IF($J$1="","",HLOOKUP($J$1,$M$1:$AAY$1000,819,0))</f>
        <v/>
      </c>
    </row>
    <row r="820" spans="1:10" x14ac:dyDescent="0.25">
      <c r="A820" s="4" t="str">
        <f>IF(Produits!A701="","",Produits!A701)</f>
        <v/>
      </c>
      <c r="B820" s="4" t="str">
        <f>IF(Produits!B701="","",Produits!B701)</f>
        <v/>
      </c>
      <c r="C820" s="4" t="str">
        <f>IF(Produits!C701="","",Produits!C701)</f>
        <v/>
      </c>
      <c r="D820" s="4" t="str">
        <f>IF(Produits!D701="","",Produits!D701)</f>
        <v/>
      </c>
      <c r="E820" s="4" t="str">
        <f>IF(Produits!E701="","",Produits!E701)</f>
        <v/>
      </c>
      <c r="F820" s="49" t="str">
        <f>IF(Produits!F701="","",Produits!F701)</f>
        <v/>
      </c>
      <c r="J820" s="88" t="str">
        <f>IF($J$1="","",HLOOKUP($J$1,$M$1:$AAY$1000,820,0))</f>
        <v/>
      </c>
    </row>
    <row r="821" spans="1:10" x14ac:dyDescent="0.25">
      <c r="A821" s="4" t="str">
        <f>IF(Produits!A702="","",Produits!A702)</f>
        <v/>
      </c>
      <c r="B821" s="4" t="str">
        <f>IF(Produits!B702="","",Produits!B702)</f>
        <v/>
      </c>
      <c r="C821" s="4" t="str">
        <f>IF(Produits!C702="","",Produits!C702)</f>
        <v/>
      </c>
      <c r="D821" s="4" t="str">
        <f>IF(Produits!D702="","",Produits!D702)</f>
        <v/>
      </c>
      <c r="E821" s="4" t="str">
        <f>IF(Produits!E702="","",Produits!E702)</f>
        <v/>
      </c>
      <c r="F821" s="49" t="str">
        <f>IF(Produits!F702="","",Produits!F702)</f>
        <v/>
      </c>
      <c r="J821" s="88" t="str">
        <f>IF($J$1="","",HLOOKUP($J$1,$M$1:$AAY$1000,821,0))</f>
        <v/>
      </c>
    </row>
    <row r="822" spans="1:10" x14ac:dyDescent="0.25">
      <c r="A822" s="4" t="str">
        <f>IF(Produits!A703="","",Produits!A703)</f>
        <v/>
      </c>
      <c r="B822" s="4" t="str">
        <f>IF(Produits!B703="","",Produits!B703)</f>
        <v/>
      </c>
      <c r="C822" s="4" t="str">
        <f>IF(Produits!C703="","",Produits!C703)</f>
        <v/>
      </c>
      <c r="D822" s="4" t="str">
        <f>IF(Produits!D703="","",Produits!D703)</f>
        <v/>
      </c>
      <c r="E822" s="4" t="str">
        <f>IF(Produits!E703="","",Produits!E703)</f>
        <v/>
      </c>
      <c r="F822" s="49" t="str">
        <f>IF(Produits!F703="","",Produits!F703)</f>
        <v/>
      </c>
      <c r="J822" s="88" t="str">
        <f>IF($J$1="","",HLOOKUP($J$1,$M$1:$AAY$1000,822,0))</f>
        <v/>
      </c>
    </row>
    <row r="823" spans="1:10" x14ac:dyDescent="0.25">
      <c r="A823" s="4" t="str">
        <f>IF(Produits!A704="","",Produits!A704)</f>
        <v/>
      </c>
      <c r="B823" s="4" t="str">
        <f>IF(Produits!B704="","",Produits!B704)</f>
        <v/>
      </c>
      <c r="C823" s="4" t="str">
        <f>IF(Produits!C704="","",Produits!C704)</f>
        <v/>
      </c>
      <c r="D823" s="4" t="str">
        <f>IF(Produits!D704="","",Produits!D704)</f>
        <v/>
      </c>
      <c r="E823" s="4" t="str">
        <f>IF(Produits!E704="","",Produits!E704)</f>
        <v/>
      </c>
      <c r="F823" s="49" t="str">
        <f>IF(Produits!F704="","",Produits!F704)</f>
        <v/>
      </c>
      <c r="J823" s="88" t="str">
        <f>IF($J$1="","",HLOOKUP($J$1,$M$1:$AAY$1000,823,0))</f>
        <v/>
      </c>
    </row>
    <row r="824" spans="1:10" x14ac:dyDescent="0.25">
      <c r="A824" s="4" t="str">
        <f>IF(Produits!A705="","",Produits!A705)</f>
        <v/>
      </c>
      <c r="B824" s="4" t="str">
        <f>IF(Produits!B705="","",Produits!B705)</f>
        <v/>
      </c>
      <c r="C824" s="4" t="str">
        <f>IF(Produits!C705="","",Produits!C705)</f>
        <v/>
      </c>
      <c r="D824" s="4" t="str">
        <f>IF(Produits!D705="","",Produits!D705)</f>
        <v/>
      </c>
      <c r="E824" s="4" t="str">
        <f>IF(Produits!E705="","",Produits!E705)</f>
        <v/>
      </c>
      <c r="F824" s="49" t="str">
        <f>IF(Produits!F705="","",Produits!F705)</f>
        <v/>
      </c>
      <c r="J824" s="88" t="str">
        <f>IF($J$1="","",HLOOKUP($J$1,$M$1:$AAY$1000,824,0))</f>
        <v/>
      </c>
    </row>
    <row r="825" spans="1:10" x14ac:dyDescent="0.25">
      <c r="A825" s="4" t="str">
        <f>IF(Produits!A706="","",Produits!A706)</f>
        <v/>
      </c>
      <c r="B825" s="4" t="str">
        <f>IF(Produits!B706="","",Produits!B706)</f>
        <v/>
      </c>
      <c r="C825" s="4" t="str">
        <f>IF(Produits!C706="","",Produits!C706)</f>
        <v/>
      </c>
      <c r="D825" s="4" t="str">
        <f>IF(Produits!D706="","",Produits!D706)</f>
        <v/>
      </c>
      <c r="E825" s="4" t="str">
        <f>IF(Produits!E706="","",Produits!E706)</f>
        <v/>
      </c>
      <c r="F825" s="49" t="str">
        <f>IF(Produits!F706="","",Produits!F706)</f>
        <v/>
      </c>
      <c r="J825" s="88" t="str">
        <f>IF($J$1="","",HLOOKUP($J$1,$M$1:$AAY$1000,825,0))</f>
        <v/>
      </c>
    </row>
    <row r="826" spans="1:10" x14ac:dyDescent="0.25">
      <c r="A826" s="4" t="str">
        <f>IF(Produits!A707="","",Produits!A707)</f>
        <v/>
      </c>
      <c r="B826" s="4" t="str">
        <f>IF(Produits!B707="","",Produits!B707)</f>
        <v/>
      </c>
      <c r="C826" s="4" t="str">
        <f>IF(Produits!C707="","",Produits!C707)</f>
        <v/>
      </c>
      <c r="D826" s="4" t="str">
        <f>IF(Produits!D707="","",Produits!D707)</f>
        <v/>
      </c>
      <c r="E826" s="4" t="str">
        <f>IF(Produits!E707="","",Produits!E707)</f>
        <v/>
      </c>
      <c r="F826" s="49" t="str">
        <f>IF(Produits!F707="","",Produits!F707)</f>
        <v/>
      </c>
      <c r="J826" s="88" t="str">
        <f>IF($J$1="","",HLOOKUP($J$1,$M$1:$AAY$1000,826,0))</f>
        <v/>
      </c>
    </row>
    <row r="827" spans="1:10" x14ac:dyDescent="0.25">
      <c r="A827" s="4" t="str">
        <f>IF(Produits!A708="","",Produits!A708)</f>
        <v/>
      </c>
      <c r="B827" s="4" t="str">
        <f>IF(Produits!B708="","",Produits!B708)</f>
        <v/>
      </c>
      <c r="C827" s="4" t="str">
        <f>IF(Produits!C708="","",Produits!C708)</f>
        <v/>
      </c>
      <c r="D827" s="4" t="str">
        <f>IF(Produits!D708="","",Produits!D708)</f>
        <v/>
      </c>
      <c r="E827" s="4" t="str">
        <f>IF(Produits!E708="","",Produits!E708)</f>
        <v/>
      </c>
      <c r="F827" s="49" t="str">
        <f>IF(Produits!F708="","",Produits!F708)</f>
        <v/>
      </c>
      <c r="J827" s="88" t="str">
        <f>IF($J$1="","",HLOOKUP($J$1,$M$1:$AAY$1000,827,0))</f>
        <v/>
      </c>
    </row>
    <row r="828" spans="1:10" x14ac:dyDescent="0.25">
      <c r="A828" s="4" t="str">
        <f>IF(Produits!A709="","",Produits!A709)</f>
        <v/>
      </c>
      <c r="B828" s="4" t="str">
        <f>IF(Produits!B709="","",Produits!B709)</f>
        <v/>
      </c>
      <c r="C828" s="4" t="str">
        <f>IF(Produits!C709="","",Produits!C709)</f>
        <v/>
      </c>
      <c r="D828" s="4" t="str">
        <f>IF(Produits!D709="","",Produits!D709)</f>
        <v/>
      </c>
      <c r="E828" s="4" t="str">
        <f>IF(Produits!E709="","",Produits!E709)</f>
        <v/>
      </c>
      <c r="F828" s="49" t="str">
        <f>IF(Produits!F709="","",Produits!F709)</f>
        <v/>
      </c>
      <c r="J828" s="88" t="str">
        <f>IF($J$1="","",HLOOKUP($J$1,$M$1:$AAY$1000,828,0))</f>
        <v/>
      </c>
    </row>
    <row r="829" spans="1:10" x14ac:dyDescent="0.25">
      <c r="A829" s="4" t="str">
        <f>IF(Produits!A710="","",Produits!A710)</f>
        <v/>
      </c>
      <c r="B829" s="4" t="str">
        <f>IF(Produits!B710="","",Produits!B710)</f>
        <v/>
      </c>
      <c r="C829" s="4" t="str">
        <f>IF(Produits!C710="","",Produits!C710)</f>
        <v/>
      </c>
      <c r="D829" s="4" t="str">
        <f>IF(Produits!D710="","",Produits!D710)</f>
        <v/>
      </c>
      <c r="E829" s="4" t="str">
        <f>IF(Produits!E710="","",Produits!E710)</f>
        <v/>
      </c>
      <c r="F829" s="49" t="str">
        <f>IF(Produits!F710="","",Produits!F710)</f>
        <v/>
      </c>
      <c r="J829" s="88" t="str">
        <f>IF($J$1="","",HLOOKUP($J$1,$M$1:$AAY$1000,829,0))</f>
        <v/>
      </c>
    </row>
    <row r="830" spans="1:10" x14ac:dyDescent="0.25">
      <c r="A830" s="4" t="str">
        <f>IF(Produits!A711="","",Produits!A711)</f>
        <v/>
      </c>
      <c r="B830" s="4" t="str">
        <f>IF(Produits!B711="","",Produits!B711)</f>
        <v/>
      </c>
      <c r="C830" s="4" t="str">
        <f>IF(Produits!C711="","",Produits!C711)</f>
        <v/>
      </c>
      <c r="D830" s="4" t="str">
        <f>IF(Produits!D711="","",Produits!D711)</f>
        <v/>
      </c>
      <c r="E830" s="4" t="str">
        <f>IF(Produits!E711="","",Produits!E711)</f>
        <v/>
      </c>
      <c r="F830" s="49" t="str">
        <f>IF(Produits!F711="","",Produits!F711)</f>
        <v/>
      </c>
      <c r="J830" s="88" t="str">
        <f>IF($J$1="","",HLOOKUP($J$1,$M$1:$AAY$1000,830,0))</f>
        <v/>
      </c>
    </row>
    <row r="831" spans="1:10" x14ac:dyDescent="0.25">
      <c r="A831" s="4" t="str">
        <f>IF(Produits!A712="","",Produits!A712)</f>
        <v/>
      </c>
      <c r="B831" s="4" t="str">
        <f>IF(Produits!B712="","",Produits!B712)</f>
        <v/>
      </c>
      <c r="C831" s="4" t="str">
        <f>IF(Produits!C712="","",Produits!C712)</f>
        <v/>
      </c>
      <c r="D831" s="4" t="str">
        <f>IF(Produits!D712="","",Produits!D712)</f>
        <v/>
      </c>
      <c r="E831" s="4" t="str">
        <f>IF(Produits!E712="","",Produits!E712)</f>
        <v/>
      </c>
      <c r="F831" s="49" t="str">
        <f>IF(Produits!F712="","",Produits!F712)</f>
        <v/>
      </c>
      <c r="J831" s="88" t="str">
        <f>IF($J$1="","",HLOOKUP($J$1,$M$1:$AAY$1000,831,0))</f>
        <v/>
      </c>
    </row>
    <row r="832" spans="1:10" x14ac:dyDescent="0.25">
      <c r="A832" s="4" t="str">
        <f>IF(Produits!A713="","",Produits!A713)</f>
        <v/>
      </c>
      <c r="B832" s="4" t="str">
        <f>IF(Produits!B713="","",Produits!B713)</f>
        <v/>
      </c>
      <c r="C832" s="4" t="str">
        <f>IF(Produits!C713="","",Produits!C713)</f>
        <v/>
      </c>
      <c r="D832" s="4" t="str">
        <f>IF(Produits!D713="","",Produits!D713)</f>
        <v/>
      </c>
      <c r="E832" s="4" t="str">
        <f>IF(Produits!E713="","",Produits!E713)</f>
        <v/>
      </c>
      <c r="F832" s="49" t="str">
        <f>IF(Produits!F713="","",Produits!F713)</f>
        <v/>
      </c>
      <c r="J832" s="88" t="str">
        <f>IF($J$1="","",HLOOKUP($J$1,$M$1:$AAY$1000,832,0))</f>
        <v/>
      </c>
    </row>
    <row r="833" spans="1:10" x14ac:dyDescent="0.25">
      <c r="A833" s="4" t="str">
        <f>IF(Produits!A714="","",Produits!A714)</f>
        <v/>
      </c>
      <c r="B833" s="4" t="str">
        <f>IF(Produits!B714="","",Produits!B714)</f>
        <v/>
      </c>
      <c r="C833" s="4" t="str">
        <f>IF(Produits!C714="","",Produits!C714)</f>
        <v/>
      </c>
      <c r="D833" s="4" t="str">
        <f>IF(Produits!D714="","",Produits!D714)</f>
        <v/>
      </c>
      <c r="E833" s="4" t="str">
        <f>IF(Produits!E714="","",Produits!E714)</f>
        <v/>
      </c>
      <c r="F833" s="49" t="str">
        <f>IF(Produits!F714="","",Produits!F714)</f>
        <v/>
      </c>
      <c r="J833" s="88" t="str">
        <f>IF($J$1="","",HLOOKUP($J$1,$M$1:$AAY$1000,833,0))</f>
        <v/>
      </c>
    </row>
    <row r="834" spans="1:10" x14ac:dyDescent="0.25">
      <c r="A834" s="4" t="str">
        <f>IF(Produits!A715="","",Produits!A715)</f>
        <v/>
      </c>
      <c r="B834" s="4" t="str">
        <f>IF(Produits!B715="","",Produits!B715)</f>
        <v/>
      </c>
      <c r="C834" s="4" t="str">
        <f>IF(Produits!C715="","",Produits!C715)</f>
        <v/>
      </c>
      <c r="D834" s="4" t="str">
        <f>IF(Produits!D715="","",Produits!D715)</f>
        <v/>
      </c>
      <c r="E834" s="4" t="str">
        <f>IF(Produits!E715="","",Produits!E715)</f>
        <v/>
      </c>
      <c r="F834" s="49" t="str">
        <f>IF(Produits!F715="","",Produits!F715)</f>
        <v/>
      </c>
      <c r="J834" s="88" t="str">
        <f>IF($J$1="","",HLOOKUP($J$1,$M$1:$AAY$1000,834,0))</f>
        <v/>
      </c>
    </row>
    <row r="835" spans="1:10" x14ac:dyDescent="0.25">
      <c r="A835" s="4" t="str">
        <f>IF(Produits!A716="","",Produits!A716)</f>
        <v/>
      </c>
      <c r="B835" s="4" t="str">
        <f>IF(Produits!B716="","",Produits!B716)</f>
        <v/>
      </c>
      <c r="C835" s="4" t="str">
        <f>IF(Produits!C716="","",Produits!C716)</f>
        <v/>
      </c>
      <c r="D835" s="4" t="str">
        <f>IF(Produits!D716="","",Produits!D716)</f>
        <v/>
      </c>
      <c r="E835" s="4" t="str">
        <f>IF(Produits!E716="","",Produits!E716)</f>
        <v/>
      </c>
      <c r="F835" s="49" t="str">
        <f>IF(Produits!F716="","",Produits!F716)</f>
        <v/>
      </c>
      <c r="J835" s="88" t="str">
        <f>IF($J$1="","",HLOOKUP($J$1,$M$1:$AAY$1000,835,0))</f>
        <v/>
      </c>
    </row>
    <row r="836" spans="1:10" x14ac:dyDescent="0.25">
      <c r="A836" s="4" t="str">
        <f>IF(Produits!A717="","",Produits!A717)</f>
        <v/>
      </c>
      <c r="B836" s="4" t="str">
        <f>IF(Produits!B717="","",Produits!B717)</f>
        <v/>
      </c>
      <c r="C836" s="4" t="str">
        <f>IF(Produits!C717="","",Produits!C717)</f>
        <v/>
      </c>
      <c r="D836" s="4" t="str">
        <f>IF(Produits!D717="","",Produits!D717)</f>
        <v/>
      </c>
      <c r="E836" s="4" t="str">
        <f>IF(Produits!E717="","",Produits!E717)</f>
        <v/>
      </c>
      <c r="F836" s="49" t="str">
        <f>IF(Produits!F717="","",Produits!F717)</f>
        <v/>
      </c>
      <c r="J836" s="88" t="str">
        <f>IF($J$1="","",HLOOKUP($J$1,$M$1:$AAY$1000,836,0))</f>
        <v/>
      </c>
    </row>
    <row r="837" spans="1:10" x14ac:dyDescent="0.25">
      <c r="A837" s="4" t="str">
        <f>IF(Produits!A718="","",Produits!A718)</f>
        <v/>
      </c>
      <c r="B837" s="4" t="str">
        <f>IF(Produits!B718="","",Produits!B718)</f>
        <v/>
      </c>
      <c r="C837" s="4" t="str">
        <f>IF(Produits!C718="","",Produits!C718)</f>
        <v/>
      </c>
      <c r="D837" s="4" t="str">
        <f>IF(Produits!D718="","",Produits!D718)</f>
        <v/>
      </c>
      <c r="E837" s="4" t="str">
        <f>IF(Produits!E718="","",Produits!E718)</f>
        <v/>
      </c>
      <c r="F837" s="49" t="str">
        <f>IF(Produits!F718="","",Produits!F718)</f>
        <v/>
      </c>
      <c r="J837" s="88" t="str">
        <f>IF($J$1="","",HLOOKUP($J$1,$M$1:$AAY$1000,837,0))</f>
        <v/>
      </c>
    </row>
    <row r="838" spans="1:10" x14ac:dyDescent="0.25">
      <c r="A838" s="4" t="str">
        <f>IF(Produits!A719="","",Produits!A719)</f>
        <v/>
      </c>
      <c r="B838" s="4" t="str">
        <f>IF(Produits!B719="","",Produits!B719)</f>
        <v/>
      </c>
      <c r="C838" s="4" t="str">
        <f>IF(Produits!C719="","",Produits!C719)</f>
        <v/>
      </c>
      <c r="D838" s="4" t="str">
        <f>IF(Produits!D719="","",Produits!D719)</f>
        <v/>
      </c>
      <c r="E838" s="4" t="str">
        <f>IF(Produits!E719="","",Produits!E719)</f>
        <v/>
      </c>
      <c r="F838" s="49" t="str">
        <f>IF(Produits!F719="","",Produits!F719)</f>
        <v/>
      </c>
      <c r="J838" s="88" t="str">
        <f>IF($J$1="","",HLOOKUP($J$1,$M$1:$AAY$1000,838,0))</f>
        <v/>
      </c>
    </row>
    <row r="839" spans="1:10" x14ac:dyDescent="0.25">
      <c r="A839" s="4" t="str">
        <f>IF(Produits!A720="","",Produits!A720)</f>
        <v/>
      </c>
      <c r="B839" s="4" t="str">
        <f>IF(Produits!B720="","",Produits!B720)</f>
        <v/>
      </c>
      <c r="C839" s="4" t="str">
        <f>IF(Produits!C720="","",Produits!C720)</f>
        <v/>
      </c>
      <c r="D839" s="4" t="str">
        <f>IF(Produits!D720="","",Produits!D720)</f>
        <v/>
      </c>
      <c r="E839" s="4" t="str">
        <f>IF(Produits!E720="","",Produits!E720)</f>
        <v/>
      </c>
      <c r="F839" s="49" t="str">
        <f>IF(Produits!F720="","",Produits!F720)</f>
        <v/>
      </c>
      <c r="J839" s="88" t="str">
        <f>IF($J$1="","",HLOOKUP($J$1,$M$1:$AAY$1000,839,0))</f>
        <v/>
      </c>
    </row>
    <row r="840" spans="1:10" x14ac:dyDescent="0.25">
      <c r="A840" s="4" t="str">
        <f>IF(Produits!A721="","",Produits!A721)</f>
        <v/>
      </c>
      <c r="B840" s="4" t="str">
        <f>IF(Produits!B721="","",Produits!B721)</f>
        <v/>
      </c>
      <c r="C840" s="4" t="str">
        <f>IF(Produits!C721="","",Produits!C721)</f>
        <v/>
      </c>
      <c r="D840" s="4" t="str">
        <f>IF(Produits!D721="","",Produits!D721)</f>
        <v/>
      </c>
      <c r="E840" s="4" t="str">
        <f>IF(Produits!E721="","",Produits!E721)</f>
        <v/>
      </c>
      <c r="F840" s="49" t="str">
        <f>IF(Produits!F721="","",Produits!F721)</f>
        <v/>
      </c>
      <c r="J840" s="88" t="str">
        <f>IF($J$1="","",HLOOKUP($J$1,$M$1:$AAY$1000,840,0))</f>
        <v/>
      </c>
    </row>
    <row r="841" spans="1:10" x14ac:dyDescent="0.25">
      <c r="A841" s="4" t="str">
        <f>IF(Produits!A722="","",Produits!A722)</f>
        <v/>
      </c>
      <c r="B841" s="4" t="str">
        <f>IF(Produits!B722="","",Produits!B722)</f>
        <v/>
      </c>
      <c r="C841" s="4" t="str">
        <f>IF(Produits!C722="","",Produits!C722)</f>
        <v/>
      </c>
      <c r="D841" s="4" t="str">
        <f>IF(Produits!D722="","",Produits!D722)</f>
        <v/>
      </c>
      <c r="E841" s="4" t="str">
        <f>IF(Produits!E722="","",Produits!E722)</f>
        <v/>
      </c>
      <c r="F841" s="49" t="str">
        <f>IF(Produits!F722="","",Produits!F722)</f>
        <v/>
      </c>
      <c r="J841" s="88" t="str">
        <f>IF($J$1="","",HLOOKUP($J$1,$M$1:$AAY$1000,841,0))</f>
        <v/>
      </c>
    </row>
    <row r="842" spans="1:10" x14ac:dyDescent="0.25">
      <c r="A842" s="4" t="str">
        <f>IF(Produits!A723="","",Produits!A723)</f>
        <v/>
      </c>
      <c r="B842" s="4" t="str">
        <f>IF(Produits!B723="","",Produits!B723)</f>
        <v/>
      </c>
      <c r="C842" s="4" t="str">
        <f>IF(Produits!C723="","",Produits!C723)</f>
        <v/>
      </c>
      <c r="D842" s="4" t="str">
        <f>IF(Produits!D723="","",Produits!D723)</f>
        <v/>
      </c>
      <c r="E842" s="4" t="str">
        <f>IF(Produits!E723="","",Produits!E723)</f>
        <v/>
      </c>
      <c r="F842" s="49" t="str">
        <f>IF(Produits!F723="","",Produits!F723)</f>
        <v/>
      </c>
      <c r="J842" s="88" t="str">
        <f>IF($J$1="","",HLOOKUP($J$1,$M$1:$AAY$1000,842,0))</f>
        <v/>
      </c>
    </row>
    <row r="843" spans="1:10" x14ac:dyDescent="0.25">
      <c r="A843" s="4" t="str">
        <f>IF(Produits!A724="","",Produits!A724)</f>
        <v/>
      </c>
      <c r="B843" s="4" t="str">
        <f>IF(Produits!B724="","",Produits!B724)</f>
        <v/>
      </c>
      <c r="C843" s="4" t="str">
        <f>IF(Produits!C724="","",Produits!C724)</f>
        <v/>
      </c>
      <c r="D843" s="4" t="str">
        <f>IF(Produits!D724="","",Produits!D724)</f>
        <v/>
      </c>
      <c r="E843" s="4" t="str">
        <f>IF(Produits!E724="","",Produits!E724)</f>
        <v/>
      </c>
      <c r="F843" s="49" t="str">
        <f>IF(Produits!F724="","",Produits!F724)</f>
        <v/>
      </c>
      <c r="J843" s="88" t="str">
        <f>IF($J$1="","",HLOOKUP($J$1,$M$1:$AAY$1000,843,0))</f>
        <v/>
      </c>
    </row>
    <row r="844" spans="1:10" x14ac:dyDescent="0.25">
      <c r="A844" s="4" t="str">
        <f>IF(Produits!A725="","",Produits!A725)</f>
        <v/>
      </c>
      <c r="B844" s="4" t="str">
        <f>IF(Produits!B725="","",Produits!B725)</f>
        <v/>
      </c>
      <c r="C844" s="4" t="str">
        <f>IF(Produits!C725="","",Produits!C725)</f>
        <v/>
      </c>
      <c r="D844" s="4" t="str">
        <f>IF(Produits!D725="","",Produits!D725)</f>
        <v/>
      </c>
      <c r="E844" s="4" t="str">
        <f>IF(Produits!E725="","",Produits!E725)</f>
        <v/>
      </c>
      <c r="F844" s="49" t="str">
        <f>IF(Produits!F725="","",Produits!F725)</f>
        <v/>
      </c>
      <c r="J844" s="88" t="str">
        <f>IF($J$1="","",HLOOKUP($J$1,$M$1:$AAY$1000,844,0))</f>
        <v/>
      </c>
    </row>
    <row r="845" spans="1:10" x14ac:dyDescent="0.25">
      <c r="A845" s="4" t="str">
        <f>IF(Produits!A726="","",Produits!A726)</f>
        <v/>
      </c>
      <c r="B845" s="4" t="str">
        <f>IF(Produits!B726="","",Produits!B726)</f>
        <v/>
      </c>
      <c r="C845" s="4" t="str">
        <f>IF(Produits!C726="","",Produits!C726)</f>
        <v/>
      </c>
      <c r="D845" s="4" t="str">
        <f>IF(Produits!D726="","",Produits!D726)</f>
        <v/>
      </c>
      <c r="E845" s="4" t="str">
        <f>IF(Produits!E726="","",Produits!E726)</f>
        <v/>
      </c>
      <c r="F845" s="49" t="str">
        <f>IF(Produits!F726="","",Produits!F726)</f>
        <v/>
      </c>
      <c r="J845" s="88" t="str">
        <f>IF($J$1="","",HLOOKUP($J$1,$M$1:$AAY$1000,845,0))</f>
        <v/>
      </c>
    </row>
    <row r="846" spans="1:10" x14ac:dyDescent="0.25">
      <c r="A846" s="4" t="str">
        <f>IF(Produits!A727="","",Produits!A727)</f>
        <v/>
      </c>
      <c r="B846" s="4" t="str">
        <f>IF(Produits!B727="","",Produits!B727)</f>
        <v/>
      </c>
      <c r="C846" s="4" t="str">
        <f>IF(Produits!C727="","",Produits!C727)</f>
        <v/>
      </c>
      <c r="D846" s="4" t="str">
        <f>IF(Produits!D727="","",Produits!D727)</f>
        <v/>
      </c>
      <c r="E846" s="4" t="str">
        <f>IF(Produits!E727="","",Produits!E727)</f>
        <v/>
      </c>
      <c r="F846" s="49" t="str">
        <f>IF(Produits!F727="","",Produits!F727)</f>
        <v/>
      </c>
      <c r="J846" s="88" t="str">
        <f>IF($J$1="","",HLOOKUP($J$1,$M$1:$AAY$1000,846,0))</f>
        <v/>
      </c>
    </row>
    <row r="847" spans="1:10" x14ac:dyDescent="0.25">
      <c r="A847" s="4" t="str">
        <f>IF(Produits!A728="","",Produits!A728)</f>
        <v/>
      </c>
      <c r="B847" s="4" t="str">
        <f>IF(Produits!B728="","",Produits!B728)</f>
        <v/>
      </c>
      <c r="C847" s="4" t="str">
        <f>IF(Produits!C728="","",Produits!C728)</f>
        <v/>
      </c>
      <c r="D847" s="4" t="str">
        <f>IF(Produits!D728="","",Produits!D728)</f>
        <v/>
      </c>
      <c r="E847" s="4" t="str">
        <f>IF(Produits!E728="","",Produits!E728)</f>
        <v/>
      </c>
      <c r="F847" s="49" t="str">
        <f>IF(Produits!F728="","",Produits!F728)</f>
        <v/>
      </c>
      <c r="J847" s="88" t="str">
        <f>IF($J$1="","",HLOOKUP($J$1,$M$1:$AAY$1000,847,0))</f>
        <v/>
      </c>
    </row>
    <row r="848" spans="1:10" x14ac:dyDescent="0.25">
      <c r="A848" s="4" t="str">
        <f>IF(Produits!A729="","",Produits!A729)</f>
        <v/>
      </c>
      <c r="B848" s="4" t="str">
        <f>IF(Produits!B729="","",Produits!B729)</f>
        <v/>
      </c>
      <c r="C848" s="4" t="str">
        <f>IF(Produits!C729="","",Produits!C729)</f>
        <v/>
      </c>
      <c r="D848" s="4" t="str">
        <f>IF(Produits!D729="","",Produits!D729)</f>
        <v/>
      </c>
      <c r="E848" s="4" t="str">
        <f>IF(Produits!E729="","",Produits!E729)</f>
        <v/>
      </c>
      <c r="F848" s="49" t="str">
        <f>IF(Produits!F729="","",Produits!F729)</f>
        <v/>
      </c>
      <c r="J848" s="88" t="str">
        <f>IF($J$1="","",HLOOKUP($J$1,$M$1:$AAY$1000,848,0))</f>
        <v/>
      </c>
    </row>
    <row r="849" spans="1:10" x14ac:dyDescent="0.25">
      <c r="A849" s="4" t="str">
        <f>IF(Produits!A730="","",Produits!A730)</f>
        <v/>
      </c>
      <c r="B849" s="4" t="str">
        <f>IF(Produits!B730="","",Produits!B730)</f>
        <v/>
      </c>
      <c r="C849" s="4" t="str">
        <f>IF(Produits!C730="","",Produits!C730)</f>
        <v/>
      </c>
      <c r="D849" s="4" t="str">
        <f>IF(Produits!D730="","",Produits!D730)</f>
        <v/>
      </c>
      <c r="E849" s="4" t="str">
        <f>IF(Produits!E730="","",Produits!E730)</f>
        <v/>
      </c>
      <c r="F849" s="49" t="str">
        <f>IF(Produits!F730="","",Produits!F730)</f>
        <v/>
      </c>
      <c r="J849" s="88" t="str">
        <f>IF($J$1="","",HLOOKUP($J$1,$M$1:$AAY$1000,849,0))</f>
        <v/>
      </c>
    </row>
    <row r="850" spans="1:10" x14ac:dyDescent="0.25">
      <c r="A850" s="4" t="str">
        <f>IF(Produits!A731="","",Produits!A731)</f>
        <v/>
      </c>
      <c r="B850" s="4" t="str">
        <f>IF(Produits!B731="","",Produits!B731)</f>
        <v/>
      </c>
      <c r="C850" s="4" t="str">
        <f>IF(Produits!C731="","",Produits!C731)</f>
        <v/>
      </c>
      <c r="D850" s="4" t="str">
        <f>IF(Produits!D731="","",Produits!D731)</f>
        <v/>
      </c>
      <c r="E850" s="4" t="str">
        <f>IF(Produits!E731="","",Produits!E731)</f>
        <v/>
      </c>
      <c r="F850" s="49" t="str">
        <f>IF(Produits!F731="","",Produits!F731)</f>
        <v/>
      </c>
      <c r="J850" s="88" t="str">
        <f>IF($J$1="","",HLOOKUP($J$1,$M$1:$AAY$1000,850,0))</f>
        <v/>
      </c>
    </row>
    <row r="851" spans="1:10" x14ac:dyDescent="0.25">
      <c r="A851" s="4" t="str">
        <f>IF(Produits!A732="","",Produits!A732)</f>
        <v/>
      </c>
      <c r="B851" s="4" t="str">
        <f>IF(Produits!B732="","",Produits!B732)</f>
        <v/>
      </c>
      <c r="C851" s="4" t="str">
        <f>IF(Produits!C732="","",Produits!C732)</f>
        <v/>
      </c>
      <c r="D851" s="4" t="str">
        <f>IF(Produits!D732="","",Produits!D732)</f>
        <v/>
      </c>
      <c r="E851" s="4" t="str">
        <f>IF(Produits!E732="","",Produits!E732)</f>
        <v/>
      </c>
      <c r="F851" s="49" t="str">
        <f>IF(Produits!F732="","",Produits!F732)</f>
        <v/>
      </c>
      <c r="J851" s="88" t="str">
        <f>IF($J$1="","",HLOOKUP($J$1,$M$1:$AAY$1000,851,0))</f>
        <v/>
      </c>
    </row>
    <row r="852" spans="1:10" x14ac:dyDescent="0.25">
      <c r="A852" s="4" t="str">
        <f>IF(Produits!A733="","",Produits!A733)</f>
        <v/>
      </c>
      <c r="B852" s="4" t="str">
        <f>IF(Produits!B733="","",Produits!B733)</f>
        <v/>
      </c>
      <c r="C852" s="4" t="str">
        <f>IF(Produits!C733="","",Produits!C733)</f>
        <v/>
      </c>
      <c r="D852" s="4" t="str">
        <f>IF(Produits!D733="","",Produits!D733)</f>
        <v/>
      </c>
      <c r="E852" s="4" t="str">
        <f>IF(Produits!E733="","",Produits!E733)</f>
        <v/>
      </c>
      <c r="F852" s="49" t="str">
        <f>IF(Produits!F733="","",Produits!F733)</f>
        <v/>
      </c>
      <c r="J852" s="88" t="str">
        <f>IF($J$1="","",HLOOKUP($J$1,$M$1:$AAY$1000,852,0))</f>
        <v/>
      </c>
    </row>
    <row r="853" spans="1:10" x14ac:dyDescent="0.25">
      <c r="A853" s="4" t="str">
        <f>IF(Produits!A734="","",Produits!A734)</f>
        <v/>
      </c>
      <c r="B853" s="4" t="str">
        <f>IF(Produits!B734="","",Produits!B734)</f>
        <v/>
      </c>
      <c r="C853" s="4" t="str">
        <f>IF(Produits!C734="","",Produits!C734)</f>
        <v/>
      </c>
      <c r="D853" s="4" t="str">
        <f>IF(Produits!D734="","",Produits!D734)</f>
        <v/>
      </c>
      <c r="E853" s="4" t="str">
        <f>IF(Produits!E734="","",Produits!E734)</f>
        <v/>
      </c>
      <c r="F853" s="49" t="str">
        <f>IF(Produits!F734="","",Produits!F734)</f>
        <v/>
      </c>
      <c r="J853" s="88" t="str">
        <f>IF($J$1="","",HLOOKUP($J$1,$M$1:$AAY$1000,853,0))</f>
        <v/>
      </c>
    </row>
    <row r="854" spans="1:10" x14ac:dyDescent="0.25">
      <c r="A854" s="4" t="str">
        <f>IF(Produits!A735="","",Produits!A735)</f>
        <v/>
      </c>
      <c r="B854" s="4" t="str">
        <f>IF(Produits!B735="","",Produits!B735)</f>
        <v/>
      </c>
      <c r="C854" s="4" t="str">
        <f>IF(Produits!C735="","",Produits!C735)</f>
        <v/>
      </c>
      <c r="D854" s="4" t="str">
        <f>IF(Produits!D735="","",Produits!D735)</f>
        <v/>
      </c>
      <c r="E854" s="4" t="str">
        <f>IF(Produits!E735="","",Produits!E735)</f>
        <v/>
      </c>
      <c r="F854" s="49" t="str">
        <f>IF(Produits!F735="","",Produits!F735)</f>
        <v/>
      </c>
      <c r="J854" s="88" t="str">
        <f>IF($J$1="","",HLOOKUP($J$1,$M$1:$AAY$1000,854,0))</f>
        <v/>
      </c>
    </row>
    <row r="855" spans="1:10" x14ac:dyDescent="0.25">
      <c r="A855" s="4" t="str">
        <f>IF(Produits!A736="","",Produits!A736)</f>
        <v/>
      </c>
      <c r="B855" s="4" t="str">
        <f>IF(Produits!B736="","",Produits!B736)</f>
        <v/>
      </c>
      <c r="C855" s="4" t="str">
        <f>IF(Produits!C736="","",Produits!C736)</f>
        <v/>
      </c>
      <c r="D855" s="4" t="str">
        <f>IF(Produits!D736="","",Produits!D736)</f>
        <v/>
      </c>
      <c r="E855" s="4" t="str">
        <f>IF(Produits!E736="","",Produits!E736)</f>
        <v/>
      </c>
      <c r="F855" s="49" t="str">
        <f>IF(Produits!F736="","",Produits!F736)</f>
        <v/>
      </c>
      <c r="J855" s="88" t="str">
        <f>IF($J$1="","",HLOOKUP($J$1,$M$1:$AAY$1000,855,0))</f>
        <v/>
      </c>
    </row>
    <row r="856" spans="1:10" x14ac:dyDescent="0.25">
      <c r="A856" s="4" t="str">
        <f>IF(Produits!A737="","",Produits!A737)</f>
        <v/>
      </c>
      <c r="B856" s="4" t="str">
        <f>IF(Produits!B737="","",Produits!B737)</f>
        <v/>
      </c>
      <c r="C856" s="4" t="str">
        <f>IF(Produits!C737="","",Produits!C737)</f>
        <v/>
      </c>
      <c r="D856" s="4" t="str">
        <f>IF(Produits!D737="","",Produits!D737)</f>
        <v/>
      </c>
      <c r="E856" s="4" t="str">
        <f>IF(Produits!E737="","",Produits!E737)</f>
        <v/>
      </c>
      <c r="F856" s="49" t="str">
        <f>IF(Produits!F737="","",Produits!F737)</f>
        <v/>
      </c>
      <c r="J856" s="88" t="str">
        <f>IF($J$1="","",HLOOKUP($J$1,$M$1:$AAY$1000,856,0))</f>
        <v/>
      </c>
    </row>
    <row r="857" spans="1:10" x14ac:dyDescent="0.25">
      <c r="A857" s="4" t="str">
        <f>IF(Produits!A738="","",Produits!A738)</f>
        <v/>
      </c>
      <c r="B857" s="4" t="str">
        <f>IF(Produits!B738="","",Produits!B738)</f>
        <v/>
      </c>
      <c r="C857" s="4" t="str">
        <f>IF(Produits!C738="","",Produits!C738)</f>
        <v/>
      </c>
      <c r="D857" s="4" t="str">
        <f>IF(Produits!D738="","",Produits!D738)</f>
        <v/>
      </c>
      <c r="E857" s="4" t="str">
        <f>IF(Produits!E738="","",Produits!E738)</f>
        <v/>
      </c>
      <c r="F857" s="49" t="str">
        <f>IF(Produits!F738="","",Produits!F738)</f>
        <v/>
      </c>
      <c r="J857" s="88" t="str">
        <f>IF($J$1="","",HLOOKUP($J$1,$M$1:$AAY$1000,857,0))</f>
        <v/>
      </c>
    </row>
    <row r="858" spans="1:10" x14ac:dyDescent="0.25">
      <c r="A858" s="4" t="str">
        <f>IF(Produits!A739="","",Produits!A739)</f>
        <v/>
      </c>
      <c r="B858" s="4" t="str">
        <f>IF(Produits!B739="","",Produits!B739)</f>
        <v/>
      </c>
      <c r="C858" s="4" t="str">
        <f>IF(Produits!C739="","",Produits!C739)</f>
        <v/>
      </c>
      <c r="D858" s="4" t="str">
        <f>IF(Produits!D739="","",Produits!D739)</f>
        <v/>
      </c>
      <c r="E858" s="4" t="str">
        <f>IF(Produits!E739="","",Produits!E739)</f>
        <v/>
      </c>
      <c r="F858" s="49" t="str">
        <f>IF(Produits!F739="","",Produits!F739)</f>
        <v/>
      </c>
      <c r="J858" s="88" t="str">
        <f>IF($J$1="","",HLOOKUP($J$1,$M$1:$AAY$1000,858,0))</f>
        <v/>
      </c>
    </row>
    <row r="859" spans="1:10" x14ac:dyDescent="0.25">
      <c r="A859" s="4" t="str">
        <f>IF(Produits!A740="","",Produits!A740)</f>
        <v/>
      </c>
      <c r="B859" s="4" t="str">
        <f>IF(Produits!B740="","",Produits!B740)</f>
        <v/>
      </c>
      <c r="C859" s="4" t="str">
        <f>IF(Produits!C740="","",Produits!C740)</f>
        <v/>
      </c>
      <c r="D859" s="4" t="str">
        <f>IF(Produits!D740="","",Produits!D740)</f>
        <v/>
      </c>
      <c r="E859" s="4" t="str">
        <f>IF(Produits!E740="","",Produits!E740)</f>
        <v/>
      </c>
      <c r="F859" s="49" t="str">
        <f>IF(Produits!F740="","",Produits!F740)</f>
        <v/>
      </c>
      <c r="J859" s="88" t="str">
        <f>IF($J$1="","",HLOOKUP($J$1,$M$1:$AAY$1000,859,0))</f>
        <v/>
      </c>
    </row>
    <row r="860" spans="1:10" x14ac:dyDescent="0.25">
      <c r="A860" s="4" t="str">
        <f>IF(Produits!A741="","",Produits!A741)</f>
        <v/>
      </c>
      <c r="B860" s="4" t="str">
        <f>IF(Produits!B741="","",Produits!B741)</f>
        <v/>
      </c>
      <c r="C860" s="4" t="str">
        <f>IF(Produits!C741="","",Produits!C741)</f>
        <v/>
      </c>
      <c r="D860" s="4" t="str">
        <f>IF(Produits!D741="","",Produits!D741)</f>
        <v/>
      </c>
      <c r="E860" s="4" t="str">
        <f>IF(Produits!E741="","",Produits!E741)</f>
        <v/>
      </c>
      <c r="F860" s="49" t="str">
        <f>IF(Produits!F741="","",Produits!F741)</f>
        <v/>
      </c>
      <c r="J860" s="88" t="str">
        <f>IF($J$1="","",HLOOKUP($J$1,$M$1:$AAY$1000,860,0))</f>
        <v/>
      </c>
    </row>
    <row r="861" spans="1:10" x14ac:dyDescent="0.25">
      <c r="A861" s="4" t="str">
        <f>IF(Produits!A742="","",Produits!A742)</f>
        <v/>
      </c>
      <c r="B861" s="4" t="str">
        <f>IF(Produits!B742="","",Produits!B742)</f>
        <v/>
      </c>
      <c r="C861" s="4" t="str">
        <f>IF(Produits!C742="","",Produits!C742)</f>
        <v/>
      </c>
      <c r="D861" s="4" t="str">
        <f>IF(Produits!D742="","",Produits!D742)</f>
        <v/>
      </c>
      <c r="E861" s="4" t="str">
        <f>IF(Produits!E742="","",Produits!E742)</f>
        <v/>
      </c>
      <c r="F861" s="49" t="str">
        <f>IF(Produits!F742="","",Produits!F742)</f>
        <v/>
      </c>
      <c r="J861" s="88" t="str">
        <f>IF($J$1="","",HLOOKUP($J$1,$M$1:$AAY$1000,861,0))</f>
        <v/>
      </c>
    </row>
    <row r="862" spans="1:10" x14ac:dyDescent="0.25">
      <c r="A862" s="4" t="str">
        <f>IF(Produits!A743="","",Produits!A743)</f>
        <v/>
      </c>
      <c r="B862" s="4" t="str">
        <f>IF(Produits!B743="","",Produits!B743)</f>
        <v/>
      </c>
      <c r="C862" s="4" t="str">
        <f>IF(Produits!C743="","",Produits!C743)</f>
        <v/>
      </c>
      <c r="D862" s="4" t="str">
        <f>IF(Produits!D743="","",Produits!D743)</f>
        <v/>
      </c>
      <c r="E862" s="4" t="str">
        <f>IF(Produits!E743="","",Produits!E743)</f>
        <v/>
      </c>
      <c r="F862" s="49" t="str">
        <f>IF(Produits!F743="","",Produits!F743)</f>
        <v/>
      </c>
      <c r="J862" s="88" t="str">
        <f>IF($J$1="","",HLOOKUP($J$1,$M$1:$AAY$1000,862,0))</f>
        <v/>
      </c>
    </row>
    <row r="863" spans="1:10" x14ac:dyDescent="0.25">
      <c r="A863" s="4" t="str">
        <f>IF(Produits!A744="","",Produits!A744)</f>
        <v/>
      </c>
      <c r="B863" s="4" t="str">
        <f>IF(Produits!B744="","",Produits!B744)</f>
        <v/>
      </c>
      <c r="C863" s="4" t="str">
        <f>IF(Produits!C744="","",Produits!C744)</f>
        <v/>
      </c>
      <c r="D863" s="4" t="str">
        <f>IF(Produits!D744="","",Produits!D744)</f>
        <v/>
      </c>
      <c r="E863" s="4" t="str">
        <f>IF(Produits!E744="","",Produits!E744)</f>
        <v/>
      </c>
      <c r="F863" s="49" t="str">
        <f>IF(Produits!F744="","",Produits!F744)</f>
        <v/>
      </c>
      <c r="J863" s="88" t="str">
        <f>IF($J$1="","",HLOOKUP($J$1,$M$1:$AAY$1000,863,0))</f>
        <v/>
      </c>
    </row>
    <row r="864" spans="1:10" x14ac:dyDescent="0.25">
      <c r="A864" s="4" t="str">
        <f>IF(Produits!A745="","",Produits!A745)</f>
        <v/>
      </c>
      <c r="B864" s="4" t="str">
        <f>IF(Produits!B745="","",Produits!B745)</f>
        <v/>
      </c>
      <c r="C864" s="4" t="str">
        <f>IF(Produits!C745="","",Produits!C745)</f>
        <v/>
      </c>
      <c r="D864" s="4" t="str">
        <f>IF(Produits!D745="","",Produits!D745)</f>
        <v/>
      </c>
      <c r="E864" s="4" t="str">
        <f>IF(Produits!E745="","",Produits!E745)</f>
        <v/>
      </c>
      <c r="F864" s="49" t="str">
        <f>IF(Produits!F745="","",Produits!F745)</f>
        <v/>
      </c>
      <c r="J864" s="88" t="str">
        <f>IF($J$1="","",HLOOKUP($J$1,$M$1:$AAY$1000,864,0))</f>
        <v/>
      </c>
    </row>
    <row r="865" spans="1:10" x14ac:dyDescent="0.25">
      <c r="A865" s="4" t="str">
        <f>IF(Produits!A746="","",Produits!A746)</f>
        <v/>
      </c>
      <c r="B865" s="4" t="str">
        <f>IF(Produits!B746="","",Produits!B746)</f>
        <v/>
      </c>
      <c r="C865" s="4" t="str">
        <f>IF(Produits!C746="","",Produits!C746)</f>
        <v/>
      </c>
      <c r="D865" s="4" t="str">
        <f>IF(Produits!D746="","",Produits!D746)</f>
        <v/>
      </c>
      <c r="E865" s="4" t="str">
        <f>IF(Produits!E746="","",Produits!E746)</f>
        <v/>
      </c>
      <c r="F865" s="49" t="str">
        <f>IF(Produits!F746="","",Produits!F746)</f>
        <v/>
      </c>
      <c r="J865" s="88" t="str">
        <f>IF($J$1="","",HLOOKUP($J$1,$M$1:$AAY$1000,865,0))</f>
        <v/>
      </c>
    </row>
    <row r="866" spans="1:10" x14ac:dyDescent="0.25">
      <c r="A866" s="4" t="str">
        <f>IF(Produits!A747="","",Produits!A747)</f>
        <v/>
      </c>
      <c r="B866" s="4" t="str">
        <f>IF(Produits!B747="","",Produits!B747)</f>
        <v/>
      </c>
      <c r="C866" s="4" t="str">
        <f>IF(Produits!C747="","",Produits!C747)</f>
        <v/>
      </c>
      <c r="D866" s="4" t="str">
        <f>IF(Produits!D747="","",Produits!D747)</f>
        <v/>
      </c>
      <c r="E866" s="4" t="str">
        <f>IF(Produits!E747="","",Produits!E747)</f>
        <v/>
      </c>
      <c r="F866" s="49" t="str">
        <f>IF(Produits!F747="","",Produits!F747)</f>
        <v/>
      </c>
      <c r="J866" s="88" t="str">
        <f>IF($J$1="","",HLOOKUP($J$1,$M$1:$AAY$1000,866,0))</f>
        <v/>
      </c>
    </row>
    <row r="867" spans="1:10" x14ac:dyDescent="0.25">
      <c r="A867" s="4" t="str">
        <f>IF(Produits!A748="","",Produits!A748)</f>
        <v/>
      </c>
      <c r="B867" s="4" t="str">
        <f>IF(Produits!B748="","",Produits!B748)</f>
        <v/>
      </c>
      <c r="C867" s="4" t="str">
        <f>IF(Produits!C748="","",Produits!C748)</f>
        <v/>
      </c>
      <c r="D867" s="4" t="str">
        <f>IF(Produits!D748="","",Produits!D748)</f>
        <v/>
      </c>
      <c r="E867" s="4" t="str">
        <f>IF(Produits!E748="","",Produits!E748)</f>
        <v/>
      </c>
      <c r="F867" s="49" t="str">
        <f>IF(Produits!F748="","",Produits!F748)</f>
        <v/>
      </c>
      <c r="J867" s="88" t="str">
        <f>IF($J$1="","",HLOOKUP($J$1,$M$1:$AAY$1000,867,0))</f>
        <v/>
      </c>
    </row>
    <row r="868" spans="1:10" x14ac:dyDescent="0.25">
      <c r="A868" s="4" t="str">
        <f>IF(Produits!A749="","",Produits!A749)</f>
        <v/>
      </c>
      <c r="B868" s="4" t="str">
        <f>IF(Produits!B749="","",Produits!B749)</f>
        <v/>
      </c>
      <c r="C868" s="4" t="str">
        <f>IF(Produits!C749="","",Produits!C749)</f>
        <v/>
      </c>
      <c r="D868" s="4" t="str">
        <f>IF(Produits!D749="","",Produits!D749)</f>
        <v/>
      </c>
      <c r="E868" s="4" t="str">
        <f>IF(Produits!E749="","",Produits!E749)</f>
        <v/>
      </c>
      <c r="F868" s="49" t="str">
        <f>IF(Produits!F749="","",Produits!F749)</f>
        <v/>
      </c>
      <c r="J868" s="88" t="str">
        <f>IF($J$1="","",HLOOKUP($J$1,$M$1:$AAY$1000,868,0))</f>
        <v/>
      </c>
    </row>
    <row r="869" spans="1:10" x14ac:dyDescent="0.25">
      <c r="A869" s="4" t="str">
        <f>IF(Produits!A750="","",Produits!A750)</f>
        <v/>
      </c>
      <c r="B869" s="4" t="str">
        <f>IF(Produits!B750="","",Produits!B750)</f>
        <v/>
      </c>
      <c r="C869" s="4" t="str">
        <f>IF(Produits!C750="","",Produits!C750)</f>
        <v/>
      </c>
      <c r="D869" s="4" t="str">
        <f>IF(Produits!D750="","",Produits!D750)</f>
        <v/>
      </c>
      <c r="E869" s="4" t="str">
        <f>IF(Produits!E750="","",Produits!E750)</f>
        <v/>
      </c>
      <c r="F869" s="49" t="str">
        <f>IF(Produits!F750="","",Produits!F750)</f>
        <v/>
      </c>
      <c r="J869" s="88" t="str">
        <f>IF($J$1="","",HLOOKUP($J$1,$M$1:$AAY$1000,869,0))</f>
        <v/>
      </c>
    </row>
    <row r="870" spans="1:10" x14ac:dyDescent="0.25">
      <c r="A870" s="4" t="str">
        <f>IF(Produits!A751="","",Produits!A751)</f>
        <v/>
      </c>
      <c r="B870" s="4" t="str">
        <f>IF(Produits!B751="","",Produits!B751)</f>
        <v/>
      </c>
      <c r="C870" s="4" t="str">
        <f>IF(Produits!C751="","",Produits!C751)</f>
        <v/>
      </c>
      <c r="D870" s="4" t="str">
        <f>IF(Produits!D751="","",Produits!D751)</f>
        <v/>
      </c>
      <c r="E870" s="4" t="str">
        <f>IF(Produits!E751="","",Produits!E751)</f>
        <v/>
      </c>
      <c r="F870" s="49" t="str">
        <f>IF(Produits!F751="","",Produits!F751)</f>
        <v/>
      </c>
      <c r="J870" s="88" t="str">
        <f>IF($J$1="","",HLOOKUP($J$1,$M$1:$AAY$1000,870,0))</f>
        <v/>
      </c>
    </row>
    <row r="871" spans="1:10" x14ac:dyDescent="0.25">
      <c r="A871" s="4" t="str">
        <f>IF(Produits!A752="","",Produits!A752)</f>
        <v/>
      </c>
      <c r="B871" s="4" t="str">
        <f>IF(Produits!B752="","",Produits!B752)</f>
        <v/>
      </c>
      <c r="C871" s="4" t="str">
        <f>IF(Produits!C752="","",Produits!C752)</f>
        <v/>
      </c>
      <c r="D871" s="4" t="str">
        <f>IF(Produits!D752="","",Produits!D752)</f>
        <v/>
      </c>
      <c r="E871" s="4" t="str">
        <f>IF(Produits!E752="","",Produits!E752)</f>
        <v/>
      </c>
      <c r="F871" s="49" t="str">
        <f>IF(Produits!F752="","",Produits!F752)</f>
        <v/>
      </c>
      <c r="J871" s="88" t="str">
        <f>IF($J$1="","",HLOOKUP($J$1,$M$1:$AAY$1000,871,0))</f>
        <v/>
      </c>
    </row>
    <row r="872" spans="1:10" x14ac:dyDescent="0.25">
      <c r="A872" s="4" t="str">
        <f>IF(Produits!A753="","",Produits!A753)</f>
        <v/>
      </c>
      <c r="B872" s="4" t="str">
        <f>IF(Produits!B753="","",Produits!B753)</f>
        <v/>
      </c>
      <c r="C872" s="4" t="str">
        <f>IF(Produits!C753="","",Produits!C753)</f>
        <v/>
      </c>
      <c r="D872" s="4" t="str">
        <f>IF(Produits!D753="","",Produits!D753)</f>
        <v/>
      </c>
      <c r="E872" s="4" t="str">
        <f>IF(Produits!E753="","",Produits!E753)</f>
        <v/>
      </c>
      <c r="F872" s="49" t="str">
        <f>IF(Produits!F753="","",Produits!F753)</f>
        <v/>
      </c>
      <c r="J872" s="88" t="str">
        <f>IF($J$1="","",HLOOKUP($J$1,$M$1:$AAY$1000,872,0))</f>
        <v/>
      </c>
    </row>
    <row r="873" spans="1:10" x14ac:dyDescent="0.25">
      <c r="A873" s="4" t="str">
        <f>IF(Produits!A754="","",Produits!A754)</f>
        <v/>
      </c>
      <c r="B873" s="4" t="str">
        <f>IF(Produits!B754="","",Produits!B754)</f>
        <v/>
      </c>
      <c r="C873" s="4" t="str">
        <f>IF(Produits!C754="","",Produits!C754)</f>
        <v/>
      </c>
      <c r="D873" s="4" t="str">
        <f>IF(Produits!D754="","",Produits!D754)</f>
        <v/>
      </c>
      <c r="E873" s="4" t="str">
        <f>IF(Produits!E754="","",Produits!E754)</f>
        <v/>
      </c>
      <c r="F873" s="49" t="str">
        <f>IF(Produits!F754="","",Produits!F754)</f>
        <v/>
      </c>
      <c r="J873" s="88" t="str">
        <f>IF($J$1="","",HLOOKUP($J$1,$M$1:$AAY$1000,873,0))</f>
        <v/>
      </c>
    </row>
    <row r="874" spans="1:10" x14ac:dyDescent="0.25">
      <c r="A874" s="4" t="str">
        <f>IF(Produits!A755="","",Produits!A755)</f>
        <v/>
      </c>
      <c r="B874" s="4" t="str">
        <f>IF(Produits!B755="","",Produits!B755)</f>
        <v/>
      </c>
      <c r="C874" s="4" t="str">
        <f>IF(Produits!C755="","",Produits!C755)</f>
        <v/>
      </c>
      <c r="D874" s="4" t="str">
        <f>IF(Produits!D755="","",Produits!D755)</f>
        <v/>
      </c>
      <c r="E874" s="4" t="str">
        <f>IF(Produits!E755="","",Produits!E755)</f>
        <v/>
      </c>
      <c r="F874" s="49" t="str">
        <f>IF(Produits!F755="","",Produits!F755)</f>
        <v/>
      </c>
      <c r="J874" s="88" t="str">
        <f>IF($J$1="","",HLOOKUP($J$1,$M$1:$AAY$1000,874,0))</f>
        <v/>
      </c>
    </row>
    <row r="875" spans="1:10" x14ac:dyDescent="0.25">
      <c r="A875" s="4" t="str">
        <f>IF(Produits!A756="","",Produits!A756)</f>
        <v/>
      </c>
      <c r="B875" s="4" t="str">
        <f>IF(Produits!B756="","",Produits!B756)</f>
        <v/>
      </c>
      <c r="C875" s="4" t="str">
        <f>IF(Produits!C756="","",Produits!C756)</f>
        <v/>
      </c>
      <c r="D875" s="4" t="str">
        <f>IF(Produits!D756="","",Produits!D756)</f>
        <v/>
      </c>
      <c r="E875" s="4" t="str">
        <f>IF(Produits!E756="","",Produits!E756)</f>
        <v/>
      </c>
      <c r="F875" s="49" t="str">
        <f>IF(Produits!F756="","",Produits!F756)</f>
        <v/>
      </c>
      <c r="J875" s="88" t="str">
        <f>IF($J$1="","",HLOOKUP($J$1,$M$1:$AAY$1000,875,0))</f>
        <v/>
      </c>
    </row>
    <row r="876" spans="1:10" x14ac:dyDescent="0.25">
      <c r="A876" s="4" t="str">
        <f>IF(Produits!A757="","",Produits!A757)</f>
        <v/>
      </c>
      <c r="B876" s="4" t="str">
        <f>IF(Produits!B757="","",Produits!B757)</f>
        <v/>
      </c>
      <c r="C876" s="4" t="str">
        <f>IF(Produits!C757="","",Produits!C757)</f>
        <v/>
      </c>
      <c r="D876" s="4" t="str">
        <f>IF(Produits!D757="","",Produits!D757)</f>
        <v/>
      </c>
      <c r="E876" s="4" t="str">
        <f>IF(Produits!E757="","",Produits!E757)</f>
        <v/>
      </c>
      <c r="F876" s="49" t="str">
        <f>IF(Produits!F757="","",Produits!F757)</f>
        <v/>
      </c>
      <c r="J876" s="88" t="str">
        <f>IF($J$1="","",HLOOKUP($J$1,$M$1:$AAY$1000,876,0))</f>
        <v/>
      </c>
    </row>
    <row r="877" spans="1:10" x14ac:dyDescent="0.25">
      <c r="A877" s="4" t="str">
        <f>IF(Produits!A758="","",Produits!A758)</f>
        <v/>
      </c>
      <c r="B877" s="4" t="str">
        <f>IF(Produits!B758="","",Produits!B758)</f>
        <v/>
      </c>
      <c r="C877" s="4" t="str">
        <f>IF(Produits!C758="","",Produits!C758)</f>
        <v/>
      </c>
      <c r="D877" s="4" t="str">
        <f>IF(Produits!D758="","",Produits!D758)</f>
        <v/>
      </c>
      <c r="E877" s="4" t="str">
        <f>IF(Produits!E758="","",Produits!E758)</f>
        <v/>
      </c>
      <c r="F877" s="49" t="str">
        <f>IF(Produits!F758="","",Produits!F758)</f>
        <v/>
      </c>
      <c r="J877" s="88" t="str">
        <f>IF($J$1="","",HLOOKUP($J$1,$M$1:$AAY$1000,877,0))</f>
        <v/>
      </c>
    </row>
    <row r="878" spans="1:10" x14ac:dyDescent="0.25">
      <c r="A878" s="4" t="str">
        <f>IF(Produits!A759="","",Produits!A759)</f>
        <v/>
      </c>
      <c r="B878" s="4" t="str">
        <f>IF(Produits!B759="","",Produits!B759)</f>
        <v/>
      </c>
      <c r="C878" s="4" t="str">
        <f>IF(Produits!C759="","",Produits!C759)</f>
        <v/>
      </c>
      <c r="D878" s="4" t="str">
        <f>IF(Produits!D759="","",Produits!D759)</f>
        <v/>
      </c>
      <c r="E878" s="4" t="str">
        <f>IF(Produits!E759="","",Produits!E759)</f>
        <v/>
      </c>
      <c r="F878" s="49" t="str">
        <f>IF(Produits!F759="","",Produits!F759)</f>
        <v/>
      </c>
      <c r="J878" s="88" t="str">
        <f>IF($J$1="","",HLOOKUP($J$1,$M$1:$AAY$1000,878,0))</f>
        <v/>
      </c>
    </row>
    <row r="879" spans="1:10" x14ac:dyDescent="0.25">
      <c r="A879" s="4" t="str">
        <f>IF(Produits!A760="","",Produits!A760)</f>
        <v/>
      </c>
      <c r="B879" s="4" t="str">
        <f>IF(Produits!B760="","",Produits!B760)</f>
        <v/>
      </c>
      <c r="C879" s="4" t="str">
        <f>IF(Produits!C760="","",Produits!C760)</f>
        <v/>
      </c>
      <c r="D879" s="4" t="str">
        <f>IF(Produits!D760="","",Produits!D760)</f>
        <v/>
      </c>
      <c r="E879" s="4" t="str">
        <f>IF(Produits!E760="","",Produits!E760)</f>
        <v/>
      </c>
      <c r="F879" s="49" t="str">
        <f>IF(Produits!F760="","",Produits!F760)</f>
        <v/>
      </c>
      <c r="J879" s="88" t="str">
        <f>IF($J$1="","",HLOOKUP($J$1,$M$1:$AAY$1000,879,0))</f>
        <v/>
      </c>
    </row>
    <row r="880" spans="1:10" x14ac:dyDescent="0.25">
      <c r="A880" s="4" t="str">
        <f>IF(Produits!A761="","",Produits!A761)</f>
        <v/>
      </c>
      <c r="B880" s="4" t="str">
        <f>IF(Produits!B761="","",Produits!B761)</f>
        <v/>
      </c>
      <c r="C880" s="4" t="str">
        <f>IF(Produits!C761="","",Produits!C761)</f>
        <v/>
      </c>
      <c r="D880" s="4" t="str">
        <f>IF(Produits!D761="","",Produits!D761)</f>
        <v/>
      </c>
      <c r="E880" s="4" t="str">
        <f>IF(Produits!E761="","",Produits!E761)</f>
        <v/>
      </c>
      <c r="F880" s="49" t="str">
        <f>IF(Produits!F761="","",Produits!F761)</f>
        <v/>
      </c>
      <c r="J880" s="88" t="str">
        <f>IF($J$1="","",HLOOKUP($J$1,$M$1:$AAY$1000,880,0))</f>
        <v/>
      </c>
    </row>
    <row r="881" spans="1:10" x14ac:dyDescent="0.25">
      <c r="A881" s="4" t="str">
        <f>IF(Produits!A762="","",Produits!A762)</f>
        <v/>
      </c>
      <c r="B881" s="4" t="str">
        <f>IF(Produits!B762="","",Produits!B762)</f>
        <v/>
      </c>
      <c r="C881" s="4" t="str">
        <f>IF(Produits!C762="","",Produits!C762)</f>
        <v/>
      </c>
      <c r="D881" s="4" t="str">
        <f>IF(Produits!D762="","",Produits!D762)</f>
        <v/>
      </c>
      <c r="E881" s="4" t="str">
        <f>IF(Produits!E762="","",Produits!E762)</f>
        <v/>
      </c>
      <c r="F881" s="49" t="str">
        <f>IF(Produits!F762="","",Produits!F762)</f>
        <v/>
      </c>
      <c r="J881" s="88" t="str">
        <f>IF($J$1="","",HLOOKUP($J$1,$M$1:$AAY$1000,881,0))</f>
        <v/>
      </c>
    </row>
    <row r="882" spans="1:10" x14ac:dyDescent="0.25">
      <c r="A882" s="4" t="str">
        <f>IF(Produits!A763="","",Produits!A763)</f>
        <v/>
      </c>
      <c r="B882" s="4" t="str">
        <f>IF(Produits!B763="","",Produits!B763)</f>
        <v/>
      </c>
      <c r="C882" s="4" t="str">
        <f>IF(Produits!C763="","",Produits!C763)</f>
        <v/>
      </c>
      <c r="D882" s="4" t="str">
        <f>IF(Produits!D763="","",Produits!D763)</f>
        <v/>
      </c>
      <c r="E882" s="4" t="str">
        <f>IF(Produits!E763="","",Produits!E763)</f>
        <v/>
      </c>
      <c r="F882" s="49" t="str">
        <f>IF(Produits!F763="","",Produits!F763)</f>
        <v/>
      </c>
      <c r="J882" s="88" t="str">
        <f>IF($J$1="","",HLOOKUP($J$1,$M$1:$AAY$1000,882,0))</f>
        <v/>
      </c>
    </row>
    <row r="883" spans="1:10" x14ac:dyDescent="0.25">
      <c r="A883" s="4" t="str">
        <f>IF(Produits!A764="","",Produits!A764)</f>
        <v/>
      </c>
      <c r="B883" s="4" t="str">
        <f>IF(Produits!B764="","",Produits!B764)</f>
        <v/>
      </c>
      <c r="C883" s="4" t="str">
        <f>IF(Produits!C764="","",Produits!C764)</f>
        <v/>
      </c>
      <c r="D883" s="4" t="str">
        <f>IF(Produits!D764="","",Produits!D764)</f>
        <v/>
      </c>
      <c r="E883" s="4" t="str">
        <f>IF(Produits!E764="","",Produits!E764)</f>
        <v/>
      </c>
      <c r="F883" s="49" t="str">
        <f>IF(Produits!F764="","",Produits!F764)</f>
        <v/>
      </c>
      <c r="J883" s="88" t="str">
        <f>IF($J$1="","",HLOOKUP($J$1,$M$1:$AAY$1000,883,0))</f>
        <v/>
      </c>
    </row>
    <row r="884" spans="1:10" x14ac:dyDescent="0.25">
      <c r="A884" s="4" t="str">
        <f>IF(Produits!A765="","",Produits!A765)</f>
        <v/>
      </c>
      <c r="B884" s="4" t="str">
        <f>IF(Produits!B765="","",Produits!B765)</f>
        <v/>
      </c>
      <c r="C884" s="4" t="str">
        <f>IF(Produits!C765="","",Produits!C765)</f>
        <v/>
      </c>
      <c r="D884" s="4" t="str">
        <f>IF(Produits!D765="","",Produits!D765)</f>
        <v/>
      </c>
      <c r="E884" s="4" t="str">
        <f>IF(Produits!E765="","",Produits!E765)</f>
        <v/>
      </c>
      <c r="F884" s="49" t="str">
        <f>IF(Produits!F765="","",Produits!F765)</f>
        <v/>
      </c>
      <c r="J884" s="88" t="str">
        <f>IF($J$1="","",HLOOKUP($J$1,$M$1:$AAY$1000,884,0))</f>
        <v/>
      </c>
    </row>
    <row r="885" spans="1:10" x14ac:dyDescent="0.25">
      <c r="A885" s="4" t="str">
        <f>IF(Produits!A766="","",Produits!A766)</f>
        <v/>
      </c>
      <c r="B885" s="4" t="str">
        <f>IF(Produits!B766="","",Produits!B766)</f>
        <v/>
      </c>
      <c r="C885" s="4" t="str">
        <f>IF(Produits!C766="","",Produits!C766)</f>
        <v/>
      </c>
      <c r="D885" s="4" t="str">
        <f>IF(Produits!D766="","",Produits!D766)</f>
        <v/>
      </c>
      <c r="E885" s="4" t="str">
        <f>IF(Produits!E766="","",Produits!E766)</f>
        <v/>
      </c>
      <c r="F885" s="49" t="str">
        <f>IF(Produits!F766="","",Produits!F766)</f>
        <v/>
      </c>
      <c r="J885" s="88" t="str">
        <f>IF($J$1="","",HLOOKUP($J$1,$M$1:$AAY$1000,885,0))</f>
        <v/>
      </c>
    </row>
    <row r="886" spans="1:10" x14ac:dyDescent="0.25">
      <c r="A886" s="4" t="str">
        <f>IF(Produits!A767="","",Produits!A767)</f>
        <v/>
      </c>
      <c r="B886" s="4" t="str">
        <f>IF(Produits!B767="","",Produits!B767)</f>
        <v/>
      </c>
      <c r="C886" s="4" t="str">
        <f>IF(Produits!C767="","",Produits!C767)</f>
        <v/>
      </c>
      <c r="D886" s="4" t="str">
        <f>IF(Produits!D767="","",Produits!D767)</f>
        <v/>
      </c>
      <c r="E886" s="4" t="str">
        <f>IF(Produits!E767="","",Produits!E767)</f>
        <v/>
      </c>
      <c r="F886" s="49" t="str">
        <f>IF(Produits!F767="","",Produits!F767)</f>
        <v/>
      </c>
      <c r="J886" s="88" t="str">
        <f>IF($J$1="","",HLOOKUP($J$1,$M$1:$AAY$1000,886,0))</f>
        <v/>
      </c>
    </row>
    <row r="887" spans="1:10" x14ac:dyDescent="0.25">
      <c r="A887" s="4" t="str">
        <f>IF(Produits!A768="","",Produits!A768)</f>
        <v/>
      </c>
      <c r="B887" s="4" t="str">
        <f>IF(Produits!B768="","",Produits!B768)</f>
        <v/>
      </c>
      <c r="C887" s="4" t="str">
        <f>IF(Produits!C768="","",Produits!C768)</f>
        <v/>
      </c>
      <c r="D887" s="4" t="str">
        <f>IF(Produits!D768="","",Produits!D768)</f>
        <v/>
      </c>
      <c r="E887" s="4" t="str">
        <f>IF(Produits!E768="","",Produits!E768)</f>
        <v/>
      </c>
      <c r="F887" s="49" t="str">
        <f>IF(Produits!F768="","",Produits!F768)</f>
        <v/>
      </c>
      <c r="J887" s="88" t="str">
        <f>IF($J$1="","",HLOOKUP($J$1,$M$1:$AAY$1000,887,0))</f>
        <v/>
      </c>
    </row>
    <row r="888" spans="1:10" x14ac:dyDescent="0.25">
      <c r="A888" s="4" t="str">
        <f>IF(Produits!A769="","",Produits!A769)</f>
        <v/>
      </c>
      <c r="B888" s="4" t="str">
        <f>IF(Produits!B769="","",Produits!B769)</f>
        <v/>
      </c>
      <c r="C888" s="4" t="str">
        <f>IF(Produits!C769="","",Produits!C769)</f>
        <v/>
      </c>
      <c r="D888" s="4" t="str">
        <f>IF(Produits!D769="","",Produits!D769)</f>
        <v/>
      </c>
      <c r="E888" s="4" t="str">
        <f>IF(Produits!E769="","",Produits!E769)</f>
        <v/>
      </c>
      <c r="F888" s="49" t="str">
        <f>IF(Produits!F769="","",Produits!F769)</f>
        <v/>
      </c>
      <c r="J888" s="88" t="str">
        <f>IF($J$1="","",HLOOKUP($J$1,$M$1:$AAY$1000,888,0))</f>
        <v/>
      </c>
    </row>
    <row r="889" spans="1:10" x14ac:dyDescent="0.25">
      <c r="A889" s="4" t="str">
        <f>IF(Produits!A770="","",Produits!A770)</f>
        <v/>
      </c>
      <c r="B889" s="4" t="str">
        <f>IF(Produits!B770="","",Produits!B770)</f>
        <v/>
      </c>
      <c r="C889" s="4" t="str">
        <f>IF(Produits!C770="","",Produits!C770)</f>
        <v/>
      </c>
      <c r="D889" s="4" t="str">
        <f>IF(Produits!D770="","",Produits!D770)</f>
        <v/>
      </c>
      <c r="E889" s="4" t="str">
        <f>IF(Produits!E770="","",Produits!E770)</f>
        <v/>
      </c>
      <c r="F889" s="49" t="str">
        <f>IF(Produits!F770="","",Produits!F770)</f>
        <v/>
      </c>
      <c r="J889" s="88" t="str">
        <f>IF($J$1="","",HLOOKUP($J$1,$M$1:$AAY$1000,889,0))</f>
        <v/>
      </c>
    </row>
    <row r="890" spans="1:10" x14ac:dyDescent="0.25">
      <c r="A890" s="4" t="str">
        <f>IF(Produits!A771="","",Produits!A771)</f>
        <v/>
      </c>
      <c r="B890" s="4" t="str">
        <f>IF(Produits!B771="","",Produits!B771)</f>
        <v/>
      </c>
      <c r="C890" s="4" t="str">
        <f>IF(Produits!C771="","",Produits!C771)</f>
        <v/>
      </c>
      <c r="D890" s="4" t="str">
        <f>IF(Produits!D771="","",Produits!D771)</f>
        <v/>
      </c>
      <c r="E890" s="4" t="str">
        <f>IF(Produits!E771="","",Produits!E771)</f>
        <v/>
      </c>
      <c r="F890" s="49" t="str">
        <f>IF(Produits!F771="","",Produits!F771)</f>
        <v/>
      </c>
      <c r="J890" s="88" t="str">
        <f>IF($J$1="","",HLOOKUP($J$1,$M$1:$AAY$1000,890,0))</f>
        <v/>
      </c>
    </row>
    <row r="891" spans="1:10" x14ac:dyDescent="0.25">
      <c r="A891" s="4" t="str">
        <f>IF(Produits!A772="","",Produits!A772)</f>
        <v/>
      </c>
      <c r="B891" s="4" t="str">
        <f>IF(Produits!B772="","",Produits!B772)</f>
        <v/>
      </c>
      <c r="C891" s="4" t="str">
        <f>IF(Produits!C772="","",Produits!C772)</f>
        <v/>
      </c>
      <c r="D891" s="4" t="str">
        <f>IF(Produits!D772="","",Produits!D772)</f>
        <v/>
      </c>
      <c r="E891" s="4" t="str">
        <f>IF(Produits!E772="","",Produits!E772)</f>
        <v/>
      </c>
      <c r="F891" s="49" t="str">
        <f>IF(Produits!F772="","",Produits!F772)</f>
        <v/>
      </c>
      <c r="J891" s="88" t="str">
        <f>IF($J$1="","",HLOOKUP($J$1,$M$1:$AAY$1000,891,0))</f>
        <v/>
      </c>
    </row>
    <row r="892" spans="1:10" x14ac:dyDescent="0.25">
      <c r="A892" s="4" t="str">
        <f>IF(Produits!A773="","",Produits!A773)</f>
        <v/>
      </c>
      <c r="B892" s="4" t="str">
        <f>IF(Produits!B773="","",Produits!B773)</f>
        <v/>
      </c>
      <c r="C892" s="4" t="str">
        <f>IF(Produits!C773="","",Produits!C773)</f>
        <v/>
      </c>
      <c r="D892" s="4" t="str">
        <f>IF(Produits!D773="","",Produits!D773)</f>
        <v/>
      </c>
      <c r="E892" s="4" t="str">
        <f>IF(Produits!E773="","",Produits!E773)</f>
        <v/>
      </c>
      <c r="F892" s="49" t="str">
        <f>IF(Produits!F773="","",Produits!F773)</f>
        <v/>
      </c>
      <c r="J892" s="88" t="str">
        <f>IF($J$1="","",HLOOKUP($J$1,$M$1:$AAY$1000,892,0))</f>
        <v/>
      </c>
    </row>
    <row r="893" spans="1:10" x14ac:dyDescent="0.25">
      <c r="A893" s="4" t="str">
        <f>IF(Produits!A774="","",Produits!A774)</f>
        <v/>
      </c>
      <c r="B893" s="4" t="str">
        <f>IF(Produits!B774="","",Produits!B774)</f>
        <v/>
      </c>
      <c r="C893" s="4" t="str">
        <f>IF(Produits!C774="","",Produits!C774)</f>
        <v/>
      </c>
      <c r="D893" s="4" t="str">
        <f>IF(Produits!D774="","",Produits!D774)</f>
        <v/>
      </c>
      <c r="E893" s="4" t="str">
        <f>IF(Produits!E774="","",Produits!E774)</f>
        <v/>
      </c>
      <c r="F893" s="49" t="str">
        <f>IF(Produits!F774="","",Produits!F774)</f>
        <v/>
      </c>
      <c r="J893" s="88" t="str">
        <f>IF($J$1="","",HLOOKUP($J$1,$M$1:$AAY$1000,893,0))</f>
        <v/>
      </c>
    </row>
    <row r="894" spans="1:10" x14ac:dyDescent="0.25">
      <c r="A894" s="4" t="str">
        <f>IF(Produits!A775="","",Produits!A775)</f>
        <v/>
      </c>
      <c r="B894" s="4" t="str">
        <f>IF(Produits!B775="","",Produits!B775)</f>
        <v/>
      </c>
      <c r="C894" s="4" t="str">
        <f>IF(Produits!C775="","",Produits!C775)</f>
        <v/>
      </c>
      <c r="D894" s="4" t="str">
        <f>IF(Produits!D775="","",Produits!D775)</f>
        <v/>
      </c>
      <c r="E894" s="4" t="str">
        <f>IF(Produits!E775="","",Produits!E775)</f>
        <v/>
      </c>
      <c r="F894" s="49" t="str">
        <f>IF(Produits!F775="","",Produits!F775)</f>
        <v/>
      </c>
      <c r="J894" s="88" t="str">
        <f>IF($J$1="","",HLOOKUP($J$1,$M$1:$AAY$1000,894,0))</f>
        <v/>
      </c>
    </row>
    <row r="895" spans="1:10" x14ac:dyDescent="0.25">
      <c r="A895" s="4" t="str">
        <f>IF(Produits!A776="","",Produits!A776)</f>
        <v/>
      </c>
      <c r="B895" s="4" t="str">
        <f>IF(Produits!B776="","",Produits!B776)</f>
        <v/>
      </c>
      <c r="C895" s="4" t="str">
        <f>IF(Produits!C776="","",Produits!C776)</f>
        <v/>
      </c>
      <c r="D895" s="4" t="str">
        <f>IF(Produits!D776="","",Produits!D776)</f>
        <v/>
      </c>
      <c r="E895" s="4" t="str">
        <f>IF(Produits!E776="","",Produits!E776)</f>
        <v/>
      </c>
      <c r="F895" s="49" t="str">
        <f>IF(Produits!F776="","",Produits!F776)</f>
        <v/>
      </c>
      <c r="J895" s="88" t="str">
        <f>IF($J$1="","",HLOOKUP($J$1,$M$1:$AAY$1000,895,0))</f>
        <v/>
      </c>
    </row>
    <row r="896" spans="1:10" x14ac:dyDescent="0.25">
      <c r="A896" s="4" t="str">
        <f>IF(Produits!A777="","",Produits!A777)</f>
        <v/>
      </c>
      <c r="B896" s="4" t="str">
        <f>IF(Produits!B777="","",Produits!B777)</f>
        <v/>
      </c>
      <c r="C896" s="4" t="str">
        <f>IF(Produits!C777="","",Produits!C777)</f>
        <v/>
      </c>
      <c r="D896" s="4" t="str">
        <f>IF(Produits!D777="","",Produits!D777)</f>
        <v/>
      </c>
      <c r="E896" s="4" t="str">
        <f>IF(Produits!E777="","",Produits!E777)</f>
        <v/>
      </c>
      <c r="F896" s="49" t="str">
        <f>IF(Produits!F777="","",Produits!F777)</f>
        <v/>
      </c>
      <c r="J896" s="88" t="str">
        <f>IF($J$1="","",HLOOKUP($J$1,$M$1:$AAY$1000,896,0))</f>
        <v/>
      </c>
    </row>
    <row r="897" spans="1:10" x14ac:dyDescent="0.25">
      <c r="A897" s="4" t="str">
        <f>IF(Produits!A778="","",Produits!A778)</f>
        <v/>
      </c>
      <c r="B897" s="4" t="str">
        <f>IF(Produits!B778="","",Produits!B778)</f>
        <v/>
      </c>
      <c r="C897" s="4" t="str">
        <f>IF(Produits!C778="","",Produits!C778)</f>
        <v/>
      </c>
      <c r="D897" s="4" t="str">
        <f>IF(Produits!D778="","",Produits!D778)</f>
        <v/>
      </c>
      <c r="E897" s="4" t="str">
        <f>IF(Produits!E778="","",Produits!E778)</f>
        <v/>
      </c>
      <c r="F897" s="49" t="str">
        <f>IF(Produits!F778="","",Produits!F778)</f>
        <v/>
      </c>
      <c r="J897" s="88" t="str">
        <f>IF($J$1="","",HLOOKUP($J$1,$M$1:$AAY$1000,897,0))</f>
        <v/>
      </c>
    </row>
    <row r="898" spans="1:10" x14ac:dyDescent="0.25">
      <c r="A898" s="4" t="str">
        <f>IF(Produits!A779="","",Produits!A779)</f>
        <v/>
      </c>
      <c r="B898" s="4" t="str">
        <f>IF(Produits!B779="","",Produits!B779)</f>
        <v/>
      </c>
      <c r="C898" s="4" t="str">
        <f>IF(Produits!C779="","",Produits!C779)</f>
        <v/>
      </c>
      <c r="D898" s="4" t="str">
        <f>IF(Produits!D779="","",Produits!D779)</f>
        <v/>
      </c>
      <c r="E898" s="4" t="str">
        <f>IF(Produits!E779="","",Produits!E779)</f>
        <v/>
      </c>
      <c r="F898" s="49" t="str">
        <f>IF(Produits!F779="","",Produits!F779)</f>
        <v/>
      </c>
      <c r="J898" s="88" t="str">
        <f>IF($J$1="","",HLOOKUP($J$1,$M$1:$AAY$1000,898,0))</f>
        <v/>
      </c>
    </row>
    <row r="899" spans="1:10" x14ac:dyDescent="0.25">
      <c r="A899" s="4" t="str">
        <f>IF(Produits!A780="","",Produits!A780)</f>
        <v/>
      </c>
      <c r="B899" s="4" t="str">
        <f>IF(Produits!B780="","",Produits!B780)</f>
        <v/>
      </c>
      <c r="C899" s="4" t="str">
        <f>IF(Produits!C780="","",Produits!C780)</f>
        <v/>
      </c>
      <c r="D899" s="4" t="str">
        <f>IF(Produits!D780="","",Produits!D780)</f>
        <v/>
      </c>
      <c r="E899" s="4" t="str">
        <f>IF(Produits!E780="","",Produits!E780)</f>
        <v/>
      </c>
      <c r="F899" s="49" t="str">
        <f>IF(Produits!F780="","",Produits!F780)</f>
        <v/>
      </c>
      <c r="J899" s="88" t="str">
        <f>IF($J$1="","",HLOOKUP($J$1,$M$1:$AAY$1000,899,0))</f>
        <v/>
      </c>
    </row>
    <row r="900" spans="1:10" x14ac:dyDescent="0.25">
      <c r="A900" s="4" t="str">
        <f>IF(Produits!A781="","",Produits!A781)</f>
        <v/>
      </c>
      <c r="B900" s="4" t="str">
        <f>IF(Produits!B781="","",Produits!B781)</f>
        <v/>
      </c>
      <c r="C900" s="4" t="str">
        <f>IF(Produits!C781="","",Produits!C781)</f>
        <v/>
      </c>
      <c r="D900" s="4" t="str">
        <f>IF(Produits!D781="","",Produits!D781)</f>
        <v/>
      </c>
      <c r="E900" s="4" t="str">
        <f>IF(Produits!E781="","",Produits!E781)</f>
        <v/>
      </c>
      <c r="F900" s="49" t="str">
        <f>IF(Produits!F781="","",Produits!F781)</f>
        <v/>
      </c>
      <c r="J900" s="88" t="str">
        <f>IF($J$1="","",HLOOKUP($J$1,$M$1:$AAY$1000,900,0))</f>
        <v/>
      </c>
    </row>
    <row r="901" spans="1:10" x14ac:dyDescent="0.25">
      <c r="A901" s="4" t="str">
        <f>IF(Produits!A782="","",Produits!A782)</f>
        <v/>
      </c>
      <c r="B901" s="4" t="str">
        <f>IF(Produits!B782="","",Produits!B782)</f>
        <v/>
      </c>
      <c r="C901" s="4" t="str">
        <f>IF(Produits!C782="","",Produits!C782)</f>
        <v/>
      </c>
      <c r="D901" s="4" t="str">
        <f>IF(Produits!D782="","",Produits!D782)</f>
        <v/>
      </c>
      <c r="E901" s="4" t="str">
        <f>IF(Produits!E782="","",Produits!E782)</f>
        <v/>
      </c>
      <c r="F901" s="49" t="str">
        <f>IF(Produits!F782="","",Produits!F782)</f>
        <v/>
      </c>
      <c r="J901" s="88" t="str">
        <f>IF($J$1="","",HLOOKUP($J$1,$M$1:$AAY$1000,901,0))</f>
        <v/>
      </c>
    </row>
    <row r="902" spans="1:10" x14ac:dyDescent="0.25">
      <c r="A902" s="4" t="str">
        <f>IF(Produits!A783="","",Produits!A783)</f>
        <v/>
      </c>
      <c r="B902" s="4" t="str">
        <f>IF(Produits!B783="","",Produits!B783)</f>
        <v/>
      </c>
      <c r="C902" s="4" t="str">
        <f>IF(Produits!C783="","",Produits!C783)</f>
        <v/>
      </c>
      <c r="D902" s="4" t="str">
        <f>IF(Produits!D783="","",Produits!D783)</f>
        <v/>
      </c>
      <c r="E902" s="4" t="str">
        <f>IF(Produits!E783="","",Produits!E783)</f>
        <v/>
      </c>
      <c r="F902" s="49" t="str">
        <f>IF(Produits!F783="","",Produits!F783)</f>
        <v/>
      </c>
      <c r="J902" s="88" t="str">
        <f>IF($J$1="","",HLOOKUP($J$1,$M$1:$AAY$1000,902,0))</f>
        <v/>
      </c>
    </row>
    <row r="903" spans="1:10" x14ac:dyDescent="0.25">
      <c r="A903" s="4" t="str">
        <f>IF(Produits!A784="","",Produits!A784)</f>
        <v/>
      </c>
      <c r="B903" s="4" t="str">
        <f>IF(Produits!B784="","",Produits!B784)</f>
        <v/>
      </c>
      <c r="C903" s="4" t="str">
        <f>IF(Produits!C784="","",Produits!C784)</f>
        <v/>
      </c>
      <c r="D903" s="4" t="str">
        <f>IF(Produits!D784="","",Produits!D784)</f>
        <v/>
      </c>
      <c r="E903" s="4" t="str">
        <f>IF(Produits!E784="","",Produits!E784)</f>
        <v/>
      </c>
      <c r="F903" s="49" t="str">
        <f>IF(Produits!F784="","",Produits!F784)</f>
        <v/>
      </c>
      <c r="J903" s="88" t="str">
        <f>IF($J$1="","",HLOOKUP($J$1,$M$1:$AAY$1000,903,0))</f>
        <v/>
      </c>
    </row>
    <row r="904" spans="1:10" x14ac:dyDescent="0.25">
      <c r="A904" s="4" t="str">
        <f>IF(Produits!A785="","",Produits!A785)</f>
        <v/>
      </c>
      <c r="B904" s="4" t="str">
        <f>IF(Produits!B785="","",Produits!B785)</f>
        <v/>
      </c>
      <c r="C904" s="4" t="str">
        <f>IF(Produits!C785="","",Produits!C785)</f>
        <v/>
      </c>
      <c r="D904" s="4" t="str">
        <f>IF(Produits!D785="","",Produits!D785)</f>
        <v/>
      </c>
      <c r="E904" s="4" t="str">
        <f>IF(Produits!E785="","",Produits!E785)</f>
        <v/>
      </c>
      <c r="F904" s="49" t="str">
        <f>IF(Produits!F785="","",Produits!F785)</f>
        <v/>
      </c>
      <c r="J904" s="88" t="str">
        <f>IF($J$1="","",HLOOKUP($J$1,$M$1:$AAY$1000,904,0))</f>
        <v/>
      </c>
    </row>
    <row r="905" spans="1:10" x14ac:dyDescent="0.25">
      <c r="A905" s="4" t="str">
        <f>IF(Produits!A786="","",Produits!A786)</f>
        <v/>
      </c>
      <c r="B905" s="4" t="str">
        <f>IF(Produits!B786="","",Produits!B786)</f>
        <v/>
      </c>
      <c r="C905" s="4" t="str">
        <f>IF(Produits!C786="","",Produits!C786)</f>
        <v/>
      </c>
      <c r="D905" s="4" t="str">
        <f>IF(Produits!D786="","",Produits!D786)</f>
        <v/>
      </c>
      <c r="E905" s="4" t="str">
        <f>IF(Produits!E786="","",Produits!E786)</f>
        <v/>
      </c>
      <c r="F905" s="49" t="str">
        <f>IF(Produits!F786="","",Produits!F786)</f>
        <v/>
      </c>
      <c r="J905" s="88" t="str">
        <f>IF($J$1="","",HLOOKUP($J$1,$M$1:$AAY$1000,905,0))</f>
        <v/>
      </c>
    </row>
    <row r="906" spans="1:10" x14ac:dyDescent="0.25">
      <c r="A906" s="4" t="str">
        <f>IF(Produits!A787="","",Produits!A787)</f>
        <v/>
      </c>
      <c r="B906" s="4" t="str">
        <f>IF(Produits!B787="","",Produits!B787)</f>
        <v/>
      </c>
      <c r="C906" s="4" t="str">
        <f>IF(Produits!C787="","",Produits!C787)</f>
        <v/>
      </c>
      <c r="D906" s="4" t="str">
        <f>IF(Produits!D787="","",Produits!D787)</f>
        <v/>
      </c>
      <c r="E906" s="4" t="str">
        <f>IF(Produits!E787="","",Produits!E787)</f>
        <v/>
      </c>
      <c r="F906" s="49" t="str">
        <f>IF(Produits!F787="","",Produits!F787)</f>
        <v/>
      </c>
      <c r="J906" s="88" t="str">
        <f>IF($J$1="","",HLOOKUP($J$1,$M$1:$AAY$1000,906,0))</f>
        <v/>
      </c>
    </row>
    <row r="907" spans="1:10" x14ac:dyDescent="0.25">
      <c r="A907" s="4" t="str">
        <f>IF(Produits!A788="","",Produits!A788)</f>
        <v/>
      </c>
      <c r="B907" s="4" t="str">
        <f>IF(Produits!B788="","",Produits!B788)</f>
        <v/>
      </c>
      <c r="C907" s="4" t="str">
        <f>IF(Produits!C788="","",Produits!C788)</f>
        <v/>
      </c>
      <c r="D907" s="4" t="str">
        <f>IF(Produits!D788="","",Produits!D788)</f>
        <v/>
      </c>
      <c r="E907" s="4" t="str">
        <f>IF(Produits!E788="","",Produits!E788)</f>
        <v/>
      </c>
      <c r="F907" s="49" t="str">
        <f>IF(Produits!F788="","",Produits!F788)</f>
        <v/>
      </c>
      <c r="J907" s="88" t="str">
        <f>IF($J$1="","",HLOOKUP($J$1,$M$1:$AAY$1000,907,0))</f>
        <v/>
      </c>
    </row>
    <row r="908" spans="1:10" x14ac:dyDescent="0.25">
      <c r="A908" s="4" t="str">
        <f>IF(Produits!A789="","",Produits!A789)</f>
        <v/>
      </c>
      <c r="B908" s="4" t="str">
        <f>IF(Produits!B789="","",Produits!B789)</f>
        <v/>
      </c>
      <c r="C908" s="4" t="str">
        <f>IF(Produits!C789="","",Produits!C789)</f>
        <v/>
      </c>
      <c r="D908" s="4" t="str">
        <f>IF(Produits!D789="","",Produits!D789)</f>
        <v/>
      </c>
      <c r="E908" s="4" t="str">
        <f>IF(Produits!E789="","",Produits!E789)</f>
        <v/>
      </c>
      <c r="F908" s="49" t="str">
        <f>IF(Produits!F789="","",Produits!F789)</f>
        <v/>
      </c>
      <c r="J908" s="88" t="str">
        <f>IF($J$1="","",HLOOKUP($J$1,$M$1:$AAY$1000,908,0))</f>
        <v/>
      </c>
    </row>
    <row r="909" spans="1:10" x14ac:dyDescent="0.25">
      <c r="A909" s="4" t="str">
        <f>IF(Produits!A790="","",Produits!A790)</f>
        <v/>
      </c>
      <c r="B909" s="4" t="str">
        <f>IF(Produits!B790="","",Produits!B790)</f>
        <v/>
      </c>
      <c r="C909" s="4" t="str">
        <f>IF(Produits!C790="","",Produits!C790)</f>
        <v/>
      </c>
      <c r="D909" s="4" t="str">
        <f>IF(Produits!D790="","",Produits!D790)</f>
        <v/>
      </c>
      <c r="E909" s="4" t="str">
        <f>IF(Produits!E790="","",Produits!E790)</f>
        <v/>
      </c>
      <c r="F909" s="49" t="str">
        <f>IF(Produits!F790="","",Produits!F790)</f>
        <v/>
      </c>
      <c r="J909" s="88" t="str">
        <f>IF($J$1="","",HLOOKUP($J$1,$M$1:$AAY$1000,909,0))</f>
        <v/>
      </c>
    </row>
    <row r="910" spans="1:10" x14ac:dyDescent="0.25">
      <c r="A910" s="4" t="str">
        <f>IF(Produits!A791="","",Produits!A791)</f>
        <v/>
      </c>
      <c r="B910" s="4" t="str">
        <f>IF(Produits!B791="","",Produits!B791)</f>
        <v/>
      </c>
      <c r="C910" s="4" t="str">
        <f>IF(Produits!C791="","",Produits!C791)</f>
        <v/>
      </c>
      <c r="D910" s="4" t="str">
        <f>IF(Produits!D791="","",Produits!D791)</f>
        <v/>
      </c>
      <c r="E910" s="4" t="str">
        <f>IF(Produits!E791="","",Produits!E791)</f>
        <v/>
      </c>
      <c r="F910" s="49" t="str">
        <f>IF(Produits!F791="","",Produits!F791)</f>
        <v/>
      </c>
      <c r="J910" s="88" t="str">
        <f>IF($J$1="","",HLOOKUP($J$1,$M$1:$AAY$1000,910,0))</f>
        <v/>
      </c>
    </row>
    <row r="911" spans="1:10" x14ac:dyDescent="0.25">
      <c r="A911" s="4" t="str">
        <f>IF(Produits!A792="","",Produits!A792)</f>
        <v/>
      </c>
      <c r="B911" s="4" t="str">
        <f>IF(Produits!B792="","",Produits!B792)</f>
        <v/>
      </c>
      <c r="C911" s="4" t="str">
        <f>IF(Produits!C792="","",Produits!C792)</f>
        <v/>
      </c>
      <c r="D911" s="4" t="str">
        <f>IF(Produits!D792="","",Produits!D792)</f>
        <v/>
      </c>
      <c r="E911" s="4" t="str">
        <f>IF(Produits!E792="","",Produits!E792)</f>
        <v/>
      </c>
      <c r="F911" s="49" t="str">
        <f>IF(Produits!F792="","",Produits!F792)</f>
        <v/>
      </c>
      <c r="J911" s="88" t="str">
        <f>IF($J$1="","",HLOOKUP($J$1,$M$1:$AAY$1000,911,0))</f>
        <v/>
      </c>
    </row>
    <row r="912" spans="1:10" x14ac:dyDescent="0.25">
      <c r="A912" s="4" t="str">
        <f>IF(Produits!A793="","",Produits!A793)</f>
        <v/>
      </c>
      <c r="B912" s="4" t="str">
        <f>IF(Produits!B793="","",Produits!B793)</f>
        <v/>
      </c>
      <c r="C912" s="4" t="str">
        <f>IF(Produits!C793="","",Produits!C793)</f>
        <v/>
      </c>
      <c r="D912" s="4" t="str">
        <f>IF(Produits!D793="","",Produits!D793)</f>
        <v/>
      </c>
      <c r="E912" s="4" t="str">
        <f>IF(Produits!E793="","",Produits!E793)</f>
        <v/>
      </c>
      <c r="F912" s="49" t="str">
        <f>IF(Produits!F793="","",Produits!F793)</f>
        <v/>
      </c>
      <c r="J912" s="88" t="str">
        <f>IF($J$1="","",HLOOKUP($J$1,$M$1:$AAY$1000,912,0))</f>
        <v/>
      </c>
    </row>
    <row r="913" spans="1:10" x14ac:dyDescent="0.25">
      <c r="A913" s="4" t="str">
        <f>IF(Produits!A794="","",Produits!A794)</f>
        <v/>
      </c>
      <c r="B913" s="4" t="str">
        <f>IF(Produits!B794="","",Produits!B794)</f>
        <v/>
      </c>
      <c r="C913" s="4" t="str">
        <f>IF(Produits!C794="","",Produits!C794)</f>
        <v/>
      </c>
      <c r="D913" s="4" t="str">
        <f>IF(Produits!D794="","",Produits!D794)</f>
        <v/>
      </c>
      <c r="E913" s="4" t="str">
        <f>IF(Produits!E794="","",Produits!E794)</f>
        <v/>
      </c>
      <c r="F913" s="49" t="str">
        <f>IF(Produits!F794="","",Produits!F794)</f>
        <v/>
      </c>
      <c r="J913" s="88" t="str">
        <f>IF($J$1="","",HLOOKUP($J$1,$M$1:$AAY$1000,913,0))</f>
        <v/>
      </c>
    </row>
    <row r="914" spans="1:10" x14ac:dyDescent="0.25">
      <c r="A914" s="4" t="str">
        <f>IF(Produits!A795="","",Produits!A795)</f>
        <v/>
      </c>
      <c r="B914" s="4" t="str">
        <f>IF(Produits!B795="","",Produits!B795)</f>
        <v/>
      </c>
      <c r="C914" s="4" t="str">
        <f>IF(Produits!C795="","",Produits!C795)</f>
        <v/>
      </c>
      <c r="D914" s="4" t="str">
        <f>IF(Produits!D795="","",Produits!D795)</f>
        <v/>
      </c>
      <c r="E914" s="4" t="str">
        <f>IF(Produits!E795="","",Produits!E795)</f>
        <v/>
      </c>
      <c r="F914" s="49" t="str">
        <f>IF(Produits!F795="","",Produits!F795)</f>
        <v/>
      </c>
      <c r="J914" s="88" t="str">
        <f>IF($J$1="","",HLOOKUP($J$1,$M$1:$AAY$1000,914,0))</f>
        <v/>
      </c>
    </row>
    <row r="915" spans="1:10" x14ac:dyDescent="0.25">
      <c r="A915" s="4" t="str">
        <f>IF(Produits!A796="","",Produits!A796)</f>
        <v/>
      </c>
      <c r="B915" s="4" t="str">
        <f>IF(Produits!B796="","",Produits!B796)</f>
        <v/>
      </c>
      <c r="C915" s="4" t="str">
        <f>IF(Produits!C796="","",Produits!C796)</f>
        <v/>
      </c>
      <c r="D915" s="4" t="str">
        <f>IF(Produits!D796="","",Produits!D796)</f>
        <v/>
      </c>
      <c r="E915" s="4" t="str">
        <f>IF(Produits!E796="","",Produits!E796)</f>
        <v/>
      </c>
      <c r="F915" s="49" t="str">
        <f>IF(Produits!F796="","",Produits!F796)</f>
        <v/>
      </c>
      <c r="J915" s="88" t="str">
        <f>IF($J$1="","",HLOOKUP($J$1,$M$1:$AAY$1000,915,0))</f>
        <v/>
      </c>
    </row>
    <row r="916" spans="1:10" x14ac:dyDescent="0.25">
      <c r="A916" s="4" t="str">
        <f>IF(Produits!A797="","",Produits!A797)</f>
        <v/>
      </c>
      <c r="B916" s="4" t="str">
        <f>IF(Produits!B797="","",Produits!B797)</f>
        <v/>
      </c>
      <c r="C916" s="4" t="str">
        <f>IF(Produits!C797="","",Produits!C797)</f>
        <v/>
      </c>
      <c r="D916" s="4" t="str">
        <f>IF(Produits!D797="","",Produits!D797)</f>
        <v/>
      </c>
      <c r="E916" s="4" t="str">
        <f>IF(Produits!E797="","",Produits!E797)</f>
        <v/>
      </c>
      <c r="F916" s="49" t="str">
        <f>IF(Produits!F797="","",Produits!F797)</f>
        <v/>
      </c>
      <c r="J916" s="88" t="str">
        <f>IF($J$1="","",HLOOKUP($J$1,$M$1:$AAY$1000,916,0))</f>
        <v/>
      </c>
    </row>
    <row r="917" spans="1:10" x14ac:dyDescent="0.25">
      <c r="A917" s="4" t="str">
        <f>IF(Produits!A798="","",Produits!A798)</f>
        <v/>
      </c>
      <c r="B917" s="4" t="str">
        <f>IF(Produits!B798="","",Produits!B798)</f>
        <v/>
      </c>
      <c r="C917" s="4" t="str">
        <f>IF(Produits!C798="","",Produits!C798)</f>
        <v/>
      </c>
      <c r="D917" s="4" t="str">
        <f>IF(Produits!D798="","",Produits!D798)</f>
        <v/>
      </c>
      <c r="E917" s="4" t="str">
        <f>IF(Produits!E798="","",Produits!E798)</f>
        <v/>
      </c>
      <c r="F917" s="49" t="str">
        <f>IF(Produits!F798="","",Produits!F798)</f>
        <v/>
      </c>
      <c r="J917" s="88" t="str">
        <f>IF($J$1="","",HLOOKUP($J$1,$M$1:$AAY$1000,917,0))</f>
        <v/>
      </c>
    </row>
    <row r="918" spans="1:10" x14ac:dyDescent="0.25">
      <c r="A918" s="4" t="str">
        <f>IF(Produits!A799="","",Produits!A799)</f>
        <v/>
      </c>
      <c r="B918" s="4" t="str">
        <f>IF(Produits!B799="","",Produits!B799)</f>
        <v/>
      </c>
      <c r="C918" s="4" t="str">
        <f>IF(Produits!C799="","",Produits!C799)</f>
        <v/>
      </c>
      <c r="D918" s="4" t="str">
        <f>IF(Produits!D799="","",Produits!D799)</f>
        <v/>
      </c>
      <c r="E918" s="4" t="str">
        <f>IF(Produits!E799="","",Produits!E799)</f>
        <v/>
      </c>
      <c r="F918" s="49" t="str">
        <f>IF(Produits!F799="","",Produits!F799)</f>
        <v/>
      </c>
      <c r="J918" s="88" t="str">
        <f>IF($J$1="","",HLOOKUP($J$1,$M$1:$AAY$1000,918,0))</f>
        <v/>
      </c>
    </row>
    <row r="919" spans="1:10" x14ac:dyDescent="0.25">
      <c r="A919" s="4" t="str">
        <f>IF(Produits!A800="","",Produits!A800)</f>
        <v/>
      </c>
      <c r="B919" s="4" t="str">
        <f>IF(Produits!B800="","",Produits!B800)</f>
        <v/>
      </c>
      <c r="C919" s="4" t="str">
        <f>IF(Produits!C800="","",Produits!C800)</f>
        <v/>
      </c>
      <c r="D919" s="4" t="str">
        <f>IF(Produits!D800="","",Produits!D800)</f>
        <v/>
      </c>
      <c r="E919" s="4" t="str">
        <f>IF(Produits!E800="","",Produits!E800)</f>
        <v/>
      </c>
      <c r="F919" s="49" t="str">
        <f>IF(Produits!F800="","",Produits!F800)</f>
        <v/>
      </c>
      <c r="J919" s="88" t="str">
        <f>IF($J$1="","",HLOOKUP($J$1,$M$1:$AAY$1000,919,0))</f>
        <v/>
      </c>
    </row>
    <row r="920" spans="1:10" x14ac:dyDescent="0.25">
      <c r="A920" s="4" t="str">
        <f>IF(Produits!A801="","",Produits!A801)</f>
        <v/>
      </c>
      <c r="B920" s="4" t="str">
        <f>IF(Produits!B801="","",Produits!B801)</f>
        <v/>
      </c>
      <c r="C920" s="4" t="str">
        <f>IF(Produits!C801="","",Produits!C801)</f>
        <v/>
      </c>
      <c r="D920" s="4" t="str">
        <f>IF(Produits!D801="","",Produits!D801)</f>
        <v/>
      </c>
      <c r="E920" s="4" t="str">
        <f>IF(Produits!E801="","",Produits!E801)</f>
        <v/>
      </c>
      <c r="F920" s="49" t="str">
        <f>IF(Produits!F801="","",Produits!F801)</f>
        <v/>
      </c>
      <c r="J920" s="88" t="str">
        <f>IF($J$1="","",HLOOKUP($J$1,$M$1:$AAY$1000,920,0))</f>
        <v/>
      </c>
    </row>
    <row r="921" spans="1:10" x14ac:dyDescent="0.25">
      <c r="A921" s="4" t="str">
        <f>IF(Produits!A802="","",Produits!A802)</f>
        <v/>
      </c>
      <c r="B921" s="4" t="str">
        <f>IF(Produits!B802="","",Produits!B802)</f>
        <v/>
      </c>
      <c r="C921" s="4" t="str">
        <f>IF(Produits!C802="","",Produits!C802)</f>
        <v/>
      </c>
      <c r="D921" s="4" t="str">
        <f>IF(Produits!D802="","",Produits!D802)</f>
        <v/>
      </c>
      <c r="E921" s="4" t="str">
        <f>IF(Produits!E802="","",Produits!E802)</f>
        <v/>
      </c>
      <c r="F921" s="49" t="str">
        <f>IF(Produits!F802="","",Produits!F802)</f>
        <v/>
      </c>
      <c r="J921" s="88" t="str">
        <f>IF($J$1="","",HLOOKUP($J$1,$M$1:$AAY$1000,921,0))</f>
        <v/>
      </c>
    </row>
    <row r="922" spans="1:10" x14ac:dyDescent="0.25">
      <c r="A922" s="4" t="str">
        <f>IF(Produits!A803="","",Produits!A803)</f>
        <v/>
      </c>
      <c r="B922" s="4" t="str">
        <f>IF(Produits!B803="","",Produits!B803)</f>
        <v/>
      </c>
      <c r="C922" s="4" t="str">
        <f>IF(Produits!C803="","",Produits!C803)</f>
        <v/>
      </c>
      <c r="D922" s="4" t="str">
        <f>IF(Produits!D803="","",Produits!D803)</f>
        <v/>
      </c>
      <c r="E922" s="4" t="str">
        <f>IF(Produits!E803="","",Produits!E803)</f>
        <v/>
      </c>
      <c r="F922" s="49" t="str">
        <f>IF(Produits!F803="","",Produits!F803)</f>
        <v/>
      </c>
      <c r="J922" s="88" t="str">
        <f>IF($J$1="","",HLOOKUP($J$1,$M$1:$AAY$1000,922,0))</f>
        <v/>
      </c>
    </row>
    <row r="923" spans="1:10" x14ac:dyDescent="0.25">
      <c r="A923" s="4" t="str">
        <f>IF(Produits!A804="","",Produits!A804)</f>
        <v/>
      </c>
      <c r="B923" s="4" t="str">
        <f>IF(Produits!B804="","",Produits!B804)</f>
        <v/>
      </c>
      <c r="C923" s="4" t="str">
        <f>IF(Produits!C804="","",Produits!C804)</f>
        <v/>
      </c>
      <c r="D923" s="4" t="str">
        <f>IF(Produits!D804="","",Produits!D804)</f>
        <v/>
      </c>
      <c r="E923" s="4" t="str">
        <f>IF(Produits!E804="","",Produits!E804)</f>
        <v/>
      </c>
      <c r="F923" s="49" t="str">
        <f>IF(Produits!F804="","",Produits!F804)</f>
        <v/>
      </c>
      <c r="J923" s="88" t="str">
        <f>IF($J$1="","",HLOOKUP($J$1,$M$1:$AAY$1000,923,0))</f>
        <v/>
      </c>
    </row>
    <row r="924" spans="1:10" x14ac:dyDescent="0.25">
      <c r="A924" s="4" t="str">
        <f>IF(Produits!A805="","",Produits!A805)</f>
        <v/>
      </c>
      <c r="B924" s="4" t="str">
        <f>IF(Produits!B805="","",Produits!B805)</f>
        <v/>
      </c>
      <c r="C924" s="4" t="str">
        <f>IF(Produits!C805="","",Produits!C805)</f>
        <v/>
      </c>
      <c r="D924" s="4" t="str">
        <f>IF(Produits!D805="","",Produits!D805)</f>
        <v/>
      </c>
      <c r="E924" s="4" t="str">
        <f>IF(Produits!E805="","",Produits!E805)</f>
        <v/>
      </c>
      <c r="F924" s="49" t="str">
        <f>IF(Produits!F805="","",Produits!F805)</f>
        <v/>
      </c>
      <c r="J924" s="88" t="str">
        <f>IF($J$1="","",HLOOKUP($J$1,$M$1:$AAY$1000,924,0))</f>
        <v/>
      </c>
    </row>
    <row r="925" spans="1:10" x14ac:dyDescent="0.25">
      <c r="A925" s="4" t="str">
        <f>IF(Produits!A806="","",Produits!A806)</f>
        <v/>
      </c>
      <c r="B925" s="4" t="str">
        <f>IF(Produits!B806="","",Produits!B806)</f>
        <v/>
      </c>
      <c r="C925" s="4" t="str">
        <f>IF(Produits!C806="","",Produits!C806)</f>
        <v/>
      </c>
      <c r="D925" s="4" t="str">
        <f>IF(Produits!D806="","",Produits!D806)</f>
        <v/>
      </c>
      <c r="E925" s="4" t="str">
        <f>IF(Produits!E806="","",Produits!E806)</f>
        <v/>
      </c>
      <c r="F925" s="49" t="str">
        <f>IF(Produits!F806="","",Produits!F806)</f>
        <v/>
      </c>
      <c r="J925" s="88" t="str">
        <f>IF($J$1="","",HLOOKUP($J$1,$M$1:$AAY$1000,925,0))</f>
        <v/>
      </c>
    </row>
    <row r="926" spans="1:10" x14ac:dyDescent="0.25">
      <c r="A926" s="4" t="str">
        <f>IF(Produits!A807="","",Produits!A807)</f>
        <v/>
      </c>
      <c r="B926" s="4" t="str">
        <f>IF(Produits!B807="","",Produits!B807)</f>
        <v/>
      </c>
      <c r="C926" s="4" t="str">
        <f>IF(Produits!C807="","",Produits!C807)</f>
        <v/>
      </c>
      <c r="D926" s="4" t="str">
        <f>IF(Produits!D807="","",Produits!D807)</f>
        <v/>
      </c>
      <c r="E926" s="4" t="str">
        <f>IF(Produits!E807="","",Produits!E807)</f>
        <v/>
      </c>
      <c r="F926" s="49" t="str">
        <f>IF(Produits!F807="","",Produits!F807)</f>
        <v/>
      </c>
      <c r="J926" s="88" t="str">
        <f>IF($J$1="","",HLOOKUP($J$1,$M$1:$AAY$1000,926,0))</f>
        <v/>
      </c>
    </row>
    <row r="927" spans="1:10" x14ac:dyDescent="0.25">
      <c r="A927" s="4" t="str">
        <f>IF(Produits!A808="","",Produits!A808)</f>
        <v/>
      </c>
      <c r="B927" s="4" t="str">
        <f>IF(Produits!B808="","",Produits!B808)</f>
        <v/>
      </c>
      <c r="C927" s="4" t="str">
        <f>IF(Produits!C808="","",Produits!C808)</f>
        <v/>
      </c>
      <c r="D927" s="4" t="str">
        <f>IF(Produits!D808="","",Produits!D808)</f>
        <v/>
      </c>
      <c r="E927" s="4" t="str">
        <f>IF(Produits!E808="","",Produits!E808)</f>
        <v/>
      </c>
      <c r="F927" s="49" t="str">
        <f>IF(Produits!F808="","",Produits!F808)</f>
        <v/>
      </c>
      <c r="J927" s="88" t="str">
        <f>IF($J$1="","",HLOOKUP($J$1,$M$1:$AAY$1000,927,0))</f>
        <v/>
      </c>
    </row>
    <row r="928" spans="1:10" x14ac:dyDescent="0.25">
      <c r="A928" s="4" t="str">
        <f>IF(Produits!A809="","",Produits!A809)</f>
        <v/>
      </c>
      <c r="B928" s="4" t="str">
        <f>IF(Produits!B809="","",Produits!B809)</f>
        <v/>
      </c>
      <c r="C928" s="4" t="str">
        <f>IF(Produits!C809="","",Produits!C809)</f>
        <v/>
      </c>
      <c r="D928" s="4" t="str">
        <f>IF(Produits!D809="","",Produits!D809)</f>
        <v/>
      </c>
      <c r="E928" s="4" t="str">
        <f>IF(Produits!E809="","",Produits!E809)</f>
        <v/>
      </c>
      <c r="F928" s="49" t="str">
        <f>IF(Produits!F809="","",Produits!F809)</f>
        <v/>
      </c>
      <c r="J928" s="88" t="str">
        <f>IF($J$1="","",HLOOKUP($J$1,$M$1:$AAY$1000,928,0))</f>
        <v/>
      </c>
    </row>
    <row r="929" spans="1:10" x14ac:dyDescent="0.25">
      <c r="A929" s="4" t="str">
        <f>IF(Produits!A810="","",Produits!A810)</f>
        <v/>
      </c>
      <c r="B929" s="4" t="str">
        <f>IF(Produits!B810="","",Produits!B810)</f>
        <v/>
      </c>
      <c r="C929" s="4" t="str">
        <f>IF(Produits!C810="","",Produits!C810)</f>
        <v/>
      </c>
      <c r="D929" s="4" t="str">
        <f>IF(Produits!D810="","",Produits!D810)</f>
        <v/>
      </c>
      <c r="E929" s="4" t="str">
        <f>IF(Produits!E810="","",Produits!E810)</f>
        <v/>
      </c>
      <c r="F929" s="49" t="str">
        <f>IF(Produits!F810="","",Produits!F810)</f>
        <v/>
      </c>
      <c r="J929" s="88" t="str">
        <f>IF($J$1="","",HLOOKUP($J$1,$M$1:$AAY$1000,929,0))</f>
        <v/>
      </c>
    </row>
    <row r="930" spans="1:10" x14ac:dyDescent="0.25">
      <c r="A930" s="4" t="str">
        <f>IF(Produits!A811="","",Produits!A811)</f>
        <v/>
      </c>
      <c r="B930" s="4" t="str">
        <f>IF(Produits!B811="","",Produits!B811)</f>
        <v/>
      </c>
      <c r="C930" s="4" t="str">
        <f>IF(Produits!C811="","",Produits!C811)</f>
        <v/>
      </c>
      <c r="D930" s="4" t="str">
        <f>IF(Produits!D811="","",Produits!D811)</f>
        <v/>
      </c>
      <c r="E930" s="4" t="str">
        <f>IF(Produits!E811="","",Produits!E811)</f>
        <v/>
      </c>
      <c r="F930" s="49" t="str">
        <f>IF(Produits!F811="","",Produits!F811)</f>
        <v/>
      </c>
      <c r="J930" s="88" t="str">
        <f>IF($J$1="","",HLOOKUP($J$1,$M$1:$AAY$1000,930,0))</f>
        <v/>
      </c>
    </row>
    <row r="931" spans="1:10" x14ac:dyDescent="0.25">
      <c r="A931" s="4" t="str">
        <f>IF(Produits!A812="","",Produits!A812)</f>
        <v/>
      </c>
      <c r="B931" s="4" t="str">
        <f>IF(Produits!B812="","",Produits!B812)</f>
        <v/>
      </c>
      <c r="C931" s="4" t="str">
        <f>IF(Produits!C812="","",Produits!C812)</f>
        <v/>
      </c>
      <c r="D931" s="4" t="str">
        <f>IF(Produits!D812="","",Produits!D812)</f>
        <v/>
      </c>
      <c r="E931" s="4" t="str">
        <f>IF(Produits!E812="","",Produits!E812)</f>
        <v/>
      </c>
      <c r="F931" s="49" t="str">
        <f>IF(Produits!F812="","",Produits!F812)</f>
        <v/>
      </c>
      <c r="J931" s="88" t="str">
        <f>IF($J$1="","",HLOOKUP($J$1,$M$1:$AAY$1000,931,0))</f>
        <v/>
      </c>
    </row>
    <row r="932" spans="1:10" x14ac:dyDescent="0.25">
      <c r="A932" s="4" t="str">
        <f>IF(Produits!A813="","",Produits!A813)</f>
        <v/>
      </c>
      <c r="B932" s="4" t="str">
        <f>IF(Produits!B813="","",Produits!B813)</f>
        <v/>
      </c>
      <c r="C932" s="4" t="str">
        <f>IF(Produits!C813="","",Produits!C813)</f>
        <v/>
      </c>
      <c r="D932" s="4" t="str">
        <f>IF(Produits!D813="","",Produits!D813)</f>
        <v/>
      </c>
      <c r="E932" s="4" t="str">
        <f>IF(Produits!E813="","",Produits!E813)</f>
        <v/>
      </c>
      <c r="F932" s="49" t="str">
        <f>IF(Produits!F813="","",Produits!F813)</f>
        <v/>
      </c>
      <c r="J932" s="88" t="str">
        <f>IF($J$1="","",HLOOKUP($J$1,$M$1:$AAY$1000,932,0))</f>
        <v/>
      </c>
    </row>
    <row r="933" spans="1:10" x14ac:dyDescent="0.25">
      <c r="A933" s="4" t="str">
        <f>IF(Produits!A814="","",Produits!A814)</f>
        <v/>
      </c>
      <c r="B933" s="4" t="str">
        <f>IF(Produits!B814="","",Produits!B814)</f>
        <v/>
      </c>
      <c r="C933" s="4" t="str">
        <f>IF(Produits!C814="","",Produits!C814)</f>
        <v/>
      </c>
      <c r="D933" s="4" t="str">
        <f>IF(Produits!D814="","",Produits!D814)</f>
        <v/>
      </c>
      <c r="E933" s="4" t="str">
        <f>IF(Produits!E814="","",Produits!E814)</f>
        <v/>
      </c>
      <c r="F933" s="49" t="str">
        <f>IF(Produits!F814="","",Produits!F814)</f>
        <v/>
      </c>
      <c r="J933" s="88" t="str">
        <f>IF($J$1="","",HLOOKUP($J$1,$M$1:$AAY$1000,933,0))</f>
        <v/>
      </c>
    </row>
    <row r="934" spans="1:10" x14ac:dyDescent="0.25">
      <c r="A934" s="4" t="str">
        <f>IF(Produits!A815="","",Produits!A815)</f>
        <v/>
      </c>
      <c r="B934" s="4" t="str">
        <f>IF(Produits!B815="","",Produits!B815)</f>
        <v/>
      </c>
      <c r="C934" s="4" t="str">
        <f>IF(Produits!C815="","",Produits!C815)</f>
        <v/>
      </c>
      <c r="D934" s="4" t="str">
        <f>IF(Produits!D815="","",Produits!D815)</f>
        <v/>
      </c>
      <c r="E934" s="4" t="str">
        <f>IF(Produits!E815="","",Produits!E815)</f>
        <v/>
      </c>
      <c r="F934" s="49" t="str">
        <f>IF(Produits!F815="","",Produits!F815)</f>
        <v/>
      </c>
      <c r="J934" s="88" t="str">
        <f>IF($J$1="","",HLOOKUP($J$1,$M$1:$AAY$1000,934,0))</f>
        <v/>
      </c>
    </row>
    <row r="935" spans="1:10" x14ac:dyDescent="0.25">
      <c r="A935" s="4" t="str">
        <f>IF(Produits!A816="","",Produits!A816)</f>
        <v/>
      </c>
      <c r="B935" s="4" t="str">
        <f>IF(Produits!B816="","",Produits!B816)</f>
        <v/>
      </c>
      <c r="C935" s="4" t="str">
        <f>IF(Produits!C816="","",Produits!C816)</f>
        <v/>
      </c>
      <c r="D935" s="4" t="str">
        <f>IF(Produits!D816="","",Produits!D816)</f>
        <v/>
      </c>
      <c r="E935" s="4" t="str">
        <f>IF(Produits!E816="","",Produits!E816)</f>
        <v/>
      </c>
      <c r="F935" s="49" t="str">
        <f>IF(Produits!F816="","",Produits!F816)</f>
        <v/>
      </c>
      <c r="J935" s="88" t="str">
        <f>IF($J$1="","",HLOOKUP($J$1,$M$1:$AAY$1000,935,0))</f>
        <v/>
      </c>
    </row>
    <row r="936" spans="1:10" x14ac:dyDescent="0.25">
      <c r="A936" s="4" t="str">
        <f>IF(Produits!A817="","",Produits!A817)</f>
        <v/>
      </c>
      <c r="B936" s="4" t="str">
        <f>IF(Produits!B817="","",Produits!B817)</f>
        <v/>
      </c>
      <c r="C936" s="4" t="str">
        <f>IF(Produits!C817="","",Produits!C817)</f>
        <v/>
      </c>
      <c r="D936" s="4" t="str">
        <f>IF(Produits!D817="","",Produits!D817)</f>
        <v/>
      </c>
      <c r="E936" s="4" t="str">
        <f>IF(Produits!E817="","",Produits!E817)</f>
        <v/>
      </c>
      <c r="F936" s="49" t="str">
        <f>IF(Produits!F817="","",Produits!F817)</f>
        <v/>
      </c>
      <c r="J936" s="88" t="str">
        <f>IF($J$1="","",HLOOKUP($J$1,$M$1:$AAY$1000,936,0))</f>
        <v/>
      </c>
    </row>
    <row r="937" spans="1:10" x14ac:dyDescent="0.25">
      <c r="A937" s="4" t="str">
        <f>IF(Produits!A818="","",Produits!A818)</f>
        <v/>
      </c>
      <c r="B937" s="4" t="str">
        <f>IF(Produits!B818="","",Produits!B818)</f>
        <v/>
      </c>
      <c r="C937" s="4" t="str">
        <f>IF(Produits!C818="","",Produits!C818)</f>
        <v/>
      </c>
      <c r="D937" s="4" t="str">
        <f>IF(Produits!D818="","",Produits!D818)</f>
        <v/>
      </c>
      <c r="E937" s="4" t="str">
        <f>IF(Produits!E818="","",Produits!E818)</f>
        <v/>
      </c>
      <c r="F937" s="49" t="str">
        <f>IF(Produits!F818="","",Produits!F818)</f>
        <v/>
      </c>
      <c r="J937" s="88" t="str">
        <f>IF($J$1="","",HLOOKUP($J$1,$M$1:$AAY$1000,937,0))</f>
        <v/>
      </c>
    </row>
    <row r="938" spans="1:10" x14ac:dyDescent="0.25">
      <c r="A938" s="4" t="str">
        <f>IF(Produits!A819="","",Produits!A819)</f>
        <v/>
      </c>
      <c r="B938" s="4" t="str">
        <f>IF(Produits!B819="","",Produits!B819)</f>
        <v/>
      </c>
      <c r="C938" s="4" t="str">
        <f>IF(Produits!C819="","",Produits!C819)</f>
        <v/>
      </c>
      <c r="D938" s="4" t="str">
        <f>IF(Produits!D819="","",Produits!D819)</f>
        <v/>
      </c>
      <c r="E938" s="4" t="str">
        <f>IF(Produits!E819="","",Produits!E819)</f>
        <v/>
      </c>
      <c r="F938" s="49" t="str">
        <f>IF(Produits!F819="","",Produits!F819)</f>
        <v/>
      </c>
      <c r="J938" s="88" t="str">
        <f>IF($J$1="","",HLOOKUP($J$1,$M$1:$AAY$1000,938,0))</f>
        <v/>
      </c>
    </row>
    <row r="939" spans="1:10" x14ac:dyDescent="0.25">
      <c r="A939" s="4" t="str">
        <f>IF(Produits!A820="","",Produits!A820)</f>
        <v/>
      </c>
      <c r="B939" s="4" t="str">
        <f>IF(Produits!B820="","",Produits!B820)</f>
        <v/>
      </c>
      <c r="C939" s="4" t="str">
        <f>IF(Produits!C820="","",Produits!C820)</f>
        <v/>
      </c>
      <c r="D939" s="4" t="str">
        <f>IF(Produits!D820="","",Produits!D820)</f>
        <v/>
      </c>
      <c r="E939" s="4" t="str">
        <f>IF(Produits!E820="","",Produits!E820)</f>
        <v/>
      </c>
      <c r="F939" s="49" t="str">
        <f>IF(Produits!F820="","",Produits!F820)</f>
        <v/>
      </c>
      <c r="J939" s="88" t="str">
        <f>IF($J$1="","",HLOOKUP($J$1,$M$1:$AAY$1000,939,0))</f>
        <v/>
      </c>
    </row>
    <row r="940" spans="1:10" x14ac:dyDescent="0.25">
      <c r="A940" s="4" t="str">
        <f>IF(Produits!A821="","",Produits!A821)</f>
        <v/>
      </c>
      <c r="B940" s="4" t="str">
        <f>IF(Produits!B821="","",Produits!B821)</f>
        <v/>
      </c>
      <c r="C940" s="4" t="str">
        <f>IF(Produits!C821="","",Produits!C821)</f>
        <v/>
      </c>
      <c r="D940" s="4" t="str">
        <f>IF(Produits!D821="","",Produits!D821)</f>
        <v/>
      </c>
      <c r="E940" s="4" t="str">
        <f>IF(Produits!E821="","",Produits!E821)</f>
        <v/>
      </c>
      <c r="F940" s="49" t="str">
        <f>IF(Produits!F821="","",Produits!F821)</f>
        <v/>
      </c>
      <c r="J940" s="88" t="str">
        <f>IF($J$1="","",HLOOKUP($J$1,$M$1:$AAY$1000,940,0))</f>
        <v/>
      </c>
    </row>
    <row r="941" spans="1:10" x14ac:dyDescent="0.25">
      <c r="A941" s="4" t="str">
        <f>IF(Produits!A822="","",Produits!A822)</f>
        <v/>
      </c>
      <c r="B941" s="4" t="str">
        <f>IF(Produits!B822="","",Produits!B822)</f>
        <v/>
      </c>
      <c r="C941" s="4" t="str">
        <f>IF(Produits!C822="","",Produits!C822)</f>
        <v/>
      </c>
      <c r="D941" s="4" t="str">
        <f>IF(Produits!D822="","",Produits!D822)</f>
        <v/>
      </c>
      <c r="E941" s="4" t="str">
        <f>IF(Produits!E822="","",Produits!E822)</f>
        <v/>
      </c>
      <c r="F941" s="49" t="str">
        <f>IF(Produits!F822="","",Produits!F822)</f>
        <v/>
      </c>
      <c r="J941" s="88" t="str">
        <f>IF($J$1="","",HLOOKUP($J$1,$M$1:$AAY$1000,941,0))</f>
        <v/>
      </c>
    </row>
    <row r="942" spans="1:10" x14ac:dyDescent="0.25">
      <c r="A942" s="4" t="str">
        <f>IF(Produits!A823="","",Produits!A823)</f>
        <v/>
      </c>
      <c r="B942" s="4" t="str">
        <f>IF(Produits!B823="","",Produits!B823)</f>
        <v/>
      </c>
      <c r="C942" s="4" t="str">
        <f>IF(Produits!C823="","",Produits!C823)</f>
        <v/>
      </c>
      <c r="D942" s="4" t="str">
        <f>IF(Produits!D823="","",Produits!D823)</f>
        <v/>
      </c>
      <c r="E942" s="4" t="str">
        <f>IF(Produits!E823="","",Produits!E823)</f>
        <v/>
      </c>
      <c r="F942" s="49" t="str">
        <f>IF(Produits!F823="","",Produits!F823)</f>
        <v/>
      </c>
      <c r="J942" s="88" t="str">
        <f>IF($J$1="","",HLOOKUP($J$1,$M$1:$AAY$1000,942,0))</f>
        <v/>
      </c>
    </row>
    <row r="943" spans="1:10" x14ac:dyDescent="0.25">
      <c r="A943" s="4" t="str">
        <f>IF(Produits!A824="","",Produits!A824)</f>
        <v/>
      </c>
      <c r="B943" s="4" t="str">
        <f>IF(Produits!B824="","",Produits!B824)</f>
        <v/>
      </c>
      <c r="C943" s="4" t="str">
        <f>IF(Produits!C824="","",Produits!C824)</f>
        <v/>
      </c>
      <c r="D943" s="4" t="str">
        <f>IF(Produits!D824="","",Produits!D824)</f>
        <v/>
      </c>
      <c r="E943" s="4" t="str">
        <f>IF(Produits!E824="","",Produits!E824)</f>
        <v/>
      </c>
      <c r="F943" s="49" t="str">
        <f>IF(Produits!F824="","",Produits!F824)</f>
        <v/>
      </c>
      <c r="J943" s="88" t="str">
        <f>IF($J$1="","",HLOOKUP($J$1,$M$1:$AAY$1000,943,0))</f>
        <v/>
      </c>
    </row>
    <row r="944" spans="1:10" x14ac:dyDescent="0.25">
      <c r="A944" s="4" t="str">
        <f>IF(Produits!A825="","",Produits!A825)</f>
        <v/>
      </c>
      <c r="B944" s="4" t="str">
        <f>IF(Produits!B825="","",Produits!B825)</f>
        <v/>
      </c>
      <c r="C944" s="4" t="str">
        <f>IF(Produits!C825="","",Produits!C825)</f>
        <v/>
      </c>
      <c r="D944" s="4" t="str">
        <f>IF(Produits!D825="","",Produits!D825)</f>
        <v/>
      </c>
      <c r="E944" s="4" t="str">
        <f>IF(Produits!E825="","",Produits!E825)</f>
        <v/>
      </c>
      <c r="F944" s="49" t="str">
        <f>IF(Produits!F825="","",Produits!F825)</f>
        <v/>
      </c>
      <c r="J944" s="88" t="str">
        <f>IF($J$1="","",HLOOKUP($J$1,$M$1:$AAY$1000,944,0))</f>
        <v/>
      </c>
    </row>
    <row r="945" spans="1:10" x14ac:dyDescent="0.25">
      <c r="A945" s="4" t="str">
        <f>IF(Produits!A826="","",Produits!A826)</f>
        <v/>
      </c>
      <c r="B945" s="4" t="str">
        <f>IF(Produits!B826="","",Produits!B826)</f>
        <v/>
      </c>
      <c r="C945" s="4" t="str">
        <f>IF(Produits!C826="","",Produits!C826)</f>
        <v/>
      </c>
      <c r="D945" s="4" t="str">
        <f>IF(Produits!D826="","",Produits!D826)</f>
        <v/>
      </c>
      <c r="E945" s="4" t="str">
        <f>IF(Produits!E826="","",Produits!E826)</f>
        <v/>
      </c>
      <c r="F945" s="49" t="str">
        <f>IF(Produits!F826="","",Produits!F826)</f>
        <v/>
      </c>
      <c r="J945" s="88" t="str">
        <f>IF($J$1="","",HLOOKUP($J$1,$M$1:$AAY$1000,945,0))</f>
        <v/>
      </c>
    </row>
    <row r="946" spans="1:10" x14ac:dyDescent="0.25">
      <c r="A946" s="4" t="str">
        <f>IF(Produits!A827="","",Produits!A827)</f>
        <v/>
      </c>
      <c r="B946" s="4" t="str">
        <f>IF(Produits!B827="","",Produits!B827)</f>
        <v/>
      </c>
      <c r="C946" s="4" t="str">
        <f>IF(Produits!C827="","",Produits!C827)</f>
        <v/>
      </c>
      <c r="D946" s="4" t="str">
        <f>IF(Produits!D827="","",Produits!D827)</f>
        <v/>
      </c>
      <c r="E946" s="4" t="str">
        <f>IF(Produits!E827="","",Produits!E827)</f>
        <v/>
      </c>
      <c r="F946" s="49" t="str">
        <f>IF(Produits!F827="","",Produits!F827)</f>
        <v/>
      </c>
      <c r="J946" s="88" t="str">
        <f>IF($J$1="","",HLOOKUP($J$1,$M$1:$AAY$1000,946,0))</f>
        <v/>
      </c>
    </row>
    <row r="947" spans="1:10" x14ac:dyDescent="0.25">
      <c r="A947" s="4" t="str">
        <f>IF(Produits!A828="","",Produits!A828)</f>
        <v/>
      </c>
      <c r="B947" s="4" t="str">
        <f>IF(Produits!B828="","",Produits!B828)</f>
        <v/>
      </c>
      <c r="C947" s="4" t="str">
        <f>IF(Produits!C828="","",Produits!C828)</f>
        <v/>
      </c>
      <c r="D947" s="4" t="str">
        <f>IF(Produits!D828="","",Produits!D828)</f>
        <v/>
      </c>
      <c r="E947" s="4" t="str">
        <f>IF(Produits!E828="","",Produits!E828)</f>
        <v/>
      </c>
      <c r="F947" s="49" t="str">
        <f>IF(Produits!F828="","",Produits!F828)</f>
        <v/>
      </c>
      <c r="J947" s="88" t="str">
        <f>IF($J$1="","",HLOOKUP($J$1,$M$1:$AAY$1000,947,0))</f>
        <v/>
      </c>
    </row>
    <row r="948" spans="1:10" x14ac:dyDescent="0.25">
      <c r="A948" s="4" t="str">
        <f>IF(Produits!A829="","",Produits!A829)</f>
        <v/>
      </c>
      <c r="B948" s="4" t="str">
        <f>IF(Produits!B829="","",Produits!B829)</f>
        <v/>
      </c>
      <c r="C948" s="4" t="str">
        <f>IF(Produits!C829="","",Produits!C829)</f>
        <v/>
      </c>
      <c r="D948" s="4" t="str">
        <f>IF(Produits!D829="","",Produits!D829)</f>
        <v/>
      </c>
      <c r="E948" s="4" t="str">
        <f>IF(Produits!E829="","",Produits!E829)</f>
        <v/>
      </c>
      <c r="F948" s="49" t="str">
        <f>IF(Produits!F829="","",Produits!F829)</f>
        <v/>
      </c>
      <c r="J948" s="88" t="str">
        <f>IF($J$1="","",HLOOKUP($J$1,$M$1:$AAY$1000,948,0))</f>
        <v/>
      </c>
    </row>
    <row r="949" spans="1:10" x14ac:dyDescent="0.25">
      <c r="A949" s="4" t="str">
        <f>IF(Produits!A830="","",Produits!A830)</f>
        <v/>
      </c>
      <c r="B949" s="4" t="str">
        <f>IF(Produits!B830="","",Produits!B830)</f>
        <v/>
      </c>
      <c r="C949" s="4" t="str">
        <f>IF(Produits!C830="","",Produits!C830)</f>
        <v/>
      </c>
      <c r="D949" s="4" t="str">
        <f>IF(Produits!D830="","",Produits!D830)</f>
        <v/>
      </c>
      <c r="E949" s="4" t="str">
        <f>IF(Produits!E830="","",Produits!E830)</f>
        <v/>
      </c>
      <c r="F949" s="49" t="str">
        <f>IF(Produits!F830="","",Produits!F830)</f>
        <v/>
      </c>
      <c r="J949" s="88" t="str">
        <f>IF($J$1="","",HLOOKUP($J$1,$M$1:$AAY$1000,949,0))</f>
        <v/>
      </c>
    </row>
    <row r="950" spans="1:10" x14ac:dyDescent="0.25">
      <c r="A950" s="4" t="str">
        <f>IF(Produits!A831="","",Produits!A831)</f>
        <v/>
      </c>
      <c r="B950" s="4" t="str">
        <f>IF(Produits!B831="","",Produits!B831)</f>
        <v/>
      </c>
      <c r="C950" s="4" t="str">
        <f>IF(Produits!C831="","",Produits!C831)</f>
        <v/>
      </c>
      <c r="D950" s="4" t="str">
        <f>IF(Produits!D831="","",Produits!D831)</f>
        <v/>
      </c>
      <c r="E950" s="4" t="str">
        <f>IF(Produits!E831="","",Produits!E831)</f>
        <v/>
      </c>
      <c r="F950" s="49" t="str">
        <f>IF(Produits!F831="","",Produits!F831)</f>
        <v/>
      </c>
      <c r="J950" s="88" t="str">
        <f>IF($J$1="","",HLOOKUP($J$1,$M$1:$AAY$1000,950,0))</f>
        <v/>
      </c>
    </row>
    <row r="951" spans="1:10" x14ac:dyDescent="0.25">
      <c r="A951" s="4" t="str">
        <f>IF(Produits!A832="","",Produits!A832)</f>
        <v/>
      </c>
      <c r="B951" s="4" t="str">
        <f>IF(Produits!B832="","",Produits!B832)</f>
        <v/>
      </c>
      <c r="C951" s="4" t="str">
        <f>IF(Produits!C832="","",Produits!C832)</f>
        <v/>
      </c>
      <c r="D951" s="4" t="str">
        <f>IF(Produits!D832="","",Produits!D832)</f>
        <v/>
      </c>
      <c r="E951" s="4" t="str">
        <f>IF(Produits!E832="","",Produits!E832)</f>
        <v/>
      </c>
      <c r="F951" s="49" t="str">
        <f>IF(Produits!F832="","",Produits!F832)</f>
        <v/>
      </c>
      <c r="J951" s="88" t="str">
        <f>IF($J$1="","",HLOOKUP($J$1,$M$1:$AAY$1000,951,0))</f>
        <v/>
      </c>
    </row>
    <row r="952" spans="1:10" x14ac:dyDescent="0.25">
      <c r="A952" s="4" t="str">
        <f>IF(Produits!A833="","",Produits!A833)</f>
        <v/>
      </c>
      <c r="B952" s="4" t="str">
        <f>IF(Produits!B833="","",Produits!B833)</f>
        <v/>
      </c>
      <c r="C952" s="4" t="str">
        <f>IF(Produits!C833="","",Produits!C833)</f>
        <v/>
      </c>
      <c r="D952" s="4" t="str">
        <f>IF(Produits!D833="","",Produits!D833)</f>
        <v/>
      </c>
      <c r="E952" s="4" t="str">
        <f>IF(Produits!E833="","",Produits!E833)</f>
        <v/>
      </c>
      <c r="F952" s="49" t="str">
        <f>IF(Produits!F833="","",Produits!F833)</f>
        <v/>
      </c>
      <c r="J952" s="88" t="str">
        <f>IF($J$1="","",HLOOKUP($J$1,$M$1:$AAY$1000,952,0))</f>
        <v/>
      </c>
    </row>
    <row r="953" spans="1:10" x14ac:dyDescent="0.25">
      <c r="A953" s="4" t="str">
        <f>IF(Produits!A834="","",Produits!A834)</f>
        <v/>
      </c>
      <c r="B953" s="4" t="str">
        <f>IF(Produits!B834="","",Produits!B834)</f>
        <v/>
      </c>
      <c r="C953" s="4" t="str">
        <f>IF(Produits!C834="","",Produits!C834)</f>
        <v/>
      </c>
      <c r="D953" s="4" t="str">
        <f>IF(Produits!D834="","",Produits!D834)</f>
        <v/>
      </c>
      <c r="E953" s="4" t="str">
        <f>IF(Produits!E834="","",Produits!E834)</f>
        <v/>
      </c>
      <c r="F953" s="49" t="str">
        <f>IF(Produits!F834="","",Produits!F834)</f>
        <v/>
      </c>
      <c r="J953" s="88" t="str">
        <f>IF($J$1="","",HLOOKUP($J$1,$M$1:$AAY$1000,953,0))</f>
        <v/>
      </c>
    </row>
    <row r="954" spans="1:10" x14ac:dyDescent="0.25">
      <c r="A954" s="4" t="str">
        <f>IF(Produits!A835="","",Produits!A835)</f>
        <v/>
      </c>
      <c r="B954" s="4" t="str">
        <f>IF(Produits!B835="","",Produits!B835)</f>
        <v/>
      </c>
      <c r="C954" s="4" t="str">
        <f>IF(Produits!C835="","",Produits!C835)</f>
        <v/>
      </c>
      <c r="D954" s="4" t="str">
        <f>IF(Produits!D835="","",Produits!D835)</f>
        <v/>
      </c>
      <c r="E954" s="4" t="str">
        <f>IF(Produits!E835="","",Produits!E835)</f>
        <v/>
      </c>
      <c r="F954" s="49" t="str">
        <f>IF(Produits!F835="","",Produits!F835)</f>
        <v/>
      </c>
      <c r="J954" s="88" t="str">
        <f>IF($J$1="","",HLOOKUP($J$1,$M$1:$AAY$1000,954,0))</f>
        <v/>
      </c>
    </row>
    <row r="955" spans="1:10" x14ac:dyDescent="0.25">
      <c r="A955" s="4" t="str">
        <f>IF(Produits!A836="","",Produits!A836)</f>
        <v/>
      </c>
      <c r="B955" s="4" t="str">
        <f>IF(Produits!B836="","",Produits!B836)</f>
        <v/>
      </c>
      <c r="C955" s="4" t="str">
        <f>IF(Produits!C836="","",Produits!C836)</f>
        <v/>
      </c>
      <c r="D955" s="4" t="str">
        <f>IF(Produits!D836="","",Produits!D836)</f>
        <v/>
      </c>
      <c r="E955" s="4" t="str">
        <f>IF(Produits!E836="","",Produits!E836)</f>
        <v/>
      </c>
      <c r="F955" s="49" t="str">
        <f>IF(Produits!F836="","",Produits!F836)</f>
        <v/>
      </c>
      <c r="J955" s="88" t="str">
        <f>IF($J$1="","",HLOOKUP($J$1,$M$1:$AAY$1000,955,0))</f>
        <v/>
      </c>
    </row>
    <row r="956" spans="1:10" x14ac:dyDescent="0.25">
      <c r="A956" s="4" t="str">
        <f>IF(Produits!A837="","",Produits!A837)</f>
        <v/>
      </c>
      <c r="B956" s="4" t="str">
        <f>IF(Produits!B837="","",Produits!B837)</f>
        <v/>
      </c>
      <c r="C956" s="4" t="str">
        <f>IF(Produits!C837="","",Produits!C837)</f>
        <v/>
      </c>
      <c r="D956" s="4" t="str">
        <f>IF(Produits!D837="","",Produits!D837)</f>
        <v/>
      </c>
      <c r="E956" s="4" t="str">
        <f>IF(Produits!E837="","",Produits!E837)</f>
        <v/>
      </c>
      <c r="F956" s="49" t="str">
        <f>IF(Produits!F837="","",Produits!F837)</f>
        <v/>
      </c>
      <c r="J956" s="88" t="str">
        <f>IF($J$1="","",HLOOKUP($J$1,$M$1:$AAY$1000,956,0))</f>
        <v/>
      </c>
    </row>
    <row r="957" spans="1:10" x14ac:dyDescent="0.25">
      <c r="A957" s="4" t="str">
        <f>IF(Produits!A838="","",Produits!A838)</f>
        <v/>
      </c>
      <c r="B957" s="4" t="str">
        <f>IF(Produits!B838="","",Produits!B838)</f>
        <v/>
      </c>
      <c r="C957" s="4" t="str">
        <f>IF(Produits!C838="","",Produits!C838)</f>
        <v/>
      </c>
      <c r="D957" s="4" t="str">
        <f>IF(Produits!D838="","",Produits!D838)</f>
        <v/>
      </c>
      <c r="E957" s="4" t="str">
        <f>IF(Produits!E838="","",Produits!E838)</f>
        <v/>
      </c>
      <c r="F957" s="49" t="str">
        <f>IF(Produits!F838="","",Produits!F838)</f>
        <v/>
      </c>
      <c r="J957" s="88" t="str">
        <f>IF($J$1="","",HLOOKUP($J$1,$M$1:$AAY$1000,957,0))</f>
        <v/>
      </c>
    </row>
    <row r="958" spans="1:10" x14ac:dyDescent="0.25">
      <c r="A958" s="4" t="str">
        <f>IF(Produits!A839="","",Produits!A839)</f>
        <v/>
      </c>
      <c r="B958" s="4" t="str">
        <f>IF(Produits!B839="","",Produits!B839)</f>
        <v/>
      </c>
      <c r="C958" s="4" t="str">
        <f>IF(Produits!C839="","",Produits!C839)</f>
        <v/>
      </c>
      <c r="D958" s="4" t="str">
        <f>IF(Produits!D839="","",Produits!D839)</f>
        <v/>
      </c>
      <c r="E958" s="4" t="str">
        <f>IF(Produits!E839="","",Produits!E839)</f>
        <v/>
      </c>
      <c r="F958" s="49" t="str">
        <f>IF(Produits!F839="","",Produits!F839)</f>
        <v/>
      </c>
      <c r="J958" s="88" t="str">
        <f>IF($J$1="","",HLOOKUP($J$1,$M$1:$AAY$1000,958,0))</f>
        <v/>
      </c>
    </row>
    <row r="959" spans="1:10" x14ac:dyDescent="0.25">
      <c r="A959" s="4" t="str">
        <f>IF(Produits!A840="","",Produits!A840)</f>
        <v/>
      </c>
      <c r="B959" s="4" t="str">
        <f>IF(Produits!B840="","",Produits!B840)</f>
        <v/>
      </c>
      <c r="C959" s="4" t="str">
        <f>IF(Produits!C840="","",Produits!C840)</f>
        <v/>
      </c>
      <c r="D959" s="4" t="str">
        <f>IF(Produits!D840="","",Produits!D840)</f>
        <v/>
      </c>
      <c r="E959" s="4" t="str">
        <f>IF(Produits!E840="","",Produits!E840)</f>
        <v/>
      </c>
      <c r="F959" s="49" t="str">
        <f>IF(Produits!F840="","",Produits!F840)</f>
        <v/>
      </c>
      <c r="J959" s="88" t="str">
        <f>IF($J$1="","",HLOOKUP($J$1,$M$1:$AAY$1000,959,0))</f>
        <v/>
      </c>
    </row>
    <row r="960" spans="1:10" x14ac:dyDescent="0.25">
      <c r="A960" s="4" t="str">
        <f>IF(Produits!A841="","",Produits!A841)</f>
        <v/>
      </c>
      <c r="B960" s="4" t="str">
        <f>IF(Produits!B841="","",Produits!B841)</f>
        <v/>
      </c>
      <c r="C960" s="4" t="str">
        <f>IF(Produits!C841="","",Produits!C841)</f>
        <v/>
      </c>
      <c r="D960" s="4" t="str">
        <f>IF(Produits!D841="","",Produits!D841)</f>
        <v/>
      </c>
      <c r="E960" s="4" t="str">
        <f>IF(Produits!E841="","",Produits!E841)</f>
        <v/>
      </c>
      <c r="F960" s="49" t="str">
        <f>IF(Produits!F841="","",Produits!F841)</f>
        <v/>
      </c>
      <c r="J960" s="88" t="str">
        <f>IF($J$1="","",HLOOKUP($J$1,$M$1:$AAY$1000,960,0))</f>
        <v/>
      </c>
    </row>
    <row r="961" spans="1:10" x14ac:dyDescent="0.25">
      <c r="A961" s="4" t="str">
        <f>IF(Produits!A842="","",Produits!A842)</f>
        <v/>
      </c>
      <c r="B961" s="4" t="str">
        <f>IF(Produits!B842="","",Produits!B842)</f>
        <v/>
      </c>
      <c r="C961" s="4" t="str">
        <f>IF(Produits!C842="","",Produits!C842)</f>
        <v/>
      </c>
      <c r="D961" s="4" t="str">
        <f>IF(Produits!D842="","",Produits!D842)</f>
        <v/>
      </c>
      <c r="E961" s="4" t="str">
        <f>IF(Produits!E842="","",Produits!E842)</f>
        <v/>
      </c>
      <c r="F961" s="49" t="str">
        <f>IF(Produits!F842="","",Produits!F842)</f>
        <v/>
      </c>
      <c r="J961" s="88" t="str">
        <f>IF($J$1="","",HLOOKUP($J$1,$M$1:$AAY$1000,961,0))</f>
        <v/>
      </c>
    </row>
    <row r="962" spans="1:10" x14ac:dyDescent="0.25">
      <c r="A962" s="4" t="str">
        <f>IF(Produits!A843="","",Produits!A843)</f>
        <v/>
      </c>
      <c r="B962" s="4" t="str">
        <f>IF(Produits!B843="","",Produits!B843)</f>
        <v/>
      </c>
      <c r="C962" s="4" t="str">
        <f>IF(Produits!C843="","",Produits!C843)</f>
        <v/>
      </c>
      <c r="D962" s="4" t="str">
        <f>IF(Produits!D843="","",Produits!D843)</f>
        <v/>
      </c>
      <c r="E962" s="4" t="str">
        <f>IF(Produits!E843="","",Produits!E843)</f>
        <v/>
      </c>
      <c r="F962" s="49" t="str">
        <f>IF(Produits!F843="","",Produits!F843)</f>
        <v/>
      </c>
      <c r="J962" s="88" t="str">
        <f>IF($J$1="","",HLOOKUP($J$1,$M$1:$AAY$1000,962,0))</f>
        <v/>
      </c>
    </row>
    <row r="963" spans="1:10" x14ac:dyDescent="0.25">
      <c r="A963" s="4" t="str">
        <f>IF(Produits!A844="","",Produits!A844)</f>
        <v/>
      </c>
      <c r="B963" s="4" t="str">
        <f>IF(Produits!B844="","",Produits!B844)</f>
        <v/>
      </c>
      <c r="C963" s="4" t="str">
        <f>IF(Produits!C844="","",Produits!C844)</f>
        <v/>
      </c>
      <c r="D963" s="4" t="str">
        <f>IF(Produits!D844="","",Produits!D844)</f>
        <v/>
      </c>
      <c r="E963" s="4" t="str">
        <f>IF(Produits!E844="","",Produits!E844)</f>
        <v/>
      </c>
      <c r="F963" s="49" t="str">
        <f>IF(Produits!F844="","",Produits!F844)</f>
        <v/>
      </c>
      <c r="J963" s="88" t="str">
        <f>IF($J$1="","",HLOOKUP($J$1,$M$1:$AAY$1000,963,0))</f>
        <v/>
      </c>
    </row>
    <row r="964" spans="1:10" x14ac:dyDescent="0.25">
      <c r="A964" s="4" t="str">
        <f>IF(Produits!A845="","",Produits!A845)</f>
        <v/>
      </c>
      <c r="B964" s="4" t="str">
        <f>IF(Produits!B845="","",Produits!B845)</f>
        <v/>
      </c>
      <c r="C964" s="4" t="str">
        <f>IF(Produits!C845="","",Produits!C845)</f>
        <v/>
      </c>
      <c r="D964" s="4" t="str">
        <f>IF(Produits!D845="","",Produits!D845)</f>
        <v/>
      </c>
      <c r="E964" s="4" t="str">
        <f>IF(Produits!E845="","",Produits!E845)</f>
        <v/>
      </c>
      <c r="F964" s="49" t="str">
        <f>IF(Produits!F845="","",Produits!F845)</f>
        <v/>
      </c>
      <c r="J964" s="88" t="str">
        <f>IF($J$1="","",HLOOKUP($J$1,$M$1:$AAY$1000,964,0))</f>
        <v/>
      </c>
    </row>
    <row r="965" spans="1:10" x14ac:dyDescent="0.25">
      <c r="A965" s="4" t="str">
        <f>IF(Produits!A846="","",Produits!A846)</f>
        <v/>
      </c>
      <c r="B965" s="4" t="str">
        <f>IF(Produits!B846="","",Produits!B846)</f>
        <v/>
      </c>
      <c r="C965" s="4" t="str">
        <f>IF(Produits!C846="","",Produits!C846)</f>
        <v/>
      </c>
      <c r="D965" s="4" t="str">
        <f>IF(Produits!D846="","",Produits!D846)</f>
        <v/>
      </c>
      <c r="E965" s="4" t="str">
        <f>IF(Produits!E846="","",Produits!E846)</f>
        <v/>
      </c>
      <c r="F965" s="49" t="str">
        <f>IF(Produits!F846="","",Produits!F846)</f>
        <v/>
      </c>
      <c r="J965" s="88" t="str">
        <f>IF($J$1="","",HLOOKUP($J$1,$M$1:$AAY$1000,965,0))</f>
        <v/>
      </c>
    </row>
    <row r="966" spans="1:10" x14ac:dyDescent="0.25">
      <c r="A966" s="4" t="str">
        <f>IF(Produits!A847="","",Produits!A847)</f>
        <v/>
      </c>
      <c r="B966" s="4" t="str">
        <f>IF(Produits!B847="","",Produits!B847)</f>
        <v/>
      </c>
      <c r="C966" s="4" t="str">
        <f>IF(Produits!C847="","",Produits!C847)</f>
        <v/>
      </c>
      <c r="D966" s="4" t="str">
        <f>IF(Produits!D847="","",Produits!D847)</f>
        <v/>
      </c>
      <c r="E966" s="4" t="str">
        <f>IF(Produits!E847="","",Produits!E847)</f>
        <v/>
      </c>
      <c r="F966" s="49" t="str">
        <f>IF(Produits!F847="","",Produits!F847)</f>
        <v/>
      </c>
      <c r="J966" s="88" t="str">
        <f>IF($J$1="","",HLOOKUP($J$1,$M$1:$AAY$1000,966,0))</f>
        <v/>
      </c>
    </row>
    <row r="967" spans="1:10" x14ac:dyDescent="0.25">
      <c r="A967" s="4" t="str">
        <f>IF(Produits!A848="","",Produits!A848)</f>
        <v/>
      </c>
      <c r="B967" s="4" t="str">
        <f>IF(Produits!B848="","",Produits!B848)</f>
        <v/>
      </c>
      <c r="C967" s="4" t="str">
        <f>IF(Produits!C848="","",Produits!C848)</f>
        <v/>
      </c>
      <c r="D967" s="4" t="str">
        <f>IF(Produits!D848="","",Produits!D848)</f>
        <v/>
      </c>
      <c r="E967" s="4" t="str">
        <f>IF(Produits!E848="","",Produits!E848)</f>
        <v/>
      </c>
      <c r="F967" s="49" t="str">
        <f>IF(Produits!F848="","",Produits!F848)</f>
        <v/>
      </c>
      <c r="J967" s="88" t="str">
        <f>IF($J$1="","",HLOOKUP($J$1,$M$1:$AAY$1000,967,0))</f>
        <v/>
      </c>
    </row>
    <row r="968" spans="1:10" x14ac:dyDescent="0.25">
      <c r="A968" s="4" t="str">
        <f>IF(Produits!A849="","",Produits!A849)</f>
        <v/>
      </c>
      <c r="B968" s="4" t="str">
        <f>IF(Produits!B849="","",Produits!B849)</f>
        <v/>
      </c>
      <c r="C968" s="4" t="str">
        <f>IF(Produits!C849="","",Produits!C849)</f>
        <v/>
      </c>
      <c r="D968" s="4" t="str">
        <f>IF(Produits!D849="","",Produits!D849)</f>
        <v/>
      </c>
      <c r="E968" s="4" t="str">
        <f>IF(Produits!E849="","",Produits!E849)</f>
        <v/>
      </c>
      <c r="F968" s="49" t="str">
        <f>IF(Produits!F849="","",Produits!F849)</f>
        <v/>
      </c>
      <c r="J968" s="88" t="str">
        <f>IF($J$1="","",HLOOKUP($J$1,$M$1:$AAY$1000,968,0))</f>
        <v/>
      </c>
    </row>
    <row r="969" spans="1:10" x14ac:dyDescent="0.25">
      <c r="A969" s="4" t="str">
        <f>IF(Produits!A850="","",Produits!A850)</f>
        <v/>
      </c>
      <c r="B969" s="4" t="str">
        <f>IF(Produits!B850="","",Produits!B850)</f>
        <v/>
      </c>
      <c r="C969" s="4" t="str">
        <f>IF(Produits!C850="","",Produits!C850)</f>
        <v/>
      </c>
      <c r="D969" s="4" t="str">
        <f>IF(Produits!D850="","",Produits!D850)</f>
        <v/>
      </c>
      <c r="E969" s="4" t="str">
        <f>IF(Produits!E850="","",Produits!E850)</f>
        <v/>
      </c>
      <c r="F969" s="49" t="str">
        <f>IF(Produits!F850="","",Produits!F850)</f>
        <v/>
      </c>
      <c r="J969" s="88" t="str">
        <f>IF($J$1="","",HLOOKUP($J$1,$M$1:$AAY$1000,969,0))</f>
        <v/>
      </c>
    </row>
    <row r="970" spans="1:10" x14ac:dyDescent="0.25">
      <c r="A970" s="4" t="str">
        <f>IF(Produits!A851="","",Produits!A851)</f>
        <v/>
      </c>
      <c r="B970" s="4" t="str">
        <f>IF(Produits!B851="","",Produits!B851)</f>
        <v/>
      </c>
      <c r="C970" s="4" t="str">
        <f>IF(Produits!C851="","",Produits!C851)</f>
        <v/>
      </c>
      <c r="D970" s="4" t="str">
        <f>IF(Produits!D851="","",Produits!D851)</f>
        <v/>
      </c>
      <c r="E970" s="4" t="str">
        <f>IF(Produits!E851="","",Produits!E851)</f>
        <v/>
      </c>
      <c r="F970" s="49" t="str">
        <f>IF(Produits!F851="","",Produits!F851)</f>
        <v/>
      </c>
      <c r="J970" s="88" t="str">
        <f>IF($J$1="","",HLOOKUP($J$1,$M$1:$AAY$1000,970,0))</f>
        <v/>
      </c>
    </row>
    <row r="971" spans="1:10" x14ac:dyDescent="0.25">
      <c r="A971" s="4" t="str">
        <f>IF(Produits!A852="","",Produits!A852)</f>
        <v/>
      </c>
      <c r="B971" s="4" t="str">
        <f>IF(Produits!B852="","",Produits!B852)</f>
        <v/>
      </c>
      <c r="C971" s="4" t="str">
        <f>IF(Produits!C852="","",Produits!C852)</f>
        <v/>
      </c>
      <c r="D971" s="4" t="str">
        <f>IF(Produits!D852="","",Produits!D852)</f>
        <v/>
      </c>
      <c r="E971" s="4" t="str">
        <f>IF(Produits!E852="","",Produits!E852)</f>
        <v/>
      </c>
      <c r="F971" s="49" t="str">
        <f>IF(Produits!F852="","",Produits!F852)</f>
        <v/>
      </c>
      <c r="J971" s="88" t="str">
        <f>IF($J$1="","",HLOOKUP($J$1,$M$1:$AAY$1000,971,0))</f>
        <v/>
      </c>
    </row>
    <row r="972" spans="1:10" x14ac:dyDescent="0.25">
      <c r="A972" s="4" t="str">
        <f>IF(Produits!A853="","",Produits!A853)</f>
        <v/>
      </c>
      <c r="B972" s="4" t="str">
        <f>IF(Produits!B853="","",Produits!B853)</f>
        <v/>
      </c>
      <c r="C972" s="4" t="str">
        <f>IF(Produits!C853="","",Produits!C853)</f>
        <v/>
      </c>
      <c r="D972" s="4" t="str">
        <f>IF(Produits!D853="","",Produits!D853)</f>
        <v/>
      </c>
      <c r="E972" s="4" t="str">
        <f>IF(Produits!E853="","",Produits!E853)</f>
        <v/>
      </c>
      <c r="F972" s="49" t="str">
        <f>IF(Produits!F853="","",Produits!F853)</f>
        <v/>
      </c>
      <c r="J972" s="88" t="str">
        <f>IF($J$1="","",HLOOKUP($J$1,$M$1:$AAY$1000,972,0))</f>
        <v/>
      </c>
    </row>
    <row r="973" spans="1:10" x14ac:dyDescent="0.25">
      <c r="A973" s="4" t="str">
        <f>IF(Produits!A854="","",Produits!A854)</f>
        <v/>
      </c>
      <c r="B973" s="4" t="str">
        <f>IF(Produits!B854="","",Produits!B854)</f>
        <v/>
      </c>
      <c r="C973" s="4" t="str">
        <f>IF(Produits!C854="","",Produits!C854)</f>
        <v/>
      </c>
      <c r="D973" s="4" t="str">
        <f>IF(Produits!D854="","",Produits!D854)</f>
        <v/>
      </c>
      <c r="E973" s="4" t="str">
        <f>IF(Produits!E854="","",Produits!E854)</f>
        <v/>
      </c>
      <c r="F973" s="49" t="str">
        <f>IF(Produits!F854="","",Produits!F854)</f>
        <v/>
      </c>
      <c r="J973" s="88" t="str">
        <f>IF($J$1="","",HLOOKUP($J$1,$M$1:$AAY$1000,973,0))</f>
        <v/>
      </c>
    </row>
    <row r="974" spans="1:10" x14ac:dyDescent="0.25">
      <c r="A974" s="4" t="str">
        <f>IF(Produits!A855="","",Produits!A855)</f>
        <v/>
      </c>
      <c r="B974" s="4" t="str">
        <f>IF(Produits!B855="","",Produits!B855)</f>
        <v/>
      </c>
      <c r="C974" s="4" t="str">
        <f>IF(Produits!C855="","",Produits!C855)</f>
        <v/>
      </c>
      <c r="D974" s="4" t="str">
        <f>IF(Produits!D855="","",Produits!D855)</f>
        <v/>
      </c>
      <c r="E974" s="4" t="str">
        <f>IF(Produits!E855="","",Produits!E855)</f>
        <v/>
      </c>
      <c r="F974" s="49" t="str">
        <f>IF(Produits!F855="","",Produits!F855)</f>
        <v/>
      </c>
      <c r="J974" s="88" t="str">
        <f>IF($J$1="","",HLOOKUP($J$1,$M$1:$AAY$1000,974,0))</f>
        <v/>
      </c>
    </row>
    <row r="975" spans="1:10" x14ac:dyDescent="0.25">
      <c r="A975" s="4" t="str">
        <f>IF(Produits!A856="","",Produits!A856)</f>
        <v/>
      </c>
      <c r="B975" s="4" t="str">
        <f>IF(Produits!B856="","",Produits!B856)</f>
        <v/>
      </c>
      <c r="C975" s="4" t="str">
        <f>IF(Produits!C856="","",Produits!C856)</f>
        <v/>
      </c>
      <c r="D975" s="4" t="str">
        <f>IF(Produits!D856="","",Produits!D856)</f>
        <v/>
      </c>
      <c r="E975" s="4" t="str">
        <f>IF(Produits!E856="","",Produits!E856)</f>
        <v/>
      </c>
      <c r="F975" s="49" t="str">
        <f>IF(Produits!F856="","",Produits!F856)</f>
        <v/>
      </c>
      <c r="J975" s="88" t="str">
        <f>IF($J$1="","",HLOOKUP($J$1,$M$1:$AAY$1000,975,0))</f>
        <v/>
      </c>
    </row>
    <row r="976" spans="1:10" x14ac:dyDescent="0.25">
      <c r="A976" s="4" t="str">
        <f>IF(Produits!A857="","",Produits!A857)</f>
        <v/>
      </c>
      <c r="B976" s="4" t="str">
        <f>IF(Produits!B857="","",Produits!B857)</f>
        <v/>
      </c>
      <c r="C976" s="4" t="str">
        <f>IF(Produits!C857="","",Produits!C857)</f>
        <v/>
      </c>
      <c r="D976" s="4" t="str">
        <f>IF(Produits!D857="","",Produits!D857)</f>
        <v/>
      </c>
      <c r="E976" s="4" t="str">
        <f>IF(Produits!E857="","",Produits!E857)</f>
        <v/>
      </c>
      <c r="F976" s="49" t="str">
        <f>IF(Produits!F857="","",Produits!F857)</f>
        <v/>
      </c>
      <c r="J976" s="88" t="str">
        <f>IF($J$1="","",HLOOKUP($J$1,$M$1:$AAY$1000,976,0))</f>
        <v/>
      </c>
    </row>
    <row r="977" spans="1:10" x14ac:dyDescent="0.25">
      <c r="A977" s="4" t="str">
        <f>IF(Produits!A858="","",Produits!A858)</f>
        <v/>
      </c>
      <c r="B977" s="4" t="str">
        <f>IF(Produits!B858="","",Produits!B858)</f>
        <v/>
      </c>
      <c r="C977" s="4" t="str">
        <f>IF(Produits!C858="","",Produits!C858)</f>
        <v/>
      </c>
      <c r="D977" s="4" t="str">
        <f>IF(Produits!D858="","",Produits!D858)</f>
        <v/>
      </c>
      <c r="E977" s="4" t="str">
        <f>IF(Produits!E858="","",Produits!E858)</f>
        <v/>
      </c>
      <c r="F977" s="49" t="str">
        <f>IF(Produits!F858="","",Produits!F858)</f>
        <v/>
      </c>
      <c r="J977" s="88" t="str">
        <f>IF($J$1="","",HLOOKUP($J$1,$M$1:$AAY$1000,977,0))</f>
        <v/>
      </c>
    </row>
    <row r="978" spans="1:10" x14ac:dyDescent="0.25">
      <c r="A978" s="4" t="str">
        <f>IF(Produits!A859="","",Produits!A859)</f>
        <v/>
      </c>
      <c r="B978" s="4" t="str">
        <f>IF(Produits!B859="","",Produits!B859)</f>
        <v/>
      </c>
      <c r="C978" s="4" t="str">
        <f>IF(Produits!C859="","",Produits!C859)</f>
        <v/>
      </c>
      <c r="D978" s="4" t="str">
        <f>IF(Produits!D859="","",Produits!D859)</f>
        <v/>
      </c>
      <c r="E978" s="4" t="str">
        <f>IF(Produits!E859="","",Produits!E859)</f>
        <v/>
      </c>
      <c r="F978" s="49" t="str">
        <f>IF(Produits!F859="","",Produits!F859)</f>
        <v/>
      </c>
      <c r="J978" s="88" t="str">
        <f>IF($J$1="","",HLOOKUP($J$1,$M$1:$AAY$1000,978,0))</f>
        <v/>
      </c>
    </row>
    <row r="979" spans="1:10" x14ac:dyDescent="0.25">
      <c r="A979" s="4" t="str">
        <f>IF(Produits!A860="","",Produits!A860)</f>
        <v/>
      </c>
      <c r="B979" s="4" t="str">
        <f>IF(Produits!B860="","",Produits!B860)</f>
        <v/>
      </c>
      <c r="C979" s="4" t="str">
        <f>IF(Produits!C860="","",Produits!C860)</f>
        <v/>
      </c>
      <c r="D979" s="4" t="str">
        <f>IF(Produits!D860="","",Produits!D860)</f>
        <v/>
      </c>
      <c r="E979" s="4" t="str">
        <f>IF(Produits!E860="","",Produits!E860)</f>
        <v/>
      </c>
      <c r="F979" s="49" t="str">
        <f>IF(Produits!F860="","",Produits!F860)</f>
        <v/>
      </c>
      <c r="J979" s="88" t="str">
        <f>IF($J$1="","",HLOOKUP($J$1,$M$1:$AAY$1000,979,0))</f>
        <v/>
      </c>
    </row>
    <row r="980" spans="1:10" x14ac:dyDescent="0.25">
      <c r="A980" s="4" t="str">
        <f>IF(Produits!A861="","",Produits!A861)</f>
        <v/>
      </c>
      <c r="B980" s="4" t="str">
        <f>IF(Produits!B861="","",Produits!B861)</f>
        <v/>
      </c>
      <c r="C980" s="4" t="str">
        <f>IF(Produits!C861="","",Produits!C861)</f>
        <v/>
      </c>
      <c r="D980" s="4" t="str">
        <f>IF(Produits!D861="","",Produits!D861)</f>
        <v/>
      </c>
      <c r="E980" s="4" t="str">
        <f>IF(Produits!E861="","",Produits!E861)</f>
        <v/>
      </c>
      <c r="F980" s="49" t="str">
        <f>IF(Produits!F861="","",Produits!F861)</f>
        <v/>
      </c>
      <c r="J980" s="88" t="str">
        <f>IF($J$1="","",HLOOKUP($J$1,$M$1:$AAY$1000,980,0))</f>
        <v/>
      </c>
    </row>
    <row r="981" spans="1:10" x14ac:dyDescent="0.25">
      <c r="A981" s="4" t="str">
        <f>IF(Produits!A862="","",Produits!A862)</f>
        <v/>
      </c>
      <c r="B981" s="4" t="str">
        <f>IF(Produits!B862="","",Produits!B862)</f>
        <v/>
      </c>
      <c r="C981" s="4" t="str">
        <f>IF(Produits!C862="","",Produits!C862)</f>
        <v/>
      </c>
      <c r="D981" s="4" t="str">
        <f>IF(Produits!D862="","",Produits!D862)</f>
        <v/>
      </c>
      <c r="E981" s="4" t="str">
        <f>IF(Produits!E862="","",Produits!E862)</f>
        <v/>
      </c>
      <c r="F981" s="49" t="str">
        <f>IF(Produits!F862="","",Produits!F862)</f>
        <v/>
      </c>
      <c r="J981" s="88" t="str">
        <f>IF($J$1="","",HLOOKUP($J$1,$M$1:$AAY$1000,981,0))</f>
        <v/>
      </c>
    </row>
    <row r="982" spans="1:10" x14ac:dyDescent="0.25">
      <c r="A982" s="4" t="str">
        <f>IF(Produits!A863="","",Produits!A863)</f>
        <v/>
      </c>
      <c r="B982" s="4" t="str">
        <f>IF(Produits!B863="","",Produits!B863)</f>
        <v/>
      </c>
      <c r="C982" s="4" t="str">
        <f>IF(Produits!C863="","",Produits!C863)</f>
        <v/>
      </c>
      <c r="D982" s="4" t="str">
        <f>IF(Produits!D863="","",Produits!D863)</f>
        <v/>
      </c>
      <c r="E982" s="4" t="str">
        <f>IF(Produits!E863="","",Produits!E863)</f>
        <v/>
      </c>
      <c r="F982" s="49" t="str">
        <f>IF(Produits!F863="","",Produits!F863)</f>
        <v/>
      </c>
      <c r="J982" s="88" t="str">
        <f>IF($J$1="","",HLOOKUP($J$1,$M$1:$AAY$1000,982,0))</f>
        <v/>
      </c>
    </row>
    <row r="983" spans="1:10" x14ac:dyDescent="0.25">
      <c r="A983" s="4" t="str">
        <f>IF(Produits!A864="","",Produits!A864)</f>
        <v/>
      </c>
      <c r="B983" s="4" t="str">
        <f>IF(Produits!B864="","",Produits!B864)</f>
        <v/>
      </c>
      <c r="C983" s="4" t="str">
        <f>IF(Produits!C864="","",Produits!C864)</f>
        <v/>
      </c>
      <c r="D983" s="4" t="str">
        <f>IF(Produits!D864="","",Produits!D864)</f>
        <v/>
      </c>
      <c r="E983" s="4" t="str">
        <f>IF(Produits!E864="","",Produits!E864)</f>
        <v/>
      </c>
      <c r="F983" s="49" t="str">
        <f>IF(Produits!F864="","",Produits!F864)</f>
        <v/>
      </c>
      <c r="J983" s="88" t="str">
        <f>IF($J$1="","",HLOOKUP($J$1,$M$1:$AAY$1000,983,0))</f>
        <v/>
      </c>
    </row>
    <row r="984" spans="1:10" x14ac:dyDescent="0.25">
      <c r="A984" s="4" t="str">
        <f>IF(Produits!A865="","",Produits!A865)</f>
        <v/>
      </c>
      <c r="B984" s="4" t="str">
        <f>IF(Produits!B865="","",Produits!B865)</f>
        <v/>
      </c>
      <c r="C984" s="4" t="str">
        <f>IF(Produits!C865="","",Produits!C865)</f>
        <v/>
      </c>
      <c r="D984" s="4" t="str">
        <f>IF(Produits!D865="","",Produits!D865)</f>
        <v/>
      </c>
      <c r="E984" s="4" t="str">
        <f>IF(Produits!E865="","",Produits!E865)</f>
        <v/>
      </c>
      <c r="F984" s="49" t="str">
        <f>IF(Produits!F865="","",Produits!F865)</f>
        <v/>
      </c>
      <c r="J984" s="88" t="str">
        <f>IF($J$1="","",HLOOKUP($J$1,$M$1:$AAY$1000,984,0))</f>
        <v/>
      </c>
    </row>
    <row r="985" spans="1:10" x14ac:dyDescent="0.25">
      <c r="A985" s="4" t="str">
        <f>IF(Produits!A866="","",Produits!A866)</f>
        <v/>
      </c>
      <c r="B985" s="4" t="str">
        <f>IF(Produits!B866="","",Produits!B866)</f>
        <v/>
      </c>
      <c r="C985" s="4" t="str">
        <f>IF(Produits!C866="","",Produits!C866)</f>
        <v/>
      </c>
      <c r="D985" s="4" t="str">
        <f>IF(Produits!D866="","",Produits!D866)</f>
        <v/>
      </c>
      <c r="E985" s="4" t="str">
        <f>IF(Produits!E866="","",Produits!E866)</f>
        <v/>
      </c>
      <c r="F985" s="49" t="str">
        <f>IF(Produits!F866="","",Produits!F866)</f>
        <v/>
      </c>
      <c r="J985" s="88" t="str">
        <f>IF($J$1="","",HLOOKUP($J$1,$M$1:$AAY$1000,985,0))</f>
        <v/>
      </c>
    </row>
    <row r="986" spans="1:10" x14ac:dyDescent="0.25">
      <c r="A986" s="4" t="str">
        <f>IF(Produits!A867="","",Produits!A867)</f>
        <v/>
      </c>
      <c r="B986" s="4" t="str">
        <f>IF(Produits!B867="","",Produits!B867)</f>
        <v/>
      </c>
      <c r="C986" s="4" t="str">
        <f>IF(Produits!C867="","",Produits!C867)</f>
        <v/>
      </c>
      <c r="D986" s="4" t="str">
        <f>IF(Produits!D867="","",Produits!D867)</f>
        <v/>
      </c>
      <c r="E986" s="4" t="str">
        <f>IF(Produits!E867="","",Produits!E867)</f>
        <v/>
      </c>
      <c r="F986" s="49" t="str">
        <f>IF(Produits!F867="","",Produits!F867)</f>
        <v/>
      </c>
      <c r="J986" s="88" t="str">
        <f>IF($J$1="","",HLOOKUP($J$1,$M$1:$AAY$1000,986,0))</f>
        <v/>
      </c>
    </row>
    <row r="987" spans="1:10" x14ac:dyDescent="0.25">
      <c r="A987" s="4" t="str">
        <f>IF(Produits!A868="","",Produits!A868)</f>
        <v/>
      </c>
      <c r="B987" s="4" t="str">
        <f>IF(Produits!B868="","",Produits!B868)</f>
        <v/>
      </c>
      <c r="C987" s="4" t="str">
        <f>IF(Produits!C868="","",Produits!C868)</f>
        <v/>
      </c>
      <c r="D987" s="4" t="str">
        <f>IF(Produits!D868="","",Produits!D868)</f>
        <v/>
      </c>
      <c r="E987" s="4" t="str">
        <f>IF(Produits!E868="","",Produits!E868)</f>
        <v/>
      </c>
      <c r="F987" s="49" t="str">
        <f>IF(Produits!F868="","",Produits!F868)</f>
        <v/>
      </c>
      <c r="J987" s="88" t="str">
        <f>IF($J$1="","",HLOOKUP($J$1,$M$1:$AAY$1000,987,0))</f>
        <v/>
      </c>
    </row>
    <row r="988" spans="1:10" x14ac:dyDescent="0.25">
      <c r="A988" s="4" t="str">
        <f>IF(Produits!A869="","",Produits!A869)</f>
        <v/>
      </c>
      <c r="B988" s="4" t="str">
        <f>IF(Produits!B869="","",Produits!B869)</f>
        <v/>
      </c>
      <c r="C988" s="4" t="str">
        <f>IF(Produits!C869="","",Produits!C869)</f>
        <v/>
      </c>
      <c r="D988" s="4" t="str">
        <f>IF(Produits!D869="","",Produits!D869)</f>
        <v/>
      </c>
      <c r="E988" s="4" t="str">
        <f>IF(Produits!E869="","",Produits!E869)</f>
        <v/>
      </c>
      <c r="F988" s="49" t="str">
        <f>IF(Produits!F869="","",Produits!F869)</f>
        <v/>
      </c>
      <c r="J988" s="88" t="str">
        <f>IF($J$1="","",HLOOKUP($J$1,$M$1:$AAY$1000,988,0))</f>
        <v/>
      </c>
    </row>
    <row r="989" spans="1:10" x14ac:dyDescent="0.25">
      <c r="A989" s="4" t="str">
        <f>IF(Produits!A870="","",Produits!A870)</f>
        <v/>
      </c>
      <c r="B989" s="4" t="str">
        <f>IF(Produits!B870="","",Produits!B870)</f>
        <v/>
      </c>
      <c r="C989" s="4" t="str">
        <f>IF(Produits!C870="","",Produits!C870)</f>
        <v/>
      </c>
      <c r="D989" s="4" t="str">
        <f>IF(Produits!D870="","",Produits!D870)</f>
        <v/>
      </c>
      <c r="E989" s="4" t="str">
        <f>IF(Produits!E870="","",Produits!E870)</f>
        <v/>
      </c>
      <c r="F989" s="49" t="str">
        <f>IF(Produits!F870="","",Produits!F870)</f>
        <v/>
      </c>
      <c r="J989" s="88" t="str">
        <f>IF($J$1="","",HLOOKUP($J$1,$M$1:$AAY$1000,989,0))</f>
        <v/>
      </c>
    </row>
    <row r="990" spans="1:10" x14ac:dyDescent="0.25">
      <c r="A990" s="4" t="str">
        <f>IF(Produits!A871="","",Produits!A871)</f>
        <v/>
      </c>
      <c r="B990" s="4" t="str">
        <f>IF(Produits!B871="","",Produits!B871)</f>
        <v/>
      </c>
      <c r="C990" s="4" t="str">
        <f>IF(Produits!C871="","",Produits!C871)</f>
        <v/>
      </c>
      <c r="D990" s="4" t="str">
        <f>IF(Produits!D871="","",Produits!D871)</f>
        <v/>
      </c>
      <c r="E990" s="4" t="str">
        <f>IF(Produits!E871="","",Produits!E871)</f>
        <v/>
      </c>
      <c r="F990" s="49" t="str">
        <f>IF(Produits!F871="","",Produits!F871)</f>
        <v/>
      </c>
      <c r="J990" s="88" t="str">
        <f>IF($J$1="","",HLOOKUP($J$1,$M$1:$AAY$1000,990,0))</f>
        <v/>
      </c>
    </row>
    <row r="991" spans="1:10" x14ac:dyDescent="0.25">
      <c r="A991" s="4" t="str">
        <f>IF(Produits!A872="","",Produits!A872)</f>
        <v/>
      </c>
      <c r="B991" s="4" t="str">
        <f>IF(Produits!B872="","",Produits!B872)</f>
        <v/>
      </c>
      <c r="C991" s="4" t="str">
        <f>IF(Produits!C872="","",Produits!C872)</f>
        <v/>
      </c>
      <c r="D991" s="4" t="str">
        <f>IF(Produits!D872="","",Produits!D872)</f>
        <v/>
      </c>
      <c r="E991" s="4" t="str">
        <f>IF(Produits!E872="","",Produits!E872)</f>
        <v/>
      </c>
      <c r="F991" s="49" t="str">
        <f>IF(Produits!F872="","",Produits!F872)</f>
        <v/>
      </c>
      <c r="J991" s="88" t="str">
        <f>IF($J$1="","",HLOOKUP($J$1,$M$1:$AAY$1000,991,0))</f>
        <v/>
      </c>
    </row>
    <row r="992" spans="1:10" x14ac:dyDescent="0.25">
      <c r="A992" s="4" t="str">
        <f>IF(Produits!A873="","",Produits!A873)</f>
        <v/>
      </c>
      <c r="B992" s="4" t="str">
        <f>IF(Produits!B873="","",Produits!B873)</f>
        <v/>
      </c>
      <c r="C992" s="4" t="str">
        <f>IF(Produits!C873="","",Produits!C873)</f>
        <v/>
      </c>
      <c r="D992" s="4" t="str">
        <f>IF(Produits!D873="","",Produits!D873)</f>
        <v/>
      </c>
      <c r="E992" s="4" t="str">
        <f>IF(Produits!E873="","",Produits!E873)</f>
        <v/>
      </c>
      <c r="F992" s="49" t="str">
        <f>IF(Produits!F873="","",Produits!F873)</f>
        <v/>
      </c>
      <c r="J992" s="88" t="str">
        <f>IF($J$1="","",HLOOKUP($J$1,$M$1:$AAY$1000,992,0))</f>
        <v/>
      </c>
    </row>
    <row r="993" spans="1:10" x14ac:dyDescent="0.25">
      <c r="A993" s="4" t="str">
        <f>IF(Produits!A874="","",Produits!A874)</f>
        <v/>
      </c>
      <c r="B993" s="4" t="str">
        <f>IF(Produits!B874="","",Produits!B874)</f>
        <v/>
      </c>
      <c r="C993" s="4" t="str">
        <f>IF(Produits!C874="","",Produits!C874)</f>
        <v/>
      </c>
      <c r="D993" s="4" t="str">
        <f>IF(Produits!D874="","",Produits!D874)</f>
        <v/>
      </c>
      <c r="E993" s="4" t="str">
        <f>IF(Produits!E874="","",Produits!E874)</f>
        <v/>
      </c>
      <c r="F993" s="49" t="str">
        <f>IF(Produits!F874="","",Produits!F874)</f>
        <v/>
      </c>
      <c r="J993" s="88" t="str">
        <f>IF($J$1="","",HLOOKUP($J$1,$M$1:$AAY$1000,993,0))</f>
        <v/>
      </c>
    </row>
    <row r="994" spans="1:10" x14ac:dyDescent="0.25">
      <c r="A994" s="4" t="str">
        <f>IF(Produits!A875="","",Produits!A875)</f>
        <v/>
      </c>
      <c r="B994" s="4" t="str">
        <f>IF(Produits!B875="","",Produits!B875)</f>
        <v/>
      </c>
      <c r="C994" s="4" t="str">
        <f>IF(Produits!C875="","",Produits!C875)</f>
        <v/>
      </c>
      <c r="D994" s="4" t="str">
        <f>IF(Produits!D875="","",Produits!D875)</f>
        <v/>
      </c>
      <c r="E994" s="4" t="str">
        <f>IF(Produits!E875="","",Produits!E875)</f>
        <v/>
      </c>
      <c r="F994" s="49" t="str">
        <f>IF(Produits!F875="","",Produits!F875)</f>
        <v/>
      </c>
      <c r="J994" s="88" t="str">
        <f>IF($J$1="","",HLOOKUP($J$1,$M$1:$AAY$1000,994,0))</f>
        <v/>
      </c>
    </row>
    <row r="995" spans="1:10" x14ac:dyDescent="0.25">
      <c r="A995" s="4" t="str">
        <f>IF(Produits!A876="","",Produits!A876)</f>
        <v/>
      </c>
      <c r="B995" s="4" t="str">
        <f>IF(Produits!B876="","",Produits!B876)</f>
        <v/>
      </c>
      <c r="C995" s="4" t="str">
        <f>IF(Produits!C876="","",Produits!C876)</f>
        <v/>
      </c>
      <c r="D995" s="4" t="str">
        <f>IF(Produits!D876="","",Produits!D876)</f>
        <v/>
      </c>
      <c r="E995" s="4" t="str">
        <f>IF(Produits!E876="","",Produits!E876)</f>
        <v/>
      </c>
      <c r="F995" s="49" t="str">
        <f>IF(Produits!F876="","",Produits!F876)</f>
        <v/>
      </c>
      <c r="J995" s="88" t="str">
        <f>IF($J$1="","",HLOOKUP($J$1,$M$1:$AAY$1000,995,0))</f>
        <v/>
      </c>
    </row>
    <row r="996" spans="1:10" x14ac:dyDescent="0.25">
      <c r="A996" s="4" t="str">
        <f>IF(Produits!A877="","",Produits!A877)</f>
        <v/>
      </c>
      <c r="B996" s="4" t="str">
        <f>IF(Produits!B877="","",Produits!B877)</f>
        <v/>
      </c>
      <c r="C996" s="4" t="str">
        <f>IF(Produits!C877="","",Produits!C877)</f>
        <v/>
      </c>
      <c r="D996" s="4" t="str">
        <f>IF(Produits!D877="","",Produits!D877)</f>
        <v/>
      </c>
      <c r="E996" s="4" t="str">
        <f>IF(Produits!E877="","",Produits!E877)</f>
        <v/>
      </c>
      <c r="F996" s="49" t="str">
        <f>IF(Produits!F877="","",Produits!F877)</f>
        <v/>
      </c>
      <c r="J996" s="88" t="str">
        <f>IF($J$1="","",HLOOKUP($J$1,$M$1:$AAY$1000,996,0))</f>
        <v/>
      </c>
    </row>
    <row r="997" spans="1:10" x14ac:dyDescent="0.25">
      <c r="A997" s="4" t="str">
        <f>IF(Produits!A878="","",Produits!A878)</f>
        <v/>
      </c>
      <c r="B997" s="4" t="str">
        <f>IF(Produits!B878="","",Produits!B878)</f>
        <v/>
      </c>
      <c r="C997" s="4" t="str">
        <f>IF(Produits!C878="","",Produits!C878)</f>
        <v/>
      </c>
      <c r="D997" s="4" t="str">
        <f>IF(Produits!D878="","",Produits!D878)</f>
        <v/>
      </c>
      <c r="E997" s="4" t="str">
        <f>IF(Produits!E878="","",Produits!E878)</f>
        <v/>
      </c>
      <c r="F997" s="49" t="str">
        <f>IF(Produits!F878="","",Produits!F878)</f>
        <v/>
      </c>
      <c r="J997" s="88" t="str">
        <f>IF($J$1="","",HLOOKUP($J$1,$M$1:$AAY$1000,997,0))</f>
        <v/>
      </c>
    </row>
    <row r="998" spans="1:10" x14ac:dyDescent="0.25">
      <c r="A998" s="4" t="str">
        <f>IF(Produits!A879="","",Produits!A879)</f>
        <v/>
      </c>
      <c r="B998" s="4" t="str">
        <f>IF(Produits!B879="","",Produits!B879)</f>
        <v/>
      </c>
      <c r="C998" s="4" t="str">
        <f>IF(Produits!C879="","",Produits!C879)</f>
        <v/>
      </c>
      <c r="D998" s="4" t="str">
        <f>IF(Produits!D879="","",Produits!D879)</f>
        <v/>
      </c>
      <c r="E998" s="4" t="str">
        <f>IF(Produits!E879="","",Produits!E879)</f>
        <v/>
      </c>
      <c r="F998" s="49" t="str">
        <f>IF(Produits!F879="","",Produits!F879)</f>
        <v/>
      </c>
      <c r="J998" s="88" t="str">
        <f>IF($J$1="","",HLOOKUP($J$1,$M$1:$AAY$1000,998,0))</f>
        <v/>
      </c>
    </row>
    <row r="999" spans="1:10" x14ac:dyDescent="0.25">
      <c r="A999" s="4" t="str">
        <f>IF(Produits!A880="","",Produits!A880)</f>
        <v/>
      </c>
      <c r="B999" s="4" t="str">
        <f>IF(Produits!B880="","",Produits!B880)</f>
        <v/>
      </c>
      <c r="C999" s="4" t="str">
        <f>IF(Produits!C880="","",Produits!C880)</f>
        <v/>
      </c>
      <c r="D999" s="4" t="str">
        <f>IF(Produits!D880="","",Produits!D880)</f>
        <v/>
      </c>
      <c r="E999" s="4" t="str">
        <f>IF(Produits!E880="","",Produits!E880)</f>
        <v/>
      </c>
      <c r="F999" s="49" t="str">
        <f>IF(Produits!F880="","",Produits!F880)</f>
        <v/>
      </c>
      <c r="J999" s="88" t="str">
        <f>IF($J$1="","",HLOOKUP($J$1,$M$1:$AAY$1000,999,0))</f>
        <v/>
      </c>
    </row>
    <row r="1000" spans="1:10" x14ac:dyDescent="0.25">
      <c r="A1000" s="4" t="str">
        <f>IF(Produits!A881="","",Produits!A881)</f>
        <v/>
      </c>
      <c r="B1000" s="4" t="str">
        <f>IF(Produits!B881="","",Produits!B881)</f>
        <v/>
      </c>
      <c r="C1000" s="4" t="str">
        <f>IF(Produits!C881="","",Produits!C881)</f>
        <v/>
      </c>
      <c r="D1000" s="4" t="str">
        <f>IF(Produits!D881="","",Produits!D881)</f>
        <v/>
      </c>
      <c r="E1000" s="4" t="str">
        <f>IF(Produits!E881="","",Produits!E881)</f>
        <v/>
      </c>
      <c r="F1000" s="49" t="str">
        <f>IF(Produits!F881="","",Produits!F881)</f>
        <v/>
      </c>
      <c r="J1000" s="88" t="str">
        <f>IF($J$1="","",HLOOKUP($J$1,$M$1:$AAY$1000,1000,0))</f>
        <v/>
      </c>
    </row>
  </sheetData>
  <mergeCells count="7">
    <mergeCell ref="H2:H3"/>
    <mergeCell ref="A2:A3"/>
    <mergeCell ref="B2:B3"/>
    <mergeCell ref="C2:C3"/>
    <mergeCell ref="D2:D3"/>
    <mergeCell ref="E2:E3"/>
    <mergeCell ref="F2:F3"/>
  </mergeCells>
  <conditionalFormatting sqref="A1:XFD1048576">
    <cfRule type="expression" dxfId="1" priority="2">
      <formula>ROW(A1)=ActiveRow</formula>
    </cfRule>
  </conditionalFormatting>
  <conditionalFormatting sqref="J4:J1000">
    <cfRule type="expression" dxfId="0" priority="1">
      <formula>J4=0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246" r:id="rId4" name="ListBox1">
          <controlPr defaultSize="0" autoLine="0" r:id="rId5">
            <anchor moveWithCells="1">
              <from>
                <xdr:col>7</xdr:col>
                <xdr:colOff>0</xdr:colOff>
                <xdr:row>3</xdr:row>
                <xdr:rowOff>57150</xdr:rowOff>
              </from>
              <to>
                <xdr:col>8</xdr:col>
                <xdr:colOff>19050</xdr:colOff>
                <xdr:row>9</xdr:row>
                <xdr:rowOff>0</xdr:rowOff>
              </to>
            </anchor>
          </controlPr>
        </control>
      </mc:Choice>
      <mc:Fallback>
        <control shapeId="10246" r:id="rId4" name="ListBox1"/>
      </mc:Fallback>
    </mc:AlternateContent>
    <mc:AlternateContent xmlns:mc="http://schemas.openxmlformats.org/markup-compatibility/2006">
      <mc:Choice Requires="x14">
        <control shapeId="10245" r:id="rId6" name="TextBox1">
          <controlPr defaultSize="0" autoLine="0" linkedCell="H2" r:id="rId7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8</xdr:col>
                <xdr:colOff>19050</xdr:colOff>
                <xdr:row>3</xdr:row>
                <xdr:rowOff>9525</xdr:rowOff>
              </to>
            </anchor>
          </controlPr>
        </control>
      </mc:Choice>
      <mc:Fallback>
        <control shapeId="10245" r:id="rId6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Tableau de bord</vt:lpstr>
      <vt:lpstr>Cbo_sousfamille_source</vt:lpstr>
      <vt:lpstr>Orders</vt:lpstr>
      <vt:lpstr>Produits</vt:lpstr>
      <vt:lpstr>Famille</vt:lpstr>
      <vt:lpstr>Cbo_produits_source</vt:lpstr>
      <vt:lpstr>Finition</vt:lpstr>
      <vt:lpstr>Archives Entrées</vt:lpstr>
      <vt:lpstr>Archives Sorties</vt:lpstr>
      <vt:lpstr>'Tableau de bord'!Zone_d_impression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Grellard</dc:creator>
  <cp:lastModifiedBy>Moi</cp:lastModifiedBy>
  <cp:lastPrinted>2017-08-30T14:49:56Z</cp:lastPrinted>
  <dcterms:created xsi:type="dcterms:W3CDTF">2016-11-26T13:59:56Z</dcterms:created>
  <dcterms:modified xsi:type="dcterms:W3CDTF">2017-08-31T09:43:43Z</dcterms:modified>
</cp:coreProperties>
</file>