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AF\"/>
    </mc:Choice>
  </mc:AlternateContent>
  <bookViews>
    <workbookView xWindow="0" yWindow="120" windowWidth="17970" windowHeight="6120" activeTab="1"/>
  </bookViews>
  <sheets>
    <sheet name="Suivi Véhicules" sheetId="1" r:id="rId1"/>
    <sheet name="Calcul LC Paie" sheetId="4" r:id="rId2"/>
    <sheet name="Feuil2" sheetId="2" r:id="rId3"/>
    <sheet name="Feuil3" sheetId="3" r:id="rId4"/>
    <sheet name="Feuil1" sheetId="5" r:id="rId5"/>
  </sheets>
  <definedNames>
    <definedName name="_xlnm._FilterDatabase" localSheetId="1" hidden="1">'Calcul LC Paie'!$A$3:$AE$35</definedName>
    <definedName name="_xlnm._FilterDatabase" localSheetId="3" hidden="1">Feuil3!$B$4:$H$216</definedName>
    <definedName name="_xlnm._FilterDatabase" localSheetId="0" hidden="1">'Suivi Véhicules'!$A$4:$AD$60</definedName>
    <definedName name="_xlnm.Print_Area" localSheetId="0">'Suivi Véhicules'!$E$8:$AB$60</definedName>
  </definedNames>
  <calcPr calcId="152511"/>
</workbook>
</file>

<file path=xl/calcChain.xml><?xml version="1.0" encoding="utf-8"?>
<calcChain xmlns="http://schemas.openxmlformats.org/spreadsheetml/2006/main">
  <c r="V4" i="4" l="1"/>
  <c r="BA6" i="1" l="1"/>
  <c r="BB6" i="1"/>
  <c r="BC6" i="1"/>
  <c r="BD6" i="1"/>
  <c r="BE6" i="1"/>
  <c r="BF6" i="1"/>
  <c r="BG6" i="1"/>
  <c r="BH6" i="1"/>
  <c r="BI6" i="1"/>
  <c r="BJ6" i="1"/>
  <c r="BK6" i="1"/>
  <c r="BL6" i="1"/>
  <c r="BA7" i="1"/>
  <c r="BB7" i="1"/>
  <c r="BC7" i="1"/>
  <c r="BD7" i="1"/>
  <c r="BE7" i="1"/>
  <c r="BF7" i="1"/>
  <c r="BG7" i="1"/>
  <c r="BH7" i="1"/>
  <c r="BI7" i="1"/>
  <c r="BJ7" i="1"/>
  <c r="BK7" i="1"/>
  <c r="BL7" i="1"/>
  <c r="BA8" i="1"/>
  <c r="BB8" i="1"/>
  <c r="BC8" i="1"/>
  <c r="BD8" i="1"/>
  <c r="BE8" i="1"/>
  <c r="BF8" i="1"/>
  <c r="BG8" i="1"/>
  <c r="BH8" i="1"/>
  <c r="BI8" i="1"/>
  <c r="BJ8" i="1"/>
  <c r="BK8" i="1"/>
  <c r="BL8" i="1"/>
  <c r="BA9" i="1"/>
  <c r="BB9" i="1"/>
  <c r="BC9" i="1"/>
  <c r="BD9" i="1"/>
  <c r="BE9" i="1"/>
  <c r="BF9" i="1"/>
  <c r="BG9" i="1"/>
  <c r="BH9" i="1"/>
  <c r="BI9" i="1"/>
  <c r="BJ9" i="1"/>
  <c r="BK9" i="1"/>
  <c r="BL9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A56" i="1"/>
  <c r="BB56" i="1"/>
  <c r="BC56" i="1"/>
  <c r="BD56" i="1"/>
  <c r="BE56" i="1"/>
  <c r="BF56" i="1"/>
  <c r="BG56" i="1"/>
  <c r="BH56" i="1"/>
  <c r="BI56" i="1"/>
  <c r="BJ56" i="1"/>
  <c r="BK56" i="1"/>
  <c r="BL56" i="1"/>
  <c r="BA57" i="1"/>
  <c r="BB57" i="1"/>
  <c r="BC57" i="1"/>
  <c r="BD57" i="1"/>
  <c r="BE57" i="1"/>
  <c r="BF57" i="1"/>
  <c r="BG57" i="1"/>
  <c r="BH57" i="1"/>
  <c r="BI57" i="1"/>
  <c r="BJ57" i="1"/>
  <c r="BK57" i="1"/>
  <c r="BL57" i="1"/>
  <c r="BA58" i="1"/>
  <c r="BB58" i="1"/>
  <c r="BC58" i="1"/>
  <c r="BD58" i="1"/>
  <c r="BE58" i="1"/>
  <c r="BF58" i="1"/>
  <c r="BG58" i="1"/>
  <c r="BH58" i="1"/>
  <c r="BI58" i="1"/>
  <c r="BJ58" i="1"/>
  <c r="BK58" i="1"/>
  <c r="BL58" i="1"/>
  <c r="BA59" i="1"/>
  <c r="BB59" i="1"/>
  <c r="BC59" i="1"/>
  <c r="BD59" i="1"/>
  <c r="BE59" i="1"/>
  <c r="BF59" i="1"/>
  <c r="BG59" i="1"/>
  <c r="BH59" i="1"/>
  <c r="BI59" i="1"/>
  <c r="BJ59" i="1"/>
  <c r="BK59" i="1"/>
  <c r="BL59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B5" i="1"/>
  <c r="BC5" i="1"/>
  <c r="BD5" i="1"/>
  <c r="BE5" i="1"/>
  <c r="BF5" i="1"/>
  <c r="BG5" i="1"/>
  <c r="BH5" i="1"/>
  <c r="BI5" i="1"/>
  <c r="BJ5" i="1"/>
  <c r="BK5" i="1"/>
  <c r="BL5" i="1"/>
  <c r="BA5" i="1"/>
  <c r="Y5" i="1"/>
  <c r="AG47" i="1"/>
  <c r="AG48" i="1"/>
  <c r="AG49" i="1"/>
  <c r="W5" i="4"/>
  <c r="W4" i="4"/>
  <c r="AG56" i="1"/>
  <c r="AI56" i="1"/>
  <c r="AG57" i="1"/>
  <c r="AI57" i="1"/>
  <c r="AJ57" i="1" s="1"/>
  <c r="AI55" i="1"/>
  <c r="AG55" i="1"/>
  <c r="AF58" i="1"/>
  <c r="AG58" i="1"/>
  <c r="AK58" i="1" a="1"/>
  <c r="AK58" i="1" s="1"/>
  <c r="AN58" i="1"/>
  <c r="AF59" i="1"/>
  <c r="AG59" i="1"/>
  <c r="AK59" i="1" a="1"/>
  <c r="AK59" i="1" s="1"/>
  <c r="AN59" i="1"/>
  <c r="AG60" i="1"/>
  <c r="AK60" i="1" a="1"/>
  <c r="AK60" i="1" s="1"/>
  <c r="AN60" i="1"/>
  <c r="AI26" i="1"/>
  <c r="AJ26" i="1" s="1"/>
  <c r="AI25" i="1"/>
  <c r="AG24" i="1"/>
  <c r="AG25" i="1"/>
  <c r="AG26" i="1"/>
  <c r="AG27" i="1"/>
  <c r="AF10" i="1"/>
  <c r="AG10" i="1"/>
  <c r="AK10" i="1" a="1"/>
  <c r="AK10" i="1" s="1"/>
  <c r="AN10" i="1"/>
  <c r="AG11" i="1"/>
  <c r="AK11" i="1" a="1"/>
  <c r="AK11" i="1" s="1"/>
  <c r="AN11" i="1"/>
  <c r="AG12" i="1"/>
  <c r="AK12" i="1" a="1"/>
  <c r="AK12" i="1" s="1"/>
  <c r="AN12" i="1"/>
  <c r="AG13" i="1"/>
  <c r="AK13" i="1" a="1"/>
  <c r="AK13" i="1" s="1"/>
  <c r="AN13" i="1"/>
  <c r="AG14" i="1"/>
  <c r="AK14" i="1" a="1"/>
  <c r="AK14" i="1" s="1"/>
  <c r="AN14" i="1"/>
  <c r="AG15" i="1"/>
  <c r="AK15" i="1" a="1"/>
  <c r="AK15" i="1" s="1"/>
  <c r="AN15" i="1"/>
  <c r="AG16" i="1"/>
  <c r="AK16" i="1" a="1"/>
  <c r="AK16" i="1" s="1"/>
  <c r="AN16" i="1"/>
  <c r="AF17" i="1"/>
  <c r="AG17" i="1"/>
  <c r="AK17" i="1" a="1"/>
  <c r="AK17" i="1" s="1"/>
  <c r="AN17" i="1"/>
  <c r="AF18" i="1"/>
  <c r="AG18" i="1"/>
  <c r="AK18" i="1" a="1"/>
  <c r="AK18" i="1" s="1"/>
  <c r="AN18" i="1"/>
  <c r="AF19" i="1"/>
  <c r="AG19" i="1"/>
  <c r="AK19" i="1" a="1"/>
  <c r="AK19" i="1" s="1"/>
  <c r="AN19" i="1"/>
  <c r="AG20" i="1"/>
  <c r="AK20" i="1" a="1"/>
  <c r="AK20" i="1" s="1"/>
  <c r="AN20" i="1"/>
  <c r="AG21" i="1"/>
  <c r="AK21" i="1" a="1"/>
  <c r="AK21" i="1" s="1"/>
  <c r="AN21" i="1"/>
  <c r="AG22" i="1"/>
  <c r="AK22" i="1" a="1"/>
  <c r="AK22" i="1" s="1"/>
  <c r="AN22" i="1"/>
  <c r="AG23" i="1"/>
  <c r="AK23" i="1" a="1"/>
  <c r="AK23" i="1" s="1"/>
  <c r="AN23" i="1"/>
  <c r="AK24" i="1" a="1"/>
  <c r="AK24" i="1" s="1"/>
  <c r="AN24" i="1"/>
  <c r="AN25" i="1"/>
  <c r="AK26" i="1" a="1"/>
  <c r="AK26" i="1" s="1"/>
  <c r="AN26" i="1"/>
  <c r="AF27" i="1"/>
  <c r="AK27" i="1" a="1"/>
  <c r="AK27" i="1" s="1"/>
  <c r="AN27" i="1"/>
  <c r="AF28" i="1"/>
  <c r="AG28" i="1"/>
  <c r="AK28" i="1" a="1"/>
  <c r="AK28" i="1" s="1"/>
  <c r="AN28" i="1"/>
  <c r="AF29" i="1"/>
  <c r="AG29" i="1"/>
  <c r="AK29" i="1" a="1"/>
  <c r="AK29" i="1" s="1"/>
  <c r="AN29" i="1"/>
  <c r="AG30" i="1"/>
  <c r="AK30" i="1" a="1"/>
  <c r="AK30" i="1" s="1"/>
  <c r="AN30" i="1"/>
  <c r="AG31" i="1"/>
  <c r="AK31" i="1" a="1"/>
  <c r="AK31" i="1" s="1"/>
  <c r="AN31" i="1"/>
  <c r="AG32" i="1"/>
  <c r="AK32" i="1" a="1"/>
  <c r="AK32" i="1" s="1"/>
  <c r="AN32" i="1"/>
  <c r="AG33" i="1"/>
  <c r="AK33" i="1" a="1"/>
  <c r="AK33" i="1" s="1"/>
  <c r="AN33" i="1"/>
  <c r="AG34" i="1"/>
  <c r="AK34" i="1" a="1"/>
  <c r="AK34" i="1" s="1"/>
  <c r="AN34" i="1"/>
  <c r="AG35" i="1"/>
  <c r="AK35" i="1" a="1"/>
  <c r="AK35" i="1" s="1"/>
  <c r="AN35" i="1"/>
  <c r="AG36" i="1"/>
  <c r="AK36" i="1" a="1"/>
  <c r="AK36" i="1" s="1"/>
  <c r="AN36" i="1"/>
  <c r="AG37" i="1"/>
  <c r="AK37" i="1" a="1"/>
  <c r="AK37" i="1" s="1"/>
  <c r="AN37" i="1"/>
  <c r="AF38" i="1"/>
  <c r="AG38" i="1"/>
  <c r="AK38" i="1" a="1"/>
  <c r="AK38" i="1" s="1"/>
  <c r="AN38" i="1"/>
  <c r="AF39" i="1"/>
  <c r="AG39" i="1"/>
  <c r="AK39" i="1" a="1"/>
  <c r="AK39" i="1" s="1"/>
  <c r="AN39" i="1"/>
  <c r="AF40" i="1"/>
  <c r="AG40" i="1"/>
  <c r="AK40" i="1" a="1"/>
  <c r="AK40" i="1" s="1"/>
  <c r="AN40" i="1"/>
  <c r="AG41" i="1"/>
  <c r="AK41" i="1" a="1"/>
  <c r="AK41" i="1" s="1"/>
  <c r="AN41" i="1"/>
  <c r="AG42" i="1"/>
  <c r="AK42" i="1" a="1"/>
  <c r="AK42" i="1" s="1"/>
  <c r="AN42" i="1"/>
  <c r="AG43" i="1"/>
  <c r="AK43" i="1" a="1"/>
  <c r="AK43" i="1" s="1"/>
  <c r="AN43" i="1"/>
  <c r="AG44" i="1"/>
  <c r="AK44" i="1" a="1"/>
  <c r="AK44" i="1" s="1"/>
  <c r="AN44" i="1"/>
  <c r="AG45" i="1"/>
  <c r="AK45" i="1" a="1"/>
  <c r="AK45" i="1" s="1"/>
  <c r="AN45" i="1"/>
  <c r="AG46" i="1"/>
  <c r="AK46" i="1" a="1"/>
  <c r="AK46" i="1" s="1"/>
  <c r="AN46" i="1"/>
  <c r="AK47" i="1" a="1"/>
  <c r="AK47" i="1" s="1"/>
  <c r="AN47" i="1"/>
  <c r="AK48" i="1" a="1"/>
  <c r="AK48" i="1" s="1"/>
  <c r="AN48" i="1"/>
  <c r="AK49" i="1" a="1"/>
  <c r="AK49" i="1" s="1"/>
  <c r="AN49" i="1"/>
  <c r="AG50" i="1"/>
  <c r="AK50" i="1" a="1"/>
  <c r="AK50" i="1" s="1"/>
  <c r="AN50" i="1"/>
  <c r="AF51" i="1"/>
  <c r="AG51" i="1"/>
  <c r="AK51" i="1" a="1"/>
  <c r="AK51" i="1" s="1"/>
  <c r="AN51" i="1"/>
  <c r="AF52" i="1"/>
  <c r="AG52" i="1"/>
  <c r="AK52" i="1" a="1"/>
  <c r="AK52" i="1" s="1"/>
  <c r="AN52" i="1"/>
  <c r="AG53" i="1"/>
  <c r="AK53" i="1" a="1"/>
  <c r="AK53" i="1" s="1"/>
  <c r="AN53" i="1"/>
  <c r="AG54" i="1"/>
  <c r="AK54" i="1" a="1"/>
  <c r="AK54" i="1" s="1"/>
  <c r="AN54" i="1"/>
  <c r="AK55" i="1" a="1"/>
  <c r="AK55" i="1" s="1"/>
  <c r="AN55" i="1"/>
  <c r="AK56" i="1" a="1"/>
  <c r="AK56" i="1" s="1"/>
  <c r="AN56" i="1"/>
  <c r="AK57" i="1" a="1"/>
  <c r="AK57" i="1" s="1"/>
  <c r="AN57" i="1"/>
  <c r="AG6" i="1"/>
  <c r="AG7" i="1"/>
  <c r="AG8" i="1"/>
  <c r="AF9" i="1"/>
  <c r="AG9" i="1"/>
  <c r="AK5" i="1"/>
  <c r="AG5" i="1"/>
  <c r="AK9" i="1" a="1"/>
  <c r="AK9" i="1" s="1"/>
  <c r="AK8" i="1" a="1"/>
  <c r="AK8" i="1" s="1"/>
  <c r="AK7" i="1" a="1"/>
  <c r="AK7" i="1" s="1"/>
  <c r="AK6" i="1" a="1"/>
  <c r="AK6" i="1" s="1"/>
  <c r="AN5" i="1"/>
  <c r="AN6" i="1"/>
  <c r="AN7" i="1"/>
  <c r="AN8" i="1"/>
  <c r="AN9" i="1"/>
  <c r="AH27" i="1" l="1"/>
  <c r="AH58" i="1"/>
  <c r="AH51" i="1"/>
  <c r="AH9" i="1"/>
  <c r="AH17" i="1"/>
  <c r="AH52" i="1"/>
  <c r="AH10" i="1"/>
  <c r="AH38" i="1"/>
  <c r="AH39" i="1"/>
  <c r="AH28" i="1"/>
  <c r="AI49" i="1"/>
  <c r="AH40" i="1"/>
  <c r="AI48" i="1"/>
  <c r="AI47" i="1"/>
  <c r="AH18" i="1"/>
  <c r="AH29" i="1"/>
  <c r="AH59" i="1"/>
  <c r="AH19" i="1"/>
  <c r="AO4" i="1"/>
  <c r="AP4" i="1" s="1"/>
  <c r="BA4" i="1"/>
  <c r="AO5" i="1" l="1"/>
  <c r="AO9" i="1"/>
  <c r="AO8" i="1"/>
  <c r="AO6" i="1"/>
  <c r="AP59" i="1"/>
  <c r="AP12" i="1"/>
  <c r="AP15" i="1"/>
  <c r="AP22" i="1"/>
  <c r="AP30" i="1"/>
  <c r="AP13" i="1"/>
  <c r="AP16" i="1"/>
  <c r="AP10" i="1"/>
  <c r="AP11" i="1"/>
  <c r="AP14" i="1"/>
  <c r="AP17" i="1"/>
  <c r="AP18" i="1"/>
  <c r="AP20" i="1"/>
  <c r="AP27" i="1"/>
  <c r="AP58" i="1"/>
  <c r="AP21" i="1"/>
  <c r="AP25" i="1"/>
  <c r="AP23" i="1"/>
  <c r="AP24" i="1"/>
  <c r="AP26" i="1"/>
  <c r="AP31" i="1"/>
  <c r="AP60" i="1"/>
  <c r="AP32" i="1"/>
  <c r="AP42" i="1"/>
  <c r="AP44" i="1"/>
  <c r="AP49" i="1"/>
  <c r="AP36" i="1"/>
  <c r="AP39" i="1"/>
  <c r="AP40" i="1"/>
  <c r="AP29" i="1"/>
  <c r="AP33" i="1"/>
  <c r="AP45" i="1"/>
  <c r="AP50" i="1"/>
  <c r="AP53" i="1"/>
  <c r="AP41" i="1"/>
  <c r="AP51" i="1"/>
  <c r="AP57" i="1"/>
  <c r="AP37" i="1"/>
  <c r="AP47" i="1"/>
  <c r="AP34" i="1"/>
  <c r="AP38" i="1"/>
  <c r="AP43" i="1"/>
  <c r="AP46" i="1"/>
  <c r="AP48" i="1"/>
  <c r="AP52" i="1"/>
  <c r="AP28" i="1"/>
  <c r="AP19" i="1"/>
  <c r="AP35" i="1"/>
  <c r="AP54" i="1"/>
  <c r="AP55" i="1"/>
  <c r="AP56" i="1"/>
  <c r="AP6" i="1"/>
  <c r="AP8" i="1"/>
  <c r="AP7" i="1"/>
  <c r="AP9" i="1"/>
  <c r="AP5" i="1"/>
  <c r="AO13" i="1"/>
  <c r="AO16" i="1"/>
  <c r="AO10" i="1"/>
  <c r="AO11" i="1"/>
  <c r="AO14" i="1"/>
  <c r="AO17" i="1"/>
  <c r="AO18" i="1"/>
  <c r="AO20" i="1"/>
  <c r="AO58" i="1"/>
  <c r="AO21" i="1"/>
  <c r="AO25" i="1"/>
  <c r="AO23" i="1"/>
  <c r="AO24" i="1"/>
  <c r="AO26" i="1"/>
  <c r="AO60" i="1"/>
  <c r="AO32" i="1"/>
  <c r="AO35" i="1"/>
  <c r="AO19" i="1"/>
  <c r="AO28" i="1"/>
  <c r="AO59" i="1"/>
  <c r="AO31" i="1"/>
  <c r="AO36" i="1"/>
  <c r="AO39" i="1"/>
  <c r="AO40" i="1"/>
  <c r="AO29" i="1"/>
  <c r="AO33" i="1"/>
  <c r="AO41" i="1"/>
  <c r="AO51" i="1"/>
  <c r="AO37" i="1"/>
  <c r="AO47" i="1"/>
  <c r="AO27" i="1"/>
  <c r="AO30" i="1"/>
  <c r="AO34" i="1"/>
  <c r="AO38" i="1"/>
  <c r="AO43" i="1"/>
  <c r="AO46" i="1"/>
  <c r="AO48" i="1"/>
  <c r="AO56" i="1"/>
  <c r="AO15" i="1"/>
  <c r="AO52" i="1"/>
  <c r="AO54" i="1"/>
  <c r="AO55" i="1"/>
  <c r="AO12" i="1"/>
  <c r="AO22" i="1"/>
  <c r="AO42" i="1"/>
  <c r="AO49" i="1"/>
  <c r="AO50" i="1"/>
  <c r="AO45" i="1"/>
  <c r="AO57" i="1"/>
  <c r="AO44" i="1"/>
  <c r="AO53" i="1"/>
  <c r="AO7" i="1"/>
  <c r="AQ4" i="1"/>
  <c r="BC4" i="1"/>
  <c r="BB4" i="1"/>
  <c r="AQ19" i="1" l="1"/>
  <c r="AQ28" i="1"/>
  <c r="AQ59" i="1"/>
  <c r="AQ12" i="1"/>
  <c r="AQ15" i="1"/>
  <c r="AQ13" i="1"/>
  <c r="AQ16" i="1"/>
  <c r="AQ10" i="1"/>
  <c r="AQ29" i="1"/>
  <c r="AQ11" i="1"/>
  <c r="AQ14" i="1"/>
  <c r="AQ17" i="1"/>
  <c r="AQ18" i="1"/>
  <c r="AQ20" i="1"/>
  <c r="AQ27" i="1"/>
  <c r="AQ58" i="1"/>
  <c r="AQ21" i="1"/>
  <c r="AQ25" i="1"/>
  <c r="AQ33" i="1"/>
  <c r="AQ36" i="1"/>
  <c r="AQ23" i="1"/>
  <c r="AQ24" i="1"/>
  <c r="AQ26" i="1"/>
  <c r="AQ31" i="1"/>
  <c r="AQ22" i="1"/>
  <c r="AQ56" i="1"/>
  <c r="AQ42" i="1"/>
  <c r="AQ44" i="1"/>
  <c r="AQ32" i="1"/>
  <c r="AQ39" i="1"/>
  <c r="AQ40" i="1"/>
  <c r="AQ45" i="1"/>
  <c r="AQ50" i="1"/>
  <c r="AQ53" i="1"/>
  <c r="AQ41" i="1"/>
  <c r="AQ51" i="1"/>
  <c r="AQ57" i="1"/>
  <c r="AQ30" i="1"/>
  <c r="AQ37" i="1"/>
  <c r="AQ47" i="1"/>
  <c r="AQ60" i="1"/>
  <c r="AQ34" i="1"/>
  <c r="AQ38" i="1"/>
  <c r="AQ43" i="1"/>
  <c r="AQ46" i="1"/>
  <c r="AQ48" i="1"/>
  <c r="AQ49" i="1"/>
  <c r="AQ35" i="1"/>
  <c r="AQ54" i="1"/>
  <c r="AQ55" i="1"/>
  <c r="AQ52" i="1"/>
  <c r="AQ5" i="1"/>
  <c r="AQ6" i="1"/>
  <c r="AQ8" i="1"/>
  <c r="AQ7" i="1"/>
  <c r="AQ9" i="1"/>
  <c r="BD4" i="1"/>
  <c r="AR4" i="1"/>
  <c r="AR60" i="1" l="1"/>
  <c r="AR32" i="1"/>
  <c r="AR19" i="1"/>
  <c r="AR59" i="1"/>
  <c r="AR12" i="1"/>
  <c r="AR15" i="1"/>
  <c r="AR22" i="1"/>
  <c r="AR13" i="1"/>
  <c r="AR16" i="1"/>
  <c r="AR10" i="1"/>
  <c r="AR29" i="1"/>
  <c r="AR11" i="1"/>
  <c r="AR14" i="1"/>
  <c r="AR17" i="1"/>
  <c r="AR18" i="1"/>
  <c r="AR20" i="1"/>
  <c r="AR27" i="1"/>
  <c r="AR38" i="1"/>
  <c r="AR40" i="1"/>
  <c r="AR58" i="1"/>
  <c r="AR21" i="1"/>
  <c r="AR25" i="1"/>
  <c r="AR28" i="1"/>
  <c r="AR35" i="1"/>
  <c r="AR52" i="1"/>
  <c r="AR54" i="1"/>
  <c r="AR55" i="1"/>
  <c r="AR31" i="1"/>
  <c r="AR26" i="1"/>
  <c r="AR36" i="1"/>
  <c r="AR42" i="1"/>
  <c r="AR44" i="1"/>
  <c r="AR49" i="1"/>
  <c r="AR33" i="1"/>
  <c r="AR39" i="1"/>
  <c r="AR45" i="1"/>
  <c r="AR50" i="1"/>
  <c r="AR53" i="1"/>
  <c r="AR24" i="1"/>
  <c r="AR41" i="1"/>
  <c r="AR51" i="1"/>
  <c r="AR57" i="1"/>
  <c r="AR23" i="1"/>
  <c r="AR30" i="1"/>
  <c r="AR37" i="1"/>
  <c r="AR47" i="1"/>
  <c r="AR46" i="1"/>
  <c r="AR48" i="1"/>
  <c r="AR34" i="1"/>
  <c r="AR43" i="1"/>
  <c r="AR56" i="1"/>
  <c r="AR7" i="1"/>
  <c r="AR9" i="1"/>
  <c r="AR5" i="1"/>
  <c r="AR6" i="1"/>
  <c r="AR8" i="1"/>
  <c r="BE4" i="1"/>
  <c r="AS4" i="1"/>
  <c r="AS23" i="1" l="1"/>
  <c r="AS24" i="1"/>
  <c r="AS26" i="1"/>
  <c r="AS31" i="1"/>
  <c r="AS60" i="1"/>
  <c r="AS19" i="1"/>
  <c r="AS59" i="1"/>
  <c r="AS12" i="1"/>
  <c r="AS15" i="1"/>
  <c r="AS22" i="1"/>
  <c r="AS30" i="1"/>
  <c r="AS13" i="1"/>
  <c r="AS16" i="1"/>
  <c r="AS10" i="1"/>
  <c r="AS29" i="1"/>
  <c r="AS34" i="1"/>
  <c r="AS11" i="1"/>
  <c r="AS14" i="1"/>
  <c r="AS17" i="1"/>
  <c r="AS18" i="1"/>
  <c r="AS20" i="1"/>
  <c r="AS27" i="1"/>
  <c r="AS21" i="1"/>
  <c r="AS43" i="1"/>
  <c r="AS46" i="1"/>
  <c r="AS48" i="1"/>
  <c r="AS58" i="1"/>
  <c r="AS28" i="1"/>
  <c r="AS35" i="1"/>
  <c r="AS25" i="1"/>
  <c r="AS32" i="1"/>
  <c r="AS36" i="1"/>
  <c r="AS40" i="1"/>
  <c r="AS42" i="1"/>
  <c r="AS44" i="1"/>
  <c r="AS49" i="1"/>
  <c r="AS33" i="1"/>
  <c r="AS39" i="1"/>
  <c r="AS45" i="1"/>
  <c r="AS50" i="1"/>
  <c r="AS53" i="1"/>
  <c r="AS41" i="1"/>
  <c r="AS51" i="1"/>
  <c r="AS57" i="1"/>
  <c r="AS52" i="1"/>
  <c r="AS47" i="1"/>
  <c r="AS38" i="1"/>
  <c r="AS56" i="1"/>
  <c r="AS37" i="1"/>
  <c r="AS54" i="1"/>
  <c r="AS55" i="1"/>
  <c r="AS8" i="1"/>
  <c r="AS5" i="1"/>
  <c r="AS6" i="1"/>
  <c r="AS7" i="1"/>
  <c r="AS9" i="1"/>
  <c r="BF4" i="1"/>
  <c r="AT4" i="1"/>
  <c r="AT58" i="1" l="1"/>
  <c r="AT21" i="1"/>
  <c r="AT25" i="1"/>
  <c r="AT60" i="1"/>
  <c r="AT19" i="1"/>
  <c r="AT28" i="1"/>
  <c r="AT59" i="1"/>
  <c r="AT12" i="1"/>
  <c r="AT15" i="1"/>
  <c r="AT22" i="1"/>
  <c r="AT13" i="1"/>
  <c r="AT16" i="1"/>
  <c r="AT37" i="1"/>
  <c r="AT39" i="1"/>
  <c r="AT10" i="1"/>
  <c r="AT29" i="1"/>
  <c r="AT11" i="1"/>
  <c r="AT14" i="1"/>
  <c r="AT23" i="1"/>
  <c r="AT34" i="1"/>
  <c r="AT38" i="1"/>
  <c r="AT47" i="1"/>
  <c r="AT17" i="1"/>
  <c r="AT43" i="1"/>
  <c r="AT31" i="1"/>
  <c r="AT35" i="1"/>
  <c r="AT52" i="1"/>
  <c r="AT20" i="1"/>
  <c r="AT26" i="1"/>
  <c r="AT56" i="1"/>
  <c r="AT32" i="1"/>
  <c r="AT36" i="1"/>
  <c r="AT40" i="1"/>
  <c r="AT42" i="1"/>
  <c r="AT44" i="1"/>
  <c r="AT49" i="1"/>
  <c r="AT50" i="1"/>
  <c r="AT27" i="1"/>
  <c r="AT33" i="1"/>
  <c r="AT18" i="1"/>
  <c r="AT24" i="1"/>
  <c r="AT45" i="1"/>
  <c r="AT53" i="1"/>
  <c r="AT48" i="1"/>
  <c r="AT51" i="1"/>
  <c r="AT41" i="1"/>
  <c r="AT46" i="1"/>
  <c r="AT30" i="1"/>
  <c r="AT54" i="1"/>
  <c r="AT57" i="1"/>
  <c r="AT55" i="1"/>
  <c r="AT7" i="1"/>
  <c r="AT9" i="1"/>
  <c r="AT5" i="1"/>
  <c r="AT6" i="1"/>
  <c r="AT8" i="1"/>
  <c r="AU4" i="1"/>
  <c r="BG4" i="1"/>
  <c r="AU11" i="1" l="1"/>
  <c r="AU14" i="1"/>
  <c r="AU17" i="1"/>
  <c r="AU18" i="1"/>
  <c r="AU20" i="1"/>
  <c r="AU27" i="1"/>
  <c r="AU58" i="1"/>
  <c r="AU23" i="1"/>
  <c r="AU24" i="1"/>
  <c r="AU60" i="1"/>
  <c r="AU19" i="1"/>
  <c r="AU28" i="1"/>
  <c r="AU59" i="1"/>
  <c r="AU12" i="1"/>
  <c r="AU15" i="1"/>
  <c r="AU22" i="1"/>
  <c r="AU30" i="1"/>
  <c r="AU41" i="1"/>
  <c r="AU13" i="1"/>
  <c r="AU16" i="1"/>
  <c r="AU37" i="1"/>
  <c r="AU51" i="1"/>
  <c r="AU57" i="1"/>
  <c r="AU21" i="1"/>
  <c r="AU34" i="1"/>
  <c r="AU38" i="1"/>
  <c r="AU43" i="1"/>
  <c r="AU46" i="1"/>
  <c r="AU48" i="1"/>
  <c r="AU10" i="1"/>
  <c r="AU25" i="1"/>
  <c r="AU29" i="1"/>
  <c r="AU31" i="1"/>
  <c r="AU35" i="1"/>
  <c r="AU52" i="1"/>
  <c r="AU54" i="1"/>
  <c r="AU55" i="1"/>
  <c r="AU26" i="1"/>
  <c r="AU56" i="1"/>
  <c r="AU32" i="1"/>
  <c r="AU36" i="1"/>
  <c r="AU39" i="1"/>
  <c r="AU40" i="1"/>
  <c r="AU42" i="1"/>
  <c r="AU44" i="1"/>
  <c r="AU49" i="1"/>
  <c r="AU33" i="1"/>
  <c r="AU47" i="1"/>
  <c r="AU50" i="1"/>
  <c r="AU45" i="1"/>
  <c r="AU53" i="1"/>
  <c r="AU7" i="1"/>
  <c r="AU9" i="1"/>
  <c r="AU5" i="1"/>
  <c r="AU6" i="1"/>
  <c r="AU8" i="1"/>
  <c r="AV4" i="1"/>
  <c r="BH4" i="1"/>
  <c r="AV10" i="1" l="1"/>
  <c r="AV29" i="1"/>
  <c r="AV11" i="1"/>
  <c r="AV14" i="1"/>
  <c r="AV17" i="1"/>
  <c r="AV18" i="1"/>
  <c r="AV20" i="1"/>
  <c r="AV58" i="1"/>
  <c r="AV21" i="1"/>
  <c r="AV25" i="1"/>
  <c r="AV23" i="1"/>
  <c r="AV24" i="1"/>
  <c r="AV26" i="1"/>
  <c r="AV31" i="1"/>
  <c r="AV60" i="1"/>
  <c r="AV19" i="1"/>
  <c r="AV28" i="1"/>
  <c r="AV59" i="1"/>
  <c r="AV12" i="1"/>
  <c r="AV15" i="1"/>
  <c r="AV22" i="1"/>
  <c r="AV30" i="1"/>
  <c r="AV41" i="1"/>
  <c r="AV45" i="1"/>
  <c r="AV50" i="1"/>
  <c r="AV53" i="1"/>
  <c r="AV37" i="1"/>
  <c r="AV16" i="1"/>
  <c r="AV34" i="1"/>
  <c r="AV38" i="1"/>
  <c r="AV47" i="1"/>
  <c r="AV43" i="1"/>
  <c r="AV46" i="1"/>
  <c r="AV48" i="1"/>
  <c r="AV13" i="1"/>
  <c r="AV35" i="1"/>
  <c r="AV52" i="1"/>
  <c r="AV54" i="1"/>
  <c r="AV55" i="1"/>
  <c r="AV56" i="1"/>
  <c r="AV27" i="1"/>
  <c r="AV32" i="1"/>
  <c r="AV36" i="1"/>
  <c r="AV39" i="1"/>
  <c r="AV40" i="1"/>
  <c r="AV42" i="1"/>
  <c r="AV44" i="1"/>
  <c r="AV49" i="1"/>
  <c r="AV33" i="1"/>
  <c r="AV51" i="1"/>
  <c r="AV57" i="1"/>
  <c r="AV8" i="1"/>
  <c r="AV7" i="1"/>
  <c r="AV9" i="1"/>
  <c r="AV6" i="1"/>
  <c r="AV5" i="1"/>
  <c r="AW4" i="1"/>
  <c r="BI4" i="1"/>
  <c r="AW13" i="1" l="1"/>
  <c r="AW16" i="1"/>
  <c r="AW10" i="1"/>
  <c r="AW11" i="1"/>
  <c r="AW14" i="1"/>
  <c r="AW17" i="1"/>
  <c r="AW18" i="1"/>
  <c r="AW20" i="1"/>
  <c r="AW58" i="1"/>
  <c r="AW21" i="1"/>
  <c r="AW25" i="1"/>
  <c r="AW23" i="1"/>
  <c r="AW24" i="1"/>
  <c r="AW26" i="1"/>
  <c r="AW60" i="1"/>
  <c r="AW32" i="1"/>
  <c r="AW35" i="1"/>
  <c r="AW19" i="1"/>
  <c r="AW28" i="1"/>
  <c r="AW12" i="1"/>
  <c r="AW30" i="1"/>
  <c r="AW33" i="1"/>
  <c r="AW59" i="1"/>
  <c r="AW22" i="1"/>
  <c r="AW41" i="1"/>
  <c r="AW37" i="1"/>
  <c r="AW51" i="1"/>
  <c r="AW34" i="1"/>
  <c r="AW38" i="1"/>
  <c r="AW47" i="1"/>
  <c r="AW29" i="1"/>
  <c r="AW31" i="1"/>
  <c r="AW43" i="1"/>
  <c r="AW46" i="1"/>
  <c r="AW48" i="1"/>
  <c r="AW52" i="1"/>
  <c r="AW54" i="1"/>
  <c r="AW55" i="1"/>
  <c r="AW27" i="1"/>
  <c r="AW15" i="1"/>
  <c r="AW56" i="1"/>
  <c r="AW53" i="1"/>
  <c r="AW57" i="1"/>
  <c r="AW36" i="1"/>
  <c r="AW39" i="1"/>
  <c r="AW42" i="1"/>
  <c r="AW49" i="1"/>
  <c r="AW50" i="1"/>
  <c r="AW44" i="1"/>
  <c r="AW45" i="1"/>
  <c r="AW40" i="1"/>
  <c r="AW6" i="1"/>
  <c r="AW9" i="1"/>
  <c r="AW8" i="1"/>
  <c r="AW7" i="1"/>
  <c r="AW5" i="1"/>
  <c r="AX4" i="1"/>
  <c r="BJ4" i="1"/>
  <c r="Y6" i="1"/>
  <c r="AF6" i="1" s="1"/>
  <c r="AH6" i="1" s="1"/>
  <c r="AX59" i="1" l="1"/>
  <c r="AX12" i="1"/>
  <c r="AX15" i="1"/>
  <c r="AX22" i="1"/>
  <c r="AX30" i="1"/>
  <c r="AX13" i="1"/>
  <c r="AX16" i="1"/>
  <c r="AX10" i="1"/>
  <c r="AX11" i="1"/>
  <c r="AX14" i="1"/>
  <c r="AX17" i="1"/>
  <c r="AX18" i="1"/>
  <c r="AX20" i="1"/>
  <c r="AX27" i="1"/>
  <c r="AX58" i="1"/>
  <c r="AX21" i="1"/>
  <c r="AX25" i="1"/>
  <c r="AX23" i="1"/>
  <c r="AX24" i="1"/>
  <c r="AX26" i="1"/>
  <c r="AX31" i="1"/>
  <c r="AX60" i="1"/>
  <c r="AX32" i="1"/>
  <c r="AX36" i="1"/>
  <c r="AX39" i="1"/>
  <c r="AX40" i="1"/>
  <c r="AX42" i="1"/>
  <c r="AX44" i="1"/>
  <c r="AX49" i="1"/>
  <c r="AX33" i="1"/>
  <c r="AX28" i="1"/>
  <c r="AX41" i="1"/>
  <c r="AX45" i="1"/>
  <c r="AX50" i="1"/>
  <c r="AX53" i="1"/>
  <c r="AX37" i="1"/>
  <c r="AX51" i="1"/>
  <c r="AX57" i="1"/>
  <c r="AX34" i="1"/>
  <c r="AX38" i="1"/>
  <c r="AX47" i="1"/>
  <c r="AX52" i="1"/>
  <c r="AX29" i="1"/>
  <c r="AX35" i="1"/>
  <c r="AX43" i="1"/>
  <c r="AX46" i="1"/>
  <c r="AX48" i="1"/>
  <c r="AX19" i="1"/>
  <c r="AX54" i="1"/>
  <c r="AX55" i="1"/>
  <c r="AX56" i="1"/>
  <c r="AX6" i="1"/>
  <c r="AX8" i="1"/>
  <c r="AX7" i="1"/>
  <c r="AX9" i="1"/>
  <c r="AX5" i="1"/>
  <c r="BK4" i="1"/>
  <c r="AY4" i="1"/>
  <c r="AY19" i="1" l="1"/>
  <c r="AY28" i="1"/>
  <c r="AY59" i="1"/>
  <c r="AY12" i="1"/>
  <c r="AY15" i="1"/>
  <c r="AY13" i="1"/>
  <c r="AY16" i="1"/>
  <c r="AY10" i="1"/>
  <c r="AY29" i="1"/>
  <c r="AY11" i="1"/>
  <c r="AY14" i="1"/>
  <c r="AY17" i="1"/>
  <c r="AY18" i="1"/>
  <c r="AY20" i="1"/>
  <c r="AY27" i="1"/>
  <c r="AY58" i="1"/>
  <c r="AY21" i="1"/>
  <c r="AY25" i="1"/>
  <c r="AY33" i="1"/>
  <c r="AY36" i="1"/>
  <c r="AY23" i="1"/>
  <c r="AY24" i="1"/>
  <c r="AY26" i="1"/>
  <c r="AY31" i="1"/>
  <c r="AY60" i="1"/>
  <c r="AY56" i="1"/>
  <c r="AY30" i="1"/>
  <c r="AY39" i="1"/>
  <c r="AY40" i="1"/>
  <c r="AY42" i="1"/>
  <c r="AY44" i="1"/>
  <c r="AY22" i="1"/>
  <c r="AY41" i="1"/>
  <c r="AY45" i="1"/>
  <c r="AY50" i="1"/>
  <c r="AY53" i="1"/>
  <c r="AY37" i="1"/>
  <c r="AY51" i="1"/>
  <c r="AY57" i="1"/>
  <c r="AY34" i="1"/>
  <c r="AY38" i="1"/>
  <c r="AY47" i="1"/>
  <c r="AY35" i="1"/>
  <c r="AY43" i="1"/>
  <c r="AY46" i="1"/>
  <c r="AY48" i="1"/>
  <c r="AY54" i="1"/>
  <c r="AY55" i="1"/>
  <c r="AY52" i="1"/>
  <c r="AY32" i="1"/>
  <c r="AY49" i="1"/>
  <c r="AY5" i="1"/>
  <c r="AY6" i="1"/>
  <c r="AY8" i="1"/>
  <c r="AY7" i="1"/>
  <c r="AY9" i="1"/>
  <c r="BL4" i="1"/>
  <c r="AZ4" i="1"/>
  <c r="AZ60" i="1" l="1"/>
  <c r="AZ32" i="1"/>
  <c r="AZ19" i="1"/>
  <c r="AZ59" i="1"/>
  <c r="AZ12" i="1"/>
  <c r="AZ15" i="1"/>
  <c r="AZ22" i="1"/>
  <c r="AZ13" i="1"/>
  <c r="AZ16" i="1"/>
  <c r="AZ10" i="1"/>
  <c r="AZ29" i="1"/>
  <c r="AZ11" i="1"/>
  <c r="AZ14" i="1"/>
  <c r="AZ17" i="1"/>
  <c r="AZ18" i="1"/>
  <c r="AZ20" i="1"/>
  <c r="AZ27" i="1"/>
  <c r="AZ38" i="1"/>
  <c r="AZ40" i="1"/>
  <c r="AZ58" i="1"/>
  <c r="AZ21" i="1"/>
  <c r="AZ25" i="1"/>
  <c r="AZ52" i="1"/>
  <c r="AZ54" i="1"/>
  <c r="AZ55" i="1"/>
  <c r="AZ23" i="1"/>
  <c r="AZ36" i="1"/>
  <c r="AZ30" i="1"/>
  <c r="AZ33" i="1"/>
  <c r="AZ39" i="1"/>
  <c r="AZ42" i="1"/>
  <c r="AZ44" i="1"/>
  <c r="AZ49" i="1"/>
  <c r="AZ28" i="1"/>
  <c r="AZ41" i="1"/>
  <c r="AZ45" i="1"/>
  <c r="AZ50" i="1"/>
  <c r="AZ53" i="1"/>
  <c r="AZ26" i="1"/>
  <c r="AZ31" i="1"/>
  <c r="AZ37" i="1"/>
  <c r="AZ51" i="1"/>
  <c r="AZ57" i="1"/>
  <c r="AZ24" i="1"/>
  <c r="AZ34" i="1"/>
  <c r="AZ47" i="1"/>
  <c r="AZ48" i="1"/>
  <c r="AZ56" i="1"/>
  <c r="AZ35" i="1"/>
  <c r="AZ46" i="1"/>
  <c r="AZ43" i="1"/>
  <c r="AZ5" i="1"/>
  <c r="AZ6" i="1"/>
  <c r="AZ8" i="1"/>
  <c r="AZ7" i="1"/>
  <c r="AZ9" i="1"/>
  <c r="BM11" i="1"/>
  <c r="BM23" i="1"/>
  <c r="BM25" i="1"/>
  <c r="BM58" i="1"/>
  <c r="BM10" i="1"/>
  <c r="BM16" i="1"/>
  <c r="BM28" i="1"/>
  <c r="BM60" i="1"/>
  <c r="BM17" i="1"/>
  <c r="BM39" i="1"/>
  <c r="BM59" i="1"/>
  <c r="BM27" i="1"/>
  <c r="BM33" i="1"/>
  <c r="BM34" i="1"/>
  <c r="BM43" i="1"/>
  <c r="BM47" i="1"/>
  <c r="BM57" i="1"/>
  <c r="BM35" i="1"/>
  <c r="BM41" i="1"/>
  <c r="BM48" i="1"/>
  <c r="BM21" i="1"/>
  <c r="BM38" i="1"/>
  <c r="BM55" i="1"/>
  <c r="BM30" i="1"/>
  <c r="BM49" i="1"/>
  <c r="BM36" i="1"/>
  <c r="BM45" i="1"/>
  <c r="BM51" i="1"/>
  <c r="BM5" i="1"/>
  <c r="BM46" i="1"/>
  <c r="BM42" i="1"/>
  <c r="BM22" i="1"/>
  <c r="BM24" i="1"/>
  <c r="BM13" i="1"/>
  <c r="BM50" i="1"/>
  <c r="BM40" i="1"/>
  <c r="BM52" i="1"/>
  <c r="BM29" i="1"/>
  <c r="BM15" i="1"/>
  <c r="BM32" i="1"/>
  <c r="BM18" i="1"/>
  <c r="BM12" i="1"/>
  <c r="BM19" i="1"/>
  <c r="BM20" i="1"/>
  <c r="BM14" i="1"/>
  <c r="BM53" i="1"/>
  <c r="BM31" i="1"/>
  <c r="BM44" i="1"/>
  <c r="BM37" i="1"/>
  <c r="BM54" i="1"/>
  <c r="BM26" i="1"/>
  <c r="BM56" i="1"/>
  <c r="D5" i="1" l="1"/>
  <c r="D6" i="1"/>
  <c r="D7" i="1"/>
  <c r="D8" i="1"/>
  <c r="D9" i="1"/>
  <c r="D10" i="1"/>
  <c r="C10" i="1" s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3" i="1" l="1"/>
  <c r="Y50" i="1" l="1"/>
  <c r="AF50" i="1" l="1"/>
  <c r="AH50" i="1" s="1"/>
  <c r="AJ49" i="1"/>
  <c r="V27" i="4"/>
  <c r="V28" i="4"/>
  <c r="V29" i="4"/>
  <c r="V30" i="4"/>
  <c r="V31" i="4"/>
  <c r="V32" i="4"/>
  <c r="V33" i="4"/>
  <c r="V34" i="4"/>
  <c r="V35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8" i="4"/>
  <c r="X28" i="4" s="1"/>
  <c r="W29" i="4"/>
  <c r="W30" i="4"/>
  <c r="W31" i="4"/>
  <c r="W32" i="4"/>
  <c r="W33" i="4"/>
  <c r="W34" i="4"/>
  <c r="W35" i="4"/>
  <c r="W27" i="4"/>
  <c r="A28" i="4"/>
  <c r="A29" i="4"/>
  <c r="AE29" i="4" s="1"/>
  <c r="AC29" i="4" s="1"/>
  <c r="AB29" i="4" s="1"/>
  <c r="A30" i="4"/>
  <c r="A31" i="4"/>
  <c r="A32" i="4"/>
  <c r="AE32" i="4" s="1"/>
  <c r="AC32" i="4" s="1"/>
  <c r="AB32" i="4" s="1"/>
  <c r="A33" i="4"/>
  <c r="AE33" i="4" s="1"/>
  <c r="AC33" i="4" s="1"/>
  <c r="AB33" i="4" s="1"/>
  <c r="A34" i="4"/>
  <c r="AE34" i="4" s="1"/>
  <c r="AC34" i="4" s="1"/>
  <c r="AB34" i="4" s="1"/>
  <c r="A35" i="4"/>
  <c r="AE35" i="4" s="1"/>
  <c r="AC35" i="4" s="1"/>
  <c r="AB35" i="4" s="1"/>
  <c r="X35" i="4" l="1"/>
  <c r="X31" i="4"/>
  <c r="X34" i="4"/>
  <c r="Y30" i="4" a="1"/>
  <c r="Y30" i="4" s="1"/>
  <c r="AA30" i="4" s="1"/>
  <c r="AE30" i="4"/>
  <c r="AC30" i="4" s="1"/>
  <c r="AB30" i="4" s="1"/>
  <c r="X30" i="4"/>
  <c r="Y31" i="4" a="1"/>
  <c r="Y31" i="4" s="1"/>
  <c r="AA31" i="4" s="1"/>
  <c r="AE31" i="4"/>
  <c r="AC31" i="4" s="1"/>
  <c r="AB31" i="4" s="1"/>
  <c r="Y28" i="4" a="1"/>
  <c r="Y28" i="4" s="1"/>
  <c r="AA28" i="4" s="1"/>
  <c r="AE28" i="4"/>
  <c r="AC28" i="4" s="1"/>
  <c r="AB28" i="4" s="1"/>
  <c r="X4" i="4"/>
  <c r="Y35" i="4" a="1"/>
  <c r="Y35" i="4" s="1"/>
  <c r="AA35" i="4" s="1"/>
  <c r="Y32" i="4" a="1"/>
  <c r="Y32" i="4" s="1"/>
  <c r="AA32" i="4" s="1"/>
  <c r="Y34" i="4" a="1"/>
  <c r="Y34" i="4" s="1"/>
  <c r="AA34" i="4" s="1"/>
  <c r="Y29" i="4" a="1"/>
  <c r="Y29" i="4" s="1"/>
  <c r="AA29" i="4" s="1"/>
  <c r="X32" i="4"/>
  <c r="Y33" i="4" a="1"/>
  <c r="Y33" i="4" s="1"/>
  <c r="AA33" i="4" s="1"/>
  <c r="X29" i="4"/>
  <c r="X33" i="4"/>
  <c r="A22" i="4"/>
  <c r="X22" i="4"/>
  <c r="A23" i="4"/>
  <c r="X23" i="4"/>
  <c r="A24" i="4"/>
  <c r="X24" i="4"/>
  <c r="A25" i="4"/>
  <c r="X25" i="4"/>
  <c r="A26" i="4"/>
  <c r="X26" i="4"/>
  <c r="A27" i="4"/>
  <c r="X27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4" i="4"/>
  <c r="Y5" i="4" l="1"/>
  <c r="AA5" i="4" s="1"/>
  <c r="AE19" i="4"/>
  <c r="AC19" i="4" s="1"/>
  <c r="AB19" i="4" s="1"/>
  <c r="AE15" i="4"/>
  <c r="AC15" i="4" s="1"/>
  <c r="AB15" i="4" s="1"/>
  <c r="AE11" i="4"/>
  <c r="AC11" i="4" s="1"/>
  <c r="AB11" i="4" s="1"/>
  <c r="AE7" i="4"/>
  <c r="AC7" i="4" s="1"/>
  <c r="AB7" i="4" s="1"/>
  <c r="AE27" i="4"/>
  <c r="AC27" i="4" s="1"/>
  <c r="AB27" i="4" s="1"/>
  <c r="AE25" i="4"/>
  <c r="AC25" i="4" s="1"/>
  <c r="AB25" i="4" s="1"/>
  <c r="AE23" i="4"/>
  <c r="AC23" i="4" s="1"/>
  <c r="AB23" i="4" s="1"/>
  <c r="AE4" i="4"/>
  <c r="AC4" i="4" s="1"/>
  <c r="AB4" i="4" s="1"/>
  <c r="AE18" i="4"/>
  <c r="AC18" i="4" s="1"/>
  <c r="AB18" i="4" s="1"/>
  <c r="AE14" i="4"/>
  <c r="AC14" i="4" s="1"/>
  <c r="AB14" i="4" s="1"/>
  <c r="AE10" i="4"/>
  <c r="AC10" i="4" s="1"/>
  <c r="AB10" i="4" s="1"/>
  <c r="AE6" i="4"/>
  <c r="AC6" i="4" s="1"/>
  <c r="AB6" i="4" s="1"/>
  <c r="AE21" i="4"/>
  <c r="AC21" i="4" s="1"/>
  <c r="AB21" i="4" s="1"/>
  <c r="AE17" i="4"/>
  <c r="AC17" i="4" s="1"/>
  <c r="AB17" i="4" s="1"/>
  <c r="AE13" i="4"/>
  <c r="AC13" i="4" s="1"/>
  <c r="AB13" i="4" s="1"/>
  <c r="AE9" i="4"/>
  <c r="AC9" i="4" s="1"/>
  <c r="AB9" i="4" s="1"/>
  <c r="AE5" i="4"/>
  <c r="AC5" i="4" s="1"/>
  <c r="AB5" i="4" s="1"/>
  <c r="AE26" i="4"/>
  <c r="AC26" i="4" s="1"/>
  <c r="AB26" i="4" s="1"/>
  <c r="AE24" i="4"/>
  <c r="AC24" i="4" s="1"/>
  <c r="AB24" i="4" s="1"/>
  <c r="AE22" i="4"/>
  <c r="AC22" i="4" s="1"/>
  <c r="AB22" i="4" s="1"/>
  <c r="AE20" i="4"/>
  <c r="AC20" i="4" s="1"/>
  <c r="AB20" i="4" s="1"/>
  <c r="AE16" i="4"/>
  <c r="AC16" i="4" s="1"/>
  <c r="AB16" i="4" s="1"/>
  <c r="AE12" i="4"/>
  <c r="AC12" i="4" s="1"/>
  <c r="AB12" i="4" s="1"/>
  <c r="AE8" i="4"/>
  <c r="AC8" i="4" s="1"/>
  <c r="AB8" i="4" s="1"/>
  <c r="C2" i="4"/>
  <c r="D2" i="4" s="1"/>
  <c r="C57" i="1"/>
  <c r="C53" i="1"/>
  <c r="C41" i="1"/>
  <c r="C37" i="1"/>
  <c r="C25" i="1"/>
  <c r="C21" i="1"/>
  <c r="C9" i="1"/>
  <c r="C60" i="1"/>
  <c r="C56" i="1"/>
  <c r="C44" i="1"/>
  <c r="C40" i="1"/>
  <c r="C28" i="1"/>
  <c r="C24" i="1"/>
  <c r="C12" i="1"/>
  <c r="C8" i="1"/>
  <c r="C55" i="1"/>
  <c r="C51" i="1"/>
  <c r="C47" i="1"/>
  <c r="C39" i="1"/>
  <c r="C35" i="1"/>
  <c r="C31" i="1"/>
  <c r="C23" i="1"/>
  <c r="C19" i="1"/>
  <c r="C15" i="1"/>
  <c r="C7" i="1"/>
  <c r="C58" i="1"/>
  <c r="C50" i="1"/>
  <c r="C46" i="1"/>
  <c r="C42" i="1"/>
  <c r="C34" i="1"/>
  <c r="C30" i="1"/>
  <c r="C26" i="1"/>
  <c r="C18" i="1"/>
  <c r="C14" i="1"/>
  <c r="Y4" i="4" a="1"/>
  <c r="Y4" i="4" s="1"/>
  <c r="AA4" i="4" s="1"/>
  <c r="X20" i="4"/>
  <c r="X21" i="4"/>
  <c r="X19" i="4"/>
  <c r="X18" i="4"/>
  <c r="X17" i="4"/>
  <c r="X16" i="4"/>
  <c r="X15" i="4"/>
  <c r="X14" i="4"/>
  <c r="X13" i="4"/>
  <c r="X12" i="4"/>
  <c r="X11" i="4"/>
  <c r="X10" i="4"/>
  <c r="X9" i="4"/>
  <c r="X8" i="4"/>
  <c r="X7" i="4"/>
  <c r="X6" i="4"/>
  <c r="X5" i="4"/>
  <c r="Y22" i="4" s="1" a="1"/>
  <c r="Y22" i="4" s="1"/>
  <c r="AA22" i="4" s="1"/>
  <c r="AA3" i="4" l="1"/>
  <c r="AB3" i="4"/>
  <c r="Y27" i="4" a="1"/>
  <c r="Y27" i="4" s="1"/>
  <c r="AA27" i="4" s="1"/>
  <c r="Y11" i="4" a="1"/>
  <c r="Y11" i="4" s="1"/>
  <c r="AA11" i="4" s="1"/>
  <c r="Y21" i="4" a="1"/>
  <c r="Y21" i="4" s="1"/>
  <c r="AA21" i="4" s="1"/>
  <c r="Y17" i="4" a="1"/>
  <c r="Y17" i="4" s="1"/>
  <c r="AA17" i="4" s="1"/>
  <c r="Y19" i="4" a="1"/>
  <c r="Y19" i="4" s="1"/>
  <c r="AA19" i="4" s="1"/>
  <c r="Y25" i="4" a="1"/>
  <c r="Y25" i="4" s="1"/>
  <c r="AA25" i="4" s="1"/>
  <c r="Y14" i="4" a="1"/>
  <c r="Y14" i="4" s="1"/>
  <c r="AA14" i="4" s="1"/>
  <c r="Y9" i="4" a="1"/>
  <c r="Y9" i="4" s="1"/>
  <c r="AA9" i="4" s="1"/>
  <c r="Y6" i="4" a="1"/>
  <c r="Y6" i="4" s="1"/>
  <c r="AA6" i="4" s="1"/>
  <c r="Y23" i="4" a="1"/>
  <c r="Y23" i="4" s="1"/>
  <c r="AA23" i="4" s="1"/>
  <c r="Y7" i="4" a="1"/>
  <c r="Y7" i="4" s="1"/>
  <c r="AA7" i="4" s="1"/>
  <c r="C16" i="1"/>
  <c r="C48" i="1"/>
  <c r="C13" i="1"/>
  <c r="C45" i="1"/>
  <c r="C6" i="1"/>
  <c r="C22" i="1"/>
  <c r="C38" i="1"/>
  <c r="C54" i="1"/>
  <c r="C11" i="1"/>
  <c r="C27" i="1"/>
  <c r="C43" i="1"/>
  <c r="C59" i="1"/>
  <c r="C20" i="1"/>
  <c r="C36" i="1"/>
  <c r="C52" i="1"/>
  <c r="C17" i="1"/>
  <c r="C33" i="1"/>
  <c r="C49" i="1"/>
  <c r="C5" i="1"/>
  <c r="C32" i="1"/>
  <c r="C29" i="1"/>
  <c r="Y8" i="4" a="1"/>
  <c r="Y8" i="4" s="1"/>
  <c r="AA8" i="4" s="1"/>
  <c r="Y10" i="4" a="1"/>
  <c r="Y10" i="4" s="1"/>
  <c r="AA10" i="4" s="1"/>
  <c r="Y18" i="4" a="1"/>
  <c r="Y18" i="4" s="1"/>
  <c r="AA18" i="4" s="1"/>
  <c r="Y26" i="4" a="1"/>
  <c r="Y26" i="4" s="1"/>
  <c r="AA26" i="4" s="1"/>
  <c r="Y13" i="4" a="1"/>
  <c r="Y13" i="4" s="1"/>
  <c r="AA13" i="4" s="1"/>
  <c r="Y12" i="4" a="1"/>
  <c r="Y12" i="4" s="1"/>
  <c r="AA12" i="4" s="1"/>
  <c r="Y20" i="4" a="1"/>
  <c r="Y20" i="4" s="1"/>
  <c r="AA20" i="4" s="1"/>
  <c r="Y15" i="4" a="1"/>
  <c r="Y15" i="4" s="1"/>
  <c r="AA15" i="4" s="1"/>
  <c r="Y16" i="4" a="1"/>
  <c r="Y16" i="4" s="1"/>
  <c r="AA16" i="4" s="1"/>
  <c r="Y24" i="4" a="1"/>
  <c r="Y24" i="4" s="1"/>
  <c r="AA24" i="4" s="1"/>
  <c r="AB2" i="4"/>
  <c r="AA2" i="4" l="1"/>
  <c r="I67" i="2" l="1"/>
  <c r="J67" i="2" s="1"/>
  <c r="Q26" i="1" l="1"/>
  <c r="Y26" i="1" s="1"/>
  <c r="Q25" i="1"/>
  <c r="Y25" i="1" s="1"/>
  <c r="AF25" i="1" s="1"/>
  <c r="AH25" i="1" s="1"/>
  <c r="Q57" i="1"/>
  <c r="Y57" i="1" s="1"/>
  <c r="Q56" i="1"/>
  <c r="Y56" i="1" s="1"/>
  <c r="AF57" i="1" l="1"/>
  <c r="AH57" i="1" s="1"/>
  <c r="AJ56" i="1"/>
  <c r="AF26" i="1"/>
  <c r="AH26" i="1" s="1"/>
  <c r="AJ25" i="1"/>
  <c r="AK25" i="1" s="1"/>
  <c r="AF56" i="1"/>
  <c r="AH56" i="1" s="1"/>
  <c r="AJ55" i="1"/>
  <c r="J216" i="3" l="1"/>
  <c r="J218" i="3" s="1"/>
  <c r="Q15" i="1" l="1"/>
  <c r="Y15" i="1" s="1"/>
  <c r="AF15" i="1" s="1"/>
  <c r="AH15" i="1" s="1"/>
  <c r="Q14" i="1"/>
  <c r="Y14" i="1" s="1"/>
  <c r="AF14" i="1" s="1"/>
  <c r="AH14" i="1" s="1"/>
  <c r="Q49" i="1" l="1"/>
  <c r="Y49" i="1" s="1"/>
  <c r="Q48" i="1"/>
  <c r="Y48" i="1" s="1"/>
  <c r="AF49" i="1" l="1"/>
  <c r="AH49" i="1" s="1"/>
  <c r="AJ48" i="1"/>
  <c r="AF48" i="1"/>
  <c r="AH48" i="1" s="1"/>
  <c r="AJ47" i="1"/>
  <c r="Q24" i="1" l="1"/>
  <c r="Q23" i="1"/>
  <c r="Y23" i="1" s="1"/>
  <c r="AF23" i="1" s="1"/>
  <c r="AH23" i="1" s="1"/>
  <c r="Q37" i="1" l="1"/>
  <c r="Y37" i="1" s="1"/>
  <c r="AF37" i="1" s="1"/>
  <c r="AH37" i="1" s="1"/>
  <c r="Q36" i="1"/>
  <c r="Y36" i="1" s="1"/>
  <c r="AF36" i="1" s="1"/>
  <c r="AH36" i="1" s="1"/>
  <c r="Q33" i="1" l="1"/>
  <c r="Y33" i="1" s="1"/>
  <c r="AF33" i="1" s="1"/>
  <c r="AH33" i="1" s="1"/>
  <c r="Q32" i="1"/>
  <c r="Y32" i="1" s="1"/>
  <c r="AF32" i="1" s="1"/>
  <c r="AH32" i="1" s="1"/>
  <c r="Q5" i="1" l="1"/>
  <c r="AF5" i="1" s="1"/>
  <c r="AH5" i="1" s="1"/>
  <c r="Q55" i="1" l="1"/>
  <c r="Y55" i="1" s="1"/>
  <c r="AF55" i="1" s="1"/>
  <c r="AH55" i="1" s="1"/>
  <c r="Q47" i="1" l="1"/>
  <c r="Y47" i="1" s="1"/>
  <c r="AF47" i="1" s="1"/>
  <c r="AH47" i="1" s="1"/>
  <c r="Q13" i="1" l="1"/>
  <c r="Y13" i="1" s="1"/>
  <c r="AF13" i="1" s="1"/>
  <c r="AH13" i="1" s="1"/>
  <c r="Q8" i="1" l="1"/>
  <c r="Q7" i="1"/>
  <c r="Y7" i="1" s="1"/>
  <c r="AF7" i="1" s="1"/>
  <c r="AH7" i="1" s="1"/>
  <c r="Q22" i="1" l="1"/>
  <c r="Y22" i="1" s="1"/>
  <c r="AF22" i="1" s="1"/>
  <c r="AH22" i="1" s="1"/>
  <c r="Q46" i="1" l="1"/>
  <c r="Y46" i="1" s="1"/>
  <c r="AF46" i="1" s="1"/>
  <c r="AH46" i="1" s="1"/>
  <c r="Q54" i="1" l="1"/>
  <c r="Y54" i="1" s="1"/>
  <c r="AF54" i="1" s="1"/>
  <c r="AH54" i="1" s="1"/>
  <c r="Q16" i="1"/>
  <c r="Y16" i="1" s="1"/>
  <c r="AF16" i="1" s="1"/>
  <c r="AH16" i="1" s="1"/>
  <c r="Q45" i="1" l="1"/>
  <c r="Y45" i="1" s="1"/>
  <c r="AF45" i="1" s="1"/>
  <c r="AH45" i="1" s="1"/>
  <c r="Q35" i="1" l="1"/>
  <c r="Y35" i="1" s="1"/>
  <c r="AF35" i="1" s="1"/>
  <c r="AH35" i="1" s="1"/>
  <c r="Q31" i="1" l="1"/>
  <c r="Y31" i="1" s="1"/>
  <c r="AF31" i="1" s="1"/>
  <c r="AH31" i="1" s="1"/>
  <c r="Q12" i="1" l="1"/>
  <c r="Y12" i="1" s="1"/>
  <c r="AF12" i="1" s="1"/>
  <c r="AH12" i="1" s="1"/>
  <c r="Q21" i="1" l="1"/>
  <c r="Y21" i="1" s="1"/>
  <c r="AF21" i="1" s="1"/>
  <c r="AH21" i="1" s="1"/>
  <c r="Q44" i="1" l="1"/>
  <c r="Y44" i="1" s="1"/>
  <c r="AF44" i="1" s="1"/>
  <c r="AH44" i="1" s="1"/>
  <c r="Q43" i="1" l="1"/>
  <c r="Y43" i="1" s="1"/>
  <c r="AF43" i="1" s="1"/>
  <c r="AH43" i="1" s="1"/>
  <c r="Q34" i="1" l="1"/>
  <c r="Y34" i="1" s="1"/>
  <c r="AF34" i="1" s="1"/>
  <c r="AH34" i="1" s="1"/>
  <c r="Q30" i="1" l="1"/>
  <c r="Y30" i="1" s="1"/>
  <c r="AF30" i="1" s="1"/>
  <c r="AH30" i="1" s="1"/>
  <c r="Q53" i="1"/>
  <c r="Y53" i="1" s="1"/>
  <c r="AF53" i="1" s="1"/>
  <c r="AH53" i="1" s="1"/>
  <c r="Y8" i="1" l="1"/>
  <c r="AF8" i="1" s="1"/>
  <c r="AH8" i="1" s="1"/>
  <c r="Q20" i="1" l="1"/>
  <c r="Y20" i="1" s="1"/>
  <c r="AF20" i="1" s="1"/>
  <c r="AH20" i="1" s="1"/>
  <c r="Q60" i="1" l="1"/>
  <c r="Y60" i="1" s="1"/>
  <c r="AF60" i="1" s="1"/>
  <c r="AH60" i="1" s="1"/>
  <c r="Q42" i="1" l="1"/>
  <c r="Y42" i="1" s="1"/>
  <c r="AF42" i="1" s="1"/>
  <c r="AH42" i="1" s="1"/>
  <c r="Q41" i="1" l="1"/>
  <c r="Y41" i="1" s="1"/>
  <c r="AF41" i="1" s="1"/>
  <c r="AH41" i="1" s="1"/>
  <c r="Q11" i="1" l="1"/>
  <c r="Y11" i="1" s="1"/>
  <c r="AF11" i="1" s="1"/>
  <c r="AH11" i="1" s="1"/>
  <c r="Y24" i="1" l="1"/>
  <c r="AF24" i="1" s="1"/>
  <c r="AH24" i="1" s="1"/>
  <c r="AR3" i="1" l="1"/>
  <c r="AU3" i="1"/>
  <c r="AT3" i="1"/>
  <c r="AS3" i="1"/>
  <c r="AX3" i="1"/>
  <c r="AV3" i="1"/>
  <c r="AW3" i="1"/>
  <c r="AP3" i="1"/>
  <c r="AO3" i="1"/>
  <c r="AQ3" i="1"/>
  <c r="AZ3" i="1"/>
  <c r="AY3" i="1"/>
  <c r="BM7" i="1" l="1"/>
  <c r="BJ3" i="1"/>
  <c r="BB3" i="1"/>
  <c r="BM8" i="1"/>
  <c r="BE3" i="1"/>
  <c r="BM9" i="1"/>
  <c r="BC3" i="1"/>
  <c r="BF3" i="1"/>
  <c r="BH3" i="1"/>
  <c r="BK3" i="1"/>
  <c r="BI3" i="1"/>
  <c r="BA3" i="1"/>
  <c r="BM6" i="1"/>
  <c r="BM3" i="1" s="1"/>
  <c r="BG3" i="1"/>
  <c r="BL3" i="1"/>
  <c r="BD3" i="1"/>
</calcChain>
</file>

<file path=xl/sharedStrings.xml><?xml version="1.0" encoding="utf-8"?>
<sst xmlns="http://schemas.openxmlformats.org/spreadsheetml/2006/main" count="1214" uniqueCount="490">
  <si>
    <t>Prénom</t>
  </si>
  <si>
    <t>n° de châssis</t>
  </si>
  <si>
    <t>Date de 1ère MEC</t>
  </si>
  <si>
    <t>Modèle</t>
  </si>
  <si>
    <t>FIRMIN</t>
  </si>
  <si>
    <t>Mylène</t>
  </si>
  <si>
    <t>Finition</t>
  </si>
  <si>
    <t>Coloris</t>
  </si>
  <si>
    <t>Date de livraison</t>
  </si>
  <si>
    <t>Date de commande</t>
  </si>
  <si>
    <t>CHASLES</t>
  </si>
  <si>
    <t>Noémie</t>
  </si>
  <si>
    <t>ZCO - Lounge</t>
  </si>
  <si>
    <t>GARRIVIER</t>
  </si>
  <si>
    <t>Sébastien</t>
  </si>
  <si>
    <t>BAUMGARTNER</t>
  </si>
  <si>
    <t>Mélanie</t>
  </si>
  <si>
    <t>JUDAS</t>
  </si>
  <si>
    <t>Jonathan</t>
  </si>
  <si>
    <t>FTN1 - Ed. Baker Street</t>
  </si>
  <si>
    <t>KUSSELING</t>
  </si>
  <si>
    <t>Michel</t>
  </si>
  <si>
    <t>MASSOULLE</t>
  </si>
  <si>
    <t>Stéphanie</t>
  </si>
  <si>
    <t>SW71 - Mini Cooper SD 143ch = ????? €</t>
  </si>
  <si>
    <t>0ZCN - Pack Connected</t>
  </si>
  <si>
    <t>ZIE GUEDE</t>
  </si>
  <si>
    <t>Ella</t>
  </si>
  <si>
    <t>SW11 - Mini One D 90ch</t>
  </si>
  <si>
    <t>Immatriculation</t>
  </si>
  <si>
    <t>Loyer Collab.</t>
  </si>
  <si>
    <t>BA</t>
  </si>
  <si>
    <t>Seydina</t>
  </si>
  <si>
    <t>LANGLOIS</t>
  </si>
  <si>
    <t>Eva</t>
  </si>
  <si>
    <t>LABAUME</t>
  </si>
  <si>
    <t>Karim</t>
  </si>
  <si>
    <t>SY31 - Mini Cooper S Roadster 184ch = ????? €</t>
  </si>
  <si>
    <t>BERTRAND</t>
  </si>
  <si>
    <t>Xavier</t>
  </si>
  <si>
    <t>F30 - 318d Berline =  ???? €</t>
  </si>
  <si>
    <t>PLANQUETTE</t>
  </si>
  <si>
    <t>Isabelle</t>
  </si>
  <si>
    <t>GONZALEZ</t>
  </si>
  <si>
    <t>Daniel</t>
  </si>
  <si>
    <t>GARRIER</t>
  </si>
  <si>
    <t>Samantha</t>
  </si>
  <si>
    <t>SW31 - Mini Cooper D 112ch = ????€</t>
  </si>
  <si>
    <t>BISTANI</t>
  </si>
  <si>
    <t>Youness</t>
  </si>
  <si>
    <t>MONOT</t>
  </si>
  <si>
    <t>Olivier</t>
  </si>
  <si>
    <t>TOTH</t>
  </si>
  <si>
    <t>Morgane</t>
  </si>
  <si>
    <t>ZST - Pack Salt</t>
  </si>
  <si>
    <t>MARY</t>
  </si>
  <si>
    <t>Stéphane</t>
  </si>
  <si>
    <t>JAKABOWITS</t>
  </si>
  <si>
    <t>Hanane</t>
  </si>
  <si>
    <t>BOUQUET</t>
  </si>
  <si>
    <t>Aurélie</t>
  </si>
  <si>
    <t>DARMON</t>
  </si>
  <si>
    <t>Jonathann</t>
  </si>
  <si>
    <t>Marques</t>
  </si>
  <si>
    <t>BMW</t>
  </si>
  <si>
    <t>MINI</t>
  </si>
  <si>
    <t>VP/VU</t>
  </si>
  <si>
    <t>VP</t>
  </si>
  <si>
    <t>Break</t>
  </si>
  <si>
    <t>CI</t>
  </si>
  <si>
    <t>DAHMANA</t>
  </si>
  <si>
    <t>Laétitia</t>
  </si>
  <si>
    <t>MATE</t>
  </si>
  <si>
    <t>Estelle</t>
  </si>
  <si>
    <t>PORQUET</t>
  </si>
  <si>
    <t>Virginie</t>
  </si>
  <si>
    <t>MINOTTE</t>
  </si>
  <si>
    <t>Bruno</t>
  </si>
  <si>
    <t>El YACOUBI SONOBE</t>
  </si>
  <si>
    <t>Mizuki</t>
  </si>
  <si>
    <t>GIDON</t>
  </si>
  <si>
    <t>Maud</t>
  </si>
  <si>
    <t>KOHLER</t>
  </si>
  <si>
    <t>Karine</t>
  </si>
  <si>
    <t>Date de restitution</t>
  </si>
  <si>
    <t>DESGOULIERES</t>
  </si>
  <si>
    <t>Valérie</t>
  </si>
  <si>
    <t>BOURG</t>
  </si>
  <si>
    <t>Christophe</t>
  </si>
  <si>
    <t>GRIMBERT</t>
  </si>
  <si>
    <t>Elodie</t>
  </si>
  <si>
    <t>PLAETEVOET</t>
  </si>
  <si>
    <t>Jennifer</t>
  </si>
  <si>
    <t>COQUIL</t>
  </si>
  <si>
    <t>Thomas</t>
  </si>
  <si>
    <t>DOMET</t>
  </si>
  <si>
    <t>Sandra</t>
  </si>
  <si>
    <t>PELLE</t>
  </si>
  <si>
    <t>Caroline</t>
  </si>
  <si>
    <t>VANDENBOOSCHE</t>
  </si>
  <si>
    <t>VANDEWYNCKELE</t>
  </si>
  <si>
    <t>CRASNIER</t>
  </si>
  <si>
    <t>BARTH</t>
  </si>
  <si>
    <t>CHAULAND</t>
  </si>
  <si>
    <t>Marie</t>
  </si>
  <si>
    <t>DIALLO</t>
  </si>
  <si>
    <t>Latifa</t>
  </si>
  <si>
    <t>ELVIRA</t>
  </si>
  <si>
    <t>Cynthia</t>
  </si>
  <si>
    <t>FOLTRAN</t>
  </si>
  <si>
    <t>Odile</t>
  </si>
  <si>
    <t>JANAOUI</t>
  </si>
  <si>
    <t>Nadia</t>
  </si>
  <si>
    <t>PLANCQ</t>
  </si>
  <si>
    <t>Mélissa</t>
  </si>
  <si>
    <t>TORTOLANO</t>
  </si>
  <si>
    <t>Nathalie</t>
  </si>
  <si>
    <t>ZSCHIESCHE-VOSS</t>
  </si>
  <si>
    <t>Uta</t>
  </si>
  <si>
    <t>GUILLON</t>
  </si>
  <si>
    <t>Philippe</t>
  </si>
  <si>
    <t>BRAUD</t>
  </si>
  <si>
    <t>Alexandre</t>
  </si>
  <si>
    <t>ROSSMARK</t>
  </si>
  <si>
    <t>Josiane</t>
  </si>
  <si>
    <t>MOUZANUIK</t>
  </si>
  <si>
    <t>Laurent</t>
  </si>
  <si>
    <t>CT-251-EN</t>
  </si>
  <si>
    <t>CT-022-VJ</t>
  </si>
  <si>
    <t>GAMUNDI</t>
  </si>
  <si>
    <t>David</t>
  </si>
  <si>
    <t>LECLERC</t>
  </si>
  <si>
    <t>OTAYECK</t>
  </si>
  <si>
    <t>Frédérique-Rose</t>
  </si>
  <si>
    <t>CT-141-FE</t>
  </si>
  <si>
    <t>Prix total véhicule</t>
  </si>
  <si>
    <t>Prix véhiucle (-option gratuite)</t>
  </si>
  <si>
    <t>Montant de la CG</t>
  </si>
  <si>
    <t>CV-243-FD</t>
  </si>
  <si>
    <t>CV-248-FD</t>
  </si>
  <si>
    <t>CT-270-VT</t>
  </si>
  <si>
    <t>CT-978-VT</t>
  </si>
  <si>
    <t>CV-312-JD</t>
  </si>
  <si>
    <t>CV-015-NW</t>
  </si>
  <si>
    <t>CV-351-JD</t>
  </si>
  <si>
    <t>CV-937-HZ</t>
  </si>
  <si>
    <t>CABR</t>
  </si>
  <si>
    <t>BEN AISSA</t>
  </si>
  <si>
    <t>Abdelaziz</t>
  </si>
  <si>
    <t>CV-952-HZ</t>
  </si>
  <si>
    <t>CV-675-XJ</t>
  </si>
  <si>
    <t>DE SILVA</t>
  </si>
  <si>
    <t>MABONGI</t>
  </si>
  <si>
    <t>Didier</t>
  </si>
  <si>
    <t>CW-261-KZ</t>
  </si>
  <si>
    <t>BSISSOU</t>
  </si>
  <si>
    <t>CW-980-LA</t>
  </si>
  <si>
    <t>CW-598-LK</t>
  </si>
  <si>
    <t>VISTOS</t>
  </si>
  <si>
    <t>Valentine</t>
  </si>
  <si>
    <t>CW-516-XF</t>
  </si>
  <si>
    <t>CW-886-YE</t>
  </si>
  <si>
    <t>CW-901-YE</t>
  </si>
  <si>
    <t>nom</t>
  </si>
  <si>
    <t>CX-593-JX</t>
  </si>
  <si>
    <t>CX-283-QM</t>
  </si>
  <si>
    <t>CW-030-TC</t>
  </si>
  <si>
    <t>Flavie</t>
  </si>
  <si>
    <t>Pauline</t>
  </si>
  <si>
    <t>CW-272-WS</t>
  </si>
  <si>
    <t>CW-803-QW</t>
  </si>
  <si>
    <t>Ritchie</t>
  </si>
  <si>
    <t>CX-950-JW</t>
  </si>
  <si>
    <t>CX-353-JX</t>
  </si>
  <si>
    <t>CY-813-ER</t>
  </si>
  <si>
    <t>CY-765-ER</t>
  </si>
  <si>
    <t>CY-365-DL</t>
  </si>
  <si>
    <t>CY-469-DK</t>
  </si>
  <si>
    <t>29/08/20123</t>
  </si>
  <si>
    <t>CY-403-DL</t>
  </si>
  <si>
    <t>CY-829-ER</t>
  </si>
  <si>
    <t>CY-768-ER</t>
  </si>
  <si>
    <t>Vincent</t>
  </si>
  <si>
    <t>CX-788-SJ</t>
  </si>
  <si>
    <t>CX-134-XV</t>
  </si>
  <si>
    <t>CY-812-LP</t>
  </si>
  <si>
    <t>CY-138-KS</t>
  </si>
  <si>
    <t>CX-884-LN</t>
  </si>
  <si>
    <t>Annabelle</t>
  </si>
  <si>
    <t>CX-102-LP</t>
  </si>
  <si>
    <t>CZ-675-FZ</t>
  </si>
  <si>
    <t>CY-700-XC</t>
  </si>
  <si>
    <t>CX-426-LP</t>
  </si>
  <si>
    <t>CZ-631-FZ</t>
  </si>
  <si>
    <t>CY-724-NJ</t>
  </si>
  <si>
    <t>CY-436-ZP</t>
  </si>
  <si>
    <t>CZ-326-BZ</t>
  </si>
  <si>
    <t>CZ-116-MQ</t>
  </si>
  <si>
    <t>CZ-029-BW</t>
  </si>
  <si>
    <t xml:space="preserve">Nom </t>
  </si>
  <si>
    <t>MUYLLAERT</t>
  </si>
  <si>
    <t>NICOLLE</t>
  </si>
  <si>
    <t>SEVEGRAND</t>
  </si>
  <si>
    <t>VELLIEN</t>
  </si>
  <si>
    <t>CZ-608-MR</t>
  </si>
  <si>
    <t>Lahcen</t>
  </si>
  <si>
    <t>CY-888-XB</t>
  </si>
  <si>
    <t>CZ-485-MS</t>
  </si>
  <si>
    <t>CZ-798-BY</t>
  </si>
  <si>
    <t>CZ-640-YQ</t>
  </si>
  <si>
    <t>DA-871-JY</t>
  </si>
  <si>
    <t>DA-046-BJ</t>
  </si>
  <si>
    <t>CZ-992-QM</t>
  </si>
  <si>
    <t>CZ-990-ZX</t>
  </si>
  <si>
    <t>CZ-370-CA</t>
  </si>
  <si>
    <t>LERIAS</t>
  </si>
  <si>
    <t>José</t>
  </si>
  <si>
    <t>DA-466-KK</t>
  </si>
  <si>
    <t>MERY</t>
  </si>
  <si>
    <t>Julien</t>
  </si>
  <si>
    <t>contrat</t>
  </si>
  <si>
    <t>ok</t>
  </si>
  <si>
    <t>CZ-745-YQ</t>
  </si>
  <si>
    <t>DUFFOUR</t>
  </si>
  <si>
    <t>François</t>
  </si>
  <si>
    <t>CHEVALLIER</t>
  </si>
  <si>
    <t>Mathieu</t>
  </si>
  <si>
    <t>BAYLE</t>
  </si>
  <si>
    <t>Eric</t>
  </si>
  <si>
    <t>DB-064-LH</t>
  </si>
  <si>
    <t>DA-787-XD</t>
  </si>
  <si>
    <t>DC-073-DX</t>
  </si>
  <si>
    <t>DB-961-WR</t>
  </si>
  <si>
    <t>DC-459-JA</t>
  </si>
  <si>
    <t>DC-010-MY</t>
  </si>
  <si>
    <t>DC-134-QX</t>
  </si>
  <si>
    <t>DC-574-TF</t>
  </si>
  <si>
    <t>DC-162-SH</t>
  </si>
  <si>
    <t>DC-659-XG</t>
  </si>
  <si>
    <t>DC-716-YQ</t>
  </si>
  <si>
    <t>DC-479-SH</t>
  </si>
  <si>
    <t>DIALLO/BOUDJEMA</t>
  </si>
  <si>
    <t>DC-965-WW</t>
  </si>
  <si>
    <t xml:space="preserve">NGANDU </t>
  </si>
  <si>
    <t>sandrine</t>
  </si>
  <si>
    <t>Cooper D Countryman 112 BVM6</t>
  </si>
  <si>
    <t>NAMIN</t>
  </si>
  <si>
    <t>catherine</t>
  </si>
  <si>
    <t>vp</t>
  </si>
  <si>
    <t>DC-970-SG</t>
  </si>
  <si>
    <t>DD-137-LC</t>
  </si>
  <si>
    <t>DB-466-WR</t>
  </si>
  <si>
    <t>DD-881-QR</t>
  </si>
  <si>
    <t>DD-445-LC</t>
  </si>
  <si>
    <t>DD-478-LC</t>
  </si>
  <si>
    <t>DD-792-MT</t>
  </si>
  <si>
    <t>DD-649-LC</t>
  </si>
  <si>
    <t>DD-082-ZP</t>
  </si>
  <si>
    <t>DE-853-FW</t>
  </si>
  <si>
    <t>MARTIAS</t>
  </si>
  <si>
    <t>Steeve</t>
  </si>
  <si>
    <t>DE-356-HB</t>
  </si>
  <si>
    <t>DD-207-LC</t>
  </si>
  <si>
    <t>DE-800-PY</t>
  </si>
  <si>
    <t>DD-109-ZP</t>
  </si>
  <si>
    <t>mini cooper SD countryman 143</t>
  </si>
  <si>
    <t>COMMANDE ANNULEE 29/04/14</t>
  </si>
  <si>
    <t>DE-313-VW</t>
  </si>
  <si>
    <t>KM au 05/05/14</t>
  </si>
  <si>
    <t>DE-014-NE</t>
  </si>
  <si>
    <t>DE-500-JD</t>
  </si>
  <si>
    <t>DE-278-LZ</t>
  </si>
  <si>
    <t>DF-042-AT</t>
  </si>
  <si>
    <t>DF-456-JL</t>
  </si>
  <si>
    <t>DF-754-JL</t>
  </si>
  <si>
    <t>DF-467-HD</t>
  </si>
  <si>
    <t>BLOT</t>
  </si>
  <si>
    <t>Kevin</t>
  </si>
  <si>
    <t>DF-684-RZ</t>
  </si>
  <si>
    <t>DE-031-MK</t>
  </si>
  <si>
    <t>DF-942-HC</t>
  </si>
  <si>
    <t>DF-028-PC</t>
  </si>
  <si>
    <t>DF-401-HD</t>
  </si>
  <si>
    <t>DF-917-PB</t>
  </si>
  <si>
    <t>DF-347-JL</t>
  </si>
  <si>
    <t>DG-139-DW</t>
  </si>
  <si>
    <t>DG-660-EP</t>
  </si>
  <si>
    <t>DG-386-JV</t>
  </si>
  <si>
    <t>DG-137-KW</t>
  </si>
  <si>
    <t>DG-633-MW</t>
  </si>
  <si>
    <t>DF-876-JG</t>
  </si>
  <si>
    <t>DG-237-CM</t>
  </si>
  <si>
    <t>DG-302-EP</t>
  </si>
  <si>
    <t>DG-094-VP</t>
  </si>
  <si>
    <t>DG-651-EP</t>
  </si>
  <si>
    <t>DH-525-DJ</t>
  </si>
  <si>
    <t>DH-722-DJ</t>
  </si>
  <si>
    <t>DH-935-FF</t>
  </si>
  <si>
    <t>DH-474-FJ</t>
  </si>
  <si>
    <t>DH-030-FG</t>
  </si>
  <si>
    <t>PEUCH</t>
  </si>
  <si>
    <t>Sophie</t>
  </si>
  <si>
    <t>DH-888-MS</t>
  </si>
  <si>
    <t>DG-857-EZ</t>
  </si>
  <si>
    <t>DH-047-FG</t>
  </si>
  <si>
    <t>DH-487-SJ</t>
  </si>
  <si>
    <t>DH-464-FJ</t>
  </si>
  <si>
    <t>FEYEUX</t>
  </si>
  <si>
    <t>Baptiste</t>
  </si>
  <si>
    <t>DH-386-FJ</t>
  </si>
  <si>
    <t>DJ-099-DQ</t>
  </si>
  <si>
    <t>DH-830-KX</t>
  </si>
  <si>
    <t>BAHADUR</t>
  </si>
  <si>
    <t>PIERRE</t>
  </si>
  <si>
    <t>Aurore</t>
  </si>
  <si>
    <t>CARDOSO</t>
  </si>
  <si>
    <t>CUSSE</t>
  </si>
  <si>
    <t>DJ-843-KN</t>
  </si>
  <si>
    <t>DJ-183-PZ</t>
  </si>
  <si>
    <t>DJ-949-ST</t>
  </si>
  <si>
    <t>TREPE</t>
  </si>
  <si>
    <t>Matthieu</t>
  </si>
  <si>
    <t>DJ-267-SV</t>
  </si>
  <si>
    <t>DJ-491-ZY</t>
  </si>
  <si>
    <t>DJ-733-ST</t>
  </si>
  <si>
    <t>DK-228-EQ</t>
  </si>
  <si>
    <t>DK-429-GK</t>
  </si>
  <si>
    <t>DK-088-GK</t>
  </si>
  <si>
    <t>ROUSIER</t>
  </si>
  <si>
    <t>DK-178-GK</t>
  </si>
  <si>
    <t>DK-043-MP</t>
  </si>
  <si>
    <t>AUJAS</t>
  </si>
  <si>
    <t>Maxime</t>
  </si>
  <si>
    <t>DK-701-SG</t>
  </si>
  <si>
    <t>DK-877-QR</t>
  </si>
  <si>
    <t>DK-645-NY</t>
  </si>
  <si>
    <t>DK-691-XJ</t>
  </si>
  <si>
    <t>DK-890-SG</t>
  </si>
  <si>
    <t>DK-402-NQ</t>
  </si>
  <si>
    <t>DK-174-VV</t>
  </si>
  <si>
    <t>DL-361-AA</t>
  </si>
  <si>
    <t>DK-710-SG</t>
  </si>
  <si>
    <t>DL-954-BZ</t>
  </si>
  <si>
    <t>HUMERY-ROYER</t>
  </si>
  <si>
    <t>Lydie</t>
  </si>
  <si>
    <t>DL-053-CA</t>
  </si>
  <si>
    <t>DL-697-BZ</t>
  </si>
  <si>
    <t>DL-871-BZ</t>
  </si>
  <si>
    <t>DL-479-GA</t>
  </si>
  <si>
    <t>DL-137-GA</t>
  </si>
  <si>
    <t>DL-353-LE</t>
  </si>
  <si>
    <t>DL-012-LF</t>
  </si>
  <si>
    <t>DL-333-PB</t>
  </si>
  <si>
    <t>DL-316-LD</t>
  </si>
  <si>
    <t>DL-781-EP</t>
  </si>
  <si>
    <t>DL-991-SA</t>
  </si>
  <si>
    <t>DL-130-KL</t>
  </si>
  <si>
    <t>DL-277-LF</t>
  </si>
  <si>
    <t>DL-798-ZH</t>
  </si>
  <si>
    <t>DL-545-LF</t>
  </si>
  <si>
    <t>DL-346-LD</t>
  </si>
  <si>
    <t>Cooper D 116ch 3 portes</t>
  </si>
  <si>
    <t>DEUBRAS</t>
  </si>
  <si>
    <t>DM-381-DD</t>
  </si>
  <si>
    <t>DM-461-PQ</t>
  </si>
  <si>
    <t>DM-710-DD</t>
  </si>
  <si>
    <t>DM-939-DD</t>
  </si>
  <si>
    <t>DM-918-WT</t>
  </si>
  <si>
    <t>DM-896-WT</t>
  </si>
  <si>
    <t>ANNULEE</t>
  </si>
  <si>
    <t>DM-736-WT</t>
  </si>
  <si>
    <t>DM-035-WV</t>
  </si>
  <si>
    <t>DM-750-WT</t>
  </si>
  <si>
    <t>DM-780-YY</t>
  </si>
  <si>
    <t>DM-993-WT</t>
  </si>
  <si>
    <t>DM-718-ZK</t>
  </si>
  <si>
    <t>JOUSSERAND</t>
  </si>
  <si>
    <t>DM-970-WT</t>
  </si>
  <si>
    <t>DM-938-WT</t>
  </si>
  <si>
    <t>DM-966-WT</t>
  </si>
  <si>
    <t>vP</t>
  </si>
  <si>
    <t>Jordan</t>
  </si>
  <si>
    <t>ESQUIER</t>
  </si>
  <si>
    <t>DURAND</t>
  </si>
  <si>
    <t>Jean-Sébastien</t>
  </si>
  <si>
    <t xml:space="preserve">Cooper D 116ch 5p </t>
  </si>
  <si>
    <t xml:space="preserve">Cooper D 116ch </t>
  </si>
  <si>
    <t>Magali</t>
  </si>
  <si>
    <t>x</t>
  </si>
  <si>
    <t>Laura</t>
  </si>
  <si>
    <t>MENNI</t>
  </si>
  <si>
    <t>Saida</t>
  </si>
  <si>
    <t>MINI Cooper D 116 ch 5 portes</t>
  </si>
  <si>
    <t>chili</t>
  </si>
  <si>
    <t>exquisite</t>
  </si>
  <si>
    <t xml:space="preserve">Mini Cooper SD 5p 170ch </t>
  </si>
  <si>
    <t>Red Hot Chili</t>
  </si>
  <si>
    <t>Chili</t>
  </si>
  <si>
    <t>JCW 231ch</t>
  </si>
  <si>
    <t>Exclusive</t>
  </si>
  <si>
    <t>Nicolas</t>
  </si>
  <si>
    <t>Alison</t>
  </si>
  <si>
    <t xml:space="preserve">Mini One D Clubman 116 ch </t>
  </si>
  <si>
    <t>DAYAS</t>
  </si>
  <si>
    <t>Joseph</t>
  </si>
  <si>
    <t>X</t>
  </si>
  <si>
    <t>116d 5 p Lounge</t>
  </si>
  <si>
    <t>EC-060-JG</t>
  </si>
  <si>
    <t>Exquisite II</t>
  </si>
  <si>
    <t>2E00293</t>
  </si>
  <si>
    <t>Mini Cooper SD Countryman ALL4 143ch 5p</t>
  </si>
  <si>
    <t>déjà compté en VF</t>
  </si>
  <si>
    <t>nbr de mois régul</t>
  </si>
  <si>
    <t>81 pers</t>
  </si>
  <si>
    <t>moy mois</t>
  </si>
  <si>
    <t>HANGARD</t>
  </si>
  <si>
    <t>Chili+</t>
  </si>
  <si>
    <t>Cédric</t>
  </si>
  <si>
    <t>Siham</t>
  </si>
  <si>
    <t>Olympia</t>
  </si>
  <si>
    <t>COMMANDE ANNULEE</t>
  </si>
  <si>
    <t>Cooper D Cabrio 116ch</t>
  </si>
  <si>
    <t>Chili II</t>
  </si>
  <si>
    <t>loyer à partir d'Aout</t>
  </si>
  <si>
    <t>loyer prorata juillet</t>
  </si>
  <si>
    <t>CO² V7</t>
  </si>
  <si>
    <t>CV P6</t>
  </si>
  <si>
    <t>Carrosserie J3</t>
  </si>
  <si>
    <t>MOIS</t>
  </si>
  <si>
    <t>Loyer mensuel</t>
  </si>
  <si>
    <t>Loyer journalier</t>
  </si>
  <si>
    <t>Prorata Début/Fin</t>
  </si>
  <si>
    <t>ROSSMARK / MEHALA</t>
  </si>
  <si>
    <t>Carburant</t>
  </si>
  <si>
    <t>Nb jours proratés</t>
  </si>
  <si>
    <t>Matr.</t>
  </si>
  <si>
    <t xml:space="preserve"> &lt; Dates Livraisons</t>
  </si>
  <si>
    <t>Paies de :</t>
  </si>
  <si>
    <t>Dates Livraisons :</t>
  </si>
  <si>
    <t>Diesel</t>
  </si>
  <si>
    <t>Essence</t>
  </si>
  <si>
    <t>Régul.</t>
  </si>
  <si>
    <t>Commentaire1</t>
  </si>
  <si>
    <t>Commentaire2</t>
  </si>
  <si>
    <t xml:space="preserve"> &lt; Mois de Paie</t>
  </si>
  <si>
    <t>Carine</t>
  </si>
  <si>
    <t>Prix véhicule (-option gratuite)</t>
  </si>
  <si>
    <t>Fin</t>
  </si>
  <si>
    <t>Montant options</t>
  </si>
  <si>
    <t>Options gratuites</t>
  </si>
  <si>
    <t>Colonne supplémentaire options A RENSEIGNER</t>
  </si>
  <si>
    <t>MOIS DE CHANGEMENT</t>
  </si>
  <si>
    <t>MONTANT AEN A PASSER EN PAIE</t>
  </si>
  <si>
    <t>TOTAL</t>
  </si>
  <si>
    <t>Date fictive (NE PAS TOUCHER)</t>
  </si>
  <si>
    <t>Nb jours proratés DEBUT</t>
  </si>
  <si>
    <t>Prorata Loyer DEBUT</t>
  </si>
  <si>
    <t>Nb jours proratés FIN</t>
  </si>
  <si>
    <t>Prorata Loyer FIN</t>
  </si>
  <si>
    <t>Loyer / Jour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</si>
  <si>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</si>
  <si>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</si>
  <si>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</si>
  <si>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</si>
  <si>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</si>
  <si>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</si>
  <si>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</si>
  <si>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</si>
  <si>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</si>
  <si>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</si>
  <si>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TTTT</t>
  </si>
  <si>
    <t>VVVV</t>
  </si>
  <si>
    <t>ZZZZ</t>
  </si>
  <si>
    <t>XXXX</t>
  </si>
  <si>
    <t>BILOU</t>
  </si>
  <si>
    <t>CHICHI</t>
  </si>
  <si>
    <t>Pierre</t>
  </si>
  <si>
    <t>QUILLET</t>
  </si>
  <si>
    <t>RAPAT</t>
  </si>
  <si>
    <t>LITIS</t>
  </si>
  <si>
    <t>PERREIRA</t>
  </si>
  <si>
    <t>THOMMY</t>
  </si>
  <si>
    <t>DARNEL</t>
  </si>
  <si>
    <t>PATY</t>
  </si>
  <si>
    <t>FRENCH</t>
  </si>
  <si>
    <t>Phil</t>
  </si>
  <si>
    <t>Jean</t>
  </si>
  <si>
    <t>Roger</t>
  </si>
  <si>
    <t>Loyer</t>
  </si>
  <si>
    <t>Loyer soda / facture BMW 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</si>
</sst>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6" formatCode="#,##0\ &quot;€&quot;;[Red]\-#,##0\ &quot;€&quot;"/>
    <numFmt numFmtId="8" formatCode="#,##0.00\ &quot;€&quot;;[Red]\-#,##0.00\ &quot;€&quot;"/>
    <numFmt numFmtId="164" formatCode="#,##0.00\ &quot;€&quot;"/>
    <numFmt numFmtId="165" formatCode="#,##0\ &quot;€&quot;"/>
    <numFmt numFmtId="166" formatCode="mmmm\-yy"/>
    <numFmt numFmtId="167" formatCode="mmm"/>
    <numFmt numFmtId="168" formatCode="yyyy"/>
    <numFmt numFmtId="169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name val="Calibri"/>
      <family val="2"/>
      <scheme val="minor"/>
    </font>
    <font>
      <b/>
      <sz val="1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FF0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286">
    <xf numFmtId="0" fontId="0" fillId="0" borderId="0" xfId="0"/>
    <xf numFmtId="164" fontId="0" fillId="0" borderId="0" xfId="0" applyNumberFormat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vertical="center"/>
    </xf>
    <xf numFmtId="164" fontId="1" fillId="0" borderId="1" xfId="0" applyNumberFormat="1" applyFont="1" applyBorder="1" applyAlignment="1">
      <alignment vertical="center"/>
    </xf>
    <xf numFmtId="164" fontId="1" fillId="0" borderId="7" xfId="0" applyNumberFormat="1" applyFont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vertical="center"/>
    </xf>
    <xf numFmtId="164" fontId="1" fillId="2" borderId="1" xfId="0" applyNumberFormat="1" applyFont="1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14" fontId="0" fillId="2" borderId="7" xfId="0" applyNumberFormat="1" applyFill="1" applyBorder="1" applyAlignment="1">
      <alignment vertical="center"/>
    </xf>
    <xf numFmtId="164" fontId="1" fillId="2" borderId="7" xfId="0" applyNumberFormat="1" applyFont="1" applyFill="1" applyBorder="1" applyAlignment="1">
      <alignment vertical="center"/>
    </xf>
    <xf numFmtId="164" fontId="0" fillId="2" borderId="7" xfId="0" applyNumberFormat="1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8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0" borderId="6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4" fontId="0" fillId="0" borderId="7" xfId="0" applyNumberFormat="1" applyFill="1" applyBorder="1" applyAlignment="1">
      <alignment vertical="center"/>
    </xf>
    <xf numFmtId="164" fontId="0" fillId="2" borderId="1" xfId="0" applyNumberFormat="1" applyFill="1" applyBorder="1" applyAlignment="1">
      <alignment vertical="center"/>
    </xf>
    <xf numFmtId="164" fontId="1" fillId="0" borderId="7" xfId="0" applyNumberFormat="1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164" fontId="1" fillId="0" borderId="1" xfId="0" applyNumberFormat="1" applyFont="1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2" borderId="4" xfId="0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7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14" fontId="0" fillId="3" borderId="7" xfId="0" applyNumberFormat="1" applyFill="1" applyBorder="1" applyAlignment="1">
      <alignment vertical="center"/>
    </xf>
    <xf numFmtId="164" fontId="1" fillId="3" borderId="7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14" fontId="0" fillId="0" borderId="7" xfId="0" applyNumberFormat="1" applyFill="1" applyBorder="1"/>
    <xf numFmtId="164" fontId="0" fillId="0" borderId="7" xfId="0" applyNumberFormat="1" applyFill="1" applyBorder="1"/>
    <xf numFmtId="14" fontId="0" fillId="0" borderId="1" xfId="0" applyNumberFormat="1" applyFill="1" applyBorder="1"/>
    <xf numFmtId="164" fontId="0" fillId="0" borderId="1" xfId="0" applyNumberFormat="1" applyFill="1" applyBorder="1"/>
    <xf numFmtId="0" fontId="0" fillId="6" borderId="6" xfId="0" applyFill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6" borderId="7" xfId="0" applyFill="1" applyBorder="1" applyAlignment="1">
      <alignment horizontal="center" vertical="center"/>
    </xf>
    <xf numFmtId="14" fontId="0" fillId="6" borderId="7" xfId="0" applyNumberFormat="1" applyFill="1" applyBorder="1" applyAlignment="1">
      <alignment vertical="center"/>
    </xf>
    <xf numFmtId="164" fontId="0" fillId="6" borderId="7" xfId="0" applyNumberFormat="1" applyFill="1" applyBorder="1" applyAlignment="1">
      <alignment vertical="center"/>
    </xf>
    <xf numFmtId="164" fontId="1" fillId="6" borderId="7" xfId="0" applyNumberFormat="1" applyFont="1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0" fillId="6" borderId="1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0" borderId="7" xfId="0" applyBorder="1" applyAlignment="1">
      <alignment horizontal="center"/>
    </xf>
    <xf numFmtId="14" fontId="0" fillId="6" borderId="1" xfId="0" applyNumberFormat="1" applyFill="1" applyBorder="1" applyAlignment="1">
      <alignment vertical="center"/>
    </xf>
    <xf numFmtId="14" fontId="0" fillId="0" borderId="7" xfId="0" applyNumberFormat="1" applyBorder="1"/>
    <xf numFmtId="164" fontId="1" fillId="6" borderId="1" xfId="0" applyNumberFormat="1" applyFont="1" applyFill="1" applyBorder="1" applyAlignment="1">
      <alignment vertical="center"/>
    </xf>
    <xf numFmtId="164" fontId="0" fillId="6" borderId="1" xfId="0" applyNumberFormat="1" applyFill="1" applyBorder="1" applyAlignment="1">
      <alignment vertical="center"/>
    </xf>
    <xf numFmtId="164" fontId="0" fillId="0" borderId="7" xfId="0" applyNumberFormat="1" applyBorder="1"/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/>
    <xf numFmtId="164" fontId="0" fillId="3" borderId="1" xfId="0" applyNumberFormat="1" applyFill="1" applyBorder="1"/>
    <xf numFmtId="164" fontId="0" fillId="0" borderId="1" xfId="0" applyNumberFormat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vertical="center"/>
    </xf>
    <xf numFmtId="164" fontId="1" fillId="3" borderId="1" xfId="0" applyNumberFormat="1" applyFont="1" applyFill="1" applyBorder="1" applyAlignment="1">
      <alignment vertical="center"/>
    </xf>
    <xf numFmtId="0" fontId="3" fillId="3" borderId="4" xfId="0" applyFont="1" applyFill="1" applyBorder="1" applyAlignment="1">
      <alignment vertical="center"/>
    </xf>
    <xf numFmtId="0" fontId="0" fillId="3" borderId="7" xfId="0" applyFill="1" applyBorder="1" applyAlignment="1">
      <alignment horizontal="center"/>
    </xf>
    <xf numFmtId="14" fontId="0" fillId="3" borderId="7" xfId="0" applyNumberFormat="1" applyFill="1" applyBorder="1"/>
    <xf numFmtId="164" fontId="0" fillId="3" borderId="7" xfId="0" applyNumberFormat="1" applyFill="1" applyBorder="1"/>
    <xf numFmtId="0" fontId="4" fillId="6" borderId="4" xfId="0" applyFont="1" applyFill="1" applyBorder="1" applyAlignment="1">
      <alignment vertical="center"/>
    </xf>
    <xf numFmtId="0" fontId="4" fillId="6" borderId="1" xfId="0" applyFont="1" applyFill="1" applyBorder="1" applyAlignment="1">
      <alignment vertical="center"/>
    </xf>
    <xf numFmtId="0" fontId="4" fillId="6" borderId="1" xfId="0" applyFont="1" applyFill="1" applyBorder="1" applyAlignment="1">
      <alignment horizontal="center"/>
    </xf>
    <xf numFmtId="14" fontId="4" fillId="6" borderId="1" xfId="0" applyNumberFormat="1" applyFont="1" applyFill="1" applyBorder="1"/>
    <xf numFmtId="164" fontId="4" fillId="6" borderId="1" xfId="0" applyNumberFormat="1" applyFont="1" applyFill="1" applyBorder="1"/>
    <xf numFmtId="0" fontId="3" fillId="0" borderId="6" xfId="0" applyFont="1" applyFill="1" applyBorder="1" applyAlignment="1">
      <alignment vertical="center"/>
    </xf>
    <xf numFmtId="14" fontId="0" fillId="7" borderId="7" xfId="0" applyNumberFormat="1" applyFill="1" applyBorder="1" applyAlignment="1">
      <alignment vertical="center"/>
    </xf>
    <xf numFmtId="164" fontId="0" fillId="3" borderId="1" xfId="0" applyNumberFormat="1" applyFill="1" applyBorder="1" applyAlignment="1">
      <alignment vertical="center"/>
    </xf>
    <xf numFmtId="0" fontId="0" fillId="6" borderId="2" xfId="0" applyFill="1" applyBorder="1" applyAlignment="1">
      <alignment vertical="center"/>
    </xf>
    <xf numFmtId="0" fontId="0" fillId="6" borderId="3" xfId="0" applyFill="1" applyBorder="1" applyAlignment="1">
      <alignment vertical="center"/>
    </xf>
    <xf numFmtId="0" fontId="0" fillId="6" borderId="7" xfId="0" applyFill="1" applyBorder="1" applyAlignment="1">
      <alignment horizontal="center"/>
    </xf>
    <xf numFmtId="14" fontId="0" fillId="6" borderId="7" xfId="0" applyNumberFormat="1" applyFill="1" applyBorder="1"/>
    <xf numFmtId="164" fontId="0" fillId="6" borderId="7" xfId="0" applyNumberFormat="1" applyFill="1" applyBorder="1"/>
    <xf numFmtId="14" fontId="4" fillId="6" borderId="1" xfId="0" applyNumberFormat="1" applyFont="1" applyFill="1" applyBorder="1" applyAlignment="1">
      <alignment vertical="center"/>
    </xf>
    <xf numFmtId="49" fontId="0" fillId="0" borderId="1" xfId="0" applyNumberFormat="1" applyBorder="1" applyAlignment="1">
      <alignment horizontal="center"/>
    </xf>
    <xf numFmtId="0" fontId="3" fillId="2" borderId="6" xfId="0" applyFont="1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6" borderId="3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4" fontId="0" fillId="6" borderId="3" xfId="0" applyNumberFormat="1" applyFill="1" applyBorder="1" applyAlignment="1">
      <alignment vertical="center"/>
    </xf>
    <xf numFmtId="14" fontId="0" fillId="2" borderId="12" xfId="0" applyNumberFormat="1" applyFill="1" applyBorder="1" applyAlignment="1">
      <alignment vertical="center"/>
    </xf>
    <xf numFmtId="14" fontId="0" fillId="2" borderId="9" xfId="0" applyNumberFormat="1" applyFill="1" applyBorder="1" applyAlignment="1">
      <alignment vertical="center"/>
    </xf>
    <xf numFmtId="164" fontId="0" fillId="3" borderId="7" xfId="0" applyNumberFormat="1" applyFill="1" applyBorder="1" applyAlignment="1">
      <alignment vertical="center"/>
    </xf>
    <xf numFmtId="164" fontId="1" fillId="6" borderId="3" xfId="0" applyNumberFormat="1" applyFont="1" applyFill="1" applyBorder="1" applyAlignment="1">
      <alignment vertical="center"/>
    </xf>
    <xf numFmtId="164" fontId="1" fillId="2" borderId="9" xfId="0" applyNumberFormat="1" applyFont="1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0" fontId="0" fillId="6" borderId="0" xfId="0" applyFill="1" applyBorder="1" applyAlignment="1">
      <alignment horizontal="center"/>
    </xf>
    <xf numFmtId="0" fontId="4" fillId="6" borderId="1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14" fontId="0" fillId="6" borderId="0" xfId="0" applyNumberFormat="1" applyFill="1" applyBorder="1"/>
    <xf numFmtId="14" fontId="0" fillId="0" borderId="14" xfId="0" applyNumberFormat="1" applyFill="1" applyBorder="1" applyAlignment="1">
      <alignment vertical="center"/>
    </xf>
    <xf numFmtId="164" fontId="0" fillId="6" borderId="0" xfId="0" applyNumberFormat="1" applyFill="1" applyBorder="1"/>
    <xf numFmtId="164" fontId="1" fillId="2" borderId="12" xfId="0" applyNumberFormat="1" applyFont="1" applyFill="1" applyBorder="1" applyAlignment="1">
      <alignment vertical="center"/>
    </xf>
    <xf numFmtId="164" fontId="4" fillId="6" borderId="1" xfId="0" applyNumberFormat="1" applyFont="1" applyFill="1" applyBorder="1" applyAlignment="1">
      <alignment vertical="center"/>
    </xf>
    <xf numFmtId="164" fontId="1" fillId="0" borderId="14" xfId="0" applyNumberFormat="1" applyFont="1" applyFill="1" applyBorder="1" applyAlignment="1">
      <alignment vertical="center"/>
    </xf>
    <xf numFmtId="0" fontId="0" fillId="7" borderId="0" xfId="0" applyFill="1"/>
    <xf numFmtId="14" fontId="0" fillId="7" borderId="0" xfId="0" applyNumberFormat="1" applyFill="1" applyBorder="1"/>
    <xf numFmtId="14" fontId="0" fillId="7" borderId="3" xfId="0" applyNumberFormat="1" applyFill="1" applyBorder="1" applyAlignment="1">
      <alignment vertical="center"/>
    </xf>
    <xf numFmtId="14" fontId="0" fillId="7" borderId="1" xfId="0" applyNumberFormat="1" applyFill="1" applyBorder="1" applyAlignment="1">
      <alignment vertical="center"/>
    </xf>
    <xf numFmtId="14" fontId="0" fillId="7" borderId="1" xfId="0" applyNumberFormat="1" applyFill="1" applyBorder="1"/>
    <xf numFmtId="14" fontId="4" fillId="7" borderId="1" xfId="0" applyNumberFormat="1" applyFont="1" applyFill="1" applyBorder="1"/>
    <xf numFmtId="14" fontId="0" fillId="7" borderId="7" xfId="0" applyNumberFormat="1" applyFill="1" applyBorder="1"/>
    <xf numFmtId="14" fontId="0" fillId="7" borderId="14" xfId="0" applyNumberFormat="1" applyFill="1" applyBorder="1" applyAlignment="1">
      <alignment vertical="center"/>
    </xf>
    <xf numFmtId="14" fontId="4" fillId="7" borderId="1" xfId="0" applyNumberFormat="1" applyFont="1" applyFill="1" applyBorder="1" applyAlignment="1">
      <alignment vertical="center"/>
    </xf>
    <xf numFmtId="14" fontId="0" fillId="7" borderId="12" xfId="0" applyNumberFormat="1" applyFill="1" applyBorder="1" applyAlignment="1">
      <alignment vertical="center"/>
    </xf>
    <xf numFmtId="14" fontId="0" fillId="7" borderId="9" xfId="0" applyNumberFormat="1" applyFill="1" applyBorder="1" applyAlignment="1">
      <alignment vertical="center"/>
    </xf>
    <xf numFmtId="0" fontId="0" fillId="7" borderId="1" xfId="0" applyFill="1" applyBorder="1"/>
    <xf numFmtId="49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2" fontId="0" fillId="0" borderId="1" xfId="0" applyNumberFormat="1" applyBorder="1"/>
    <xf numFmtId="0" fontId="4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10" borderId="1" xfId="0" applyNumberFormat="1" applyFont="1" applyFill="1" applyBorder="1" applyAlignment="1">
      <alignment horizontal="center" vertical="center" wrapText="1"/>
    </xf>
    <xf numFmtId="0" fontId="1" fillId="14" borderId="1" xfId="0" applyNumberFormat="1" applyFont="1" applyFill="1" applyBorder="1" applyAlignment="1">
      <alignment horizontal="center" vertical="center" wrapText="1"/>
    </xf>
    <xf numFmtId="164" fontId="1" fillId="11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4" fillId="6" borderId="15" xfId="0" applyFont="1" applyFill="1" applyBorder="1" applyAlignment="1">
      <alignment horizontal="center" vertical="center"/>
    </xf>
    <xf numFmtId="14" fontId="4" fillId="0" borderId="15" xfId="0" applyNumberFormat="1" applyFont="1" applyFill="1" applyBorder="1" applyAlignment="1">
      <alignment horizontal="center" vertical="center"/>
    </xf>
    <xf numFmtId="0" fontId="4" fillId="0" borderId="15" xfId="0" applyNumberFormat="1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11" fontId="4" fillId="0" borderId="15" xfId="0" applyNumberFormat="1" applyFont="1" applyFill="1" applyBorder="1" applyAlignment="1">
      <alignment horizontal="center" vertical="center"/>
    </xf>
    <xf numFmtId="3" fontId="4" fillId="0" borderId="15" xfId="0" applyNumberFormat="1" applyFont="1" applyFill="1" applyBorder="1" applyAlignment="1">
      <alignment horizontal="center" vertical="center"/>
    </xf>
    <xf numFmtId="0" fontId="4" fillId="6" borderId="15" xfId="0" applyNumberFormat="1" applyFont="1" applyFill="1" applyBorder="1" applyAlignment="1">
      <alignment horizontal="center" vertical="center"/>
    </xf>
    <xf numFmtId="6" fontId="4" fillId="6" borderId="0" xfId="0" applyNumberFormat="1" applyFont="1" applyFill="1" applyAlignment="1">
      <alignment horizontal="center" vertical="center"/>
    </xf>
    <xf numFmtId="6" fontId="4" fillId="0" borderId="15" xfId="0" applyNumberFormat="1" applyFont="1" applyFill="1" applyBorder="1" applyAlignment="1">
      <alignment horizontal="center" vertical="center"/>
    </xf>
    <xf numFmtId="6" fontId="4" fillId="0" borderId="15" xfId="0" applyNumberFormat="1" applyFont="1" applyFill="1" applyBorder="1" applyAlignment="1">
      <alignment horizontal="center" vertical="center" wrapText="1"/>
    </xf>
    <xf numFmtId="164" fontId="4" fillId="0" borderId="15" xfId="0" applyNumberFormat="1" applyFont="1" applyFill="1" applyBorder="1" applyAlignment="1">
      <alignment horizontal="center" vertical="center"/>
    </xf>
    <xf numFmtId="6" fontId="4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14" fontId="0" fillId="11" borderId="1" xfId="0" applyNumberFormat="1" applyFont="1" applyFill="1" applyBorder="1" applyAlignment="1">
      <alignment horizontal="center" vertical="center"/>
    </xf>
    <xf numFmtId="14" fontId="0" fillId="12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1" fillId="15" borderId="6" xfId="0" applyNumberFormat="1" applyFont="1" applyFill="1" applyBorder="1" applyAlignment="1">
      <alignment horizontal="center" vertical="center" wrapText="1"/>
    </xf>
    <xf numFmtId="0" fontId="1" fillId="15" borderId="6" xfId="0" applyFont="1" applyFill="1" applyBorder="1" applyAlignment="1">
      <alignment horizontal="center" vertical="center" wrapText="1"/>
    </xf>
    <xf numFmtId="0" fontId="1" fillId="15" borderId="7" xfId="0" applyFont="1" applyFill="1" applyBorder="1" applyAlignment="1">
      <alignment horizontal="center" vertical="center" wrapText="1"/>
    </xf>
    <xf numFmtId="14" fontId="1" fillId="15" borderId="7" xfId="0" applyNumberFormat="1" applyFont="1" applyFill="1" applyBorder="1" applyAlignment="1">
      <alignment horizontal="center" vertical="center" wrapText="1"/>
    </xf>
    <xf numFmtId="0" fontId="1" fillId="15" borderId="5" xfId="0" applyNumberFormat="1" applyFont="1" applyFill="1" applyBorder="1" applyAlignment="1">
      <alignment horizontal="center" vertical="center" wrapText="1"/>
    </xf>
    <xf numFmtId="164" fontId="1" fillId="15" borderId="7" xfId="0" applyNumberFormat="1" applyFont="1" applyFill="1" applyBorder="1" applyAlignment="1">
      <alignment horizontal="center" vertical="center" wrapText="1"/>
    </xf>
    <xf numFmtId="164" fontId="1" fillId="15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6" fontId="4" fillId="13" borderId="0" xfId="0" applyNumberFormat="1" applyFont="1" applyFill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14" fontId="5" fillId="10" borderId="15" xfId="0" applyNumberFormat="1" applyFont="1" applyFill="1" applyBorder="1" applyAlignment="1">
      <alignment horizontal="center" vertical="center" wrapText="1"/>
    </xf>
    <xf numFmtId="166" fontId="5" fillId="0" borderId="15" xfId="0" applyNumberFormat="1" applyFont="1" applyFill="1" applyBorder="1" applyAlignment="1">
      <alignment horizontal="center" vertical="center" wrapText="1"/>
    </xf>
    <xf numFmtId="14" fontId="5" fillId="0" borderId="15" xfId="0" applyNumberFormat="1" applyFont="1" applyBorder="1" applyAlignment="1">
      <alignment horizontal="center" vertical="center" wrapText="1"/>
    </xf>
    <xf numFmtId="0" fontId="5" fillId="15" borderId="15" xfId="0" applyNumberFormat="1" applyFont="1" applyFill="1" applyBorder="1" applyAlignment="1">
      <alignment horizontal="center" vertical="center" wrapText="1"/>
    </xf>
    <xf numFmtId="0" fontId="5" fillId="15" borderId="15" xfId="0" applyFont="1" applyFill="1" applyBorder="1" applyAlignment="1">
      <alignment horizontal="center" vertical="center" wrapText="1"/>
    </xf>
    <xf numFmtId="14" fontId="5" fillId="15" borderId="15" xfId="0" applyNumberFormat="1" applyFont="1" applyFill="1" applyBorder="1" applyAlignment="1">
      <alignment horizontal="center" vertical="center" wrapText="1"/>
    </xf>
    <xf numFmtId="164" fontId="5" fillId="15" borderId="15" xfId="0" applyNumberFormat="1" applyFont="1" applyFill="1" applyBorder="1" applyAlignment="1">
      <alignment horizontal="center" vertical="center" wrapText="1"/>
    </xf>
    <xf numFmtId="164" fontId="5" fillId="0" borderId="15" xfId="0" applyNumberFormat="1" applyFont="1" applyBorder="1" applyAlignment="1">
      <alignment horizontal="center" vertical="center" wrapText="1"/>
    </xf>
    <xf numFmtId="3" fontId="5" fillId="0" borderId="15" xfId="0" applyNumberFormat="1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8" borderId="15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5" xfId="0" applyNumberFormat="1" applyFont="1" applyBorder="1" applyAlignment="1">
      <alignment horizontal="center" vertical="center"/>
    </xf>
    <xf numFmtId="6" fontId="4" fillId="0" borderId="0" xfId="0" applyNumberFormat="1" applyFont="1" applyAlignment="1">
      <alignment horizontal="center" vertical="center"/>
    </xf>
    <xf numFmtId="6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center"/>
    </xf>
    <xf numFmtId="165" fontId="4" fillId="0" borderId="15" xfId="0" applyNumberFormat="1" applyFont="1" applyFill="1" applyBorder="1" applyAlignment="1">
      <alignment horizontal="center" vertical="center"/>
    </xf>
    <xf numFmtId="0" fontId="4" fillId="2" borderId="15" xfId="0" applyNumberFormat="1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 wrapText="1"/>
    </xf>
    <xf numFmtId="0" fontId="4" fillId="7" borderId="15" xfId="0" applyNumberFormat="1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5" fillId="7" borderId="15" xfId="0" applyFont="1" applyFill="1" applyBorder="1" applyAlignment="1">
      <alignment horizontal="center" vertical="center"/>
    </xf>
    <xf numFmtId="0" fontId="4" fillId="4" borderId="15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166" fontId="4" fillId="0" borderId="0" xfId="0" applyNumberFormat="1" applyFont="1" applyFill="1" applyAlignment="1">
      <alignment horizontal="center" vertical="center"/>
    </xf>
    <xf numFmtId="164" fontId="4" fillId="9" borderId="1" xfId="0" applyNumberFormat="1" applyFont="1" applyFill="1" applyBorder="1" applyAlignment="1">
      <alignment horizontal="center" vertical="center" wrapText="1"/>
    </xf>
    <xf numFmtId="0" fontId="4" fillId="9" borderId="1" xfId="0" applyNumberFormat="1" applyFont="1" applyFill="1" applyBorder="1" applyAlignment="1">
      <alignment horizontal="center" vertical="center" wrapText="1"/>
    </xf>
    <xf numFmtId="164" fontId="7" fillId="1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9" borderId="1" xfId="0" applyFont="1" applyFill="1" applyBorder="1" applyAlignment="1">
      <alignment horizontal="center" vertical="center"/>
    </xf>
    <xf numFmtId="0" fontId="6" fillId="9" borderId="0" xfId="0" applyFont="1" applyFill="1" applyAlignment="1">
      <alignment horizontal="center" vertical="center" wrapText="1"/>
    </xf>
    <xf numFmtId="14" fontId="5" fillId="15" borderId="16" xfId="0" applyNumberFormat="1" applyFont="1" applyFill="1" applyBorder="1" applyAlignment="1">
      <alignment horizontal="center" vertical="center" wrapText="1"/>
    </xf>
    <xf numFmtId="10" fontId="4" fillId="13" borderId="1" xfId="0" applyNumberFormat="1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8" fontId="1" fillId="11" borderId="1" xfId="0" applyNumberFormat="1" applyFont="1" applyFill="1" applyBorder="1" applyAlignment="1">
      <alignment horizontal="center" vertical="center"/>
    </xf>
    <xf numFmtId="8" fontId="1" fillId="9" borderId="1" xfId="0" applyNumberFormat="1" applyFont="1" applyFill="1" applyBorder="1" applyAlignment="1">
      <alignment horizontal="center" vertical="center" wrapText="1"/>
    </xf>
    <xf numFmtId="8" fontId="1" fillId="0" borderId="1" xfId="0" applyNumberFormat="1" applyFont="1" applyFill="1" applyBorder="1" applyAlignment="1">
      <alignment horizontal="center" vertical="center"/>
    </xf>
    <xf numFmtId="8" fontId="0" fillId="14" borderId="1" xfId="0" applyNumberFormat="1" applyFont="1" applyFill="1" applyBorder="1" applyAlignment="1">
      <alignment horizontal="center" vertical="center" wrapText="1"/>
    </xf>
    <xf numFmtId="8" fontId="4" fillId="9" borderId="1" xfId="0" applyNumberFormat="1" applyFont="1" applyFill="1" applyBorder="1" applyAlignment="1">
      <alignment horizontal="center" vertical="center" wrapText="1"/>
    </xf>
    <xf numFmtId="8" fontId="4" fillId="13" borderId="1" xfId="0" applyNumberFormat="1" applyFont="1" applyFill="1" applyBorder="1" applyAlignment="1">
      <alignment horizontal="center" vertical="center" wrapText="1"/>
    </xf>
    <xf numFmtId="0" fontId="4" fillId="13" borderId="1" xfId="0" applyNumberFormat="1" applyFont="1" applyFill="1" applyBorder="1" applyAlignment="1">
      <alignment horizontal="center" vertical="center" wrapText="1"/>
    </xf>
    <xf numFmtId="166" fontId="1" fillId="9" borderId="1" xfId="0" applyNumberFormat="1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166" fontId="4" fillId="9" borderId="15" xfId="0" applyNumberFormat="1" applyFont="1" applyFill="1" applyBorder="1" applyAlignment="1">
      <alignment horizontal="center" vertical="center"/>
    </xf>
    <xf numFmtId="166" fontId="4" fillId="4" borderId="0" xfId="0" applyNumberFormat="1" applyFont="1" applyFill="1" applyAlignment="1">
      <alignment horizontal="center" vertical="center"/>
    </xf>
    <xf numFmtId="164" fontId="5" fillId="15" borderId="19" xfId="0" applyNumberFormat="1" applyFont="1" applyFill="1" applyBorder="1" applyAlignment="1">
      <alignment horizontal="center" vertical="center" wrapText="1"/>
    </xf>
    <xf numFmtId="14" fontId="4" fillId="0" borderId="17" xfId="0" applyNumberFormat="1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4" fontId="4" fillId="0" borderId="2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0" fillId="0" borderId="20" xfId="0" applyNumberFormat="1" applyFont="1" applyFill="1" applyBorder="1" applyAlignment="1">
      <alignment horizontal="center"/>
    </xf>
    <xf numFmtId="164" fontId="0" fillId="0" borderId="20" xfId="0" applyNumberFormat="1" applyFont="1" applyFill="1" applyBorder="1" applyAlignment="1">
      <alignment horizontal="center" vertical="center"/>
    </xf>
    <xf numFmtId="164" fontId="4" fillId="0" borderId="18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" fontId="5" fillId="15" borderId="15" xfId="0" applyNumberFormat="1" applyFont="1" applyFill="1" applyBorder="1" applyAlignment="1">
      <alignment horizontal="center" vertical="center" wrapText="1"/>
    </xf>
    <xf numFmtId="1" fontId="4" fillId="0" borderId="15" xfId="0" applyNumberFormat="1" applyFont="1" applyFill="1" applyBorder="1" applyAlignment="1">
      <alignment horizontal="center" vertical="center"/>
    </xf>
    <xf numFmtId="164" fontId="4" fillId="6" borderId="0" xfId="0" applyNumberFormat="1" applyFont="1" applyFill="1" applyAlignment="1">
      <alignment horizontal="center" vertical="center"/>
    </xf>
    <xf numFmtId="0" fontId="5" fillId="16" borderId="15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/>
    </xf>
    <xf numFmtId="0" fontId="5" fillId="14" borderId="1" xfId="0" applyNumberFormat="1" applyFont="1" applyFill="1" applyBorder="1" applyAlignment="1">
      <alignment horizontal="center" vertical="center" wrapText="1"/>
    </xf>
    <xf numFmtId="8" fontId="9" fillId="14" borderId="1" xfId="0" applyNumberFormat="1" applyFont="1" applyFill="1" applyBorder="1" applyAlignment="1">
      <alignment horizontal="center" vertical="center" wrapText="1"/>
    </xf>
    <xf numFmtId="17" fontId="5" fillId="5" borderId="1" xfId="0" applyNumberFormat="1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vertical="center" wrapText="1"/>
    </xf>
    <xf numFmtId="8" fontId="4" fillId="9" borderId="1" xfId="0" applyNumberFormat="1" applyFont="1" applyFill="1" applyBorder="1" applyAlignment="1">
      <alignment horizontal="center" vertical="center"/>
    </xf>
    <xf numFmtId="168" fontId="10" fillId="13" borderId="0" xfId="0" applyNumberFormat="1" applyFont="1" applyFill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/>
    </xf>
    <xf numFmtId="167" fontId="11" fillId="19" borderId="1" xfId="0" applyNumberFormat="1" applyFont="1" applyFill="1" applyBorder="1" applyAlignment="1">
      <alignment horizontal="center" vertical="top" wrapText="1"/>
    </xf>
    <xf numFmtId="164" fontId="5" fillId="4" borderId="7" xfId="0" applyNumberFormat="1" applyFont="1" applyFill="1" applyBorder="1" applyAlignment="1">
      <alignment horizontal="center" vertical="center" wrapText="1"/>
    </xf>
    <xf numFmtId="169" fontId="4" fillId="9" borderId="1" xfId="0" applyNumberFormat="1" applyFont="1" applyFill="1" applyBorder="1" applyAlignment="1">
      <alignment horizontal="center" vertical="center"/>
    </xf>
    <xf numFmtId="8" fontId="1" fillId="21" borderId="1" xfId="0" applyNumberFormat="1" applyFont="1" applyFill="1" applyBorder="1" applyAlignment="1">
      <alignment horizontal="center" vertical="center" wrapText="1"/>
    </xf>
    <xf numFmtId="8" fontId="0" fillId="21" borderId="1" xfId="0" applyNumberFormat="1" applyFont="1" applyFill="1" applyBorder="1" applyAlignment="1">
      <alignment horizontal="center" vertical="center" wrapText="1"/>
    </xf>
    <xf numFmtId="164" fontId="4" fillId="21" borderId="1" xfId="0" applyNumberFormat="1" applyFont="1" applyFill="1" applyBorder="1" applyAlignment="1">
      <alignment horizontal="center" vertical="center" wrapText="1"/>
    </xf>
    <xf numFmtId="8" fontId="4" fillId="21" borderId="1" xfId="0" applyNumberFormat="1" applyFont="1" applyFill="1" applyBorder="1" applyAlignment="1">
      <alignment horizontal="center" vertical="center" wrapText="1"/>
    </xf>
    <xf numFmtId="169" fontId="4" fillId="21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 wrapText="1"/>
    </xf>
    <xf numFmtId="1" fontId="1" fillId="14" borderId="1" xfId="0" applyNumberFormat="1" applyFont="1" applyFill="1" applyBorder="1" applyAlignment="1">
      <alignment horizontal="center" vertical="center" wrapText="1"/>
    </xf>
    <xf numFmtId="1" fontId="1" fillId="21" borderId="1" xfId="0" applyNumberFormat="1" applyFont="1" applyFill="1" applyBorder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/>
    </xf>
    <xf numFmtId="8" fontId="4" fillId="0" borderId="0" xfId="0" applyNumberFormat="1" applyFont="1" applyAlignment="1">
      <alignment horizontal="center" vertical="center"/>
    </xf>
    <xf numFmtId="8" fontId="1" fillId="0" borderId="1" xfId="0" applyNumberFormat="1" applyFont="1" applyFill="1" applyBorder="1" applyAlignment="1">
      <alignment horizontal="center" vertical="center" wrapText="1"/>
    </xf>
    <xf numFmtId="0" fontId="4" fillId="21" borderId="0" xfId="0" applyFont="1" applyFill="1" applyAlignment="1">
      <alignment horizontal="center" vertical="center"/>
    </xf>
    <xf numFmtId="0" fontId="4" fillId="21" borderId="1" xfId="0" applyNumberFormat="1" applyFont="1" applyFill="1" applyBorder="1" applyAlignment="1">
      <alignment horizontal="center" vertical="center"/>
    </xf>
    <xf numFmtId="8" fontId="4" fillId="21" borderId="1" xfId="0" applyNumberFormat="1" applyFont="1" applyFill="1" applyBorder="1" applyAlignment="1">
      <alignment horizontal="center" vertical="center"/>
    </xf>
    <xf numFmtId="1" fontId="1" fillId="20" borderId="1" xfId="0" applyNumberFormat="1" applyFont="1" applyFill="1" applyBorder="1" applyAlignment="1">
      <alignment horizontal="center" vertical="center" wrapText="1"/>
    </xf>
    <xf numFmtId="0" fontId="4" fillId="23" borderId="0" xfId="0" applyFont="1" applyFill="1" applyAlignment="1">
      <alignment horizontal="center" vertical="center"/>
    </xf>
    <xf numFmtId="1" fontId="5" fillId="23" borderId="0" xfId="0" applyNumberFormat="1" applyFont="1" applyFill="1" applyAlignment="1">
      <alignment horizontal="center" vertical="center"/>
    </xf>
    <xf numFmtId="8" fontId="4" fillId="23" borderId="0" xfId="0" applyNumberFormat="1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22" borderId="1" xfId="0" applyFont="1" applyFill="1" applyBorder="1" applyAlignment="1">
      <alignment horizontal="center" vertical="center"/>
    </xf>
    <xf numFmtId="0" fontId="4" fillId="22" borderId="15" xfId="0" applyFont="1" applyFill="1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 wrapText="1"/>
    </xf>
    <xf numFmtId="0" fontId="5" fillId="18" borderId="1" xfId="0" applyFont="1" applyFill="1" applyBorder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</font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00FF00"/>
      <color rgb="FFB7DEE8"/>
      <color rgb="FFFF5050"/>
      <color rgb="FF66CCFF"/>
      <color rgb="FFFFFF66"/>
      <color rgb="FF99CC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M60"/>
  <sheetViews>
    <sheetView showZeros="0" workbookViewId="0">
      <pane xSplit="8" ySplit="5" topLeftCell="I18" activePane="bottomRight" state="frozen"/>
      <selection pane="topRight" activeCell="I1" sqref="I1"/>
      <selection pane="bottomLeft" activeCell="A3" sqref="A3"/>
      <selection pane="bottomRight" sqref="A1:XFD1048576"/>
    </sheetView>
  </sheetViews>
  <sheetFormatPr baseColWidth="10" defaultRowHeight="15" x14ac:dyDescent="0.25"/>
  <cols>
    <col min="1" max="1" width="2.5703125" style="175" customWidth="1"/>
    <col min="2" max="2" width="3" style="175" customWidth="1"/>
    <col min="3" max="3" width="4.7109375" style="175" customWidth="1"/>
    <col min="4" max="4" width="6.85546875" style="206" customWidth="1"/>
    <col min="5" max="5" width="11.5703125" style="177" customWidth="1"/>
    <col min="6" max="6" width="5.42578125" style="244" customWidth="1"/>
    <col min="7" max="7" width="14.140625" style="175" customWidth="1"/>
    <col min="8" max="8" width="8.140625" style="175" customWidth="1"/>
    <col min="9" max="15" width="0.85546875" style="175" customWidth="1"/>
    <col min="16" max="16" width="2.140625" style="175" customWidth="1"/>
    <col min="17" max="17" width="8" style="175" customWidth="1"/>
    <col min="18" max="19" width="1.42578125" style="175" customWidth="1"/>
    <col min="20" max="20" width="1.42578125" style="177" customWidth="1"/>
    <col min="21" max="21" width="8.42578125" style="177" customWidth="1"/>
    <col min="22" max="23" width="11.5703125" style="177" customWidth="1"/>
    <col min="24" max="24" width="3" style="178" customWidth="1"/>
    <col min="25" max="25" width="10" style="243" customWidth="1"/>
    <col min="26" max="26" width="1.140625" style="178" customWidth="1"/>
    <col min="27" max="27" width="1.140625" style="179" customWidth="1"/>
    <col min="28" max="30" width="1.140625" style="175" customWidth="1"/>
    <col min="31" max="31" width="3.28515625" style="175" customWidth="1"/>
    <col min="32" max="32" width="9.28515625" style="175" customWidth="1"/>
    <col min="33" max="33" width="9.28515625" style="268" customWidth="1"/>
    <col min="34" max="34" width="9.28515625" style="269" customWidth="1"/>
    <col min="35" max="35" width="9.28515625" style="268" customWidth="1"/>
    <col min="36" max="36" width="9.28515625" style="269" customWidth="1"/>
    <col min="37" max="38" width="9.28515625" style="175" customWidth="1"/>
    <col min="39" max="39" width="1.7109375" style="175" customWidth="1"/>
    <col min="40" max="40" width="9.28515625" style="175" customWidth="1"/>
    <col min="41" max="52" width="3.85546875" style="175" customWidth="1"/>
    <col min="53" max="64" width="9.7109375" style="175" customWidth="1"/>
    <col min="65" max="65" width="10.7109375" style="175" customWidth="1"/>
    <col min="66" max="16384" width="11.42578125" style="175"/>
  </cols>
  <sheetData>
    <row r="1" spans="1:65" ht="23.25" x14ac:dyDescent="0.25">
      <c r="D1" s="255">
        <v>42370</v>
      </c>
      <c r="W1" s="238" t="s">
        <v>439</v>
      </c>
      <c r="X1" s="217">
        <v>8.0000000000000002E-3</v>
      </c>
      <c r="AF1" s="275"/>
      <c r="AG1" s="276"/>
      <c r="AH1" s="277"/>
      <c r="AI1" s="276"/>
      <c r="AJ1" s="277"/>
      <c r="AK1" s="275"/>
      <c r="AL1" s="275"/>
      <c r="AM1" s="275"/>
      <c r="AN1" s="275"/>
      <c r="AO1" s="275"/>
      <c r="AP1" s="275"/>
      <c r="AQ1" s="275"/>
      <c r="AR1" s="275"/>
      <c r="AS1" s="275"/>
      <c r="AT1" s="275"/>
      <c r="AU1" s="275"/>
      <c r="AV1" s="275"/>
      <c r="AW1" s="275"/>
      <c r="AX1" s="275"/>
      <c r="AY1" s="275"/>
      <c r="AZ1" s="275"/>
      <c r="BA1" s="275"/>
      <c r="BB1" s="275"/>
      <c r="BC1" s="275"/>
      <c r="BD1" s="275"/>
      <c r="BE1" s="275"/>
      <c r="BF1" s="275"/>
      <c r="BG1" s="275"/>
      <c r="BH1" s="275"/>
      <c r="BI1" s="275"/>
      <c r="BJ1" s="275"/>
      <c r="BK1" s="275"/>
      <c r="BL1" s="275"/>
    </row>
    <row r="2" spans="1:65" x14ac:dyDescent="0.25">
      <c r="D2" s="176">
        <v>42614</v>
      </c>
      <c r="E2" s="175" t="s">
        <v>436</v>
      </c>
      <c r="H2" s="178"/>
      <c r="I2" s="178"/>
      <c r="J2" s="178"/>
      <c r="K2" s="178"/>
      <c r="L2" s="178"/>
      <c r="M2" s="178"/>
      <c r="N2" s="178"/>
      <c r="O2" s="178"/>
      <c r="P2" s="178"/>
      <c r="Q2" s="178"/>
      <c r="R2" s="178"/>
      <c r="S2" s="178"/>
      <c r="T2" s="178"/>
      <c r="U2" s="178"/>
      <c r="V2" s="178"/>
      <c r="W2" s="239" t="s">
        <v>440</v>
      </c>
      <c r="X2" s="217">
        <v>8.9999999999999993E-3</v>
      </c>
      <c r="AO2" s="281" t="s">
        <v>451</v>
      </c>
      <c r="AP2" s="281"/>
      <c r="AQ2" s="281"/>
      <c r="AR2" s="281"/>
      <c r="AS2" s="281"/>
      <c r="AT2" s="281"/>
      <c r="AU2" s="281"/>
      <c r="AV2" s="281"/>
      <c r="AW2" s="281"/>
      <c r="AX2" s="281"/>
      <c r="AY2" s="281"/>
      <c r="AZ2" s="281"/>
      <c r="BA2" s="282" t="s">
        <v>452</v>
      </c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190"/>
    </row>
    <row r="3" spans="1:65" x14ac:dyDescent="0.25">
      <c r="D3" s="230">
        <f>DATE(YEAR($D$2),MONTH($D$2)+1,1)</f>
        <v>42644</v>
      </c>
      <c r="E3" s="175" t="s">
        <v>444</v>
      </c>
      <c r="G3" s="178"/>
      <c r="H3" s="178"/>
      <c r="I3" s="178"/>
      <c r="J3" s="178"/>
      <c r="K3" s="178"/>
      <c r="L3" s="178"/>
      <c r="M3" s="178"/>
      <c r="N3" s="178"/>
      <c r="P3" s="247" t="s">
        <v>450</v>
      </c>
      <c r="Q3" s="247"/>
      <c r="R3" s="178"/>
      <c r="S3" s="178"/>
      <c r="T3" s="178"/>
      <c r="U3" s="178"/>
      <c r="V3" s="178"/>
      <c r="W3" s="239"/>
      <c r="X3" s="217"/>
      <c r="AO3" s="250">
        <f t="shared" ref="AO3:AZ3" si="0">COUNTIF(AO5:AO5543,"X")</f>
        <v>0</v>
      </c>
      <c r="AP3" s="250">
        <f t="shared" si="0"/>
        <v>1</v>
      </c>
      <c r="AQ3" s="250">
        <f t="shared" si="0"/>
        <v>1</v>
      </c>
      <c r="AR3" s="250">
        <f t="shared" si="0"/>
        <v>0</v>
      </c>
      <c r="AS3" s="250">
        <f t="shared" si="0"/>
        <v>3</v>
      </c>
      <c r="AT3" s="250">
        <f t="shared" si="0"/>
        <v>1</v>
      </c>
      <c r="AU3" s="250">
        <f t="shared" si="0"/>
        <v>2</v>
      </c>
      <c r="AV3" s="250">
        <f t="shared" si="0"/>
        <v>0</v>
      </c>
      <c r="AW3" s="250">
        <f t="shared" si="0"/>
        <v>2</v>
      </c>
      <c r="AX3" s="250">
        <f t="shared" si="0"/>
        <v>2</v>
      </c>
      <c r="AY3" s="250">
        <f t="shared" si="0"/>
        <v>0</v>
      </c>
      <c r="AZ3" s="250">
        <f t="shared" si="0"/>
        <v>0</v>
      </c>
      <c r="BA3" s="251">
        <f t="shared" ref="BA3:BM3" si="1">SUBTOTAL(9,BA5:BA5543)</f>
        <v>2908.8801599999997</v>
      </c>
      <c r="BB3" s="251">
        <f t="shared" si="1"/>
        <v>3977.9921599999998</v>
      </c>
      <c r="BC3" s="251">
        <f t="shared" si="1"/>
        <v>4320.8921599999994</v>
      </c>
      <c r="BD3" s="251">
        <f t="shared" si="1"/>
        <v>4065.8521599999995</v>
      </c>
      <c r="BE3" s="251">
        <f t="shared" si="1"/>
        <v>4223.3719999999994</v>
      </c>
      <c r="BF3" s="251">
        <f t="shared" si="1"/>
        <v>4227.3719999999994</v>
      </c>
      <c r="BG3" s="251">
        <f t="shared" si="1"/>
        <v>3774.9719999999998</v>
      </c>
      <c r="BH3" s="251">
        <f t="shared" si="1"/>
        <v>3774.9719999999998</v>
      </c>
      <c r="BI3" s="251">
        <f t="shared" si="1"/>
        <v>3775.3719999999998</v>
      </c>
      <c r="BJ3" s="251">
        <f t="shared" si="1"/>
        <v>3786.6969999999997</v>
      </c>
      <c r="BK3" s="251">
        <f t="shared" si="1"/>
        <v>3786.6969999999997</v>
      </c>
      <c r="BL3" s="251">
        <f t="shared" si="1"/>
        <v>3786.6969999999997</v>
      </c>
      <c r="BM3" s="251">
        <f t="shared" si="1"/>
        <v>46409.767639999998</v>
      </c>
    </row>
    <row r="4" spans="1:65" s="236" customFormat="1" ht="47.25" customHeight="1" x14ac:dyDescent="0.25">
      <c r="A4" s="189" t="s">
        <v>220</v>
      </c>
      <c r="B4" s="189" t="s">
        <v>447</v>
      </c>
      <c r="C4" s="180" t="s">
        <v>405</v>
      </c>
      <c r="D4" s="181" t="s">
        <v>428</v>
      </c>
      <c r="E4" s="182" t="s">
        <v>9</v>
      </c>
      <c r="F4" s="245" t="s">
        <v>435</v>
      </c>
      <c r="G4" s="184" t="s">
        <v>199</v>
      </c>
      <c r="H4" s="184" t="s">
        <v>0</v>
      </c>
      <c r="I4" s="184" t="s">
        <v>66</v>
      </c>
      <c r="J4" s="184" t="s">
        <v>427</v>
      </c>
      <c r="K4" s="184" t="s">
        <v>63</v>
      </c>
      <c r="L4" s="184" t="s">
        <v>3</v>
      </c>
      <c r="M4" s="184" t="s">
        <v>6</v>
      </c>
      <c r="N4" s="184" t="s">
        <v>7</v>
      </c>
      <c r="O4" s="184" t="s">
        <v>135</v>
      </c>
      <c r="P4" s="248" t="s">
        <v>449</v>
      </c>
      <c r="Q4" s="248" t="s">
        <v>446</v>
      </c>
      <c r="R4" s="184" t="s">
        <v>1</v>
      </c>
      <c r="S4" s="184" t="s">
        <v>29</v>
      </c>
      <c r="T4" s="185" t="s">
        <v>2</v>
      </c>
      <c r="U4" s="183" t="s">
        <v>433</v>
      </c>
      <c r="V4" s="185" t="s">
        <v>8</v>
      </c>
      <c r="W4" s="216" t="s">
        <v>84</v>
      </c>
      <c r="X4" s="231" t="s">
        <v>488</v>
      </c>
      <c r="Y4" s="186" t="s">
        <v>30</v>
      </c>
      <c r="Z4" s="187" t="s">
        <v>137</v>
      </c>
      <c r="AA4" s="188" t="s">
        <v>426</v>
      </c>
      <c r="AB4" s="189" t="s">
        <v>425</v>
      </c>
      <c r="AC4" s="237"/>
      <c r="AD4" s="237" t="s">
        <v>268</v>
      </c>
      <c r="AE4" s="237"/>
      <c r="AF4" s="141" t="s">
        <v>459</v>
      </c>
      <c r="AG4" s="265" t="s">
        <v>455</v>
      </c>
      <c r="AH4" s="270" t="s">
        <v>456</v>
      </c>
      <c r="AI4" s="265" t="s">
        <v>457</v>
      </c>
      <c r="AJ4" s="270" t="s">
        <v>458</v>
      </c>
      <c r="AK4" s="141"/>
      <c r="AL4" s="141" t="s">
        <v>441</v>
      </c>
      <c r="AM4" s="237"/>
      <c r="AN4" s="258" t="s">
        <v>454</v>
      </c>
      <c r="AO4" s="257">
        <f>DATE(YEAR($D$1),1,1)</f>
        <v>42370</v>
      </c>
      <c r="AP4" s="257">
        <f>DATE(YEAR(AO4),MONTH(AO4)+1,1)</f>
        <v>42401</v>
      </c>
      <c r="AQ4" s="257">
        <f t="shared" ref="AQ4:AZ4" si="2">DATE(YEAR(AP4),MONTH(AP4)+1,1)</f>
        <v>42430</v>
      </c>
      <c r="AR4" s="257">
        <f t="shared" si="2"/>
        <v>42461</v>
      </c>
      <c r="AS4" s="257">
        <f t="shared" si="2"/>
        <v>42491</v>
      </c>
      <c r="AT4" s="257">
        <f t="shared" si="2"/>
        <v>42522</v>
      </c>
      <c r="AU4" s="257">
        <f t="shared" si="2"/>
        <v>42552</v>
      </c>
      <c r="AV4" s="257">
        <f t="shared" si="2"/>
        <v>42583</v>
      </c>
      <c r="AW4" s="257">
        <f t="shared" si="2"/>
        <v>42614</v>
      </c>
      <c r="AX4" s="257">
        <f t="shared" si="2"/>
        <v>42644</v>
      </c>
      <c r="AY4" s="257">
        <f t="shared" si="2"/>
        <v>42675</v>
      </c>
      <c r="AZ4" s="257">
        <f t="shared" si="2"/>
        <v>42705</v>
      </c>
      <c r="BA4" s="252">
        <f>DATE(YEAR($D$1),1,1)</f>
        <v>42370</v>
      </c>
      <c r="BB4" s="252">
        <f>DATE(YEAR(AO4),MONTH(AO4)+1,1)</f>
        <v>42401</v>
      </c>
      <c r="BC4" s="252">
        <f t="shared" ref="BC4:BL4" si="3">DATE(YEAR(AP4),MONTH(AP4)+1,1)</f>
        <v>42430</v>
      </c>
      <c r="BD4" s="252">
        <f t="shared" si="3"/>
        <v>42461</v>
      </c>
      <c r="BE4" s="252">
        <f t="shared" si="3"/>
        <v>42491</v>
      </c>
      <c r="BF4" s="252">
        <f t="shared" si="3"/>
        <v>42522</v>
      </c>
      <c r="BG4" s="252">
        <f t="shared" si="3"/>
        <v>42552</v>
      </c>
      <c r="BH4" s="252">
        <f t="shared" si="3"/>
        <v>42583</v>
      </c>
      <c r="BI4" s="252">
        <f t="shared" si="3"/>
        <v>42614</v>
      </c>
      <c r="BJ4" s="252">
        <f t="shared" si="3"/>
        <v>42644</v>
      </c>
      <c r="BK4" s="252">
        <f t="shared" si="3"/>
        <v>42675</v>
      </c>
      <c r="BL4" s="252">
        <f t="shared" si="3"/>
        <v>42705</v>
      </c>
      <c r="BM4" s="253" t="s">
        <v>453</v>
      </c>
    </row>
    <row r="5" spans="1:65" s="139" customFormat="1" x14ac:dyDescent="0.25">
      <c r="A5" s="191" t="s">
        <v>221</v>
      </c>
      <c r="B5" s="192">
        <v>1</v>
      </c>
      <c r="C5" s="228">
        <f t="shared" ref="C5:C36" si="4">IF($D5=$D$2,"X",0)</f>
        <v>0</v>
      </c>
      <c r="D5" s="229">
        <f t="shared" ref="D5:D60" si="5">IF($G5=0,0,IF(AND($V5=0,$W5=0),"Absence dates",IF($W5=0,DATE(YEAR($V5),MONTH($V5),1),DATE(YEAR($W5),MONTH($W5),1))))</f>
        <v>42461</v>
      </c>
      <c r="E5" s="148">
        <v>42411</v>
      </c>
      <c r="F5" s="246">
        <v>615</v>
      </c>
      <c r="G5" s="150" t="s">
        <v>480</v>
      </c>
      <c r="H5" s="150" t="s">
        <v>216</v>
      </c>
      <c r="I5" s="150"/>
      <c r="J5" s="150"/>
      <c r="K5" s="150"/>
      <c r="L5" s="150"/>
      <c r="M5" s="150"/>
      <c r="N5" s="150"/>
      <c r="O5" s="155">
        <v>68970</v>
      </c>
      <c r="P5" s="155"/>
      <c r="Q5" s="155">
        <f>O5-2360-550</f>
        <v>66060</v>
      </c>
      <c r="R5" s="150"/>
      <c r="S5" s="150"/>
      <c r="T5" s="148"/>
      <c r="U5" s="148" t="s">
        <v>439</v>
      </c>
      <c r="V5" s="148">
        <v>42486</v>
      </c>
      <c r="W5" s="232"/>
      <c r="X5" s="235"/>
      <c r="Y5" s="242">
        <f>IF($U5=0,0,$Q5*VLOOKUP($U5,$W$1:$X$3,2))</f>
        <v>528.48</v>
      </c>
      <c r="Z5" s="157"/>
      <c r="AA5" s="152"/>
      <c r="AB5" s="150"/>
      <c r="AC5" s="194"/>
      <c r="AD5" s="175"/>
      <c r="AE5" s="175"/>
      <c r="AF5" s="221">
        <f>$Y5/30</f>
        <v>17.616</v>
      </c>
      <c r="AG5" s="266">
        <f>IF(G5=0,0,IF($W5=0,EOMONTH($V5,0)-$V5,$W5-DATE(YEAR($W5),MONTH($W5),1)+1))</f>
        <v>4</v>
      </c>
      <c r="AH5" s="223">
        <f>$AF5*$AG5</f>
        <v>70.463999999999999</v>
      </c>
      <c r="AI5" s="266"/>
      <c r="AJ5" s="223"/>
      <c r="AK5" s="207" t="e">
        <f>IF($A5=0,0,SUMPRODUCT(($B$4:$B$60=$B5)*($X$4:$X$60)))</f>
        <v>#VALUE!</v>
      </c>
      <c r="AL5" s="225"/>
      <c r="AM5" s="175"/>
      <c r="AN5" s="259">
        <f>IF($W5&lt;&gt;0,EOMONTH($W5,0),DATE(2099,12,31))</f>
        <v>73050</v>
      </c>
      <c r="AO5" s="256">
        <f>IF(AND(YEAR(AO$4)=YEAR($V5),MONTH(AO$4)=MONTH($V5)+1),"X",0)</f>
        <v>0</v>
      </c>
      <c r="AP5" s="256">
        <f t="shared" ref="AP5:AZ27" si="6">IF(AND(YEAR(AP$4)=YEAR($V5),MONTH(AP$4)=MONTH($V5)+1),"X",0)</f>
        <v>0</v>
      </c>
      <c r="AQ5" s="256">
        <f t="shared" si="6"/>
        <v>0</v>
      </c>
      <c r="AR5" s="256">
        <f t="shared" si="6"/>
        <v>0</v>
      </c>
      <c r="AS5" s="256" t="str">
        <f t="shared" si="6"/>
        <v>X</v>
      </c>
      <c r="AT5" s="256">
        <f t="shared" si="6"/>
        <v>0</v>
      </c>
      <c r="AU5" s="256">
        <f t="shared" si="6"/>
        <v>0</v>
      </c>
      <c r="AV5" s="256">
        <f t="shared" si="6"/>
        <v>0</v>
      </c>
      <c r="AW5" s="256">
        <f t="shared" si="6"/>
        <v>0</v>
      </c>
      <c r="AX5" s="256">
        <f t="shared" si="6"/>
        <v>0</v>
      </c>
      <c r="AY5" s="256">
        <f t="shared" si="6"/>
        <v>0</v>
      </c>
      <c r="AZ5" s="256">
        <f t="shared" si="6"/>
        <v>0</v>
      </c>
      <c r="BA5" s="254">
        <f>IF(MONTH($V5)=MONTH(BA$4),0,IF(AND($V5&lt;=EOMONTH(BA$4,0),$AN5&gt;=BA$4),$Y5,0))</f>
        <v>0</v>
      </c>
      <c r="BB5" s="254">
        <f t="shared" ref="BB5:BL20" si="7">IF(MONTH($V5)=MONTH(BB$4),0,IF(AND($V5&lt;=EOMONTH(BB$4,0),$AN5&gt;=BB$4),$Y5,0))</f>
        <v>0</v>
      </c>
      <c r="BC5" s="254">
        <f t="shared" si="7"/>
        <v>0</v>
      </c>
      <c r="BD5" s="254">
        <f t="shared" si="7"/>
        <v>0</v>
      </c>
      <c r="BE5" s="254">
        <f t="shared" si="7"/>
        <v>528.48</v>
      </c>
      <c r="BF5" s="254">
        <f t="shared" si="7"/>
        <v>528.48</v>
      </c>
      <c r="BG5" s="254">
        <f t="shared" si="7"/>
        <v>528.48</v>
      </c>
      <c r="BH5" s="254">
        <f t="shared" si="7"/>
        <v>528.48</v>
      </c>
      <c r="BI5" s="254">
        <f t="shared" si="7"/>
        <v>528.48</v>
      </c>
      <c r="BJ5" s="254">
        <f t="shared" si="7"/>
        <v>528.48</v>
      </c>
      <c r="BK5" s="254">
        <f t="shared" si="7"/>
        <v>528.48</v>
      </c>
      <c r="BL5" s="254">
        <f t="shared" si="7"/>
        <v>528.48</v>
      </c>
      <c r="BM5" s="254">
        <f>SUM(BA5:BL5)</f>
        <v>4227.84</v>
      </c>
    </row>
    <row r="6" spans="1:65" s="139" customFormat="1" x14ac:dyDescent="0.25">
      <c r="A6" s="191"/>
      <c r="B6" s="192"/>
      <c r="C6" s="228">
        <f t="shared" si="4"/>
        <v>0</v>
      </c>
      <c r="D6" s="229" t="str">
        <f t="shared" si="5"/>
        <v>Absence dates</v>
      </c>
      <c r="E6" s="148">
        <v>42614</v>
      </c>
      <c r="F6" s="246">
        <v>615</v>
      </c>
      <c r="G6" s="150" t="s">
        <v>480</v>
      </c>
      <c r="H6" s="150" t="s">
        <v>216</v>
      </c>
      <c r="I6" s="150"/>
      <c r="J6" s="150"/>
      <c r="K6" s="150"/>
      <c r="L6" s="150"/>
      <c r="M6" s="150"/>
      <c r="N6" s="150"/>
      <c r="O6" s="155">
        <v>77660</v>
      </c>
      <c r="P6" s="155"/>
      <c r="Q6" s="155">
        <v>76109</v>
      </c>
      <c r="R6" s="150"/>
      <c r="S6" s="150"/>
      <c r="T6" s="148"/>
      <c r="U6" s="148" t="s">
        <v>439</v>
      </c>
      <c r="V6" s="148"/>
      <c r="W6" s="232"/>
      <c r="X6" s="235"/>
      <c r="Y6" s="242">
        <f>IF($U6=0,0,$Q6*VLOOKUP($U6,$W$1:$X$3,2))</f>
        <v>608.87199999999996</v>
      </c>
      <c r="Z6" s="157"/>
      <c r="AA6" s="152"/>
      <c r="AB6" s="150"/>
      <c r="AC6" s="194"/>
      <c r="AD6" s="175"/>
      <c r="AE6" s="175"/>
      <c r="AF6" s="221">
        <f t="shared" ref="AF6:AF60" si="8">$Y6/30</f>
        <v>20.295733333333331</v>
      </c>
      <c r="AG6" s="266">
        <f t="shared" ref="AG6:AG9" si="9">IF(G6=0,0,IF($W6=0,EOMONTH($V6,0)-$V6,$W6-DATE(YEAR($W6),MONTH($W6),1)+1))</f>
        <v>31</v>
      </c>
      <c r="AH6" s="223">
        <f t="shared" ref="AH6:AH60" si="10">$AF6*$AG6</f>
        <v>629.16773333333322</v>
      </c>
      <c r="AI6" s="266"/>
      <c r="AJ6" s="223"/>
      <c r="AK6" s="207">
        <f t="array" ref="AK6">IF($A6=0,0,SUMPRODUCT(($B$4:$B$60=$B6)*($X$4:$X$60)))</f>
        <v>0</v>
      </c>
      <c r="AL6" s="225"/>
      <c r="AM6" s="175"/>
      <c r="AN6" s="259">
        <f t="shared" ref="AN6:AN60" si="11">IF($W6&lt;&gt;0,EOMONTH($W6,0),DATE(2099,12,31))</f>
        <v>73050</v>
      </c>
      <c r="AO6" s="256">
        <f t="shared" ref="AO6:AZ47" si="12">IF(AND(YEAR(AO$4)=YEAR($V6),MONTH(AO$4)=MONTH($V6)+1),"X",0)</f>
        <v>0</v>
      </c>
      <c r="AP6" s="256">
        <f t="shared" si="6"/>
        <v>0</v>
      </c>
      <c r="AQ6" s="256">
        <f t="shared" si="6"/>
        <v>0</v>
      </c>
      <c r="AR6" s="256">
        <f t="shared" si="6"/>
        <v>0</v>
      </c>
      <c r="AS6" s="256">
        <f t="shared" si="6"/>
        <v>0</v>
      </c>
      <c r="AT6" s="256">
        <f t="shared" si="6"/>
        <v>0</v>
      </c>
      <c r="AU6" s="256">
        <f t="shared" si="6"/>
        <v>0</v>
      </c>
      <c r="AV6" s="256">
        <f t="shared" si="6"/>
        <v>0</v>
      </c>
      <c r="AW6" s="256">
        <f t="shared" si="6"/>
        <v>0</v>
      </c>
      <c r="AX6" s="256">
        <f t="shared" si="6"/>
        <v>0</v>
      </c>
      <c r="AY6" s="256">
        <f t="shared" si="6"/>
        <v>0</v>
      </c>
      <c r="AZ6" s="256">
        <f t="shared" si="6"/>
        <v>0</v>
      </c>
      <c r="BA6" s="254">
        <f t="shared" ref="BA6:BL37" si="13">IF(MONTH($V6)=MONTH(BA$4),0,IF(AND($V6&lt;=EOMONTH(BA$4,0),$AN6&gt;=BA$4),$Y6,0))</f>
        <v>0</v>
      </c>
      <c r="BB6" s="254">
        <f t="shared" si="7"/>
        <v>608.87199999999996</v>
      </c>
      <c r="BC6" s="254">
        <f t="shared" si="7"/>
        <v>608.87199999999996</v>
      </c>
      <c r="BD6" s="254">
        <f t="shared" si="7"/>
        <v>608.87199999999996</v>
      </c>
      <c r="BE6" s="254">
        <f t="shared" si="7"/>
        <v>608.87199999999996</v>
      </c>
      <c r="BF6" s="254">
        <f t="shared" si="7"/>
        <v>608.87199999999996</v>
      </c>
      <c r="BG6" s="254">
        <f t="shared" si="7"/>
        <v>608.87199999999996</v>
      </c>
      <c r="BH6" s="254">
        <f t="shared" si="7"/>
        <v>608.87199999999996</v>
      </c>
      <c r="BI6" s="254">
        <f t="shared" si="7"/>
        <v>608.87199999999996</v>
      </c>
      <c r="BJ6" s="254">
        <f t="shared" si="7"/>
        <v>608.87199999999996</v>
      </c>
      <c r="BK6" s="254">
        <f t="shared" si="7"/>
        <v>608.87199999999996</v>
      </c>
      <c r="BL6" s="254">
        <f t="shared" si="7"/>
        <v>608.87199999999996</v>
      </c>
      <c r="BM6" s="254">
        <f t="shared" ref="BM6:BM9" si="14">SUM(BA6:BL6)</f>
        <v>6697.5920000000006</v>
      </c>
    </row>
    <row r="7" spans="1:65" s="190" customFormat="1" x14ac:dyDescent="0.25">
      <c r="A7" s="192" t="s">
        <v>221</v>
      </c>
      <c r="B7" s="192" t="s">
        <v>388</v>
      </c>
      <c r="C7" s="228">
        <f t="shared" si="4"/>
        <v>0</v>
      </c>
      <c r="D7" s="229">
        <f t="shared" si="5"/>
        <v>42156</v>
      </c>
      <c r="E7" s="148">
        <v>41927</v>
      </c>
      <c r="F7" s="246">
        <v>382</v>
      </c>
      <c r="G7" s="150" t="s">
        <v>481</v>
      </c>
      <c r="H7" s="150" t="s">
        <v>332</v>
      </c>
      <c r="I7" s="150"/>
      <c r="J7" s="150"/>
      <c r="K7" s="150"/>
      <c r="L7" s="150"/>
      <c r="M7" s="150"/>
      <c r="N7" s="150"/>
      <c r="O7" s="155">
        <v>37650</v>
      </c>
      <c r="P7" s="155"/>
      <c r="Q7" s="155">
        <f>O7-570</f>
        <v>37080</v>
      </c>
      <c r="R7" s="150"/>
      <c r="S7" s="150"/>
      <c r="T7" s="148"/>
      <c r="U7" s="148"/>
      <c r="V7" s="148">
        <v>41984</v>
      </c>
      <c r="W7" s="232">
        <v>42185</v>
      </c>
      <c r="X7" s="235"/>
      <c r="Y7" s="242">
        <f>Q7*0.8%</f>
        <v>296.64</v>
      </c>
      <c r="Z7" s="157"/>
      <c r="AA7" s="152"/>
      <c r="AB7" s="150"/>
      <c r="AC7" s="195"/>
      <c r="AD7" s="175"/>
      <c r="AE7" s="175"/>
      <c r="AF7" s="221">
        <f t="shared" si="8"/>
        <v>9.8879999999999999</v>
      </c>
      <c r="AG7" s="266">
        <f t="shared" si="9"/>
        <v>30</v>
      </c>
      <c r="AH7" s="223">
        <f t="shared" si="10"/>
        <v>296.64</v>
      </c>
      <c r="AI7" s="266"/>
      <c r="AJ7" s="223"/>
      <c r="AK7" s="207" t="e">
        <f t="array" ref="AK7">IF($A7=0,0,SUMPRODUCT(($B$4:$B$60=$B7)*($X$4:$X$60)))</f>
        <v>#VALUE!</v>
      </c>
      <c r="AL7" s="225"/>
      <c r="AM7" s="175"/>
      <c r="AN7" s="259">
        <f t="shared" si="11"/>
        <v>42185</v>
      </c>
      <c r="AO7" s="256">
        <f t="shared" si="12"/>
        <v>0</v>
      </c>
      <c r="AP7" s="256">
        <f t="shared" si="6"/>
        <v>0</v>
      </c>
      <c r="AQ7" s="256">
        <f t="shared" si="6"/>
        <v>0</v>
      </c>
      <c r="AR7" s="256">
        <f t="shared" si="6"/>
        <v>0</v>
      </c>
      <c r="AS7" s="256">
        <f t="shared" si="6"/>
        <v>0</v>
      </c>
      <c r="AT7" s="256">
        <f t="shared" si="6"/>
        <v>0</v>
      </c>
      <c r="AU7" s="256">
        <f t="shared" si="6"/>
        <v>0</v>
      </c>
      <c r="AV7" s="256">
        <f t="shared" si="6"/>
        <v>0</v>
      </c>
      <c r="AW7" s="256">
        <f t="shared" si="6"/>
        <v>0</v>
      </c>
      <c r="AX7" s="256">
        <f t="shared" si="6"/>
        <v>0</v>
      </c>
      <c r="AY7" s="256">
        <f t="shared" si="6"/>
        <v>0</v>
      </c>
      <c r="AZ7" s="256">
        <f t="shared" si="6"/>
        <v>0</v>
      </c>
      <c r="BA7" s="254">
        <f t="shared" si="13"/>
        <v>0</v>
      </c>
      <c r="BB7" s="254">
        <f t="shared" si="7"/>
        <v>0</v>
      </c>
      <c r="BC7" s="254">
        <f t="shared" si="7"/>
        <v>0</v>
      </c>
      <c r="BD7" s="254">
        <f t="shared" si="7"/>
        <v>0</v>
      </c>
      <c r="BE7" s="254">
        <f t="shared" si="7"/>
        <v>0</v>
      </c>
      <c r="BF7" s="254">
        <f t="shared" si="7"/>
        <v>0</v>
      </c>
      <c r="BG7" s="254">
        <f t="shared" si="7"/>
        <v>0</v>
      </c>
      <c r="BH7" s="254">
        <f t="shared" si="7"/>
        <v>0</v>
      </c>
      <c r="BI7" s="254">
        <f t="shared" si="7"/>
        <v>0</v>
      </c>
      <c r="BJ7" s="254">
        <f t="shared" si="7"/>
        <v>0</v>
      </c>
      <c r="BK7" s="254">
        <f t="shared" si="7"/>
        <v>0</v>
      </c>
      <c r="BL7" s="254">
        <f t="shared" si="7"/>
        <v>0</v>
      </c>
      <c r="BM7" s="254">
        <f t="shared" si="14"/>
        <v>0</v>
      </c>
    </row>
    <row r="8" spans="1:65" s="196" customFormat="1" ht="15.75" customHeight="1" x14ac:dyDescent="0.25">
      <c r="A8" s="150" t="s">
        <v>221</v>
      </c>
      <c r="B8" s="150" t="s">
        <v>388</v>
      </c>
      <c r="C8" s="228">
        <f t="shared" si="4"/>
        <v>0</v>
      </c>
      <c r="D8" s="229">
        <f t="shared" si="5"/>
        <v>42461</v>
      </c>
      <c r="E8" s="148">
        <v>42296</v>
      </c>
      <c r="F8" s="246">
        <v>382</v>
      </c>
      <c r="G8" s="150" t="s">
        <v>481</v>
      </c>
      <c r="H8" s="150" t="s">
        <v>332</v>
      </c>
      <c r="I8" s="150"/>
      <c r="J8" s="150"/>
      <c r="K8" s="150"/>
      <c r="L8" s="150"/>
      <c r="M8" s="150"/>
      <c r="N8" s="150"/>
      <c r="O8" s="155">
        <v>45420</v>
      </c>
      <c r="P8" s="155"/>
      <c r="Q8" s="155">
        <f>O8-790-2300-490</f>
        <v>41840</v>
      </c>
      <c r="R8" s="150"/>
      <c r="S8" s="150"/>
      <c r="T8" s="148"/>
      <c r="U8" s="148"/>
      <c r="V8" s="148">
        <v>42356</v>
      </c>
      <c r="W8" s="232">
        <v>42461</v>
      </c>
      <c r="X8" s="235"/>
      <c r="Y8" s="242">
        <f>Q8*0.8%</f>
        <v>334.72</v>
      </c>
      <c r="Z8" s="157"/>
      <c r="AA8" s="152"/>
      <c r="AB8" s="150"/>
      <c r="AC8" s="195"/>
      <c r="AD8" s="139"/>
      <c r="AE8" s="139"/>
      <c r="AF8" s="221">
        <f t="shared" si="8"/>
        <v>11.157333333333334</v>
      </c>
      <c r="AG8" s="266">
        <f t="shared" si="9"/>
        <v>1</v>
      </c>
      <c r="AH8" s="223">
        <f t="shared" si="10"/>
        <v>11.157333333333334</v>
      </c>
      <c r="AI8" s="266"/>
      <c r="AJ8" s="223"/>
      <c r="AK8" s="207" t="e">
        <f t="array" ref="AK8">IF($A8=0,0,SUMPRODUCT(($B$4:$B$60=$B8)*($X$4:$X$60)))</f>
        <v>#VALUE!</v>
      </c>
      <c r="AL8" s="225"/>
      <c r="AM8" s="139"/>
      <c r="AN8" s="259">
        <f t="shared" si="11"/>
        <v>42490</v>
      </c>
      <c r="AO8" s="256">
        <f t="shared" si="12"/>
        <v>0</v>
      </c>
      <c r="AP8" s="256">
        <f t="shared" si="6"/>
        <v>0</v>
      </c>
      <c r="AQ8" s="256">
        <f t="shared" si="6"/>
        <v>0</v>
      </c>
      <c r="AR8" s="256">
        <f t="shared" si="6"/>
        <v>0</v>
      </c>
      <c r="AS8" s="256">
        <f t="shared" si="6"/>
        <v>0</v>
      </c>
      <c r="AT8" s="256">
        <f t="shared" si="6"/>
        <v>0</v>
      </c>
      <c r="AU8" s="256">
        <f t="shared" si="6"/>
        <v>0</v>
      </c>
      <c r="AV8" s="256">
        <f t="shared" si="6"/>
        <v>0</v>
      </c>
      <c r="AW8" s="256">
        <f t="shared" si="6"/>
        <v>0</v>
      </c>
      <c r="AX8" s="256">
        <f t="shared" si="6"/>
        <v>0</v>
      </c>
      <c r="AY8" s="256">
        <f t="shared" si="6"/>
        <v>0</v>
      </c>
      <c r="AZ8" s="256">
        <f t="shared" si="6"/>
        <v>0</v>
      </c>
      <c r="BA8" s="254">
        <f t="shared" si="13"/>
        <v>334.72</v>
      </c>
      <c r="BB8" s="254">
        <f t="shared" si="7"/>
        <v>334.72</v>
      </c>
      <c r="BC8" s="254">
        <f t="shared" si="7"/>
        <v>334.72</v>
      </c>
      <c r="BD8" s="254">
        <f t="shared" si="7"/>
        <v>334.72</v>
      </c>
      <c r="BE8" s="254">
        <f t="shared" si="7"/>
        <v>0</v>
      </c>
      <c r="BF8" s="254">
        <f t="shared" si="7"/>
        <v>0</v>
      </c>
      <c r="BG8" s="254">
        <f t="shared" si="7"/>
        <v>0</v>
      </c>
      <c r="BH8" s="254">
        <f t="shared" si="7"/>
        <v>0</v>
      </c>
      <c r="BI8" s="254">
        <f t="shared" si="7"/>
        <v>0</v>
      </c>
      <c r="BJ8" s="254">
        <f t="shared" si="7"/>
        <v>0</v>
      </c>
      <c r="BK8" s="254">
        <f t="shared" si="7"/>
        <v>0</v>
      </c>
      <c r="BL8" s="254">
        <f t="shared" si="7"/>
        <v>0</v>
      </c>
      <c r="BM8" s="254">
        <f t="shared" si="14"/>
        <v>1338.88</v>
      </c>
    </row>
    <row r="9" spans="1:65" x14ac:dyDescent="0.25">
      <c r="A9" s="192" t="s">
        <v>221</v>
      </c>
      <c r="B9" s="192" t="s">
        <v>388</v>
      </c>
      <c r="C9" s="228">
        <f t="shared" si="4"/>
        <v>0</v>
      </c>
      <c r="D9" s="229">
        <f t="shared" si="5"/>
        <v>41518</v>
      </c>
      <c r="E9" s="148">
        <v>41234</v>
      </c>
      <c r="F9" s="246">
        <v>121</v>
      </c>
      <c r="G9" s="150" t="s">
        <v>482</v>
      </c>
      <c r="H9" s="150" t="s">
        <v>485</v>
      </c>
      <c r="I9" s="150"/>
      <c r="J9" s="150"/>
      <c r="K9" s="150"/>
      <c r="L9" s="150"/>
      <c r="M9" s="150"/>
      <c r="N9" s="150"/>
      <c r="O9" s="155">
        <v>37910</v>
      </c>
      <c r="P9" s="155"/>
      <c r="Q9" s="156">
        <v>34600</v>
      </c>
      <c r="R9" s="150"/>
      <c r="S9" s="150"/>
      <c r="T9" s="148"/>
      <c r="U9" s="148"/>
      <c r="V9" s="148">
        <v>41281</v>
      </c>
      <c r="W9" s="232">
        <v>41541</v>
      </c>
      <c r="X9" s="235"/>
      <c r="Y9" s="242">
        <v>272.83</v>
      </c>
      <c r="Z9" s="157"/>
      <c r="AA9" s="152"/>
      <c r="AB9" s="150"/>
      <c r="AC9" s="194"/>
      <c r="AF9" s="221">
        <f t="shared" si="8"/>
        <v>9.0943333333333332</v>
      </c>
      <c r="AG9" s="266">
        <f t="shared" si="9"/>
        <v>24</v>
      </c>
      <c r="AH9" s="223">
        <f t="shared" si="10"/>
        <v>218.26400000000001</v>
      </c>
      <c r="AI9" s="266"/>
      <c r="AJ9" s="223"/>
      <c r="AK9" s="207" t="e">
        <f t="array" ref="AK9">IF($A9=0,0,SUMPRODUCT(($B$4:$B$60=$B9)*($X$4:$X$60)))</f>
        <v>#VALUE!</v>
      </c>
      <c r="AL9" s="225"/>
      <c r="AN9" s="259">
        <f t="shared" si="11"/>
        <v>41547</v>
      </c>
      <c r="AO9" s="256">
        <f t="shared" si="12"/>
        <v>0</v>
      </c>
      <c r="AP9" s="256">
        <f t="shared" si="6"/>
        <v>0</v>
      </c>
      <c r="AQ9" s="256">
        <f t="shared" si="6"/>
        <v>0</v>
      </c>
      <c r="AR9" s="256">
        <f t="shared" si="6"/>
        <v>0</v>
      </c>
      <c r="AS9" s="256">
        <f t="shared" si="6"/>
        <v>0</v>
      </c>
      <c r="AT9" s="256">
        <f t="shared" si="6"/>
        <v>0</v>
      </c>
      <c r="AU9" s="256">
        <f t="shared" si="6"/>
        <v>0</v>
      </c>
      <c r="AV9" s="256">
        <f t="shared" si="6"/>
        <v>0</v>
      </c>
      <c r="AW9" s="256">
        <f t="shared" si="6"/>
        <v>0</v>
      </c>
      <c r="AX9" s="256">
        <f t="shared" si="6"/>
        <v>0</v>
      </c>
      <c r="AY9" s="256">
        <f t="shared" si="6"/>
        <v>0</v>
      </c>
      <c r="AZ9" s="256">
        <f t="shared" si="6"/>
        <v>0</v>
      </c>
      <c r="BA9" s="254">
        <f t="shared" si="13"/>
        <v>0</v>
      </c>
      <c r="BB9" s="254">
        <f t="shared" si="7"/>
        <v>0</v>
      </c>
      <c r="BC9" s="254">
        <f t="shared" si="7"/>
        <v>0</v>
      </c>
      <c r="BD9" s="254">
        <f t="shared" si="7"/>
        <v>0</v>
      </c>
      <c r="BE9" s="254">
        <f t="shared" si="7"/>
        <v>0</v>
      </c>
      <c r="BF9" s="254">
        <f t="shared" si="7"/>
        <v>0</v>
      </c>
      <c r="BG9" s="254">
        <f t="shared" si="7"/>
        <v>0</v>
      </c>
      <c r="BH9" s="254">
        <f t="shared" si="7"/>
        <v>0</v>
      </c>
      <c r="BI9" s="254">
        <f t="shared" si="7"/>
        <v>0</v>
      </c>
      <c r="BJ9" s="254">
        <f t="shared" si="7"/>
        <v>0</v>
      </c>
      <c r="BK9" s="254">
        <f t="shared" si="7"/>
        <v>0</v>
      </c>
      <c r="BL9" s="254">
        <f t="shared" si="7"/>
        <v>0</v>
      </c>
      <c r="BM9" s="254">
        <f t="shared" si="14"/>
        <v>0</v>
      </c>
    </row>
    <row r="10" spans="1:65" ht="17.100000000000001" customHeight="1" x14ac:dyDescent="0.25">
      <c r="A10" s="192" t="s">
        <v>221</v>
      </c>
      <c r="B10" s="192" t="s">
        <v>388</v>
      </c>
      <c r="C10" s="228">
        <f>IF($D10=$D$2,"X",0)</f>
        <v>0</v>
      </c>
      <c r="D10" s="229">
        <f t="shared" si="5"/>
        <v>41791</v>
      </c>
      <c r="E10" s="148">
        <v>41451</v>
      </c>
      <c r="F10" s="246">
        <v>121</v>
      </c>
      <c r="G10" s="150" t="s">
        <v>482</v>
      </c>
      <c r="H10" s="150" t="s">
        <v>485</v>
      </c>
      <c r="I10" s="150"/>
      <c r="J10" s="150"/>
      <c r="K10" s="150"/>
      <c r="L10" s="150"/>
      <c r="M10" s="150"/>
      <c r="N10" s="150"/>
      <c r="O10" s="155">
        <v>39130</v>
      </c>
      <c r="P10" s="155"/>
      <c r="Q10" s="156">
        <v>35920</v>
      </c>
      <c r="R10" s="150"/>
      <c r="S10" s="150"/>
      <c r="T10" s="148"/>
      <c r="U10" s="148"/>
      <c r="V10" s="148">
        <v>41541</v>
      </c>
      <c r="W10" s="232">
        <v>41800</v>
      </c>
      <c r="X10" s="235"/>
      <c r="Y10" s="242">
        <v>287.36</v>
      </c>
      <c r="Z10" s="157"/>
      <c r="AA10" s="152"/>
      <c r="AB10" s="150"/>
      <c r="AC10" s="194"/>
      <c r="AF10" s="221">
        <f t="shared" si="8"/>
        <v>9.5786666666666669</v>
      </c>
      <c r="AG10" s="266">
        <f t="shared" ref="AG10:AG54" si="15">IF(G10=0,0,IF($W10=0,EOMONTH($V10,0)-$V10,$W10-DATE(YEAR($W10),MONTH($W10),1)+1))</f>
        <v>10</v>
      </c>
      <c r="AH10" s="223">
        <f t="shared" si="10"/>
        <v>95.786666666666662</v>
      </c>
      <c r="AI10" s="266"/>
      <c r="AJ10" s="223"/>
      <c r="AK10" s="207" t="e">
        <f t="array" ref="AK10">IF($A10=0,0,SUMPRODUCT(($B$4:$B$60=$B10)*($X$4:$X$60)))</f>
        <v>#VALUE!</v>
      </c>
      <c r="AL10" s="225"/>
      <c r="AN10" s="259">
        <f t="shared" si="11"/>
        <v>41820</v>
      </c>
      <c r="AO10" s="256">
        <f t="shared" si="12"/>
        <v>0</v>
      </c>
      <c r="AP10" s="256">
        <f t="shared" si="6"/>
        <v>0</v>
      </c>
      <c r="AQ10" s="256">
        <f t="shared" si="6"/>
        <v>0</v>
      </c>
      <c r="AR10" s="256">
        <f t="shared" si="6"/>
        <v>0</v>
      </c>
      <c r="AS10" s="256">
        <f t="shared" si="6"/>
        <v>0</v>
      </c>
      <c r="AT10" s="256">
        <f t="shared" si="6"/>
        <v>0</v>
      </c>
      <c r="AU10" s="256">
        <f t="shared" si="6"/>
        <v>0</v>
      </c>
      <c r="AV10" s="256">
        <f t="shared" si="6"/>
        <v>0</v>
      </c>
      <c r="AW10" s="256">
        <f t="shared" si="6"/>
        <v>0</v>
      </c>
      <c r="AX10" s="256">
        <f t="shared" si="6"/>
        <v>0</v>
      </c>
      <c r="AY10" s="256">
        <f t="shared" si="6"/>
        <v>0</v>
      </c>
      <c r="AZ10" s="256">
        <f t="shared" si="6"/>
        <v>0</v>
      </c>
      <c r="BA10" s="254">
        <f t="shared" si="13"/>
        <v>0</v>
      </c>
      <c r="BB10" s="254">
        <f t="shared" si="7"/>
        <v>0</v>
      </c>
      <c r="BC10" s="254">
        <f t="shared" si="7"/>
        <v>0</v>
      </c>
      <c r="BD10" s="254">
        <f t="shared" si="7"/>
        <v>0</v>
      </c>
      <c r="BE10" s="254">
        <f t="shared" si="7"/>
        <v>0</v>
      </c>
      <c r="BF10" s="254">
        <f t="shared" si="7"/>
        <v>0</v>
      </c>
      <c r="BG10" s="254">
        <f t="shared" si="7"/>
        <v>0</v>
      </c>
      <c r="BH10" s="254">
        <f t="shared" si="7"/>
        <v>0</v>
      </c>
      <c r="BI10" s="254">
        <f t="shared" si="7"/>
        <v>0</v>
      </c>
      <c r="BJ10" s="254">
        <f t="shared" si="7"/>
        <v>0</v>
      </c>
      <c r="BK10" s="254">
        <f t="shared" si="7"/>
        <v>0</v>
      </c>
      <c r="BL10" s="254">
        <f t="shared" si="7"/>
        <v>0</v>
      </c>
      <c r="BM10" s="254">
        <f t="shared" ref="BM10:BM57" si="16">SUM(BA10:BL10)</f>
        <v>0</v>
      </c>
    </row>
    <row r="11" spans="1:65" ht="17.100000000000001" customHeight="1" x14ac:dyDescent="0.25">
      <c r="A11" s="192" t="s">
        <v>221</v>
      </c>
      <c r="B11" s="192" t="s">
        <v>388</v>
      </c>
      <c r="C11" s="228">
        <f t="shared" si="4"/>
        <v>0</v>
      </c>
      <c r="D11" s="229">
        <f t="shared" si="5"/>
        <v>42036</v>
      </c>
      <c r="E11" s="148">
        <v>41764</v>
      </c>
      <c r="F11" s="246">
        <v>121</v>
      </c>
      <c r="G11" s="150" t="s">
        <v>482</v>
      </c>
      <c r="H11" s="150" t="s">
        <v>485</v>
      </c>
      <c r="I11" s="150"/>
      <c r="J11" s="150"/>
      <c r="K11" s="150"/>
      <c r="L11" s="150"/>
      <c r="M11" s="150"/>
      <c r="N11" s="150"/>
      <c r="O11" s="155">
        <v>40490</v>
      </c>
      <c r="P11" s="155"/>
      <c r="Q11" s="156">
        <f>O11-900-2200-110</f>
        <v>37280</v>
      </c>
      <c r="R11" s="150"/>
      <c r="S11" s="150"/>
      <c r="T11" s="148"/>
      <c r="U11" s="148"/>
      <c r="V11" s="148">
        <v>41800</v>
      </c>
      <c r="W11" s="232">
        <v>42062</v>
      </c>
      <c r="X11" s="235"/>
      <c r="Y11" s="242">
        <f>Q11*0.8%</f>
        <v>298.24</v>
      </c>
      <c r="Z11" s="157"/>
      <c r="AA11" s="152"/>
      <c r="AB11" s="150"/>
      <c r="AC11" s="194"/>
      <c r="AF11" s="221">
        <f t="shared" si="8"/>
        <v>9.9413333333333345</v>
      </c>
      <c r="AG11" s="266">
        <f t="shared" si="15"/>
        <v>27</v>
      </c>
      <c r="AH11" s="223">
        <f t="shared" si="10"/>
        <v>268.41600000000005</v>
      </c>
      <c r="AI11" s="266"/>
      <c r="AJ11" s="223"/>
      <c r="AK11" s="207" t="e">
        <f t="array" ref="AK11">IF($A11=0,0,SUMPRODUCT(($B$4:$B$60=$B11)*($X$4:$X$60)))</f>
        <v>#VALUE!</v>
      </c>
      <c r="AL11" s="225"/>
      <c r="AN11" s="259">
        <f t="shared" si="11"/>
        <v>42063</v>
      </c>
      <c r="AO11" s="256">
        <f t="shared" si="12"/>
        <v>0</v>
      </c>
      <c r="AP11" s="256">
        <f t="shared" si="6"/>
        <v>0</v>
      </c>
      <c r="AQ11" s="256">
        <f t="shared" si="6"/>
        <v>0</v>
      </c>
      <c r="AR11" s="256">
        <f t="shared" si="6"/>
        <v>0</v>
      </c>
      <c r="AS11" s="256">
        <f t="shared" si="6"/>
        <v>0</v>
      </c>
      <c r="AT11" s="256">
        <f t="shared" si="6"/>
        <v>0</v>
      </c>
      <c r="AU11" s="256">
        <f t="shared" si="6"/>
        <v>0</v>
      </c>
      <c r="AV11" s="256">
        <f t="shared" si="6"/>
        <v>0</v>
      </c>
      <c r="AW11" s="256">
        <f t="shared" si="6"/>
        <v>0</v>
      </c>
      <c r="AX11" s="256">
        <f t="shared" si="6"/>
        <v>0</v>
      </c>
      <c r="AY11" s="256">
        <f t="shared" si="6"/>
        <v>0</v>
      </c>
      <c r="AZ11" s="256">
        <f t="shared" si="6"/>
        <v>0</v>
      </c>
      <c r="BA11" s="254">
        <f t="shared" si="13"/>
        <v>0</v>
      </c>
      <c r="BB11" s="254">
        <f t="shared" si="7"/>
        <v>0</v>
      </c>
      <c r="BC11" s="254">
        <f t="shared" si="7"/>
        <v>0</v>
      </c>
      <c r="BD11" s="254">
        <f t="shared" si="7"/>
        <v>0</v>
      </c>
      <c r="BE11" s="254">
        <f t="shared" si="7"/>
        <v>0</v>
      </c>
      <c r="BF11" s="254">
        <f t="shared" si="7"/>
        <v>0</v>
      </c>
      <c r="BG11" s="254">
        <f t="shared" si="7"/>
        <v>0</v>
      </c>
      <c r="BH11" s="254">
        <f t="shared" si="7"/>
        <v>0</v>
      </c>
      <c r="BI11" s="254">
        <f t="shared" si="7"/>
        <v>0</v>
      </c>
      <c r="BJ11" s="254">
        <f t="shared" si="7"/>
        <v>0</v>
      </c>
      <c r="BK11" s="254">
        <f t="shared" si="7"/>
        <v>0</v>
      </c>
      <c r="BL11" s="254">
        <f t="shared" si="7"/>
        <v>0</v>
      </c>
      <c r="BM11" s="254">
        <f t="shared" si="16"/>
        <v>0</v>
      </c>
    </row>
    <row r="12" spans="1:65" ht="17.100000000000001" customHeight="1" x14ac:dyDescent="0.25">
      <c r="A12" s="192" t="s">
        <v>221</v>
      </c>
      <c r="B12" s="192"/>
      <c r="C12" s="228">
        <f t="shared" si="4"/>
        <v>0</v>
      </c>
      <c r="D12" s="229">
        <f t="shared" si="5"/>
        <v>42186</v>
      </c>
      <c r="E12" s="148">
        <v>41894</v>
      </c>
      <c r="F12" s="246">
        <v>371</v>
      </c>
      <c r="G12" s="150" t="s">
        <v>483</v>
      </c>
      <c r="H12" s="150" t="s">
        <v>301</v>
      </c>
      <c r="I12" s="150"/>
      <c r="J12" s="150"/>
      <c r="K12" s="150"/>
      <c r="L12" s="150"/>
      <c r="M12" s="150"/>
      <c r="N12" s="150"/>
      <c r="O12" s="155">
        <v>43520</v>
      </c>
      <c r="P12" s="155"/>
      <c r="Q12" s="155">
        <f>+O12-950-110-2200</f>
        <v>40260</v>
      </c>
      <c r="R12" s="150"/>
      <c r="S12" s="150"/>
      <c r="T12" s="148"/>
      <c r="U12" s="148" t="s">
        <v>439</v>
      </c>
      <c r="V12" s="148">
        <v>41933</v>
      </c>
      <c r="W12" s="232">
        <v>42201</v>
      </c>
      <c r="X12" s="235"/>
      <c r="Y12" s="242">
        <f>IF($U12=0,0,$Q12*VLOOKUP($U12,$W$1:$X$3,2))</f>
        <v>322.08</v>
      </c>
      <c r="Z12" s="157"/>
      <c r="AA12" s="152"/>
      <c r="AB12" s="150"/>
      <c r="AC12" s="195"/>
      <c r="AF12" s="221">
        <f t="shared" si="8"/>
        <v>10.735999999999999</v>
      </c>
      <c r="AG12" s="266">
        <f t="shared" si="15"/>
        <v>16</v>
      </c>
      <c r="AH12" s="223">
        <f t="shared" si="10"/>
        <v>171.77599999999998</v>
      </c>
      <c r="AI12" s="266"/>
      <c r="AJ12" s="223"/>
      <c r="AK12" s="207" t="e">
        <f t="array" ref="AK12">IF($A12=0,0,SUMPRODUCT(($B$4:$B$60=$B12)*($X$4:$X$60)))</f>
        <v>#VALUE!</v>
      </c>
      <c r="AL12" s="225"/>
      <c r="AN12" s="259">
        <f t="shared" si="11"/>
        <v>42216</v>
      </c>
      <c r="AO12" s="256">
        <f t="shared" si="12"/>
        <v>0</v>
      </c>
      <c r="AP12" s="256">
        <f t="shared" si="6"/>
        <v>0</v>
      </c>
      <c r="AQ12" s="256">
        <f t="shared" si="6"/>
        <v>0</v>
      </c>
      <c r="AR12" s="256">
        <f t="shared" si="6"/>
        <v>0</v>
      </c>
      <c r="AS12" s="256">
        <f t="shared" si="6"/>
        <v>0</v>
      </c>
      <c r="AT12" s="256">
        <f t="shared" si="6"/>
        <v>0</v>
      </c>
      <c r="AU12" s="256">
        <f t="shared" si="6"/>
        <v>0</v>
      </c>
      <c r="AV12" s="256">
        <f t="shared" si="6"/>
        <v>0</v>
      </c>
      <c r="AW12" s="256">
        <f t="shared" si="6"/>
        <v>0</v>
      </c>
      <c r="AX12" s="256">
        <f t="shared" si="6"/>
        <v>0</v>
      </c>
      <c r="AY12" s="256">
        <f t="shared" si="6"/>
        <v>0</v>
      </c>
      <c r="AZ12" s="256">
        <f t="shared" si="6"/>
        <v>0</v>
      </c>
      <c r="BA12" s="254">
        <f t="shared" si="13"/>
        <v>0</v>
      </c>
      <c r="BB12" s="254">
        <f t="shared" si="7"/>
        <v>0</v>
      </c>
      <c r="BC12" s="254">
        <f t="shared" si="7"/>
        <v>0</v>
      </c>
      <c r="BD12" s="254">
        <f t="shared" si="7"/>
        <v>0</v>
      </c>
      <c r="BE12" s="254">
        <f t="shared" si="7"/>
        <v>0</v>
      </c>
      <c r="BF12" s="254">
        <f t="shared" si="7"/>
        <v>0</v>
      </c>
      <c r="BG12" s="254">
        <f t="shared" si="7"/>
        <v>0</v>
      </c>
      <c r="BH12" s="254">
        <f t="shared" si="7"/>
        <v>0</v>
      </c>
      <c r="BI12" s="254">
        <f t="shared" si="7"/>
        <v>0</v>
      </c>
      <c r="BJ12" s="254">
        <f t="shared" si="7"/>
        <v>0</v>
      </c>
      <c r="BK12" s="254">
        <f t="shared" si="7"/>
        <v>0</v>
      </c>
      <c r="BL12" s="254">
        <f t="shared" si="7"/>
        <v>0</v>
      </c>
      <c r="BM12" s="254">
        <f t="shared" si="16"/>
        <v>0</v>
      </c>
    </row>
    <row r="13" spans="1:65" ht="17.100000000000001" customHeight="1" x14ac:dyDescent="0.25">
      <c r="A13" s="192" t="s">
        <v>221</v>
      </c>
      <c r="B13" s="192"/>
      <c r="C13" s="228">
        <f t="shared" si="4"/>
        <v>0</v>
      </c>
      <c r="D13" s="229">
        <f t="shared" si="5"/>
        <v>42370</v>
      </c>
      <c r="E13" s="148">
        <v>42129</v>
      </c>
      <c r="F13" s="246">
        <v>371</v>
      </c>
      <c r="G13" s="150" t="s">
        <v>483</v>
      </c>
      <c r="H13" s="150" t="s">
        <v>301</v>
      </c>
      <c r="I13" s="150"/>
      <c r="J13" s="150"/>
      <c r="K13" s="150"/>
      <c r="L13" s="150"/>
      <c r="M13" s="150"/>
      <c r="N13" s="150"/>
      <c r="O13" s="155">
        <v>48770</v>
      </c>
      <c r="P13" s="155"/>
      <c r="Q13" s="155">
        <f>O13-950-2200-110</f>
        <v>45510</v>
      </c>
      <c r="R13" s="150"/>
      <c r="S13" s="150"/>
      <c r="T13" s="148"/>
      <c r="U13" s="148" t="s">
        <v>439</v>
      </c>
      <c r="V13" s="148">
        <v>42201</v>
      </c>
      <c r="W13" s="232">
        <v>42381</v>
      </c>
      <c r="X13" s="235"/>
      <c r="Y13" s="242">
        <f>IF($U13=0,0,$Q13*VLOOKUP($U13,$W$1:$X$3,2))</f>
        <v>364.08</v>
      </c>
      <c r="Z13" s="157"/>
      <c r="AA13" s="152"/>
      <c r="AB13" s="150"/>
      <c r="AC13" s="195"/>
      <c r="AF13" s="221">
        <f t="shared" si="8"/>
        <v>12.135999999999999</v>
      </c>
      <c r="AG13" s="266">
        <f t="shared" si="15"/>
        <v>12</v>
      </c>
      <c r="AH13" s="223">
        <f t="shared" si="10"/>
        <v>145.63200000000001</v>
      </c>
      <c r="AI13" s="266"/>
      <c r="AJ13" s="223"/>
      <c r="AK13" s="207" t="e">
        <f t="array" ref="AK13">IF($A13=0,0,SUMPRODUCT(($B$4:$B$60=$B13)*($X$4:$X$60)))</f>
        <v>#VALUE!</v>
      </c>
      <c r="AL13" s="225"/>
      <c r="AN13" s="259">
        <f t="shared" si="11"/>
        <v>42400</v>
      </c>
      <c r="AO13" s="256">
        <f t="shared" si="12"/>
        <v>0</v>
      </c>
      <c r="AP13" s="256">
        <f t="shared" si="6"/>
        <v>0</v>
      </c>
      <c r="AQ13" s="256">
        <f t="shared" si="6"/>
        <v>0</v>
      </c>
      <c r="AR13" s="256">
        <f t="shared" si="6"/>
        <v>0</v>
      </c>
      <c r="AS13" s="256">
        <f t="shared" si="6"/>
        <v>0</v>
      </c>
      <c r="AT13" s="256">
        <f t="shared" si="6"/>
        <v>0</v>
      </c>
      <c r="AU13" s="256">
        <f t="shared" si="6"/>
        <v>0</v>
      </c>
      <c r="AV13" s="256">
        <f t="shared" si="6"/>
        <v>0</v>
      </c>
      <c r="AW13" s="256">
        <f t="shared" si="6"/>
        <v>0</v>
      </c>
      <c r="AX13" s="256">
        <f t="shared" si="6"/>
        <v>0</v>
      </c>
      <c r="AY13" s="256">
        <f t="shared" si="6"/>
        <v>0</v>
      </c>
      <c r="AZ13" s="256">
        <f t="shared" si="6"/>
        <v>0</v>
      </c>
      <c r="BA13" s="254">
        <f t="shared" si="13"/>
        <v>364.08</v>
      </c>
      <c r="BB13" s="254">
        <f t="shared" si="7"/>
        <v>0</v>
      </c>
      <c r="BC13" s="254">
        <f t="shared" si="7"/>
        <v>0</v>
      </c>
      <c r="BD13" s="254">
        <f t="shared" si="7"/>
        <v>0</v>
      </c>
      <c r="BE13" s="254">
        <f t="shared" si="7"/>
        <v>0</v>
      </c>
      <c r="BF13" s="254">
        <f t="shared" si="7"/>
        <v>0</v>
      </c>
      <c r="BG13" s="254">
        <f t="shared" si="7"/>
        <v>0</v>
      </c>
      <c r="BH13" s="254">
        <f t="shared" si="7"/>
        <v>0</v>
      </c>
      <c r="BI13" s="254">
        <f t="shared" si="7"/>
        <v>0</v>
      </c>
      <c r="BJ13" s="254">
        <f t="shared" si="7"/>
        <v>0</v>
      </c>
      <c r="BK13" s="254">
        <f t="shared" si="7"/>
        <v>0</v>
      </c>
      <c r="BL13" s="254">
        <f t="shared" si="7"/>
        <v>0</v>
      </c>
      <c r="BM13" s="254">
        <f t="shared" si="16"/>
        <v>364.08</v>
      </c>
    </row>
    <row r="14" spans="1:65" ht="17.100000000000001" customHeight="1" x14ac:dyDescent="0.25">
      <c r="A14" s="192" t="s">
        <v>221</v>
      </c>
      <c r="B14" s="192"/>
      <c r="C14" s="228">
        <f t="shared" si="4"/>
        <v>0</v>
      </c>
      <c r="D14" s="229">
        <f t="shared" si="5"/>
        <v>42583</v>
      </c>
      <c r="E14" s="148">
        <v>42312</v>
      </c>
      <c r="F14" s="246">
        <v>371</v>
      </c>
      <c r="G14" s="150" t="s">
        <v>483</v>
      </c>
      <c r="H14" s="150" t="s">
        <v>301</v>
      </c>
      <c r="I14" s="150"/>
      <c r="J14" s="150"/>
      <c r="K14" s="150"/>
      <c r="L14" s="150"/>
      <c r="M14" s="150"/>
      <c r="N14" s="150"/>
      <c r="O14" s="155">
        <v>41440</v>
      </c>
      <c r="P14" s="155"/>
      <c r="Q14" s="155">
        <f>O14-790</f>
        <v>40650</v>
      </c>
      <c r="R14" s="150"/>
      <c r="S14" s="150"/>
      <c r="T14" s="148"/>
      <c r="U14" s="148" t="s">
        <v>439</v>
      </c>
      <c r="V14" s="148">
        <v>42381</v>
      </c>
      <c r="W14" s="232">
        <v>42591</v>
      </c>
      <c r="X14" s="235"/>
      <c r="Y14" s="242">
        <f>IF($U14=0,0,$Q14*VLOOKUP($U14,$W$1:$X$3,2))</f>
        <v>325.2</v>
      </c>
      <c r="Z14" s="157"/>
      <c r="AA14" s="152"/>
      <c r="AB14" s="150"/>
      <c r="AC14" s="195"/>
      <c r="AF14" s="221">
        <f t="shared" si="8"/>
        <v>10.84</v>
      </c>
      <c r="AG14" s="266">
        <f t="shared" si="15"/>
        <v>9</v>
      </c>
      <c r="AH14" s="223">
        <f t="shared" si="10"/>
        <v>97.56</v>
      </c>
      <c r="AI14" s="266"/>
      <c r="AJ14" s="223"/>
      <c r="AK14" s="207" t="e">
        <f t="array" ref="AK14">IF($A14=0,0,SUMPRODUCT(($B$4:$B$60=$B14)*($X$4:$X$60)))</f>
        <v>#VALUE!</v>
      </c>
      <c r="AL14" s="225"/>
      <c r="AN14" s="259">
        <f t="shared" si="11"/>
        <v>42613</v>
      </c>
      <c r="AO14" s="256">
        <f t="shared" si="12"/>
        <v>0</v>
      </c>
      <c r="AP14" s="256" t="str">
        <f t="shared" si="6"/>
        <v>X</v>
      </c>
      <c r="AQ14" s="256">
        <f t="shared" si="6"/>
        <v>0</v>
      </c>
      <c r="AR14" s="256">
        <f t="shared" si="6"/>
        <v>0</v>
      </c>
      <c r="AS14" s="256">
        <f t="shared" si="6"/>
        <v>0</v>
      </c>
      <c r="AT14" s="256">
        <f t="shared" si="6"/>
        <v>0</v>
      </c>
      <c r="AU14" s="256">
        <f t="shared" si="6"/>
        <v>0</v>
      </c>
      <c r="AV14" s="256">
        <f t="shared" si="6"/>
        <v>0</v>
      </c>
      <c r="AW14" s="256">
        <f t="shared" si="6"/>
        <v>0</v>
      </c>
      <c r="AX14" s="256">
        <f t="shared" si="6"/>
        <v>0</v>
      </c>
      <c r="AY14" s="256">
        <f t="shared" si="6"/>
        <v>0</v>
      </c>
      <c r="AZ14" s="256">
        <f t="shared" si="6"/>
        <v>0</v>
      </c>
      <c r="BA14" s="254">
        <f t="shared" si="13"/>
        <v>0</v>
      </c>
      <c r="BB14" s="254">
        <f t="shared" si="7"/>
        <v>325.2</v>
      </c>
      <c r="BC14" s="254">
        <f t="shared" si="7"/>
        <v>325.2</v>
      </c>
      <c r="BD14" s="254">
        <f t="shared" si="7"/>
        <v>325.2</v>
      </c>
      <c r="BE14" s="254">
        <f t="shared" si="7"/>
        <v>325.2</v>
      </c>
      <c r="BF14" s="254">
        <f t="shared" si="7"/>
        <v>325.2</v>
      </c>
      <c r="BG14" s="254">
        <f t="shared" si="7"/>
        <v>325.2</v>
      </c>
      <c r="BH14" s="254">
        <f t="shared" si="7"/>
        <v>325.2</v>
      </c>
      <c r="BI14" s="254">
        <f t="shared" si="7"/>
        <v>0</v>
      </c>
      <c r="BJ14" s="254">
        <f t="shared" si="7"/>
        <v>0</v>
      </c>
      <c r="BK14" s="254">
        <f t="shared" si="7"/>
        <v>0</v>
      </c>
      <c r="BL14" s="254">
        <f t="shared" si="7"/>
        <v>0</v>
      </c>
      <c r="BM14" s="254">
        <f t="shared" si="16"/>
        <v>2276.4</v>
      </c>
    </row>
    <row r="15" spans="1:65" ht="17.100000000000001" customHeight="1" x14ac:dyDescent="0.25">
      <c r="A15" s="192" t="s">
        <v>221</v>
      </c>
      <c r="B15" s="192">
        <v>2</v>
      </c>
      <c r="C15" s="228">
        <f t="shared" si="4"/>
        <v>0</v>
      </c>
      <c r="D15" s="229">
        <f t="shared" si="5"/>
        <v>42583</v>
      </c>
      <c r="E15" s="148">
        <v>42509</v>
      </c>
      <c r="F15" s="246">
        <v>371</v>
      </c>
      <c r="G15" s="150" t="s">
        <v>483</v>
      </c>
      <c r="H15" s="150" t="s">
        <v>301</v>
      </c>
      <c r="I15" s="150"/>
      <c r="J15" s="150"/>
      <c r="K15" s="150"/>
      <c r="L15" s="150"/>
      <c r="M15" s="150"/>
      <c r="N15" s="150"/>
      <c r="O15" s="155">
        <v>40920</v>
      </c>
      <c r="P15" s="155"/>
      <c r="Q15" s="155">
        <f>O15-790</f>
        <v>40130</v>
      </c>
      <c r="R15" s="150"/>
      <c r="S15" s="150"/>
      <c r="T15" s="148"/>
      <c r="U15" s="148" t="s">
        <v>439</v>
      </c>
      <c r="V15" s="148">
        <v>42591</v>
      </c>
      <c r="W15" s="232"/>
      <c r="X15" s="235"/>
      <c r="Y15" s="242">
        <f>IF($U15=0,0,$Q15*VLOOKUP($U15,$W$1:$X$3,2))</f>
        <v>321.04000000000002</v>
      </c>
      <c r="Z15" s="157"/>
      <c r="AA15" s="152"/>
      <c r="AB15" s="150"/>
      <c r="AC15" s="195"/>
      <c r="AF15" s="221">
        <f t="shared" si="8"/>
        <v>10.701333333333334</v>
      </c>
      <c r="AG15" s="266">
        <f t="shared" si="15"/>
        <v>22</v>
      </c>
      <c r="AH15" s="223">
        <f t="shared" si="10"/>
        <v>235.42933333333335</v>
      </c>
      <c r="AI15" s="266"/>
      <c r="AJ15" s="223"/>
      <c r="AK15" s="207" t="e">
        <f t="array" ref="AK15">IF($A15=0,0,SUMPRODUCT(($B$4:$B$60=$B15)*($X$4:$X$60)))</f>
        <v>#VALUE!</v>
      </c>
      <c r="AL15" s="225"/>
      <c r="AN15" s="259">
        <f t="shared" si="11"/>
        <v>73050</v>
      </c>
      <c r="AO15" s="256">
        <f t="shared" si="12"/>
        <v>0</v>
      </c>
      <c r="AP15" s="256">
        <f t="shared" si="6"/>
        <v>0</v>
      </c>
      <c r="AQ15" s="256">
        <f t="shared" si="6"/>
        <v>0</v>
      </c>
      <c r="AR15" s="256">
        <f t="shared" si="6"/>
        <v>0</v>
      </c>
      <c r="AS15" s="256">
        <f t="shared" si="6"/>
        <v>0</v>
      </c>
      <c r="AT15" s="256">
        <f t="shared" si="6"/>
        <v>0</v>
      </c>
      <c r="AU15" s="256">
        <f t="shared" si="6"/>
        <v>0</v>
      </c>
      <c r="AV15" s="256">
        <f t="shared" si="6"/>
        <v>0</v>
      </c>
      <c r="AW15" s="256" t="str">
        <f t="shared" si="6"/>
        <v>X</v>
      </c>
      <c r="AX15" s="256">
        <f t="shared" si="6"/>
        <v>0</v>
      </c>
      <c r="AY15" s="256">
        <f t="shared" si="6"/>
        <v>0</v>
      </c>
      <c r="AZ15" s="256">
        <f t="shared" si="6"/>
        <v>0</v>
      </c>
      <c r="BA15" s="254">
        <f t="shared" si="13"/>
        <v>0</v>
      </c>
      <c r="BB15" s="254">
        <f t="shared" si="7"/>
        <v>0</v>
      </c>
      <c r="BC15" s="254">
        <f t="shared" si="7"/>
        <v>0</v>
      </c>
      <c r="BD15" s="254">
        <f t="shared" si="7"/>
        <v>0</v>
      </c>
      <c r="BE15" s="254">
        <f t="shared" si="7"/>
        <v>0</v>
      </c>
      <c r="BF15" s="254">
        <f t="shared" si="7"/>
        <v>0</v>
      </c>
      <c r="BG15" s="254">
        <f t="shared" si="7"/>
        <v>0</v>
      </c>
      <c r="BH15" s="254">
        <f t="shared" si="7"/>
        <v>0</v>
      </c>
      <c r="BI15" s="254">
        <f t="shared" si="7"/>
        <v>321.04000000000002</v>
      </c>
      <c r="BJ15" s="254">
        <f t="shared" si="7"/>
        <v>321.04000000000002</v>
      </c>
      <c r="BK15" s="254">
        <f t="shared" si="7"/>
        <v>321.04000000000002</v>
      </c>
      <c r="BL15" s="254">
        <f t="shared" si="7"/>
        <v>321.04000000000002</v>
      </c>
      <c r="BM15" s="254">
        <f t="shared" si="16"/>
        <v>1284.1600000000001</v>
      </c>
    </row>
    <row r="16" spans="1:65" x14ac:dyDescent="0.25">
      <c r="A16" s="150" t="s">
        <v>221</v>
      </c>
      <c r="B16" s="192"/>
      <c r="C16" s="228">
        <f t="shared" si="4"/>
        <v>0</v>
      </c>
      <c r="D16" s="229">
        <f t="shared" si="5"/>
        <v>42430</v>
      </c>
      <c r="E16" s="148">
        <v>42233</v>
      </c>
      <c r="F16" s="246">
        <v>122</v>
      </c>
      <c r="G16" s="150" t="s">
        <v>484</v>
      </c>
      <c r="H16" s="150" t="s">
        <v>126</v>
      </c>
      <c r="I16" s="150"/>
      <c r="J16" s="150"/>
      <c r="K16" s="150"/>
      <c r="L16" s="150"/>
      <c r="M16" s="150"/>
      <c r="N16" s="150"/>
      <c r="O16" s="155">
        <v>32670</v>
      </c>
      <c r="P16" s="155"/>
      <c r="Q16" s="155">
        <f>O16-790</f>
        <v>31880</v>
      </c>
      <c r="R16" s="150"/>
      <c r="S16" s="150"/>
      <c r="T16" s="148"/>
      <c r="U16" s="148"/>
      <c r="V16" s="148">
        <v>42283</v>
      </c>
      <c r="W16" s="232">
        <v>42460</v>
      </c>
      <c r="X16" s="235"/>
      <c r="Y16" s="242">
        <f>Q16*0.8%</f>
        <v>255.04</v>
      </c>
      <c r="Z16" s="157"/>
      <c r="AA16" s="152"/>
      <c r="AB16" s="150"/>
      <c r="AC16" s="194"/>
      <c r="AF16" s="221">
        <f t="shared" si="8"/>
        <v>8.5013333333333332</v>
      </c>
      <c r="AG16" s="266">
        <f t="shared" si="15"/>
        <v>31</v>
      </c>
      <c r="AH16" s="223">
        <f t="shared" si="10"/>
        <v>263.54133333333334</v>
      </c>
      <c r="AI16" s="266"/>
      <c r="AJ16" s="223"/>
      <c r="AK16" s="207" t="e">
        <f t="array" ref="AK16">IF($A16=0,0,SUMPRODUCT(($B$4:$B$60=$B16)*($X$4:$X$60)))</f>
        <v>#VALUE!</v>
      </c>
      <c r="AL16" s="225"/>
      <c r="AN16" s="259">
        <f t="shared" si="11"/>
        <v>42460</v>
      </c>
      <c r="AO16" s="256">
        <f t="shared" si="12"/>
        <v>0</v>
      </c>
      <c r="AP16" s="256">
        <f t="shared" si="6"/>
        <v>0</v>
      </c>
      <c r="AQ16" s="256">
        <f t="shared" si="6"/>
        <v>0</v>
      </c>
      <c r="AR16" s="256">
        <f t="shared" si="6"/>
        <v>0</v>
      </c>
      <c r="AS16" s="256">
        <f t="shared" si="6"/>
        <v>0</v>
      </c>
      <c r="AT16" s="256">
        <f t="shared" si="6"/>
        <v>0</v>
      </c>
      <c r="AU16" s="256">
        <f t="shared" si="6"/>
        <v>0</v>
      </c>
      <c r="AV16" s="256">
        <f t="shared" si="6"/>
        <v>0</v>
      </c>
      <c r="AW16" s="256">
        <f t="shared" si="6"/>
        <v>0</v>
      </c>
      <c r="AX16" s="256">
        <f t="shared" si="6"/>
        <v>0</v>
      </c>
      <c r="AY16" s="256">
        <f t="shared" si="6"/>
        <v>0</v>
      </c>
      <c r="AZ16" s="256">
        <f t="shared" si="6"/>
        <v>0</v>
      </c>
      <c r="BA16" s="254">
        <f t="shared" si="13"/>
        <v>255.04</v>
      </c>
      <c r="BB16" s="254">
        <f t="shared" si="7"/>
        <v>255.04</v>
      </c>
      <c r="BC16" s="254">
        <f t="shared" si="7"/>
        <v>255.04</v>
      </c>
      <c r="BD16" s="254">
        <f t="shared" si="7"/>
        <v>0</v>
      </c>
      <c r="BE16" s="254">
        <f t="shared" si="7"/>
        <v>0</v>
      </c>
      <c r="BF16" s="254">
        <f t="shared" si="7"/>
        <v>0</v>
      </c>
      <c r="BG16" s="254">
        <f t="shared" si="7"/>
        <v>0</v>
      </c>
      <c r="BH16" s="254">
        <f t="shared" si="7"/>
        <v>0</v>
      </c>
      <c r="BI16" s="254">
        <f t="shared" si="7"/>
        <v>0</v>
      </c>
      <c r="BJ16" s="254">
        <f t="shared" si="7"/>
        <v>0</v>
      </c>
      <c r="BK16" s="254">
        <f t="shared" si="7"/>
        <v>0</v>
      </c>
      <c r="BL16" s="254">
        <f t="shared" si="7"/>
        <v>0</v>
      </c>
      <c r="BM16" s="254">
        <f t="shared" si="16"/>
        <v>765.12</v>
      </c>
    </row>
    <row r="17" spans="1:65" ht="17.100000000000001" customHeight="1" x14ac:dyDescent="0.25">
      <c r="A17" s="192" t="s">
        <v>221</v>
      </c>
      <c r="B17" s="192"/>
      <c r="C17" s="228">
        <f t="shared" si="4"/>
        <v>0</v>
      </c>
      <c r="D17" s="229">
        <f t="shared" si="5"/>
        <v>41306</v>
      </c>
      <c r="E17" s="148"/>
      <c r="F17" s="246">
        <v>123</v>
      </c>
      <c r="G17" s="150" t="s">
        <v>479</v>
      </c>
      <c r="H17" s="150" t="s">
        <v>387</v>
      </c>
      <c r="I17" s="150"/>
      <c r="J17" s="150"/>
      <c r="K17" s="150"/>
      <c r="L17" s="150"/>
      <c r="M17" s="150"/>
      <c r="N17" s="150"/>
      <c r="O17" s="155"/>
      <c r="P17" s="155"/>
      <c r="Q17" s="156"/>
      <c r="R17" s="150"/>
      <c r="S17" s="150"/>
      <c r="T17" s="148"/>
      <c r="U17" s="148"/>
      <c r="V17" s="148"/>
      <c r="W17" s="232">
        <v>41317</v>
      </c>
      <c r="X17" s="235"/>
      <c r="Y17" s="242">
        <v>355.52</v>
      </c>
      <c r="Z17" s="157"/>
      <c r="AA17" s="152"/>
      <c r="AB17" s="150"/>
      <c r="AC17" s="194"/>
      <c r="AF17" s="221">
        <f t="shared" si="8"/>
        <v>11.850666666666665</v>
      </c>
      <c r="AG17" s="266">
        <f t="shared" si="15"/>
        <v>12</v>
      </c>
      <c r="AH17" s="223">
        <f t="shared" si="10"/>
        <v>142.20799999999997</v>
      </c>
      <c r="AI17" s="266"/>
      <c r="AJ17" s="223"/>
      <c r="AK17" s="207" t="e">
        <f t="array" ref="AK17">IF($A17=0,0,SUMPRODUCT(($B$4:$B$60=$B17)*($X$4:$X$60)))</f>
        <v>#VALUE!</v>
      </c>
      <c r="AL17" s="225"/>
      <c r="AN17" s="259">
        <f t="shared" si="11"/>
        <v>41333</v>
      </c>
      <c r="AO17" s="256">
        <f t="shared" si="12"/>
        <v>0</v>
      </c>
      <c r="AP17" s="256">
        <f t="shared" si="6"/>
        <v>0</v>
      </c>
      <c r="AQ17" s="256">
        <f t="shared" si="6"/>
        <v>0</v>
      </c>
      <c r="AR17" s="256">
        <f t="shared" si="6"/>
        <v>0</v>
      </c>
      <c r="AS17" s="256">
        <f t="shared" si="6"/>
        <v>0</v>
      </c>
      <c r="AT17" s="256">
        <f t="shared" si="6"/>
        <v>0</v>
      </c>
      <c r="AU17" s="256">
        <f t="shared" si="6"/>
        <v>0</v>
      </c>
      <c r="AV17" s="256">
        <f t="shared" si="6"/>
        <v>0</v>
      </c>
      <c r="AW17" s="256">
        <f t="shared" si="6"/>
        <v>0</v>
      </c>
      <c r="AX17" s="256">
        <f t="shared" si="6"/>
        <v>0</v>
      </c>
      <c r="AY17" s="256">
        <f t="shared" si="6"/>
        <v>0</v>
      </c>
      <c r="AZ17" s="256">
        <f t="shared" si="6"/>
        <v>0</v>
      </c>
      <c r="BA17" s="254">
        <f t="shared" si="13"/>
        <v>0</v>
      </c>
      <c r="BB17" s="254">
        <f t="shared" si="7"/>
        <v>0</v>
      </c>
      <c r="BC17" s="254">
        <f t="shared" si="7"/>
        <v>0</v>
      </c>
      <c r="BD17" s="254">
        <f t="shared" si="7"/>
        <v>0</v>
      </c>
      <c r="BE17" s="254">
        <f t="shared" si="7"/>
        <v>0</v>
      </c>
      <c r="BF17" s="254">
        <f t="shared" si="7"/>
        <v>0</v>
      </c>
      <c r="BG17" s="254">
        <f t="shared" si="7"/>
        <v>0</v>
      </c>
      <c r="BH17" s="254">
        <f t="shared" si="7"/>
        <v>0</v>
      </c>
      <c r="BI17" s="254">
        <f t="shared" si="7"/>
        <v>0</v>
      </c>
      <c r="BJ17" s="254">
        <f t="shared" si="7"/>
        <v>0</v>
      </c>
      <c r="BK17" s="254">
        <f t="shared" si="7"/>
        <v>0</v>
      </c>
      <c r="BL17" s="254">
        <f t="shared" si="7"/>
        <v>0</v>
      </c>
      <c r="BM17" s="254">
        <f t="shared" si="16"/>
        <v>0</v>
      </c>
    </row>
    <row r="18" spans="1:65" ht="17.100000000000001" customHeight="1" x14ac:dyDescent="0.25">
      <c r="A18" s="192" t="s">
        <v>221</v>
      </c>
      <c r="B18" s="192"/>
      <c r="C18" s="228">
        <f t="shared" si="4"/>
        <v>0</v>
      </c>
      <c r="D18" s="229">
        <f t="shared" si="5"/>
        <v>41487</v>
      </c>
      <c r="E18" s="148"/>
      <c r="F18" s="246">
        <v>123</v>
      </c>
      <c r="G18" s="150" t="s">
        <v>479</v>
      </c>
      <c r="H18" s="150" t="s">
        <v>387</v>
      </c>
      <c r="I18" s="150"/>
      <c r="J18" s="150"/>
      <c r="K18" s="150"/>
      <c r="L18" s="150"/>
      <c r="M18" s="150"/>
      <c r="N18" s="150"/>
      <c r="O18" s="155">
        <v>48010</v>
      </c>
      <c r="P18" s="155"/>
      <c r="Q18" s="156">
        <v>44550</v>
      </c>
      <c r="R18" s="150"/>
      <c r="S18" s="150"/>
      <c r="T18" s="148"/>
      <c r="U18" s="148"/>
      <c r="V18" s="148">
        <v>41317</v>
      </c>
      <c r="W18" s="232">
        <v>41499</v>
      </c>
      <c r="X18" s="235"/>
      <c r="Y18" s="242">
        <v>352.43</v>
      </c>
      <c r="Z18" s="157"/>
      <c r="AA18" s="152"/>
      <c r="AB18" s="150"/>
      <c r="AC18" s="194"/>
      <c r="AF18" s="221">
        <f t="shared" si="8"/>
        <v>11.747666666666667</v>
      </c>
      <c r="AG18" s="266">
        <f t="shared" si="15"/>
        <v>13</v>
      </c>
      <c r="AH18" s="223">
        <f t="shared" si="10"/>
        <v>152.71966666666668</v>
      </c>
      <c r="AI18" s="266"/>
      <c r="AJ18" s="223"/>
      <c r="AK18" s="207" t="e">
        <f t="array" ref="AK18">IF($A18=0,0,SUMPRODUCT(($B$4:$B$60=$B18)*($X$4:$X$60)))</f>
        <v>#VALUE!</v>
      </c>
      <c r="AL18" s="225"/>
      <c r="AN18" s="259">
        <f t="shared" si="11"/>
        <v>41517</v>
      </c>
      <c r="AO18" s="256">
        <f t="shared" si="12"/>
        <v>0</v>
      </c>
      <c r="AP18" s="256">
        <f t="shared" si="6"/>
        <v>0</v>
      </c>
      <c r="AQ18" s="256">
        <f t="shared" si="6"/>
        <v>0</v>
      </c>
      <c r="AR18" s="256">
        <f t="shared" si="6"/>
        <v>0</v>
      </c>
      <c r="AS18" s="256">
        <f t="shared" si="6"/>
        <v>0</v>
      </c>
      <c r="AT18" s="256">
        <f t="shared" si="6"/>
        <v>0</v>
      </c>
      <c r="AU18" s="256">
        <f t="shared" si="6"/>
        <v>0</v>
      </c>
      <c r="AV18" s="256">
        <f t="shared" si="6"/>
        <v>0</v>
      </c>
      <c r="AW18" s="256">
        <f t="shared" si="6"/>
        <v>0</v>
      </c>
      <c r="AX18" s="256">
        <f t="shared" si="6"/>
        <v>0</v>
      </c>
      <c r="AY18" s="256">
        <f t="shared" si="6"/>
        <v>0</v>
      </c>
      <c r="AZ18" s="256">
        <f t="shared" si="6"/>
        <v>0</v>
      </c>
      <c r="BA18" s="254">
        <f t="shared" si="13"/>
        <v>0</v>
      </c>
      <c r="BB18" s="254">
        <f t="shared" si="7"/>
        <v>0</v>
      </c>
      <c r="BC18" s="254">
        <f t="shared" si="7"/>
        <v>0</v>
      </c>
      <c r="BD18" s="254">
        <f t="shared" si="7"/>
        <v>0</v>
      </c>
      <c r="BE18" s="254">
        <f t="shared" si="7"/>
        <v>0</v>
      </c>
      <c r="BF18" s="254">
        <f t="shared" si="7"/>
        <v>0</v>
      </c>
      <c r="BG18" s="254">
        <f t="shared" si="7"/>
        <v>0</v>
      </c>
      <c r="BH18" s="254">
        <f t="shared" si="7"/>
        <v>0</v>
      </c>
      <c r="BI18" s="254">
        <f t="shared" si="7"/>
        <v>0</v>
      </c>
      <c r="BJ18" s="254">
        <f t="shared" si="7"/>
        <v>0</v>
      </c>
      <c r="BK18" s="254">
        <f t="shared" si="7"/>
        <v>0</v>
      </c>
      <c r="BL18" s="254">
        <f t="shared" si="7"/>
        <v>0</v>
      </c>
      <c r="BM18" s="254">
        <f t="shared" si="16"/>
        <v>0</v>
      </c>
    </row>
    <row r="19" spans="1:65" ht="17.100000000000001" customHeight="1" x14ac:dyDescent="0.25">
      <c r="A19" s="192" t="s">
        <v>221</v>
      </c>
      <c r="B19" s="192" t="s">
        <v>388</v>
      </c>
      <c r="C19" s="228">
        <f t="shared" si="4"/>
        <v>0</v>
      </c>
      <c r="D19" s="229">
        <f t="shared" si="5"/>
        <v>41760</v>
      </c>
      <c r="E19" s="148"/>
      <c r="F19" s="246">
        <v>123</v>
      </c>
      <c r="G19" s="150" t="s">
        <v>479</v>
      </c>
      <c r="H19" s="150" t="s">
        <v>387</v>
      </c>
      <c r="I19" s="150"/>
      <c r="J19" s="150"/>
      <c r="K19" s="150"/>
      <c r="L19" s="150"/>
      <c r="M19" s="150"/>
      <c r="N19" s="150"/>
      <c r="O19" s="155">
        <v>52160</v>
      </c>
      <c r="P19" s="155"/>
      <c r="Q19" s="156">
        <v>51150</v>
      </c>
      <c r="R19" s="150"/>
      <c r="S19" s="150"/>
      <c r="T19" s="148"/>
      <c r="U19" s="148"/>
      <c r="V19" s="148">
        <v>41499</v>
      </c>
      <c r="W19" s="232">
        <v>41774</v>
      </c>
      <c r="X19" s="235"/>
      <c r="Y19" s="242">
        <v>409.2</v>
      </c>
      <c r="Z19" s="157"/>
      <c r="AA19" s="152"/>
      <c r="AB19" s="150"/>
      <c r="AC19" s="194"/>
      <c r="AF19" s="221">
        <f t="shared" si="8"/>
        <v>13.639999999999999</v>
      </c>
      <c r="AG19" s="266">
        <f t="shared" si="15"/>
        <v>15</v>
      </c>
      <c r="AH19" s="223">
        <f t="shared" si="10"/>
        <v>204.6</v>
      </c>
      <c r="AI19" s="266"/>
      <c r="AJ19" s="223"/>
      <c r="AK19" s="207" t="e">
        <f t="array" ref="AK19">IF($A19=0,0,SUMPRODUCT(($B$4:$B$60=$B19)*($X$4:$X$60)))</f>
        <v>#VALUE!</v>
      </c>
      <c r="AL19" s="225"/>
      <c r="AN19" s="259">
        <f t="shared" si="11"/>
        <v>41790</v>
      </c>
      <c r="AO19" s="256">
        <f t="shared" si="12"/>
        <v>0</v>
      </c>
      <c r="AP19" s="256">
        <f t="shared" si="6"/>
        <v>0</v>
      </c>
      <c r="AQ19" s="256">
        <f t="shared" si="6"/>
        <v>0</v>
      </c>
      <c r="AR19" s="256">
        <f t="shared" si="6"/>
        <v>0</v>
      </c>
      <c r="AS19" s="256">
        <f t="shared" si="6"/>
        <v>0</v>
      </c>
      <c r="AT19" s="256">
        <f t="shared" si="6"/>
        <v>0</v>
      </c>
      <c r="AU19" s="256">
        <f t="shared" si="6"/>
        <v>0</v>
      </c>
      <c r="AV19" s="256">
        <f t="shared" si="6"/>
        <v>0</v>
      </c>
      <c r="AW19" s="256">
        <f t="shared" si="6"/>
        <v>0</v>
      </c>
      <c r="AX19" s="256">
        <f t="shared" si="6"/>
        <v>0</v>
      </c>
      <c r="AY19" s="256">
        <f t="shared" si="6"/>
        <v>0</v>
      </c>
      <c r="AZ19" s="256">
        <f t="shared" si="6"/>
        <v>0</v>
      </c>
      <c r="BA19" s="254">
        <f t="shared" si="13"/>
        <v>0</v>
      </c>
      <c r="BB19" s="254">
        <f t="shared" si="7"/>
        <v>0</v>
      </c>
      <c r="BC19" s="254">
        <f t="shared" si="7"/>
        <v>0</v>
      </c>
      <c r="BD19" s="254">
        <f t="shared" si="7"/>
        <v>0</v>
      </c>
      <c r="BE19" s="254">
        <f t="shared" si="7"/>
        <v>0</v>
      </c>
      <c r="BF19" s="254">
        <f t="shared" si="7"/>
        <v>0</v>
      </c>
      <c r="BG19" s="254">
        <f t="shared" si="7"/>
        <v>0</v>
      </c>
      <c r="BH19" s="254">
        <f t="shared" si="7"/>
        <v>0</v>
      </c>
      <c r="BI19" s="254">
        <f t="shared" si="7"/>
        <v>0</v>
      </c>
      <c r="BJ19" s="254">
        <f t="shared" si="7"/>
        <v>0</v>
      </c>
      <c r="BK19" s="254">
        <f t="shared" si="7"/>
        <v>0</v>
      </c>
      <c r="BL19" s="254">
        <f t="shared" si="7"/>
        <v>0</v>
      </c>
      <c r="BM19" s="254">
        <f t="shared" si="16"/>
        <v>0</v>
      </c>
    </row>
    <row r="20" spans="1:65" ht="17.100000000000001" customHeight="1" x14ac:dyDescent="0.25">
      <c r="A20" s="192" t="s">
        <v>221</v>
      </c>
      <c r="B20" s="192" t="s">
        <v>388</v>
      </c>
      <c r="C20" s="228">
        <f t="shared" si="4"/>
        <v>0</v>
      </c>
      <c r="D20" s="229">
        <f t="shared" si="5"/>
        <v>41944</v>
      </c>
      <c r="E20" s="148">
        <v>41729</v>
      </c>
      <c r="F20" s="246">
        <v>123</v>
      </c>
      <c r="G20" s="150" t="s">
        <v>479</v>
      </c>
      <c r="H20" s="150" t="s">
        <v>387</v>
      </c>
      <c r="I20" s="150"/>
      <c r="J20" s="150"/>
      <c r="K20" s="150"/>
      <c r="L20" s="150"/>
      <c r="M20" s="150"/>
      <c r="N20" s="150"/>
      <c r="O20" s="155">
        <v>55410</v>
      </c>
      <c r="P20" s="155"/>
      <c r="Q20" s="156">
        <f>O20-110-2400</f>
        <v>52900</v>
      </c>
      <c r="R20" s="150"/>
      <c r="S20" s="150"/>
      <c r="T20" s="148"/>
      <c r="U20" s="148"/>
      <c r="V20" s="148">
        <v>41774</v>
      </c>
      <c r="W20" s="232">
        <v>41964</v>
      </c>
      <c r="X20" s="235"/>
      <c r="Y20" s="242">
        <f>+Q20*0.8%</f>
        <v>423.2</v>
      </c>
      <c r="Z20" s="157"/>
      <c r="AA20" s="152"/>
      <c r="AB20" s="150"/>
      <c r="AC20" s="194"/>
      <c r="AF20" s="221">
        <f t="shared" si="8"/>
        <v>14.106666666666666</v>
      </c>
      <c r="AG20" s="266">
        <f t="shared" si="15"/>
        <v>21</v>
      </c>
      <c r="AH20" s="223">
        <f t="shared" si="10"/>
        <v>296.23999999999995</v>
      </c>
      <c r="AI20" s="266"/>
      <c r="AJ20" s="223"/>
      <c r="AK20" s="207" t="e">
        <f t="array" ref="AK20">IF($A20=0,0,SUMPRODUCT(($B$4:$B$60=$B20)*($X$4:$X$60)))</f>
        <v>#VALUE!</v>
      </c>
      <c r="AL20" s="225"/>
      <c r="AN20" s="259">
        <f t="shared" si="11"/>
        <v>41973</v>
      </c>
      <c r="AO20" s="256">
        <f t="shared" si="12"/>
        <v>0</v>
      </c>
      <c r="AP20" s="256">
        <f t="shared" si="6"/>
        <v>0</v>
      </c>
      <c r="AQ20" s="256">
        <f t="shared" si="6"/>
        <v>0</v>
      </c>
      <c r="AR20" s="256">
        <f t="shared" si="6"/>
        <v>0</v>
      </c>
      <c r="AS20" s="256">
        <f t="shared" si="6"/>
        <v>0</v>
      </c>
      <c r="AT20" s="256">
        <f t="shared" si="6"/>
        <v>0</v>
      </c>
      <c r="AU20" s="256">
        <f t="shared" si="6"/>
        <v>0</v>
      </c>
      <c r="AV20" s="256">
        <f t="shared" si="6"/>
        <v>0</v>
      </c>
      <c r="AW20" s="256">
        <f t="shared" si="6"/>
        <v>0</v>
      </c>
      <c r="AX20" s="256">
        <f t="shared" si="6"/>
        <v>0</v>
      </c>
      <c r="AY20" s="256">
        <f t="shared" si="6"/>
        <v>0</v>
      </c>
      <c r="AZ20" s="256">
        <f t="shared" si="6"/>
        <v>0</v>
      </c>
      <c r="BA20" s="254">
        <f t="shared" si="13"/>
        <v>0</v>
      </c>
      <c r="BB20" s="254">
        <f t="shared" si="7"/>
        <v>0</v>
      </c>
      <c r="BC20" s="254">
        <f t="shared" si="7"/>
        <v>0</v>
      </c>
      <c r="BD20" s="254">
        <f t="shared" si="7"/>
        <v>0</v>
      </c>
      <c r="BE20" s="254">
        <f t="shared" si="7"/>
        <v>0</v>
      </c>
      <c r="BF20" s="254">
        <f t="shared" si="7"/>
        <v>0</v>
      </c>
      <c r="BG20" s="254">
        <f t="shared" si="7"/>
        <v>0</v>
      </c>
      <c r="BH20" s="254">
        <f t="shared" si="7"/>
        <v>0</v>
      </c>
      <c r="BI20" s="254">
        <f t="shared" si="7"/>
        <v>0</v>
      </c>
      <c r="BJ20" s="254">
        <f t="shared" si="7"/>
        <v>0</v>
      </c>
      <c r="BK20" s="254">
        <f t="shared" si="7"/>
        <v>0</v>
      </c>
      <c r="BL20" s="254">
        <f t="shared" si="7"/>
        <v>0</v>
      </c>
      <c r="BM20" s="254">
        <f t="shared" si="16"/>
        <v>0</v>
      </c>
    </row>
    <row r="21" spans="1:65" s="139" customFormat="1" ht="17.100000000000001" customHeight="1" x14ac:dyDescent="0.25">
      <c r="A21" s="192" t="s">
        <v>221</v>
      </c>
      <c r="B21" s="192" t="s">
        <v>388</v>
      </c>
      <c r="C21" s="228">
        <f t="shared" si="4"/>
        <v>0</v>
      </c>
      <c r="D21" s="229">
        <f t="shared" si="5"/>
        <v>42156</v>
      </c>
      <c r="E21" s="148">
        <v>41926</v>
      </c>
      <c r="F21" s="246">
        <v>123</v>
      </c>
      <c r="G21" s="150" t="s">
        <v>479</v>
      </c>
      <c r="H21" s="150" t="s">
        <v>387</v>
      </c>
      <c r="I21" s="150"/>
      <c r="J21" s="150"/>
      <c r="K21" s="150"/>
      <c r="L21" s="150"/>
      <c r="M21" s="150"/>
      <c r="N21" s="150"/>
      <c r="O21" s="155">
        <v>58320</v>
      </c>
      <c r="P21" s="155"/>
      <c r="Q21" s="156">
        <f>O21-2400-110-950</f>
        <v>54860</v>
      </c>
      <c r="R21" s="150"/>
      <c r="S21" s="150"/>
      <c r="T21" s="148"/>
      <c r="U21" s="148"/>
      <c r="V21" s="148">
        <v>41964</v>
      </c>
      <c r="W21" s="232">
        <v>42178</v>
      </c>
      <c r="X21" s="235"/>
      <c r="Y21" s="242">
        <f>+Q21*0.8%</f>
        <v>438.88</v>
      </c>
      <c r="Z21" s="157"/>
      <c r="AA21" s="152"/>
      <c r="AB21" s="150"/>
      <c r="AC21" s="194"/>
      <c r="AD21" s="175"/>
      <c r="AE21" s="175"/>
      <c r="AF21" s="221">
        <f t="shared" si="8"/>
        <v>14.629333333333333</v>
      </c>
      <c r="AG21" s="266">
        <f t="shared" si="15"/>
        <v>23</v>
      </c>
      <c r="AH21" s="223">
        <f t="shared" si="10"/>
        <v>336.47466666666668</v>
      </c>
      <c r="AI21" s="266"/>
      <c r="AJ21" s="223"/>
      <c r="AK21" s="207" t="e">
        <f t="array" ref="AK21">IF($A21=0,0,SUMPRODUCT(($B$4:$B$60=$B21)*($X$4:$X$60)))</f>
        <v>#VALUE!</v>
      </c>
      <c r="AL21" s="225"/>
      <c r="AM21" s="175"/>
      <c r="AN21" s="259">
        <f t="shared" si="11"/>
        <v>42185</v>
      </c>
      <c r="AO21" s="256">
        <f t="shared" si="12"/>
        <v>0</v>
      </c>
      <c r="AP21" s="256">
        <f t="shared" si="6"/>
        <v>0</v>
      </c>
      <c r="AQ21" s="256">
        <f t="shared" si="6"/>
        <v>0</v>
      </c>
      <c r="AR21" s="256">
        <f t="shared" si="6"/>
        <v>0</v>
      </c>
      <c r="AS21" s="256">
        <f t="shared" si="6"/>
        <v>0</v>
      </c>
      <c r="AT21" s="256">
        <f t="shared" si="6"/>
        <v>0</v>
      </c>
      <c r="AU21" s="256">
        <f t="shared" si="6"/>
        <v>0</v>
      </c>
      <c r="AV21" s="256">
        <f t="shared" si="6"/>
        <v>0</v>
      </c>
      <c r="AW21" s="256">
        <f t="shared" si="6"/>
        <v>0</v>
      </c>
      <c r="AX21" s="256">
        <f t="shared" si="6"/>
        <v>0</v>
      </c>
      <c r="AY21" s="256">
        <f t="shared" si="6"/>
        <v>0</v>
      </c>
      <c r="AZ21" s="256">
        <f t="shared" si="6"/>
        <v>0</v>
      </c>
      <c r="BA21" s="254">
        <f t="shared" si="13"/>
        <v>0</v>
      </c>
      <c r="BB21" s="254">
        <f t="shared" si="13"/>
        <v>0</v>
      </c>
      <c r="BC21" s="254">
        <f t="shared" si="13"/>
        <v>0</v>
      </c>
      <c r="BD21" s="254">
        <f t="shared" si="13"/>
        <v>0</v>
      </c>
      <c r="BE21" s="254">
        <f t="shared" si="13"/>
        <v>0</v>
      </c>
      <c r="BF21" s="254">
        <f t="shared" si="13"/>
        <v>0</v>
      </c>
      <c r="BG21" s="254">
        <f t="shared" si="13"/>
        <v>0</v>
      </c>
      <c r="BH21" s="254">
        <f t="shared" si="13"/>
        <v>0</v>
      </c>
      <c r="BI21" s="254">
        <f t="shared" si="13"/>
        <v>0</v>
      </c>
      <c r="BJ21" s="254">
        <f t="shared" si="13"/>
        <v>0</v>
      </c>
      <c r="BK21" s="254">
        <f t="shared" si="13"/>
        <v>0</v>
      </c>
      <c r="BL21" s="254">
        <f t="shared" si="13"/>
        <v>0</v>
      </c>
      <c r="BM21" s="254">
        <f t="shared" si="16"/>
        <v>0</v>
      </c>
    </row>
    <row r="22" spans="1:65" s="139" customFormat="1" ht="17.100000000000001" customHeight="1" x14ac:dyDescent="0.25">
      <c r="A22" s="192" t="s">
        <v>221</v>
      </c>
      <c r="B22" s="192" t="s">
        <v>388</v>
      </c>
      <c r="C22" s="228">
        <f t="shared" si="4"/>
        <v>0</v>
      </c>
      <c r="D22" s="229">
        <f t="shared" si="5"/>
        <v>42339</v>
      </c>
      <c r="E22" s="148">
        <v>42111</v>
      </c>
      <c r="F22" s="246">
        <v>123</v>
      </c>
      <c r="G22" s="150" t="s">
        <v>479</v>
      </c>
      <c r="H22" s="150" t="s">
        <v>387</v>
      </c>
      <c r="I22" s="150"/>
      <c r="J22" s="150"/>
      <c r="K22" s="150"/>
      <c r="L22" s="150"/>
      <c r="M22" s="150"/>
      <c r="N22" s="150"/>
      <c r="O22" s="155">
        <v>57370</v>
      </c>
      <c r="P22" s="155"/>
      <c r="Q22" s="156">
        <f>O22-2400-110</f>
        <v>54860</v>
      </c>
      <c r="R22" s="150"/>
      <c r="S22" s="150"/>
      <c r="T22" s="148"/>
      <c r="U22" s="148"/>
      <c r="V22" s="148">
        <v>42178</v>
      </c>
      <c r="W22" s="232">
        <v>42367</v>
      </c>
      <c r="X22" s="235"/>
      <c r="Y22" s="242">
        <f>+Q22*0.8%</f>
        <v>438.88</v>
      </c>
      <c r="Z22" s="157"/>
      <c r="AA22" s="152"/>
      <c r="AB22" s="150"/>
      <c r="AC22" s="194"/>
      <c r="AD22" s="175"/>
      <c r="AE22" s="175"/>
      <c r="AF22" s="221">
        <f t="shared" si="8"/>
        <v>14.629333333333333</v>
      </c>
      <c r="AG22" s="266">
        <f t="shared" si="15"/>
        <v>29</v>
      </c>
      <c r="AH22" s="223">
        <f t="shared" si="10"/>
        <v>424.25066666666669</v>
      </c>
      <c r="AI22" s="266"/>
      <c r="AJ22" s="223"/>
      <c r="AK22" s="207" t="e">
        <f t="array" ref="AK22">IF($A22=0,0,SUMPRODUCT(($B$4:$B$60=$B22)*($X$4:$X$60)))</f>
        <v>#VALUE!</v>
      </c>
      <c r="AL22" s="225"/>
      <c r="AM22" s="175"/>
      <c r="AN22" s="259">
        <f t="shared" si="11"/>
        <v>42369</v>
      </c>
      <c r="AO22" s="256">
        <f t="shared" si="12"/>
        <v>0</v>
      </c>
      <c r="AP22" s="256">
        <f t="shared" si="6"/>
        <v>0</v>
      </c>
      <c r="AQ22" s="256">
        <f t="shared" si="6"/>
        <v>0</v>
      </c>
      <c r="AR22" s="256">
        <f t="shared" si="6"/>
        <v>0</v>
      </c>
      <c r="AS22" s="256">
        <f t="shared" si="6"/>
        <v>0</v>
      </c>
      <c r="AT22" s="256">
        <f t="shared" si="6"/>
        <v>0</v>
      </c>
      <c r="AU22" s="256">
        <f t="shared" si="6"/>
        <v>0</v>
      </c>
      <c r="AV22" s="256">
        <f t="shared" si="6"/>
        <v>0</v>
      </c>
      <c r="AW22" s="256">
        <f t="shared" si="6"/>
        <v>0</v>
      </c>
      <c r="AX22" s="256">
        <f t="shared" si="6"/>
        <v>0</v>
      </c>
      <c r="AY22" s="256">
        <f t="shared" si="6"/>
        <v>0</v>
      </c>
      <c r="AZ22" s="256">
        <f t="shared" si="6"/>
        <v>0</v>
      </c>
      <c r="BA22" s="254">
        <f t="shared" si="13"/>
        <v>0</v>
      </c>
      <c r="BB22" s="254">
        <f t="shared" si="13"/>
        <v>0</v>
      </c>
      <c r="BC22" s="254">
        <f t="shared" si="13"/>
        <v>0</v>
      </c>
      <c r="BD22" s="254">
        <f t="shared" si="13"/>
        <v>0</v>
      </c>
      <c r="BE22" s="254">
        <f t="shared" si="13"/>
        <v>0</v>
      </c>
      <c r="BF22" s="254">
        <f t="shared" si="13"/>
        <v>0</v>
      </c>
      <c r="BG22" s="254">
        <f t="shared" si="13"/>
        <v>0</v>
      </c>
      <c r="BH22" s="254">
        <f t="shared" si="13"/>
        <v>0</v>
      </c>
      <c r="BI22" s="254">
        <f t="shared" si="13"/>
        <v>0</v>
      </c>
      <c r="BJ22" s="254">
        <f t="shared" si="13"/>
        <v>0</v>
      </c>
      <c r="BK22" s="254">
        <f t="shared" si="13"/>
        <v>0</v>
      </c>
      <c r="BL22" s="254">
        <f t="shared" si="13"/>
        <v>0</v>
      </c>
      <c r="BM22" s="254">
        <f t="shared" si="16"/>
        <v>0</v>
      </c>
    </row>
    <row r="23" spans="1:65" s="139" customFormat="1" ht="17.100000000000001" customHeight="1" x14ac:dyDescent="0.25">
      <c r="A23" s="192" t="s">
        <v>221</v>
      </c>
      <c r="B23" s="192" t="s">
        <v>388</v>
      </c>
      <c r="C23" s="228">
        <f t="shared" si="4"/>
        <v>0</v>
      </c>
      <c r="D23" s="229">
        <f t="shared" si="5"/>
        <v>42522</v>
      </c>
      <c r="E23" s="148">
        <v>42292</v>
      </c>
      <c r="F23" s="246">
        <v>123</v>
      </c>
      <c r="G23" s="150" t="s">
        <v>479</v>
      </c>
      <c r="H23" s="150" t="s">
        <v>387</v>
      </c>
      <c r="I23" s="150"/>
      <c r="J23" s="150"/>
      <c r="K23" s="150"/>
      <c r="L23" s="150"/>
      <c r="M23" s="150"/>
      <c r="N23" s="150"/>
      <c r="O23" s="155">
        <v>60900</v>
      </c>
      <c r="P23" s="155"/>
      <c r="Q23" s="156">
        <f>O23-1000-2400-550</f>
        <v>56950</v>
      </c>
      <c r="R23" s="150"/>
      <c r="S23" s="150"/>
      <c r="T23" s="148"/>
      <c r="U23" s="148"/>
      <c r="V23" s="148">
        <v>42367</v>
      </c>
      <c r="W23" s="232">
        <v>42528</v>
      </c>
      <c r="X23" s="235"/>
      <c r="Y23" s="242">
        <f>+Q23*0.8%</f>
        <v>455.6</v>
      </c>
      <c r="Z23" s="157"/>
      <c r="AA23" s="152"/>
      <c r="AB23" s="150"/>
      <c r="AC23" s="194"/>
      <c r="AD23" s="175"/>
      <c r="AE23" s="175"/>
      <c r="AF23" s="221">
        <f t="shared" si="8"/>
        <v>15.186666666666667</v>
      </c>
      <c r="AG23" s="266">
        <f t="shared" si="15"/>
        <v>7</v>
      </c>
      <c r="AH23" s="223">
        <f t="shared" si="10"/>
        <v>106.30666666666667</v>
      </c>
      <c r="AI23" s="266"/>
      <c r="AJ23" s="223"/>
      <c r="AK23" s="207" t="e">
        <f t="array" ref="AK23">IF($A23=0,0,SUMPRODUCT(($B$4:$B$60=$B23)*($X$4:$X$60)))</f>
        <v>#VALUE!</v>
      </c>
      <c r="AL23" s="225"/>
      <c r="AM23" s="175"/>
      <c r="AN23" s="259">
        <f t="shared" si="11"/>
        <v>42551</v>
      </c>
      <c r="AO23" s="256">
        <f t="shared" si="12"/>
        <v>0</v>
      </c>
      <c r="AP23" s="256">
        <f t="shared" si="6"/>
        <v>0</v>
      </c>
      <c r="AQ23" s="256">
        <f t="shared" si="6"/>
        <v>0</v>
      </c>
      <c r="AR23" s="256">
        <f t="shared" si="6"/>
        <v>0</v>
      </c>
      <c r="AS23" s="256">
        <f t="shared" si="6"/>
        <v>0</v>
      </c>
      <c r="AT23" s="256">
        <f t="shared" si="6"/>
        <v>0</v>
      </c>
      <c r="AU23" s="256">
        <f t="shared" si="6"/>
        <v>0</v>
      </c>
      <c r="AV23" s="256">
        <f t="shared" si="6"/>
        <v>0</v>
      </c>
      <c r="AW23" s="256">
        <f t="shared" si="6"/>
        <v>0</v>
      </c>
      <c r="AX23" s="256">
        <f t="shared" si="6"/>
        <v>0</v>
      </c>
      <c r="AY23" s="256">
        <f t="shared" si="6"/>
        <v>0</v>
      </c>
      <c r="AZ23" s="256">
        <f t="shared" si="6"/>
        <v>0</v>
      </c>
      <c r="BA23" s="254">
        <f t="shared" si="13"/>
        <v>455.6</v>
      </c>
      <c r="BB23" s="254">
        <f t="shared" si="13"/>
        <v>455.6</v>
      </c>
      <c r="BC23" s="254">
        <f t="shared" si="13"/>
        <v>455.6</v>
      </c>
      <c r="BD23" s="254">
        <f t="shared" si="13"/>
        <v>455.6</v>
      </c>
      <c r="BE23" s="254">
        <f t="shared" si="13"/>
        <v>455.6</v>
      </c>
      <c r="BF23" s="254">
        <f t="shared" si="13"/>
        <v>455.6</v>
      </c>
      <c r="BG23" s="254">
        <f t="shared" si="13"/>
        <v>0</v>
      </c>
      <c r="BH23" s="254">
        <f t="shared" si="13"/>
        <v>0</v>
      </c>
      <c r="BI23" s="254">
        <f t="shared" si="13"/>
        <v>0</v>
      </c>
      <c r="BJ23" s="254">
        <f t="shared" si="13"/>
        <v>0</v>
      </c>
      <c r="BK23" s="254">
        <f t="shared" si="13"/>
        <v>0</v>
      </c>
      <c r="BL23" s="254">
        <f t="shared" si="13"/>
        <v>0</v>
      </c>
      <c r="BM23" s="254">
        <f t="shared" si="16"/>
        <v>2733.6</v>
      </c>
    </row>
    <row r="24" spans="1:65" s="139" customFormat="1" ht="17.100000000000001" customHeight="1" x14ac:dyDescent="0.25">
      <c r="A24" s="192" t="s">
        <v>221</v>
      </c>
      <c r="B24" s="192" t="s">
        <v>388</v>
      </c>
      <c r="C24" s="228">
        <f t="shared" si="4"/>
        <v>0</v>
      </c>
      <c r="D24" s="229">
        <f t="shared" si="5"/>
        <v>42522</v>
      </c>
      <c r="E24" s="148">
        <v>42460</v>
      </c>
      <c r="F24" s="246">
        <v>123</v>
      </c>
      <c r="G24" s="150" t="s">
        <v>479</v>
      </c>
      <c r="H24" s="150" t="s">
        <v>387</v>
      </c>
      <c r="I24" s="150"/>
      <c r="J24" s="150"/>
      <c r="K24" s="150"/>
      <c r="L24" s="150"/>
      <c r="M24" s="150"/>
      <c r="N24" s="150"/>
      <c r="O24" s="155">
        <v>63120</v>
      </c>
      <c r="P24" s="155"/>
      <c r="Q24" s="156">
        <f>O24-1000-2360-550</f>
        <v>59210</v>
      </c>
      <c r="R24" s="150"/>
      <c r="S24" s="150"/>
      <c r="T24" s="148"/>
      <c r="U24" s="148"/>
      <c r="V24" s="148">
        <v>42528</v>
      </c>
      <c r="W24" s="232">
        <v>42551</v>
      </c>
      <c r="X24" s="235"/>
      <c r="Y24" s="242">
        <f>+Q24*0.8%</f>
        <v>473.68</v>
      </c>
      <c r="Z24" s="157"/>
      <c r="AA24" s="152"/>
      <c r="AB24" s="150"/>
      <c r="AC24" s="194"/>
      <c r="AD24" s="175"/>
      <c r="AE24" s="175"/>
      <c r="AF24" s="221">
        <f t="shared" si="8"/>
        <v>15.789333333333333</v>
      </c>
      <c r="AG24" s="266">
        <f t="shared" si="15"/>
        <v>30</v>
      </c>
      <c r="AH24" s="223">
        <f t="shared" si="10"/>
        <v>473.68</v>
      </c>
      <c r="AI24" s="266"/>
      <c r="AJ24" s="223"/>
      <c r="AK24" s="207" t="e">
        <f t="array" ref="AK24">IF($A24=0,0,SUMPRODUCT(($B$4:$B$60=$B24)*($X$4:$X$60)))</f>
        <v>#VALUE!</v>
      </c>
      <c r="AL24" s="225"/>
      <c r="AM24" s="175"/>
      <c r="AN24" s="259">
        <f t="shared" si="11"/>
        <v>42551</v>
      </c>
      <c r="AO24" s="256">
        <f t="shared" si="12"/>
        <v>0</v>
      </c>
      <c r="AP24" s="256">
        <f t="shared" si="6"/>
        <v>0</v>
      </c>
      <c r="AQ24" s="256">
        <f t="shared" si="6"/>
        <v>0</v>
      </c>
      <c r="AR24" s="256">
        <f t="shared" si="6"/>
        <v>0</v>
      </c>
      <c r="AS24" s="256">
        <f t="shared" si="6"/>
        <v>0</v>
      </c>
      <c r="AT24" s="256">
        <f t="shared" si="6"/>
        <v>0</v>
      </c>
      <c r="AU24" s="256" t="str">
        <f t="shared" si="6"/>
        <v>X</v>
      </c>
      <c r="AV24" s="256">
        <f t="shared" si="6"/>
        <v>0</v>
      </c>
      <c r="AW24" s="256">
        <f t="shared" si="6"/>
        <v>0</v>
      </c>
      <c r="AX24" s="256">
        <f t="shared" si="6"/>
        <v>0</v>
      </c>
      <c r="AY24" s="256">
        <f t="shared" si="6"/>
        <v>0</v>
      </c>
      <c r="AZ24" s="256">
        <f t="shared" si="6"/>
        <v>0</v>
      </c>
      <c r="BA24" s="254">
        <f t="shared" si="13"/>
        <v>0</v>
      </c>
      <c r="BB24" s="254">
        <f t="shared" si="13"/>
        <v>0</v>
      </c>
      <c r="BC24" s="254">
        <f t="shared" si="13"/>
        <v>0</v>
      </c>
      <c r="BD24" s="254">
        <f t="shared" si="13"/>
        <v>0</v>
      </c>
      <c r="BE24" s="254">
        <f t="shared" si="13"/>
        <v>0</v>
      </c>
      <c r="BF24" s="254">
        <f t="shared" si="13"/>
        <v>0</v>
      </c>
      <c r="BG24" s="254">
        <f t="shared" si="13"/>
        <v>0</v>
      </c>
      <c r="BH24" s="254">
        <f t="shared" si="13"/>
        <v>0</v>
      </c>
      <c r="BI24" s="254">
        <f t="shared" si="13"/>
        <v>0</v>
      </c>
      <c r="BJ24" s="254">
        <f t="shared" si="13"/>
        <v>0</v>
      </c>
      <c r="BK24" s="254">
        <f t="shared" si="13"/>
        <v>0</v>
      </c>
      <c r="BL24" s="254">
        <f t="shared" si="13"/>
        <v>0</v>
      </c>
      <c r="BM24" s="254">
        <f t="shared" si="16"/>
        <v>0</v>
      </c>
    </row>
    <row r="25" spans="1:65" x14ac:dyDescent="0.25">
      <c r="A25" s="150" t="s">
        <v>221</v>
      </c>
      <c r="B25" s="192">
        <v>3</v>
      </c>
      <c r="C25" s="228" t="str">
        <f t="shared" si="4"/>
        <v>X</v>
      </c>
      <c r="D25" s="229">
        <f t="shared" si="5"/>
        <v>42614</v>
      </c>
      <c r="E25" s="148">
        <v>42384</v>
      </c>
      <c r="F25" s="246">
        <v>499</v>
      </c>
      <c r="G25" s="249" t="s">
        <v>471</v>
      </c>
      <c r="H25" s="249" t="s">
        <v>400</v>
      </c>
      <c r="I25" s="150"/>
      <c r="J25" s="150"/>
      <c r="K25" s="150"/>
      <c r="L25" s="150"/>
      <c r="M25" s="150"/>
      <c r="N25" s="150"/>
      <c r="O25" s="155">
        <v>39385</v>
      </c>
      <c r="P25" s="155"/>
      <c r="Q25" s="155">
        <f>O25-590-695</f>
        <v>38100</v>
      </c>
      <c r="R25" s="150"/>
      <c r="S25" s="150"/>
      <c r="T25" s="148"/>
      <c r="U25" s="148" t="s">
        <v>440</v>
      </c>
      <c r="V25" s="148">
        <v>42426</v>
      </c>
      <c r="W25" s="232">
        <v>42629</v>
      </c>
      <c r="X25" s="240"/>
      <c r="Y25" s="242">
        <f>IF($U25=0,0,$Q25*VLOOKUP($U25,$W$1:$X$3,2))</f>
        <v>342.9</v>
      </c>
      <c r="Z25" s="157"/>
      <c r="AA25" s="152"/>
      <c r="AB25" s="150"/>
      <c r="AC25" s="158"/>
      <c r="AD25" s="139"/>
      <c r="AE25" s="139"/>
      <c r="AF25" s="260">
        <f t="shared" si="8"/>
        <v>11.43</v>
      </c>
      <c r="AG25" s="267">
        <f t="shared" si="15"/>
        <v>16</v>
      </c>
      <c r="AH25" s="261">
        <f>$AF25*$AG25</f>
        <v>182.88</v>
      </c>
      <c r="AI25" s="267">
        <f>IF(OR($F25&lt;&gt;$F26,G26=0,$V26=0),0,IF($W26=0,EOMONTH($V26,0)-$V26,$W26-DATE(YEAR($W26),MONTH($W26),1)+1))</f>
        <v>14</v>
      </c>
      <c r="AJ25" s="261">
        <f>IF($AI25&lt;&gt;0,$Y26/30*$AI25,0)</f>
        <v>164.745</v>
      </c>
      <c r="AK25" s="262">
        <f>AH25+AJ25</f>
        <v>347.625</v>
      </c>
      <c r="AL25" s="263"/>
      <c r="AN25" s="264">
        <f t="shared" si="11"/>
        <v>42643</v>
      </c>
      <c r="AO25" s="256">
        <f t="shared" si="12"/>
        <v>0</v>
      </c>
      <c r="AP25" s="256">
        <f t="shared" si="6"/>
        <v>0</v>
      </c>
      <c r="AQ25" s="256" t="str">
        <f t="shared" si="6"/>
        <v>X</v>
      </c>
      <c r="AR25" s="256">
        <f t="shared" si="6"/>
        <v>0</v>
      </c>
      <c r="AS25" s="256">
        <f t="shared" si="6"/>
        <v>0</v>
      </c>
      <c r="AT25" s="256">
        <f t="shared" si="6"/>
        <v>0</v>
      </c>
      <c r="AU25" s="256">
        <f t="shared" si="6"/>
        <v>0</v>
      </c>
      <c r="AV25" s="256">
        <f t="shared" si="6"/>
        <v>0</v>
      </c>
      <c r="AW25" s="256">
        <f t="shared" si="6"/>
        <v>0</v>
      </c>
      <c r="AX25" s="256">
        <f t="shared" si="6"/>
        <v>0</v>
      </c>
      <c r="AY25" s="256">
        <f t="shared" si="6"/>
        <v>0</v>
      </c>
      <c r="AZ25" s="256">
        <f t="shared" si="6"/>
        <v>0</v>
      </c>
      <c r="BA25" s="254">
        <f t="shared" si="13"/>
        <v>0</v>
      </c>
      <c r="BB25" s="254">
        <f t="shared" si="13"/>
        <v>0</v>
      </c>
      <c r="BC25" s="254">
        <f t="shared" si="13"/>
        <v>342.9</v>
      </c>
      <c r="BD25" s="254">
        <f t="shared" si="13"/>
        <v>342.9</v>
      </c>
      <c r="BE25" s="254">
        <f t="shared" si="13"/>
        <v>342.9</v>
      </c>
      <c r="BF25" s="254">
        <f t="shared" si="13"/>
        <v>342.9</v>
      </c>
      <c r="BG25" s="254">
        <f t="shared" si="13"/>
        <v>342.9</v>
      </c>
      <c r="BH25" s="254">
        <f t="shared" si="13"/>
        <v>342.9</v>
      </c>
      <c r="BI25" s="254">
        <f t="shared" si="13"/>
        <v>342.9</v>
      </c>
      <c r="BJ25" s="254">
        <f t="shared" si="13"/>
        <v>0</v>
      </c>
      <c r="BK25" s="254">
        <f t="shared" si="13"/>
        <v>0</v>
      </c>
      <c r="BL25" s="254">
        <f t="shared" si="13"/>
        <v>0</v>
      </c>
      <c r="BM25" s="254">
        <f t="shared" si="16"/>
        <v>2400.3000000000002</v>
      </c>
    </row>
    <row r="26" spans="1:65" x14ac:dyDescent="0.25">
      <c r="A26" s="150" t="s">
        <v>221</v>
      </c>
      <c r="B26" s="192">
        <v>3</v>
      </c>
      <c r="C26" s="228" t="str">
        <f t="shared" si="4"/>
        <v>X</v>
      </c>
      <c r="D26" s="229">
        <f t="shared" si="5"/>
        <v>42614</v>
      </c>
      <c r="E26" s="148">
        <v>42587</v>
      </c>
      <c r="F26" s="246">
        <v>499</v>
      </c>
      <c r="G26" s="249" t="s">
        <v>471</v>
      </c>
      <c r="H26" s="249" t="s">
        <v>400</v>
      </c>
      <c r="I26" s="150"/>
      <c r="J26" s="150"/>
      <c r="K26" s="150"/>
      <c r="L26" s="150"/>
      <c r="M26" s="150"/>
      <c r="N26" s="150"/>
      <c r="O26" s="155">
        <v>39815</v>
      </c>
      <c r="P26" s="155"/>
      <c r="Q26" s="155">
        <f>O26-590</f>
        <v>39225</v>
      </c>
      <c r="R26" s="150"/>
      <c r="S26" s="150"/>
      <c r="T26" s="148"/>
      <c r="U26" s="148" t="s">
        <v>440</v>
      </c>
      <c r="V26" s="148">
        <v>42629</v>
      </c>
      <c r="W26" s="232"/>
      <c r="X26" s="240"/>
      <c r="Y26" s="242">
        <f>IF($U26=0,0,$Q26*VLOOKUP($U26,$W$1:$X$3,2))</f>
        <v>353.02499999999998</v>
      </c>
      <c r="Z26" s="157"/>
      <c r="AA26" s="152"/>
      <c r="AB26" s="150"/>
      <c r="AC26" s="158"/>
      <c r="AD26" s="139"/>
      <c r="AE26" s="139"/>
      <c r="AF26" s="260">
        <f t="shared" si="8"/>
        <v>11.7675</v>
      </c>
      <c r="AG26" s="267">
        <f t="shared" si="15"/>
        <v>14</v>
      </c>
      <c r="AH26" s="261">
        <f t="shared" si="10"/>
        <v>164.745</v>
      </c>
      <c r="AI26" s="267">
        <f>IF(OR($F26&lt;&gt;$F27,G27=0,$V27=0),0,IF($W27=0,EOMONTH($V27,0)-$V27,$W27-DATE(YEAR($W27),MONTH($W27),1)+1))</f>
        <v>0</v>
      </c>
      <c r="AJ26" s="261">
        <f>IF($AI26&lt;&gt;0,$Y27/30*$AI26,0)</f>
        <v>0</v>
      </c>
      <c r="AK26" s="262" t="e">
        <f t="array" ref="AK26">IF($A26=0,0,SUMPRODUCT(($B$4:$B$60=$B26)*($X$4:$X$60)))</f>
        <v>#VALUE!</v>
      </c>
      <c r="AL26" s="263"/>
      <c r="AN26" s="264">
        <f t="shared" si="11"/>
        <v>73050</v>
      </c>
      <c r="AO26" s="256">
        <f t="shared" si="12"/>
        <v>0</v>
      </c>
      <c r="AP26" s="256">
        <f t="shared" si="6"/>
        <v>0</v>
      </c>
      <c r="AQ26" s="256">
        <f t="shared" si="6"/>
        <v>0</v>
      </c>
      <c r="AR26" s="256">
        <f t="shared" si="6"/>
        <v>0</v>
      </c>
      <c r="AS26" s="256">
        <f t="shared" si="6"/>
        <v>0</v>
      </c>
      <c r="AT26" s="256">
        <f t="shared" si="6"/>
        <v>0</v>
      </c>
      <c r="AU26" s="256">
        <f t="shared" si="6"/>
        <v>0</v>
      </c>
      <c r="AV26" s="256">
        <f t="shared" si="6"/>
        <v>0</v>
      </c>
      <c r="AW26" s="256">
        <f t="shared" si="6"/>
        <v>0</v>
      </c>
      <c r="AX26" s="256" t="str">
        <f t="shared" si="6"/>
        <v>X</v>
      </c>
      <c r="AY26" s="256">
        <f t="shared" si="6"/>
        <v>0</v>
      </c>
      <c r="AZ26" s="256">
        <f t="shared" si="6"/>
        <v>0</v>
      </c>
      <c r="BA26" s="254">
        <f t="shared" si="13"/>
        <v>0</v>
      </c>
      <c r="BB26" s="254">
        <f t="shared" si="13"/>
        <v>0</v>
      </c>
      <c r="BC26" s="254">
        <f t="shared" si="13"/>
        <v>0</v>
      </c>
      <c r="BD26" s="254">
        <f t="shared" si="13"/>
        <v>0</v>
      </c>
      <c r="BE26" s="254">
        <f t="shared" si="13"/>
        <v>0</v>
      </c>
      <c r="BF26" s="254">
        <f t="shared" si="13"/>
        <v>0</v>
      </c>
      <c r="BG26" s="254">
        <f t="shared" si="13"/>
        <v>0</v>
      </c>
      <c r="BH26" s="254">
        <f t="shared" si="13"/>
        <v>0</v>
      </c>
      <c r="BI26" s="254">
        <f t="shared" si="13"/>
        <v>0</v>
      </c>
      <c r="BJ26" s="254">
        <f t="shared" si="13"/>
        <v>353.02499999999998</v>
      </c>
      <c r="BK26" s="254">
        <f t="shared" si="13"/>
        <v>353.02499999999998</v>
      </c>
      <c r="BL26" s="254">
        <f t="shared" si="13"/>
        <v>353.02499999999998</v>
      </c>
      <c r="BM26" s="254">
        <f t="shared" si="16"/>
        <v>1059.0749999999998</v>
      </c>
    </row>
    <row r="27" spans="1:65" s="139" customFormat="1" ht="17.100000000000001" customHeight="1" x14ac:dyDescent="0.25">
      <c r="A27" s="192" t="s">
        <v>221</v>
      </c>
      <c r="B27" s="150"/>
      <c r="C27" s="228">
        <f t="shared" si="4"/>
        <v>0</v>
      </c>
      <c r="D27" s="229">
        <f t="shared" si="5"/>
        <v>41275</v>
      </c>
      <c r="E27" s="148">
        <v>41232</v>
      </c>
      <c r="F27" s="246">
        <v>202</v>
      </c>
      <c r="G27" s="150" t="s">
        <v>478</v>
      </c>
      <c r="H27" s="150" t="s">
        <v>486</v>
      </c>
      <c r="I27" s="150"/>
      <c r="J27" s="150"/>
      <c r="K27" s="150"/>
      <c r="L27" s="150"/>
      <c r="M27" s="150"/>
      <c r="N27" s="150"/>
      <c r="O27" s="150"/>
      <c r="P27" s="150"/>
      <c r="Q27" s="200"/>
      <c r="R27" s="150"/>
      <c r="S27" s="150"/>
      <c r="T27" s="148"/>
      <c r="U27" s="148"/>
      <c r="V27" s="148">
        <v>41257</v>
      </c>
      <c r="W27" s="232">
        <v>41305</v>
      </c>
      <c r="X27" s="241"/>
      <c r="Y27" s="242">
        <v>263.23</v>
      </c>
      <c r="Z27" s="157"/>
      <c r="AA27" s="152"/>
      <c r="AB27" s="150"/>
      <c r="AC27" s="194"/>
      <c r="AF27" s="221">
        <f t="shared" si="8"/>
        <v>8.7743333333333347</v>
      </c>
      <c r="AG27" s="266">
        <f t="shared" si="15"/>
        <v>31</v>
      </c>
      <c r="AH27" s="223">
        <f t="shared" si="10"/>
        <v>272.00433333333336</v>
      </c>
      <c r="AI27" s="266"/>
      <c r="AJ27" s="223"/>
      <c r="AK27" s="207" t="e">
        <f t="array" ref="AK27">IF($A27=0,0,SUMPRODUCT(($B$4:$B$60=$B27)*($X$4:$X$60)))</f>
        <v>#VALUE!</v>
      </c>
      <c r="AL27" s="225"/>
      <c r="AM27" s="175"/>
      <c r="AN27" s="259">
        <f t="shared" si="11"/>
        <v>41305</v>
      </c>
      <c r="AO27" s="256">
        <f t="shared" si="12"/>
        <v>0</v>
      </c>
      <c r="AP27" s="256">
        <f t="shared" si="6"/>
        <v>0</v>
      </c>
      <c r="AQ27" s="256">
        <f t="shared" si="6"/>
        <v>0</v>
      </c>
      <c r="AR27" s="256">
        <f t="shared" ref="AR27:AZ27" si="17">IF(AND(YEAR(AR$4)=YEAR($V27),MONTH(AR$4)=MONTH($V27)+1),"X",0)</f>
        <v>0</v>
      </c>
      <c r="AS27" s="256">
        <f t="shared" si="17"/>
        <v>0</v>
      </c>
      <c r="AT27" s="256">
        <f t="shared" si="17"/>
        <v>0</v>
      </c>
      <c r="AU27" s="256">
        <f t="shared" si="17"/>
        <v>0</v>
      </c>
      <c r="AV27" s="256">
        <f t="shared" si="17"/>
        <v>0</v>
      </c>
      <c r="AW27" s="256">
        <f t="shared" si="17"/>
        <v>0</v>
      </c>
      <c r="AX27" s="256">
        <f t="shared" si="17"/>
        <v>0</v>
      </c>
      <c r="AY27" s="256">
        <f t="shared" si="17"/>
        <v>0</v>
      </c>
      <c r="AZ27" s="256">
        <f t="shared" si="17"/>
        <v>0</v>
      </c>
      <c r="BA27" s="254">
        <f t="shared" si="13"/>
        <v>0</v>
      </c>
      <c r="BB27" s="254">
        <f t="shared" si="13"/>
        <v>0</v>
      </c>
      <c r="BC27" s="254">
        <f t="shared" si="13"/>
        <v>0</v>
      </c>
      <c r="BD27" s="254">
        <f t="shared" si="13"/>
        <v>0</v>
      </c>
      <c r="BE27" s="254">
        <f t="shared" si="13"/>
        <v>0</v>
      </c>
      <c r="BF27" s="254">
        <f t="shared" si="13"/>
        <v>0</v>
      </c>
      <c r="BG27" s="254">
        <f t="shared" si="13"/>
        <v>0</v>
      </c>
      <c r="BH27" s="254">
        <f t="shared" si="13"/>
        <v>0</v>
      </c>
      <c r="BI27" s="254">
        <f t="shared" si="13"/>
        <v>0</v>
      </c>
      <c r="BJ27" s="254">
        <f t="shared" si="13"/>
        <v>0</v>
      </c>
      <c r="BK27" s="254">
        <f t="shared" si="13"/>
        <v>0</v>
      </c>
      <c r="BL27" s="254">
        <f t="shared" si="13"/>
        <v>0</v>
      </c>
      <c r="BM27" s="254">
        <f t="shared" si="16"/>
        <v>0</v>
      </c>
    </row>
    <row r="28" spans="1:65" s="139" customFormat="1" ht="17.100000000000001" customHeight="1" x14ac:dyDescent="0.25">
      <c r="A28" s="192" t="s">
        <v>221</v>
      </c>
      <c r="B28" s="150"/>
      <c r="C28" s="228">
        <f t="shared" si="4"/>
        <v>0</v>
      </c>
      <c r="D28" s="229">
        <f t="shared" si="5"/>
        <v>41518</v>
      </c>
      <c r="E28" s="148">
        <v>41305</v>
      </c>
      <c r="F28" s="246">
        <v>202</v>
      </c>
      <c r="G28" s="150" t="s">
        <v>478</v>
      </c>
      <c r="H28" s="150" t="s">
        <v>486</v>
      </c>
      <c r="I28" s="150"/>
      <c r="J28" s="150"/>
      <c r="K28" s="150"/>
      <c r="L28" s="150"/>
      <c r="M28" s="150"/>
      <c r="N28" s="150"/>
      <c r="O28" s="150"/>
      <c r="P28" s="150"/>
      <c r="Q28" s="200"/>
      <c r="R28" s="150"/>
      <c r="S28" s="150"/>
      <c r="T28" s="148"/>
      <c r="U28" s="148"/>
      <c r="V28" s="148">
        <v>41305</v>
      </c>
      <c r="W28" s="232">
        <v>41520</v>
      </c>
      <c r="X28" s="241"/>
      <c r="Y28" s="242">
        <v>263.23</v>
      </c>
      <c r="Z28" s="157"/>
      <c r="AA28" s="152"/>
      <c r="AB28" s="150"/>
      <c r="AC28" s="194"/>
      <c r="AF28" s="221">
        <f t="shared" si="8"/>
        <v>8.7743333333333347</v>
      </c>
      <c r="AG28" s="266">
        <f t="shared" si="15"/>
        <v>3</v>
      </c>
      <c r="AH28" s="223">
        <f t="shared" si="10"/>
        <v>26.323000000000004</v>
      </c>
      <c r="AI28" s="266"/>
      <c r="AJ28" s="223"/>
      <c r="AK28" s="207" t="e">
        <f t="array" ref="AK28">IF($A28=0,0,SUMPRODUCT(($B$4:$B$60=$B28)*($X$4:$X$60)))</f>
        <v>#VALUE!</v>
      </c>
      <c r="AL28" s="225"/>
      <c r="AM28" s="175"/>
      <c r="AN28" s="259">
        <f t="shared" si="11"/>
        <v>41547</v>
      </c>
      <c r="AO28" s="256">
        <f t="shared" si="12"/>
        <v>0</v>
      </c>
      <c r="AP28" s="256">
        <f t="shared" si="12"/>
        <v>0</v>
      </c>
      <c r="AQ28" s="256">
        <f t="shared" si="12"/>
        <v>0</v>
      </c>
      <c r="AR28" s="256">
        <f t="shared" si="12"/>
        <v>0</v>
      </c>
      <c r="AS28" s="256">
        <f t="shared" si="12"/>
        <v>0</v>
      </c>
      <c r="AT28" s="256">
        <f t="shared" si="12"/>
        <v>0</v>
      </c>
      <c r="AU28" s="256">
        <f t="shared" si="12"/>
        <v>0</v>
      </c>
      <c r="AV28" s="256">
        <f t="shared" si="12"/>
        <v>0</v>
      </c>
      <c r="AW28" s="256">
        <f t="shared" si="12"/>
        <v>0</v>
      </c>
      <c r="AX28" s="256">
        <f t="shared" si="12"/>
        <v>0</v>
      </c>
      <c r="AY28" s="256">
        <f t="shared" si="12"/>
        <v>0</v>
      </c>
      <c r="AZ28" s="256">
        <f t="shared" si="12"/>
        <v>0</v>
      </c>
      <c r="BA28" s="254">
        <f t="shared" si="13"/>
        <v>0</v>
      </c>
      <c r="BB28" s="254">
        <f t="shared" si="13"/>
        <v>0</v>
      </c>
      <c r="BC28" s="254">
        <f t="shared" si="13"/>
        <v>0</v>
      </c>
      <c r="BD28" s="254">
        <f t="shared" si="13"/>
        <v>0</v>
      </c>
      <c r="BE28" s="254">
        <f t="shared" si="13"/>
        <v>0</v>
      </c>
      <c r="BF28" s="254">
        <f t="shared" si="13"/>
        <v>0</v>
      </c>
      <c r="BG28" s="254">
        <f t="shared" si="13"/>
        <v>0</v>
      </c>
      <c r="BH28" s="254">
        <f t="shared" si="13"/>
        <v>0</v>
      </c>
      <c r="BI28" s="254">
        <f t="shared" si="13"/>
        <v>0</v>
      </c>
      <c r="BJ28" s="254">
        <f t="shared" si="13"/>
        <v>0</v>
      </c>
      <c r="BK28" s="254">
        <f t="shared" si="13"/>
        <v>0</v>
      </c>
      <c r="BL28" s="254">
        <f t="shared" si="13"/>
        <v>0</v>
      </c>
      <c r="BM28" s="254">
        <f t="shared" si="16"/>
        <v>0</v>
      </c>
    </row>
    <row r="29" spans="1:65" s="139" customFormat="1" ht="17.100000000000001" customHeight="1" x14ac:dyDescent="0.25">
      <c r="A29" s="192" t="s">
        <v>221</v>
      </c>
      <c r="B29" s="150"/>
      <c r="C29" s="228">
        <f t="shared" si="4"/>
        <v>0</v>
      </c>
      <c r="D29" s="229">
        <f t="shared" si="5"/>
        <v>41730</v>
      </c>
      <c r="E29" s="148">
        <v>41451</v>
      </c>
      <c r="F29" s="246">
        <v>202</v>
      </c>
      <c r="G29" s="150" t="s">
        <v>478</v>
      </c>
      <c r="H29" s="150" t="s">
        <v>486</v>
      </c>
      <c r="I29" s="150"/>
      <c r="J29" s="150"/>
      <c r="K29" s="150"/>
      <c r="L29" s="150"/>
      <c r="M29" s="150"/>
      <c r="N29" s="150"/>
      <c r="O29" s="155">
        <v>32850</v>
      </c>
      <c r="P29" s="155"/>
      <c r="Q29" s="156">
        <v>32260</v>
      </c>
      <c r="R29" s="150"/>
      <c r="S29" s="150"/>
      <c r="T29" s="148"/>
      <c r="U29" s="148"/>
      <c r="V29" s="148">
        <v>41520</v>
      </c>
      <c r="W29" s="232">
        <v>41752</v>
      </c>
      <c r="X29" s="241"/>
      <c r="Y29" s="242">
        <v>258.08</v>
      </c>
      <c r="Z29" s="157"/>
      <c r="AA29" s="152"/>
      <c r="AB29" s="150"/>
      <c r="AC29" s="194"/>
      <c r="AF29" s="221">
        <f t="shared" si="8"/>
        <v>8.602666666666666</v>
      </c>
      <c r="AG29" s="266">
        <f t="shared" si="15"/>
        <v>23</v>
      </c>
      <c r="AH29" s="223">
        <f t="shared" si="10"/>
        <v>197.86133333333331</v>
      </c>
      <c r="AI29" s="266"/>
      <c r="AJ29" s="223"/>
      <c r="AK29" s="207" t="e">
        <f t="array" ref="AK29">IF($A29=0,0,SUMPRODUCT(($B$4:$B$60=$B29)*($X$4:$X$60)))</f>
        <v>#VALUE!</v>
      </c>
      <c r="AL29" s="225"/>
      <c r="AM29" s="175"/>
      <c r="AN29" s="259">
        <f t="shared" si="11"/>
        <v>41759</v>
      </c>
      <c r="AO29" s="256">
        <f t="shared" si="12"/>
        <v>0</v>
      </c>
      <c r="AP29" s="256">
        <f t="shared" si="12"/>
        <v>0</v>
      </c>
      <c r="AQ29" s="256">
        <f t="shared" si="12"/>
        <v>0</v>
      </c>
      <c r="AR29" s="256">
        <f t="shared" si="12"/>
        <v>0</v>
      </c>
      <c r="AS29" s="256">
        <f t="shared" si="12"/>
        <v>0</v>
      </c>
      <c r="AT29" s="256">
        <f t="shared" si="12"/>
        <v>0</v>
      </c>
      <c r="AU29" s="256">
        <f t="shared" si="12"/>
        <v>0</v>
      </c>
      <c r="AV29" s="256">
        <f t="shared" si="12"/>
        <v>0</v>
      </c>
      <c r="AW29" s="256">
        <f t="shared" si="12"/>
        <v>0</v>
      </c>
      <c r="AX29" s="256">
        <f t="shared" si="12"/>
        <v>0</v>
      </c>
      <c r="AY29" s="256">
        <f t="shared" si="12"/>
        <v>0</v>
      </c>
      <c r="AZ29" s="256">
        <f t="shared" si="12"/>
        <v>0</v>
      </c>
      <c r="BA29" s="254">
        <f t="shared" si="13"/>
        <v>0</v>
      </c>
      <c r="BB29" s="254">
        <f t="shared" si="13"/>
        <v>0</v>
      </c>
      <c r="BC29" s="254">
        <f t="shared" si="13"/>
        <v>0</v>
      </c>
      <c r="BD29" s="254">
        <f t="shared" si="13"/>
        <v>0</v>
      </c>
      <c r="BE29" s="254">
        <f t="shared" si="13"/>
        <v>0</v>
      </c>
      <c r="BF29" s="254">
        <f t="shared" si="13"/>
        <v>0</v>
      </c>
      <c r="BG29" s="254">
        <f t="shared" si="13"/>
        <v>0</v>
      </c>
      <c r="BH29" s="254">
        <f t="shared" si="13"/>
        <v>0</v>
      </c>
      <c r="BI29" s="254">
        <f t="shared" si="13"/>
        <v>0</v>
      </c>
      <c r="BJ29" s="254">
        <f t="shared" si="13"/>
        <v>0</v>
      </c>
      <c r="BK29" s="254">
        <f t="shared" si="13"/>
        <v>0</v>
      </c>
      <c r="BL29" s="254">
        <f t="shared" si="13"/>
        <v>0</v>
      </c>
      <c r="BM29" s="254">
        <f t="shared" si="16"/>
        <v>0</v>
      </c>
    </row>
    <row r="30" spans="1:65" s="139" customFormat="1" ht="17.100000000000001" customHeight="1" x14ac:dyDescent="0.25">
      <c r="A30" s="192" t="s">
        <v>221</v>
      </c>
      <c r="B30" s="150"/>
      <c r="C30" s="228">
        <f t="shared" si="4"/>
        <v>0</v>
      </c>
      <c r="D30" s="229">
        <f t="shared" si="5"/>
        <v>42005</v>
      </c>
      <c r="E30" s="148">
        <v>41705</v>
      </c>
      <c r="F30" s="246">
        <v>202</v>
      </c>
      <c r="G30" s="150" t="s">
        <v>478</v>
      </c>
      <c r="H30" s="150" t="s">
        <v>486</v>
      </c>
      <c r="I30" s="150"/>
      <c r="J30" s="150"/>
      <c r="K30" s="150"/>
      <c r="L30" s="150"/>
      <c r="M30" s="150"/>
      <c r="N30" s="150"/>
      <c r="O30" s="155">
        <v>33350</v>
      </c>
      <c r="P30" s="155"/>
      <c r="Q30" s="156">
        <f>O30-110</f>
        <v>33240</v>
      </c>
      <c r="R30" s="150"/>
      <c r="S30" s="150"/>
      <c r="T30" s="148"/>
      <c r="U30" s="148"/>
      <c r="V30" s="148">
        <v>41752</v>
      </c>
      <c r="W30" s="232">
        <v>42018</v>
      </c>
      <c r="X30" s="241"/>
      <c r="Y30" s="242">
        <f>+Q30*0.8%</f>
        <v>265.92</v>
      </c>
      <c r="Z30" s="157"/>
      <c r="AA30" s="152"/>
      <c r="AB30" s="150"/>
      <c r="AC30" s="194"/>
      <c r="AF30" s="221">
        <f t="shared" si="8"/>
        <v>8.8640000000000008</v>
      </c>
      <c r="AG30" s="266">
        <f t="shared" si="15"/>
        <v>14</v>
      </c>
      <c r="AH30" s="223">
        <f t="shared" si="10"/>
        <v>124.096</v>
      </c>
      <c r="AI30" s="266"/>
      <c r="AJ30" s="223"/>
      <c r="AK30" s="207" t="e">
        <f t="array" ref="AK30">IF($A30=0,0,SUMPRODUCT(($B$4:$B$60=$B30)*($X$4:$X$60)))</f>
        <v>#VALUE!</v>
      </c>
      <c r="AL30" s="225"/>
      <c r="AM30" s="175"/>
      <c r="AN30" s="259">
        <f t="shared" si="11"/>
        <v>42035</v>
      </c>
      <c r="AO30" s="256">
        <f t="shared" si="12"/>
        <v>0</v>
      </c>
      <c r="AP30" s="256">
        <f t="shared" si="12"/>
        <v>0</v>
      </c>
      <c r="AQ30" s="256">
        <f t="shared" si="12"/>
        <v>0</v>
      </c>
      <c r="AR30" s="256">
        <f t="shared" si="12"/>
        <v>0</v>
      </c>
      <c r="AS30" s="256">
        <f t="shared" si="12"/>
        <v>0</v>
      </c>
      <c r="AT30" s="256">
        <f t="shared" si="12"/>
        <v>0</v>
      </c>
      <c r="AU30" s="256">
        <f t="shared" si="12"/>
        <v>0</v>
      </c>
      <c r="AV30" s="256">
        <f t="shared" si="12"/>
        <v>0</v>
      </c>
      <c r="AW30" s="256">
        <f t="shared" si="12"/>
        <v>0</v>
      </c>
      <c r="AX30" s="256">
        <f t="shared" si="12"/>
        <v>0</v>
      </c>
      <c r="AY30" s="256">
        <f t="shared" si="12"/>
        <v>0</v>
      </c>
      <c r="AZ30" s="256">
        <f t="shared" si="12"/>
        <v>0</v>
      </c>
      <c r="BA30" s="254">
        <f t="shared" si="13"/>
        <v>0</v>
      </c>
      <c r="BB30" s="254">
        <f t="shared" si="13"/>
        <v>0</v>
      </c>
      <c r="BC30" s="254">
        <f t="shared" si="13"/>
        <v>0</v>
      </c>
      <c r="BD30" s="254">
        <f t="shared" si="13"/>
        <v>0</v>
      </c>
      <c r="BE30" s="254">
        <f t="shared" si="13"/>
        <v>0</v>
      </c>
      <c r="BF30" s="254">
        <f t="shared" si="13"/>
        <v>0</v>
      </c>
      <c r="BG30" s="254">
        <f t="shared" si="13"/>
        <v>0</v>
      </c>
      <c r="BH30" s="254">
        <f t="shared" si="13"/>
        <v>0</v>
      </c>
      <c r="BI30" s="254">
        <f t="shared" si="13"/>
        <v>0</v>
      </c>
      <c r="BJ30" s="254">
        <f t="shared" si="13"/>
        <v>0</v>
      </c>
      <c r="BK30" s="254">
        <f t="shared" si="13"/>
        <v>0</v>
      </c>
      <c r="BL30" s="254">
        <f t="shared" si="13"/>
        <v>0</v>
      </c>
      <c r="BM30" s="254">
        <f t="shared" si="16"/>
        <v>0</v>
      </c>
    </row>
    <row r="31" spans="1:65" ht="17.100000000000001" customHeight="1" x14ac:dyDescent="0.25">
      <c r="A31" s="192" t="s">
        <v>221</v>
      </c>
      <c r="B31" s="150"/>
      <c r="C31" s="228">
        <f t="shared" si="4"/>
        <v>0</v>
      </c>
      <c r="D31" s="229">
        <f t="shared" si="5"/>
        <v>42248</v>
      </c>
      <c r="E31" s="148">
        <v>41962</v>
      </c>
      <c r="F31" s="246">
        <v>202</v>
      </c>
      <c r="G31" s="150" t="s">
        <v>478</v>
      </c>
      <c r="H31" s="150" t="s">
        <v>486</v>
      </c>
      <c r="I31" s="150"/>
      <c r="J31" s="150"/>
      <c r="K31" s="150"/>
      <c r="L31" s="150"/>
      <c r="M31" s="150"/>
      <c r="N31" s="150"/>
      <c r="O31" s="155">
        <v>39950</v>
      </c>
      <c r="P31" s="155"/>
      <c r="Q31" s="156">
        <f>O31-750-110</f>
        <v>39090</v>
      </c>
      <c r="R31" s="150"/>
      <c r="S31" s="150"/>
      <c r="T31" s="148"/>
      <c r="U31" s="148" t="s">
        <v>439</v>
      </c>
      <c r="V31" s="148">
        <v>42018</v>
      </c>
      <c r="W31" s="232">
        <v>42262</v>
      </c>
      <c r="X31" s="241"/>
      <c r="Y31" s="242">
        <f t="shared" ref="Y31:Y37" si="18">IF($U31=0,0,$Q31*VLOOKUP($U31,$W$1:$X$3,2))</f>
        <v>312.72000000000003</v>
      </c>
      <c r="Z31" s="157"/>
      <c r="AA31" s="152"/>
      <c r="AB31" s="150"/>
      <c r="AC31" s="194"/>
      <c r="AD31" s="139"/>
      <c r="AE31" s="139"/>
      <c r="AF31" s="221">
        <f t="shared" si="8"/>
        <v>10.424000000000001</v>
      </c>
      <c r="AG31" s="266">
        <f t="shared" si="15"/>
        <v>15</v>
      </c>
      <c r="AH31" s="223">
        <f t="shared" si="10"/>
        <v>156.36000000000001</v>
      </c>
      <c r="AI31" s="266"/>
      <c r="AJ31" s="223"/>
      <c r="AK31" s="207" t="e">
        <f t="array" ref="AK31">IF($A31=0,0,SUMPRODUCT(($B$4:$B$60=$B31)*($X$4:$X$60)))</f>
        <v>#VALUE!</v>
      </c>
      <c r="AL31" s="225"/>
      <c r="AN31" s="259">
        <f t="shared" si="11"/>
        <v>42277</v>
      </c>
      <c r="AO31" s="256">
        <f t="shared" si="12"/>
        <v>0</v>
      </c>
      <c r="AP31" s="256">
        <f t="shared" si="12"/>
        <v>0</v>
      </c>
      <c r="AQ31" s="256">
        <f t="shared" si="12"/>
        <v>0</v>
      </c>
      <c r="AR31" s="256">
        <f t="shared" si="12"/>
        <v>0</v>
      </c>
      <c r="AS31" s="256">
        <f t="shared" si="12"/>
        <v>0</v>
      </c>
      <c r="AT31" s="256">
        <f t="shared" si="12"/>
        <v>0</v>
      </c>
      <c r="AU31" s="256">
        <f t="shared" si="12"/>
        <v>0</v>
      </c>
      <c r="AV31" s="256">
        <f t="shared" si="12"/>
        <v>0</v>
      </c>
      <c r="AW31" s="256">
        <f t="shared" si="12"/>
        <v>0</v>
      </c>
      <c r="AX31" s="256">
        <f t="shared" si="12"/>
        <v>0</v>
      </c>
      <c r="AY31" s="256">
        <f t="shared" si="12"/>
        <v>0</v>
      </c>
      <c r="AZ31" s="256">
        <f t="shared" si="12"/>
        <v>0</v>
      </c>
      <c r="BA31" s="254">
        <f t="shared" si="13"/>
        <v>0</v>
      </c>
      <c r="BB31" s="254">
        <f t="shared" si="13"/>
        <v>0</v>
      </c>
      <c r="BC31" s="254">
        <f t="shared" si="13"/>
        <v>0</v>
      </c>
      <c r="BD31" s="254">
        <f t="shared" si="13"/>
        <v>0</v>
      </c>
      <c r="BE31" s="254">
        <f t="shared" si="13"/>
        <v>0</v>
      </c>
      <c r="BF31" s="254">
        <f t="shared" si="13"/>
        <v>0</v>
      </c>
      <c r="BG31" s="254">
        <f t="shared" si="13"/>
        <v>0</v>
      </c>
      <c r="BH31" s="254">
        <f t="shared" si="13"/>
        <v>0</v>
      </c>
      <c r="BI31" s="254">
        <f t="shared" si="13"/>
        <v>0</v>
      </c>
      <c r="BJ31" s="254">
        <f t="shared" si="13"/>
        <v>0</v>
      </c>
      <c r="BK31" s="254">
        <f t="shared" si="13"/>
        <v>0</v>
      </c>
      <c r="BL31" s="254">
        <f t="shared" si="13"/>
        <v>0</v>
      </c>
      <c r="BM31" s="254">
        <f t="shared" si="16"/>
        <v>0</v>
      </c>
    </row>
    <row r="32" spans="1:65" ht="17.100000000000001" customHeight="1" x14ac:dyDescent="0.25">
      <c r="A32" s="192" t="s">
        <v>221</v>
      </c>
      <c r="B32" s="150"/>
      <c r="C32" s="228">
        <f t="shared" si="4"/>
        <v>0</v>
      </c>
      <c r="D32" s="229">
        <f t="shared" si="5"/>
        <v>42522</v>
      </c>
      <c r="E32" s="148">
        <v>42172</v>
      </c>
      <c r="F32" s="246">
        <v>202</v>
      </c>
      <c r="G32" s="150" t="s">
        <v>478</v>
      </c>
      <c r="H32" s="150" t="s">
        <v>486</v>
      </c>
      <c r="I32" s="150"/>
      <c r="J32" s="150"/>
      <c r="K32" s="150"/>
      <c r="L32" s="150"/>
      <c r="M32" s="150"/>
      <c r="N32" s="150"/>
      <c r="O32" s="155">
        <v>39790</v>
      </c>
      <c r="P32" s="155"/>
      <c r="Q32" s="156">
        <f>O32-790-490</f>
        <v>38510</v>
      </c>
      <c r="R32" s="150"/>
      <c r="S32" s="150"/>
      <c r="T32" s="148"/>
      <c r="U32" s="148" t="s">
        <v>439</v>
      </c>
      <c r="V32" s="148">
        <v>42262</v>
      </c>
      <c r="W32" s="232">
        <v>42538</v>
      </c>
      <c r="X32" s="241"/>
      <c r="Y32" s="242">
        <f t="shared" si="18"/>
        <v>308.08</v>
      </c>
      <c r="Z32" s="157"/>
      <c r="AA32" s="152"/>
      <c r="AB32" s="150"/>
      <c r="AC32" s="194"/>
      <c r="AD32" s="139"/>
      <c r="AE32" s="139"/>
      <c r="AF32" s="221">
        <f t="shared" si="8"/>
        <v>10.269333333333332</v>
      </c>
      <c r="AG32" s="266">
        <f t="shared" si="15"/>
        <v>17</v>
      </c>
      <c r="AH32" s="223">
        <f t="shared" si="10"/>
        <v>174.57866666666663</v>
      </c>
      <c r="AI32" s="266"/>
      <c r="AJ32" s="223"/>
      <c r="AK32" s="207" t="e">
        <f t="array" ref="AK32">IF($A32=0,0,SUMPRODUCT(($B$4:$B$60=$B32)*($X$4:$X$60)))</f>
        <v>#VALUE!</v>
      </c>
      <c r="AL32" s="225"/>
      <c r="AN32" s="259">
        <f t="shared" si="11"/>
        <v>42551</v>
      </c>
      <c r="AO32" s="256">
        <f t="shared" si="12"/>
        <v>0</v>
      </c>
      <c r="AP32" s="256">
        <f t="shared" si="12"/>
        <v>0</v>
      </c>
      <c r="AQ32" s="256">
        <f t="shared" si="12"/>
        <v>0</v>
      </c>
      <c r="AR32" s="256">
        <f t="shared" si="12"/>
        <v>0</v>
      </c>
      <c r="AS32" s="256">
        <f t="shared" si="12"/>
        <v>0</v>
      </c>
      <c r="AT32" s="256">
        <f t="shared" si="12"/>
        <v>0</v>
      </c>
      <c r="AU32" s="256">
        <f t="shared" si="12"/>
        <v>0</v>
      </c>
      <c r="AV32" s="256">
        <f t="shared" si="12"/>
        <v>0</v>
      </c>
      <c r="AW32" s="256">
        <f t="shared" si="12"/>
        <v>0</v>
      </c>
      <c r="AX32" s="256">
        <f t="shared" si="12"/>
        <v>0</v>
      </c>
      <c r="AY32" s="256">
        <f t="shared" si="12"/>
        <v>0</v>
      </c>
      <c r="AZ32" s="256">
        <f t="shared" si="12"/>
        <v>0</v>
      </c>
      <c r="BA32" s="254">
        <f t="shared" si="13"/>
        <v>308.08</v>
      </c>
      <c r="BB32" s="254">
        <f t="shared" si="13"/>
        <v>308.08</v>
      </c>
      <c r="BC32" s="254">
        <f t="shared" si="13"/>
        <v>308.08</v>
      </c>
      <c r="BD32" s="254">
        <f t="shared" si="13"/>
        <v>308.08</v>
      </c>
      <c r="BE32" s="254">
        <f t="shared" si="13"/>
        <v>308.08</v>
      </c>
      <c r="BF32" s="254">
        <f t="shared" si="13"/>
        <v>308.08</v>
      </c>
      <c r="BG32" s="254">
        <f t="shared" si="13"/>
        <v>0</v>
      </c>
      <c r="BH32" s="254">
        <f t="shared" si="13"/>
        <v>0</v>
      </c>
      <c r="BI32" s="254">
        <f t="shared" si="13"/>
        <v>0</v>
      </c>
      <c r="BJ32" s="254">
        <f t="shared" si="13"/>
        <v>0</v>
      </c>
      <c r="BK32" s="254">
        <f t="shared" si="13"/>
        <v>0</v>
      </c>
      <c r="BL32" s="254">
        <f t="shared" si="13"/>
        <v>0</v>
      </c>
      <c r="BM32" s="254">
        <f t="shared" si="16"/>
        <v>1848.4799999999998</v>
      </c>
    </row>
    <row r="33" spans="1:65" ht="17.100000000000001" customHeight="1" x14ac:dyDescent="0.25">
      <c r="A33" s="192" t="s">
        <v>221</v>
      </c>
      <c r="B33" s="150">
        <v>4</v>
      </c>
      <c r="C33" s="228">
        <f t="shared" si="4"/>
        <v>0</v>
      </c>
      <c r="D33" s="229">
        <f t="shared" si="5"/>
        <v>42522</v>
      </c>
      <c r="E33" s="148">
        <v>42412</v>
      </c>
      <c r="F33" s="246">
        <v>202</v>
      </c>
      <c r="G33" s="150" t="s">
        <v>478</v>
      </c>
      <c r="H33" s="150" t="s">
        <v>486</v>
      </c>
      <c r="I33" s="150"/>
      <c r="J33" s="150"/>
      <c r="K33" s="150"/>
      <c r="L33" s="150"/>
      <c r="M33" s="150"/>
      <c r="N33" s="150"/>
      <c r="O33" s="155">
        <v>40190</v>
      </c>
      <c r="P33" s="155"/>
      <c r="Q33" s="156">
        <f>O33-790-490</f>
        <v>38910</v>
      </c>
      <c r="R33" s="150"/>
      <c r="S33" s="150"/>
      <c r="T33" s="148"/>
      <c r="U33" s="148" t="s">
        <v>439</v>
      </c>
      <c r="V33" s="148">
        <v>42538</v>
      </c>
      <c r="W33" s="232"/>
      <c r="X33" s="241"/>
      <c r="Y33" s="242">
        <f t="shared" si="18"/>
        <v>311.28000000000003</v>
      </c>
      <c r="Z33" s="157"/>
      <c r="AA33" s="152"/>
      <c r="AB33" s="150"/>
      <c r="AC33" s="194"/>
      <c r="AD33" s="139"/>
      <c r="AE33" s="139"/>
      <c r="AF33" s="221">
        <f t="shared" si="8"/>
        <v>10.376000000000001</v>
      </c>
      <c r="AG33" s="266">
        <f t="shared" si="15"/>
        <v>13</v>
      </c>
      <c r="AH33" s="223">
        <f t="shared" si="10"/>
        <v>134.88800000000001</v>
      </c>
      <c r="AI33" s="266"/>
      <c r="AJ33" s="223"/>
      <c r="AK33" s="207" t="e">
        <f t="array" ref="AK33">IF($A33=0,0,SUMPRODUCT(($B$4:$B$60=$B33)*($X$4:$X$60)))</f>
        <v>#VALUE!</v>
      </c>
      <c r="AL33" s="225"/>
      <c r="AN33" s="259">
        <f t="shared" si="11"/>
        <v>73050</v>
      </c>
      <c r="AO33" s="256">
        <f t="shared" si="12"/>
        <v>0</v>
      </c>
      <c r="AP33" s="256">
        <f t="shared" si="12"/>
        <v>0</v>
      </c>
      <c r="AQ33" s="256">
        <f t="shared" si="12"/>
        <v>0</v>
      </c>
      <c r="AR33" s="256">
        <f t="shared" si="12"/>
        <v>0</v>
      </c>
      <c r="AS33" s="256">
        <f t="shared" si="12"/>
        <v>0</v>
      </c>
      <c r="AT33" s="256">
        <f t="shared" si="12"/>
        <v>0</v>
      </c>
      <c r="AU33" s="256" t="str">
        <f t="shared" si="12"/>
        <v>X</v>
      </c>
      <c r="AV33" s="256">
        <f t="shared" si="12"/>
        <v>0</v>
      </c>
      <c r="AW33" s="256">
        <f t="shared" si="12"/>
        <v>0</v>
      </c>
      <c r="AX33" s="256">
        <f t="shared" si="12"/>
        <v>0</v>
      </c>
      <c r="AY33" s="256">
        <f t="shared" si="12"/>
        <v>0</v>
      </c>
      <c r="AZ33" s="256">
        <f t="shared" si="12"/>
        <v>0</v>
      </c>
      <c r="BA33" s="254">
        <f t="shared" si="13"/>
        <v>0</v>
      </c>
      <c r="BB33" s="254">
        <f t="shared" si="13"/>
        <v>0</v>
      </c>
      <c r="BC33" s="254">
        <f t="shared" si="13"/>
        <v>0</v>
      </c>
      <c r="BD33" s="254">
        <f t="shared" si="13"/>
        <v>0</v>
      </c>
      <c r="BE33" s="254">
        <f t="shared" si="13"/>
        <v>0</v>
      </c>
      <c r="BF33" s="254">
        <f t="shared" si="13"/>
        <v>0</v>
      </c>
      <c r="BG33" s="254">
        <f t="shared" si="13"/>
        <v>311.28000000000003</v>
      </c>
      <c r="BH33" s="254">
        <f t="shared" si="13"/>
        <v>311.28000000000003</v>
      </c>
      <c r="BI33" s="254">
        <f t="shared" si="13"/>
        <v>311.28000000000003</v>
      </c>
      <c r="BJ33" s="254">
        <f t="shared" si="13"/>
        <v>311.28000000000003</v>
      </c>
      <c r="BK33" s="254">
        <f t="shared" si="13"/>
        <v>311.28000000000003</v>
      </c>
      <c r="BL33" s="254">
        <f t="shared" si="13"/>
        <v>311.28000000000003</v>
      </c>
      <c r="BM33" s="254">
        <f t="shared" si="16"/>
        <v>1867.68</v>
      </c>
    </row>
    <row r="34" spans="1:65" ht="17.100000000000001" customHeight="1" x14ac:dyDescent="0.25">
      <c r="A34" s="192" t="s">
        <v>221</v>
      </c>
      <c r="B34" s="150"/>
      <c r="C34" s="228">
        <f t="shared" si="4"/>
        <v>0</v>
      </c>
      <c r="D34" s="229">
        <f t="shared" si="5"/>
        <v>42036</v>
      </c>
      <c r="E34" s="148">
        <v>41642</v>
      </c>
      <c r="F34" s="246">
        <v>1383</v>
      </c>
      <c r="G34" s="150" t="s">
        <v>477</v>
      </c>
      <c r="H34" s="150" t="s">
        <v>228</v>
      </c>
      <c r="I34" s="150"/>
      <c r="J34" s="150"/>
      <c r="K34" s="150"/>
      <c r="L34" s="150"/>
      <c r="M34" s="150"/>
      <c r="N34" s="150"/>
      <c r="O34" s="198">
        <v>51070</v>
      </c>
      <c r="P34" s="198"/>
      <c r="Q34" s="198">
        <f>O34-947-2342-110</f>
        <v>47671</v>
      </c>
      <c r="R34" s="150"/>
      <c r="S34" s="150"/>
      <c r="T34" s="148"/>
      <c r="U34" s="148" t="s">
        <v>439</v>
      </c>
      <c r="V34" s="148">
        <v>41816</v>
      </c>
      <c r="W34" s="232">
        <v>42059</v>
      </c>
      <c r="X34" s="240"/>
      <c r="Y34" s="242">
        <f t="shared" si="18"/>
        <v>381.36799999999999</v>
      </c>
      <c r="Z34" s="157"/>
      <c r="AA34" s="152"/>
      <c r="AB34" s="150"/>
      <c r="AC34" s="194"/>
      <c r="AF34" s="221">
        <f t="shared" si="8"/>
        <v>12.712266666666666</v>
      </c>
      <c r="AG34" s="266">
        <f t="shared" si="15"/>
        <v>24</v>
      </c>
      <c r="AH34" s="223">
        <f t="shared" si="10"/>
        <v>305.09440000000001</v>
      </c>
      <c r="AI34" s="266"/>
      <c r="AJ34" s="223"/>
      <c r="AK34" s="207" t="e">
        <f t="array" ref="AK34">IF($A34=0,0,SUMPRODUCT(($B$4:$B$60=$B34)*($X$4:$X$60)))</f>
        <v>#VALUE!</v>
      </c>
      <c r="AL34" s="225"/>
      <c r="AN34" s="259">
        <f t="shared" si="11"/>
        <v>42063</v>
      </c>
      <c r="AO34" s="256">
        <f t="shared" si="12"/>
        <v>0</v>
      </c>
      <c r="AP34" s="256">
        <f t="shared" si="12"/>
        <v>0</v>
      </c>
      <c r="AQ34" s="256">
        <f t="shared" si="12"/>
        <v>0</v>
      </c>
      <c r="AR34" s="256">
        <f t="shared" si="12"/>
        <v>0</v>
      </c>
      <c r="AS34" s="256">
        <f t="shared" si="12"/>
        <v>0</v>
      </c>
      <c r="AT34" s="256">
        <f t="shared" si="12"/>
        <v>0</v>
      </c>
      <c r="AU34" s="256">
        <f t="shared" si="12"/>
        <v>0</v>
      </c>
      <c r="AV34" s="256">
        <f t="shared" si="12"/>
        <v>0</v>
      </c>
      <c r="AW34" s="256">
        <f t="shared" si="12"/>
        <v>0</v>
      </c>
      <c r="AX34" s="256">
        <f t="shared" si="12"/>
        <v>0</v>
      </c>
      <c r="AY34" s="256">
        <f t="shared" si="12"/>
        <v>0</v>
      </c>
      <c r="AZ34" s="256">
        <f t="shared" si="12"/>
        <v>0</v>
      </c>
      <c r="BA34" s="254">
        <f t="shared" si="13"/>
        <v>0</v>
      </c>
      <c r="BB34" s="254">
        <f t="shared" si="13"/>
        <v>0</v>
      </c>
      <c r="BC34" s="254">
        <f t="shared" si="13"/>
        <v>0</v>
      </c>
      <c r="BD34" s="254">
        <f t="shared" si="13"/>
        <v>0</v>
      </c>
      <c r="BE34" s="254">
        <f t="shared" si="13"/>
        <v>0</v>
      </c>
      <c r="BF34" s="254">
        <f t="shared" si="13"/>
        <v>0</v>
      </c>
      <c r="BG34" s="254">
        <f t="shared" si="13"/>
        <v>0</v>
      </c>
      <c r="BH34" s="254">
        <f t="shared" si="13"/>
        <v>0</v>
      </c>
      <c r="BI34" s="254">
        <f t="shared" si="13"/>
        <v>0</v>
      </c>
      <c r="BJ34" s="254">
        <f t="shared" si="13"/>
        <v>0</v>
      </c>
      <c r="BK34" s="254">
        <f t="shared" si="13"/>
        <v>0</v>
      </c>
      <c r="BL34" s="254">
        <f t="shared" si="13"/>
        <v>0</v>
      </c>
      <c r="BM34" s="254">
        <f t="shared" si="16"/>
        <v>0</v>
      </c>
    </row>
    <row r="35" spans="1:65" ht="17.100000000000001" customHeight="1" x14ac:dyDescent="0.25">
      <c r="A35" s="192" t="s">
        <v>221</v>
      </c>
      <c r="B35" s="150"/>
      <c r="C35" s="228">
        <f t="shared" si="4"/>
        <v>0</v>
      </c>
      <c r="D35" s="229">
        <f t="shared" si="5"/>
        <v>42278</v>
      </c>
      <c r="E35" s="148">
        <v>41975</v>
      </c>
      <c r="F35" s="246">
        <v>1383</v>
      </c>
      <c r="G35" s="150" t="s">
        <v>477</v>
      </c>
      <c r="H35" s="150" t="s">
        <v>228</v>
      </c>
      <c r="I35" s="150"/>
      <c r="J35" s="150"/>
      <c r="K35" s="150"/>
      <c r="L35" s="150"/>
      <c r="M35" s="150"/>
      <c r="N35" s="150"/>
      <c r="O35" s="198">
        <v>49150</v>
      </c>
      <c r="P35" s="198"/>
      <c r="Q35" s="198">
        <f>O35-950-110-2200</f>
        <v>45890</v>
      </c>
      <c r="R35" s="150"/>
      <c r="S35" s="150"/>
      <c r="T35" s="148"/>
      <c r="U35" s="148" t="s">
        <v>439</v>
      </c>
      <c r="V35" s="148">
        <v>42059</v>
      </c>
      <c r="W35" s="232">
        <v>42293</v>
      </c>
      <c r="X35" s="240"/>
      <c r="Y35" s="242">
        <f t="shared" si="18"/>
        <v>367.12</v>
      </c>
      <c r="Z35" s="157"/>
      <c r="AA35" s="152"/>
      <c r="AB35" s="150"/>
      <c r="AC35" s="194"/>
      <c r="AF35" s="221">
        <f t="shared" si="8"/>
        <v>12.237333333333334</v>
      </c>
      <c r="AG35" s="266">
        <f t="shared" si="15"/>
        <v>16</v>
      </c>
      <c r="AH35" s="223">
        <f t="shared" si="10"/>
        <v>195.79733333333334</v>
      </c>
      <c r="AI35" s="266"/>
      <c r="AJ35" s="223"/>
      <c r="AK35" s="207" t="e">
        <f t="array" ref="AK35">IF($A35=0,0,SUMPRODUCT(($B$4:$B$60=$B35)*($X$4:$X$60)))</f>
        <v>#VALUE!</v>
      </c>
      <c r="AL35" s="225"/>
      <c r="AN35" s="259">
        <f t="shared" si="11"/>
        <v>42308</v>
      </c>
      <c r="AO35" s="256">
        <f t="shared" si="12"/>
        <v>0</v>
      </c>
      <c r="AP35" s="256">
        <f t="shared" si="12"/>
        <v>0</v>
      </c>
      <c r="AQ35" s="256">
        <f t="shared" si="12"/>
        <v>0</v>
      </c>
      <c r="AR35" s="256">
        <f t="shared" si="12"/>
        <v>0</v>
      </c>
      <c r="AS35" s="256">
        <f t="shared" si="12"/>
        <v>0</v>
      </c>
      <c r="AT35" s="256">
        <f t="shared" si="12"/>
        <v>0</v>
      </c>
      <c r="AU35" s="256">
        <f t="shared" si="12"/>
        <v>0</v>
      </c>
      <c r="AV35" s="256">
        <f t="shared" si="12"/>
        <v>0</v>
      </c>
      <c r="AW35" s="256">
        <f t="shared" si="12"/>
        <v>0</v>
      </c>
      <c r="AX35" s="256">
        <f t="shared" si="12"/>
        <v>0</v>
      </c>
      <c r="AY35" s="256">
        <f t="shared" si="12"/>
        <v>0</v>
      </c>
      <c r="AZ35" s="256">
        <f t="shared" si="12"/>
        <v>0</v>
      </c>
      <c r="BA35" s="254">
        <f t="shared" si="13"/>
        <v>0</v>
      </c>
      <c r="BB35" s="254">
        <f t="shared" si="13"/>
        <v>0</v>
      </c>
      <c r="BC35" s="254">
        <f t="shared" si="13"/>
        <v>0</v>
      </c>
      <c r="BD35" s="254">
        <f t="shared" si="13"/>
        <v>0</v>
      </c>
      <c r="BE35" s="254">
        <f t="shared" si="13"/>
        <v>0</v>
      </c>
      <c r="BF35" s="254">
        <f t="shared" si="13"/>
        <v>0</v>
      </c>
      <c r="BG35" s="254">
        <f t="shared" si="13"/>
        <v>0</v>
      </c>
      <c r="BH35" s="254">
        <f t="shared" si="13"/>
        <v>0</v>
      </c>
      <c r="BI35" s="254">
        <f t="shared" si="13"/>
        <v>0</v>
      </c>
      <c r="BJ35" s="254">
        <f t="shared" si="13"/>
        <v>0</v>
      </c>
      <c r="BK35" s="254">
        <f t="shared" si="13"/>
        <v>0</v>
      </c>
      <c r="BL35" s="254">
        <f t="shared" si="13"/>
        <v>0</v>
      </c>
      <c r="BM35" s="254">
        <f t="shared" si="16"/>
        <v>0</v>
      </c>
    </row>
    <row r="36" spans="1:65" ht="17.100000000000001" customHeight="1" x14ac:dyDescent="0.25">
      <c r="A36" s="192" t="s">
        <v>221</v>
      </c>
      <c r="B36" s="150"/>
      <c r="C36" s="228">
        <f t="shared" si="4"/>
        <v>0</v>
      </c>
      <c r="D36" s="229">
        <f t="shared" si="5"/>
        <v>42491</v>
      </c>
      <c r="E36" s="148">
        <v>42202</v>
      </c>
      <c r="F36" s="246">
        <v>1383</v>
      </c>
      <c r="G36" s="150" t="s">
        <v>477</v>
      </c>
      <c r="H36" s="150" t="s">
        <v>228</v>
      </c>
      <c r="I36" s="150"/>
      <c r="J36" s="150"/>
      <c r="K36" s="150"/>
      <c r="L36" s="150"/>
      <c r="M36" s="150"/>
      <c r="N36" s="150"/>
      <c r="O36" s="198">
        <v>45180</v>
      </c>
      <c r="P36" s="198"/>
      <c r="Q36" s="198">
        <f>+O36-790</f>
        <v>44390</v>
      </c>
      <c r="R36" s="150"/>
      <c r="S36" s="150"/>
      <c r="T36" s="148"/>
      <c r="U36" s="148" t="s">
        <v>439</v>
      </c>
      <c r="V36" s="148">
        <v>42293</v>
      </c>
      <c r="W36" s="232">
        <v>42510</v>
      </c>
      <c r="X36" s="240"/>
      <c r="Y36" s="242">
        <f t="shared" si="18"/>
        <v>355.12</v>
      </c>
      <c r="Z36" s="157"/>
      <c r="AA36" s="152"/>
      <c r="AB36" s="150"/>
      <c r="AC36" s="194"/>
      <c r="AF36" s="221">
        <f t="shared" si="8"/>
        <v>11.837333333333333</v>
      </c>
      <c r="AG36" s="266">
        <f t="shared" si="15"/>
        <v>20</v>
      </c>
      <c r="AH36" s="223">
        <f t="shared" si="10"/>
        <v>236.74666666666667</v>
      </c>
      <c r="AI36" s="266"/>
      <c r="AJ36" s="223"/>
      <c r="AK36" s="207" t="e">
        <f t="array" ref="AK36">IF($A36=0,0,SUMPRODUCT(($B$4:$B$60=$B36)*($X$4:$X$60)))</f>
        <v>#VALUE!</v>
      </c>
      <c r="AL36" s="225"/>
      <c r="AN36" s="259">
        <f t="shared" si="11"/>
        <v>42521</v>
      </c>
      <c r="AO36" s="256">
        <f t="shared" si="12"/>
        <v>0</v>
      </c>
      <c r="AP36" s="256">
        <f t="shared" si="12"/>
        <v>0</v>
      </c>
      <c r="AQ36" s="256">
        <f t="shared" si="12"/>
        <v>0</v>
      </c>
      <c r="AR36" s="256">
        <f t="shared" si="12"/>
        <v>0</v>
      </c>
      <c r="AS36" s="256">
        <f t="shared" si="12"/>
        <v>0</v>
      </c>
      <c r="AT36" s="256">
        <f t="shared" si="12"/>
        <v>0</v>
      </c>
      <c r="AU36" s="256">
        <f t="shared" si="12"/>
        <v>0</v>
      </c>
      <c r="AV36" s="256">
        <f t="shared" si="12"/>
        <v>0</v>
      </c>
      <c r="AW36" s="256">
        <f t="shared" si="12"/>
        <v>0</v>
      </c>
      <c r="AX36" s="256">
        <f t="shared" si="12"/>
        <v>0</v>
      </c>
      <c r="AY36" s="256">
        <f t="shared" si="12"/>
        <v>0</v>
      </c>
      <c r="AZ36" s="256">
        <f t="shared" si="12"/>
        <v>0</v>
      </c>
      <c r="BA36" s="254">
        <f t="shared" si="13"/>
        <v>355.12</v>
      </c>
      <c r="BB36" s="254">
        <f t="shared" si="13"/>
        <v>355.12</v>
      </c>
      <c r="BC36" s="254">
        <f t="shared" si="13"/>
        <v>355.12</v>
      </c>
      <c r="BD36" s="254">
        <f t="shared" si="13"/>
        <v>355.12</v>
      </c>
      <c r="BE36" s="254">
        <f t="shared" si="13"/>
        <v>355.12</v>
      </c>
      <c r="BF36" s="254">
        <f t="shared" si="13"/>
        <v>0</v>
      </c>
      <c r="BG36" s="254">
        <f t="shared" si="13"/>
        <v>0</v>
      </c>
      <c r="BH36" s="254">
        <f t="shared" si="13"/>
        <v>0</v>
      </c>
      <c r="BI36" s="254">
        <f t="shared" si="13"/>
        <v>0</v>
      </c>
      <c r="BJ36" s="254">
        <f t="shared" si="13"/>
        <v>0</v>
      </c>
      <c r="BK36" s="254">
        <f t="shared" si="13"/>
        <v>0</v>
      </c>
      <c r="BL36" s="254">
        <f t="shared" si="13"/>
        <v>0</v>
      </c>
      <c r="BM36" s="254">
        <f t="shared" si="16"/>
        <v>1775.6</v>
      </c>
    </row>
    <row r="37" spans="1:65" ht="17.100000000000001" customHeight="1" x14ac:dyDescent="0.25">
      <c r="A37" s="192" t="s">
        <v>221</v>
      </c>
      <c r="B37" s="150">
        <v>5</v>
      </c>
      <c r="C37" s="228">
        <f t="shared" ref="C37:C60" si="19">IF($D37=$D$2,"X",0)</f>
        <v>0</v>
      </c>
      <c r="D37" s="229">
        <f t="shared" si="5"/>
        <v>42491</v>
      </c>
      <c r="E37" s="148">
        <v>42423</v>
      </c>
      <c r="F37" s="246">
        <v>1383</v>
      </c>
      <c r="G37" s="150" t="s">
        <v>477</v>
      </c>
      <c r="H37" s="150" t="s">
        <v>228</v>
      </c>
      <c r="I37" s="150"/>
      <c r="J37" s="150"/>
      <c r="K37" s="150"/>
      <c r="L37" s="150"/>
      <c r="M37" s="150"/>
      <c r="N37" s="150"/>
      <c r="O37" s="198">
        <v>45680</v>
      </c>
      <c r="P37" s="198"/>
      <c r="Q37" s="198">
        <f>O37-790</f>
        <v>44890</v>
      </c>
      <c r="R37" s="151"/>
      <c r="S37" s="150"/>
      <c r="T37" s="148"/>
      <c r="U37" s="148" t="s">
        <v>439</v>
      </c>
      <c r="V37" s="148">
        <v>42510</v>
      </c>
      <c r="W37" s="232"/>
      <c r="X37" s="240"/>
      <c r="Y37" s="242">
        <f t="shared" si="18"/>
        <v>359.12</v>
      </c>
      <c r="Z37" s="157"/>
      <c r="AA37" s="152"/>
      <c r="AB37" s="150"/>
      <c r="AC37" s="194"/>
      <c r="AF37" s="221">
        <f t="shared" si="8"/>
        <v>11.970666666666666</v>
      </c>
      <c r="AG37" s="266">
        <f t="shared" si="15"/>
        <v>11</v>
      </c>
      <c r="AH37" s="223">
        <f t="shared" si="10"/>
        <v>131.67733333333334</v>
      </c>
      <c r="AI37" s="266"/>
      <c r="AJ37" s="223"/>
      <c r="AK37" s="207" t="e">
        <f t="array" ref="AK37">IF($A37=0,0,SUMPRODUCT(($B$4:$B$60=$B37)*($X$4:$X$60)))</f>
        <v>#VALUE!</v>
      </c>
      <c r="AL37" s="225"/>
      <c r="AN37" s="259">
        <f t="shared" si="11"/>
        <v>73050</v>
      </c>
      <c r="AO37" s="256">
        <f t="shared" si="12"/>
        <v>0</v>
      </c>
      <c r="AP37" s="256">
        <f t="shared" si="12"/>
        <v>0</v>
      </c>
      <c r="AQ37" s="256">
        <f t="shared" si="12"/>
        <v>0</v>
      </c>
      <c r="AR37" s="256">
        <f t="shared" si="12"/>
        <v>0</v>
      </c>
      <c r="AS37" s="256">
        <f t="shared" si="12"/>
        <v>0</v>
      </c>
      <c r="AT37" s="256" t="str">
        <f t="shared" si="12"/>
        <v>X</v>
      </c>
      <c r="AU37" s="256">
        <f t="shared" si="12"/>
        <v>0</v>
      </c>
      <c r="AV37" s="256">
        <f t="shared" si="12"/>
        <v>0</v>
      </c>
      <c r="AW37" s="256">
        <f t="shared" si="12"/>
        <v>0</v>
      </c>
      <c r="AX37" s="256">
        <f t="shared" si="12"/>
        <v>0</v>
      </c>
      <c r="AY37" s="256">
        <f t="shared" si="12"/>
        <v>0</v>
      </c>
      <c r="AZ37" s="256">
        <f t="shared" si="12"/>
        <v>0</v>
      </c>
      <c r="BA37" s="254">
        <f t="shared" si="13"/>
        <v>0</v>
      </c>
      <c r="BB37" s="254">
        <f t="shared" si="13"/>
        <v>0</v>
      </c>
      <c r="BC37" s="254">
        <f t="shared" si="13"/>
        <v>0</v>
      </c>
      <c r="BD37" s="254">
        <f t="shared" si="13"/>
        <v>0</v>
      </c>
      <c r="BE37" s="254">
        <f t="shared" si="13"/>
        <v>0</v>
      </c>
      <c r="BF37" s="254">
        <f t="shared" si="13"/>
        <v>359.12</v>
      </c>
      <c r="BG37" s="254">
        <f t="shared" si="13"/>
        <v>359.12</v>
      </c>
      <c r="BH37" s="254">
        <f t="shared" si="13"/>
        <v>359.12</v>
      </c>
      <c r="BI37" s="254">
        <f t="shared" si="13"/>
        <v>359.12</v>
      </c>
      <c r="BJ37" s="254">
        <f t="shared" si="13"/>
        <v>359.12</v>
      </c>
      <c r="BK37" s="254">
        <f t="shared" si="13"/>
        <v>359.12</v>
      </c>
      <c r="BL37" s="254">
        <f t="shared" si="13"/>
        <v>359.12</v>
      </c>
      <c r="BM37" s="254">
        <f t="shared" si="16"/>
        <v>2513.8399999999997</v>
      </c>
    </row>
    <row r="38" spans="1:65" ht="17.100000000000001" customHeight="1" x14ac:dyDescent="0.25">
      <c r="A38" s="192"/>
      <c r="B38" s="192"/>
      <c r="C38" s="228">
        <f t="shared" si="19"/>
        <v>0</v>
      </c>
      <c r="D38" s="229">
        <f t="shared" si="5"/>
        <v>41365</v>
      </c>
      <c r="E38" s="148"/>
      <c r="F38" s="246">
        <v>1424</v>
      </c>
      <c r="G38" s="150" t="s">
        <v>475</v>
      </c>
      <c r="H38" s="150" t="s">
        <v>476</v>
      </c>
      <c r="I38" s="150"/>
      <c r="J38" s="150"/>
      <c r="K38" s="150"/>
      <c r="L38" s="150"/>
      <c r="M38" s="150"/>
      <c r="N38" s="150"/>
      <c r="O38" s="150"/>
      <c r="P38" s="150"/>
      <c r="Q38" s="200"/>
      <c r="R38" s="150"/>
      <c r="S38" s="150"/>
      <c r="T38" s="148"/>
      <c r="U38" s="148"/>
      <c r="V38" s="148"/>
      <c r="W38" s="232">
        <v>41373</v>
      </c>
      <c r="X38" s="241"/>
      <c r="Y38" s="242"/>
      <c r="Z38" s="157"/>
      <c r="AA38" s="152"/>
      <c r="AB38" s="150"/>
      <c r="AC38" s="194"/>
      <c r="AF38" s="221">
        <f t="shared" si="8"/>
        <v>0</v>
      </c>
      <c r="AG38" s="266">
        <f t="shared" si="15"/>
        <v>9</v>
      </c>
      <c r="AH38" s="223">
        <f t="shared" si="10"/>
        <v>0</v>
      </c>
      <c r="AI38" s="266"/>
      <c r="AJ38" s="223"/>
      <c r="AK38" s="207">
        <f t="array" ref="AK38">IF($A38=0,0,SUMPRODUCT(($B$4:$B$60=$B38)*($X$4:$X$60)))</f>
        <v>0</v>
      </c>
      <c r="AL38" s="225"/>
      <c r="AN38" s="259">
        <f t="shared" si="11"/>
        <v>41394</v>
      </c>
      <c r="AO38" s="256">
        <f t="shared" si="12"/>
        <v>0</v>
      </c>
      <c r="AP38" s="256">
        <f t="shared" si="12"/>
        <v>0</v>
      </c>
      <c r="AQ38" s="256">
        <f t="shared" si="12"/>
        <v>0</v>
      </c>
      <c r="AR38" s="256">
        <f t="shared" si="12"/>
        <v>0</v>
      </c>
      <c r="AS38" s="256">
        <f t="shared" si="12"/>
        <v>0</v>
      </c>
      <c r="AT38" s="256">
        <f t="shared" si="12"/>
        <v>0</v>
      </c>
      <c r="AU38" s="256">
        <f t="shared" si="12"/>
        <v>0</v>
      </c>
      <c r="AV38" s="256">
        <f t="shared" si="12"/>
        <v>0</v>
      </c>
      <c r="AW38" s="256">
        <f t="shared" si="12"/>
        <v>0</v>
      </c>
      <c r="AX38" s="256">
        <f t="shared" si="12"/>
        <v>0</v>
      </c>
      <c r="AY38" s="256">
        <f t="shared" si="12"/>
        <v>0</v>
      </c>
      <c r="AZ38" s="256">
        <f t="shared" si="12"/>
        <v>0</v>
      </c>
      <c r="BA38" s="254">
        <f t="shared" ref="BA38:BL59" si="20">IF(MONTH($V38)=MONTH(BA$4),0,IF(AND($V38&lt;=EOMONTH(BA$4,0),$AN38&gt;=BA$4),$Y38,0))</f>
        <v>0</v>
      </c>
      <c r="BB38" s="254">
        <f t="shared" si="20"/>
        <v>0</v>
      </c>
      <c r="BC38" s="254">
        <f t="shared" si="20"/>
        <v>0</v>
      </c>
      <c r="BD38" s="254">
        <f t="shared" si="20"/>
        <v>0</v>
      </c>
      <c r="BE38" s="254">
        <f t="shared" si="20"/>
        <v>0</v>
      </c>
      <c r="BF38" s="254">
        <f t="shared" si="20"/>
        <v>0</v>
      </c>
      <c r="BG38" s="254">
        <f t="shared" si="20"/>
        <v>0</v>
      </c>
      <c r="BH38" s="254">
        <f t="shared" si="20"/>
        <v>0</v>
      </c>
      <c r="BI38" s="254">
        <f t="shared" si="20"/>
        <v>0</v>
      </c>
      <c r="BJ38" s="254">
        <f t="shared" si="20"/>
        <v>0</v>
      </c>
      <c r="BK38" s="254">
        <f t="shared" si="20"/>
        <v>0</v>
      </c>
      <c r="BL38" s="254">
        <f t="shared" si="20"/>
        <v>0</v>
      </c>
      <c r="BM38" s="254">
        <f t="shared" si="16"/>
        <v>0</v>
      </c>
    </row>
    <row r="39" spans="1:65" ht="17.100000000000001" customHeight="1" x14ac:dyDescent="0.25">
      <c r="A39" s="192"/>
      <c r="B39" s="192"/>
      <c r="C39" s="228">
        <f t="shared" si="19"/>
        <v>0</v>
      </c>
      <c r="D39" s="229">
        <f t="shared" si="5"/>
        <v>41518</v>
      </c>
      <c r="E39" s="148"/>
      <c r="F39" s="246">
        <v>1424</v>
      </c>
      <c r="G39" s="150" t="s">
        <v>475</v>
      </c>
      <c r="H39" s="150" t="s">
        <v>476</v>
      </c>
      <c r="I39" s="150"/>
      <c r="J39" s="150"/>
      <c r="K39" s="150"/>
      <c r="L39" s="150"/>
      <c r="M39" s="150"/>
      <c r="N39" s="150"/>
      <c r="O39" s="155">
        <v>56591</v>
      </c>
      <c r="P39" s="155"/>
      <c r="Q39" s="156">
        <v>53181</v>
      </c>
      <c r="R39" s="150"/>
      <c r="S39" s="150"/>
      <c r="T39" s="148"/>
      <c r="U39" s="148"/>
      <c r="V39" s="148">
        <v>41373</v>
      </c>
      <c r="W39" s="232">
        <v>41537</v>
      </c>
      <c r="X39" s="241"/>
      <c r="Y39" s="242">
        <v>425.45</v>
      </c>
      <c r="Z39" s="157"/>
      <c r="AA39" s="152"/>
      <c r="AB39" s="150"/>
      <c r="AC39" s="194"/>
      <c r="AF39" s="221">
        <f t="shared" si="8"/>
        <v>14.181666666666667</v>
      </c>
      <c r="AG39" s="266">
        <f t="shared" si="15"/>
        <v>20</v>
      </c>
      <c r="AH39" s="223">
        <f t="shared" si="10"/>
        <v>283.63333333333333</v>
      </c>
      <c r="AI39" s="266"/>
      <c r="AJ39" s="223"/>
      <c r="AK39" s="207">
        <f t="array" ref="AK39">IF($A39=0,0,SUMPRODUCT(($B$4:$B$60=$B39)*($X$4:$X$60)))</f>
        <v>0</v>
      </c>
      <c r="AL39" s="225"/>
      <c r="AN39" s="259">
        <f t="shared" si="11"/>
        <v>41547</v>
      </c>
      <c r="AO39" s="256">
        <f t="shared" si="12"/>
        <v>0</v>
      </c>
      <c r="AP39" s="256">
        <f t="shared" si="12"/>
        <v>0</v>
      </c>
      <c r="AQ39" s="256">
        <f t="shared" si="12"/>
        <v>0</v>
      </c>
      <c r="AR39" s="256">
        <f t="shared" si="12"/>
        <v>0</v>
      </c>
      <c r="AS39" s="256">
        <f t="shared" si="12"/>
        <v>0</v>
      </c>
      <c r="AT39" s="256">
        <f t="shared" si="12"/>
        <v>0</v>
      </c>
      <c r="AU39" s="256">
        <f t="shared" si="12"/>
        <v>0</v>
      </c>
      <c r="AV39" s="256">
        <f t="shared" si="12"/>
        <v>0</v>
      </c>
      <c r="AW39" s="256">
        <f t="shared" si="12"/>
        <v>0</v>
      </c>
      <c r="AX39" s="256">
        <f t="shared" si="12"/>
        <v>0</v>
      </c>
      <c r="AY39" s="256">
        <f t="shared" si="12"/>
        <v>0</v>
      </c>
      <c r="AZ39" s="256">
        <f t="shared" si="12"/>
        <v>0</v>
      </c>
      <c r="BA39" s="254">
        <f t="shared" si="20"/>
        <v>0</v>
      </c>
      <c r="BB39" s="254">
        <f t="shared" si="20"/>
        <v>0</v>
      </c>
      <c r="BC39" s="254">
        <f t="shared" si="20"/>
        <v>0</v>
      </c>
      <c r="BD39" s="254">
        <f t="shared" si="20"/>
        <v>0</v>
      </c>
      <c r="BE39" s="254">
        <f t="shared" si="20"/>
        <v>0</v>
      </c>
      <c r="BF39" s="254">
        <f t="shared" si="20"/>
        <v>0</v>
      </c>
      <c r="BG39" s="254">
        <f t="shared" si="20"/>
        <v>0</v>
      </c>
      <c r="BH39" s="254">
        <f t="shared" si="20"/>
        <v>0</v>
      </c>
      <c r="BI39" s="254">
        <f t="shared" si="20"/>
        <v>0</v>
      </c>
      <c r="BJ39" s="254">
        <f t="shared" si="20"/>
        <v>0</v>
      </c>
      <c r="BK39" s="254">
        <f t="shared" si="20"/>
        <v>0</v>
      </c>
      <c r="BL39" s="254">
        <f t="shared" si="20"/>
        <v>0</v>
      </c>
      <c r="BM39" s="254">
        <f t="shared" si="16"/>
        <v>0</v>
      </c>
    </row>
    <row r="40" spans="1:65" s="139" customFormat="1" ht="17.100000000000001" customHeight="1" x14ac:dyDescent="0.25">
      <c r="A40" s="192"/>
      <c r="B40" s="192"/>
      <c r="C40" s="228">
        <f t="shared" si="19"/>
        <v>0</v>
      </c>
      <c r="D40" s="229">
        <f t="shared" si="5"/>
        <v>41671</v>
      </c>
      <c r="E40" s="148"/>
      <c r="F40" s="246">
        <v>1424</v>
      </c>
      <c r="G40" s="150" t="s">
        <v>475</v>
      </c>
      <c r="H40" s="150" t="s">
        <v>476</v>
      </c>
      <c r="I40" s="150"/>
      <c r="J40" s="150"/>
      <c r="K40" s="150"/>
      <c r="L40" s="150"/>
      <c r="M40" s="150"/>
      <c r="N40" s="150"/>
      <c r="O40" s="155">
        <v>58235</v>
      </c>
      <c r="P40" s="155"/>
      <c r="Q40" s="156">
        <v>55775</v>
      </c>
      <c r="R40" s="150"/>
      <c r="S40" s="150"/>
      <c r="T40" s="148"/>
      <c r="U40" s="148"/>
      <c r="V40" s="148">
        <v>41537</v>
      </c>
      <c r="W40" s="232">
        <v>41691</v>
      </c>
      <c r="X40" s="241"/>
      <c r="Y40" s="242">
        <v>446.2</v>
      </c>
      <c r="Z40" s="157"/>
      <c r="AA40" s="152"/>
      <c r="AB40" s="150"/>
      <c r="AC40" s="194"/>
      <c r="AD40" s="175"/>
      <c r="AE40" s="175"/>
      <c r="AF40" s="221">
        <f t="shared" si="8"/>
        <v>14.873333333333333</v>
      </c>
      <c r="AG40" s="266">
        <f t="shared" si="15"/>
        <v>21</v>
      </c>
      <c r="AH40" s="223">
        <f t="shared" si="10"/>
        <v>312.33999999999997</v>
      </c>
      <c r="AI40" s="266"/>
      <c r="AJ40" s="223"/>
      <c r="AK40" s="207">
        <f t="array" ref="AK40">IF($A40=0,0,SUMPRODUCT(($B$4:$B$60=$B40)*($X$4:$X$60)))</f>
        <v>0</v>
      </c>
      <c r="AL40" s="225"/>
      <c r="AM40" s="175"/>
      <c r="AN40" s="259">
        <f t="shared" si="11"/>
        <v>41698</v>
      </c>
      <c r="AO40" s="256">
        <f t="shared" si="12"/>
        <v>0</v>
      </c>
      <c r="AP40" s="256">
        <f t="shared" si="12"/>
        <v>0</v>
      </c>
      <c r="AQ40" s="256">
        <f t="shared" si="12"/>
        <v>0</v>
      </c>
      <c r="AR40" s="256">
        <f t="shared" si="12"/>
        <v>0</v>
      </c>
      <c r="AS40" s="256">
        <f t="shared" si="12"/>
        <v>0</v>
      </c>
      <c r="AT40" s="256">
        <f t="shared" si="12"/>
        <v>0</v>
      </c>
      <c r="AU40" s="256">
        <f t="shared" si="12"/>
        <v>0</v>
      </c>
      <c r="AV40" s="256">
        <f t="shared" si="12"/>
        <v>0</v>
      </c>
      <c r="AW40" s="256">
        <f t="shared" si="12"/>
        <v>0</v>
      </c>
      <c r="AX40" s="256">
        <f t="shared" si="12"/>
        <v>0</v>
      </c>
      <c r="AY40" s="256">
        <f t="shared" si="12"/>
        <v>0</v>
      </c>
      <c r="AZ40" s="256">
        <f t="shared" si="12"/>
        <v>0</v>
      </c>
      <c r="BA40" s="254">
        <f t="shared" si="20"/>
        <v>0</v>
      </c>
      <c r="BB40" s="254">
        <f t="shared" si="20"/>
        <v>0</v>
      </c>
      <c r="BC40" s="254">
        <f t="shared" si="20"/>
        <v>0</v>
      </c>
      <c r="BD40" s="254">
        <f t="shared" si="20"/>
        <v>0</v>
      </c>
      <c r="BE40" s="254">
        <f t="shared" si="20"/>
        <v>0</v>
      </c>
      <c r="BF40" s="254">
        <f t="shared" si="20"/>
        <v>0</v>
      </c>
      <c r="BG40" s="254">
        <f t="shared" si="20"/>
        <v>0</v>
      </c>
      <c r="BH40" s="254">
        <f t="shared" si="20"/>
        <v>0</v>
      </c>
      <c r="BI40" s="254">
        <f t="shared" si="20"/>
        <v>0</v>
      </c>
      <c r="BJ40" s="254">
        <f t="shared" si="20"/>
        <v>0</v>
      </c>
      <c r="BK40" s="254">
        <f t="shared" si="20"/>
        <v>0</v>
      </c>
      <c r="BL40" s="254">
        <f t="shared" si="20"/>
        <v>0</v>
      </c>
      <c r="BM40" s="254">
        <f t="shared" si="16"/>
        <v>0</v>
      </c>
    </row>
    <row r="41" spans="1:65" s="139" customFormat="1" ht="17.100000000000001" customHeight="1" x14ac:dyDescent="0.25">
      <c r="A41" s="192"/>
      <c r="B41" s="192"/>
      <c r="C41" s="228">
        <f t="shared" si="19"/>
        <v>0</v>
      </c>
      <c r="D41" s="229">
        <f t="shared" si="5"/>
        <v>41821</v>
      </c>
      <c r="E41" s="148">
        <v>41648</v>
      </c>
      <c r="F41" s="246">
        <v>1424</v>
      </c>
      <c r="G41" s="150" t="s">
        <v>475</v>
      </c>
      <c r="H41" s="150" t="s">
        <v>476</v>
      </c>
      <c r="I41" s="150"/>
      <c r="J41" s="150"/>
      <c r="K41" s="150"/>
      <c r="L41" s="150"/>
      <c r="M41" s="150"/>
      <c r="N41" s="150"/>
      <c r="O41" s="155">
        <v>47534</v>
      </c>
      <c r="P41" s="155"/>
      <c r="Q41" s="156">
        <f>O41-748-110</f>
        <v>46676</v>
      </c>
      <c r="R41" s="150"/>
      <c r="S41" s="150"/>
      <c r="T41" s="148"/>
      <c r="U41" s="148" t="s">
        <v>439</v>
      </c>
      <c r="V41" s="148">
        <v>41691</v>
      </c>
      <c r="W41" s="232">
        <v>41849</v>
      </c>
      <c r="X41" s="241"/>
      <c r="Y41" s="242">
        <f t="shared" ref="Y41:Y50" si="21">IF($U41=0,0,$Q41*VLOOKUP($U41,$W$1:$X$3,2))</f>
        <v>373.40800000000002</v>
      </c>
      <c r="Z41" s="157"/>
      <c r="AA41" s="152"/>
      <c r="AB41" s="150"/>
      <c r="AC41" s="194"/>
      <c r="AF41" s="221">
        <f t="shared" si="8"/>
        <v>12.446933333333334</v>
      </c>
      <c r="AG41" s="266">
        <f t="shared" si="15"/>
        <v>29</v>
      </c>
      <c r="AH41" s="223">
        <f t="shared" si="10"/>
        <v>360.96106666666668</v>
      </c>
      <c r="AI41" s="266"/>
      <c r="AJ41" s="223"/>
      <c r="AK41" s="207">
        <f t="array" ref="AK41">IF($A41=0,0,SUMPRODUCT(($B$4:$B$60=$B41)*($X$4:$X$60)))</f>
        <v>0</v>
      </c>
      <c r="AL41" s="225"/>
      <c r="AM41" s="175"/>
      <c r="AN41" s="259">
        <f t="shared" si="11"/>
        <v>41851</v>
      </c>
      <c r="AO41" s="256">
        <f t="shared" si="12"/>
        <v>0</v>
      </c>
      <c r="AP41" s="256">
        <f t="shared" si="12"/>
        <v>0</v>
      </c>
      <c r="AQ41" s="256">
        <f t="shared" si="12"/>
        <v>0</v>
      </c>
      <c r="AR41" s="256">
        <f t="shared" si="12"/>
        <v>0</v>
      </c>
      <c r="AS41" s="256">
        <f t="shared" si="12"/>
        <v>0</v>
      </c>
      <c r="AT41" s="256">
        <f t="shared" si="12"/>
        <v>0</v>
      </c>
      <c r="AU41" s="256">
        <f t="shared" si="12"/>
        <v>0</v>
      </c>
      <c r="AV41" s="256">
        <f t="shared" si="12"/>
        <v>0</v>
      </c>
      <c r="AW41" s="256">
        <f t="shared" si="12"/>
        <v>0</v>
      </c>
      <c r="AX41" s="256">
        <f t="shared" si="12"/>
        <v>0</v>
      </c>
      <c r="AY41" s="256">
        <f t="shared" si="12"/>
        <v>0</v>
      </c>
      <c r="AZ41" s="256">
        <f t="shared" si="12"/>
        <v>0</v>
      </c>
      <c r="BA41" s="254">
        <f t="shared" si="20"/>
        <v>0</v>
      </c>
      <c r="BB41" s="254">
        <f t="shared" si="20"/>
        <v>0</v>
      </c>
      <c r="BC41" s="254">
        <f t="shared" si="20"/>
        <v>0</v>
      </c>
      <c r="BD41" s="254">
        <f t="shared" si="20"/>
        <v>0</v>
      </c>
      <c r="BE41" s="254">
        <f t="shared" si="20"/>
        <v>0</v>
      </c>
      <c r="BF41" s="254">
        <f t="shared" si="20"/>
        <v>0</v>
      </c>
      <c r="BG41" s="254">
        <f t="shared" si="20"/>
        <v>0</v>
      </c>
      <c r="BH41" s="254">
        <f t="shared" si="20"/>
        <v>0</v>
      </c>
      <c r="BI41" s="254">
        <f t="shared" si="20"/>
        <v>0</v>
      </c>
      <c r="BJ41" s="254">
        <f t="shared" si="20"/>
        <v>0</v>
      </c>
      <c r="BK41" s="254">
        <f t="shared" si="20"/>
        <v>0</v>
      </c>
      <c r="BL41" s="254">
        <f t="shared" si="20"/>
        <v>0</v>
      </c>
      <c r="BM41" s="254">
        <f t="shared" si="16"/>
        <v>0</v>
      </c>
    </row>
    <row r="42" spans="1:65" s="139" customFormat="1" ht="17.100000000000001" customHeight="1" x14ac:dyDescent="0.25">
      <c r="A42" s="192"/>
      <c r="B42" s="192"/>
      <c r="C42" s="228">
        <f t="shared" si="19"/>
        <v>0</v>
      </c>
      <c r="D42" s="229">
        <f t="shared" si="5"/>
        <v>41944</v>
      </c>
      <c r="E42" s="148">
        <v>41802</v>
      </c>
      <c r="F42" s="246">
        <v>1424</v>
      </c>
      <c r="G42" s="150" t="s">
        <v>475</v>
      </c>
      <c r="H42" s="150" t="s">
        <v>476</v>
      </c>
      <c r="I42" s="150"/>
      <c r="J42" s="150"/>
      <c r="K42" s="150"/>
      <c r="L42" s="150"/>
      <c r="M42" s="150"/>
      <c r="N42" s="150"/>
      <c r="O42" s="155">
        <v>35260</v>
      </c>
      <c r="P42" s="155"/>
      <c r="Q42" s="156">
        <f>O42-570-90</f>
        <v>34600</v>
      </c>
      <c r="R42" s="150"/>
      <c r="S42" s="150"/>
      <c r="T42" s="148"/>
      <c r="U42" s="148" t="s">
        <v>439</v>
      </c>
      <c r="V42" s="148">
        <v>41849</v>
      </c>
      <c r="W42" s="232">
        <v>41947</v>
      </c>
      <c r="X42" s="241"/>
      <c r="Y42" s="242">
        <f t="shared" si="21"/>
        <v>276.8</v>
      </c>
      <c r="Z42" s="157"/>
      <c r="AA42" s="152"/>
      <c r="AB42" s="150"/>
      <c r="AC42" s="194"/>
      <c r="AF42" s="221">
        <f t="shared" si="8"/>
        <v>9.2266666666666666</v>
      </c>
      <c r="AG42" s="266">
        <f t="shared" si="15"/>
        <v>4</v>
      </c>
      <c r="AH42" s="223">
        <f t="shared" si="10"/>
        <v>36.906666666666666</v>
      </c>
      <c r="AI42" s="266"/>
      <c r="AJ42" s="223"/>
      <c r="AK42" s="207">
        <f t="array" ref="AK42">IF($A42=0,0,SUMPRODUCT(($B$4:$B$60=$B42)*($X$4:$X$60)))</f>
        <v>0</v>
      </c>
      <c r="AL42" s="225"/>
      <c r="AM42" s="175"/>
      <c r="AN42" s="259">
        <f t="shared" si="11"/>
        <v>41973</v>
      </c>
      <c r="AO42" s="256">
        <f t="shared" si="12"/>
        <v>0</v>
      </c>
      <c r="AP42" s="256">
        <f t="shared" si="12"/>
        <v>0</v>
      </c>
      <c r="AQ42" s="256">
        <f t="shared" si="12"/>
        <v>0</v>
      </c>
      <c r="AR42" s="256">
        <f t="shared" si="12"/>
        <v>0</v>
      </c>
      <c r="AS42" s="256">
        <f t="shared" si="12"/>
        <v>0</v>
      </c>
      <c r="AT42" s="256">
        <f t="shared" si="12"/>
        <v>0</v>
      </c>
      <c r="AU42" s="256">
        <f t="shared" si="12"/>
        <v>0</v>
      </c>
      <c r="AV42" s="256">
        <f t="shared" si="12"/>
        <v>0</v>
      </c>
      <c r="AW42" s="256">
        <f t="shared" si="12"/>
        <v>0</v>
      </c>
      <c r="AX42" s="256">
        <f t="shared" si="12"/>
        <v>0</v>
      </c>
      <c r="AY42" s="256">
        <f t="shared" si="12"/>
        <v>0</v>
      </c>
      <c r="AZ42" s="256">
        <f t="shared" si="12"/>
        <v>0</v>
      </c>
      <c r="BA42" s="254">
        <f t="shared" si="20"/>
        <v>0</v>
      </c>
      <c r="BB42" s="254">
        <f t="shared" si="20"/>
        <v>0</v>
      </c>
      <c r="BC42" s="254">
        <f t="shared" si="20"/>
        <v>0</v>
      </c>
      <c r="BD42" s="254">
        <f t="shared" si="20"/>
        <v>0</v>
      </c>
      <c r="BE42" s="254">
        <f t="shared" si="20"/>
        <v>0</v>
      </c>
      <c r="BF42" s="254">
        <f t="shared" si="20"/>
        <v>0</v>
      </c>
      <c r="BG42" s="254">
        <f t="shared" si="20"/>
        <v>0</v>
      </c>
      <c r="BH42" s="254">
        <f t="shared" si="20"/>
        <v>0</v>
      </c>
      <c r="BI42" s="254">
        <f t="shared" si="20"/>
        <v>0</v>
      </c>
      <c r="BJ42" s="254">
        <f t="shared" si="20"/>
        <v>0</v>
      </c>
      <c r="BK42" s="254">
        <f t="shared" si="20"/>
        <v>0</v>
      </c>
      <c r="BL42" s="254">
        <f t="shared" si="20"/>
        <v>0</v>
      </c>
      <c r="BM42" s="254">
        <f t="shared" si="16"/>
        <v>0</v>
      </c>
    </row>
    <row r="43" spans="1:65" s="139" customFormat="1" ht="17.100000000000001" customHeight="1" x14ac:dyDescent="0.25">
      <c r="A43" s="192"/>
      <c r="B43" s="192"/>
      <c r="C43" s="228">
        <f t="shared" si="19"/>
        <v>0</v>
      </c>
      <c r="D43" s="229">
        <f t="shared" si="5"/>
        <v>42036</v>
      </c>
      <c r="E43" s="148">
        <v>41913</v>
      </c>
      <c r="F43" s="246">
        <v>1424</v>
      </c>
      <c r="G43" s="150" t="s">
        <v>475</v>
      </c>
      <c r="H43" s="150" t="s">
        <v>476</v>
      </c>
      <c r="I43" s="150"/>
      <c r="J43" s="150"/>
      <c r="K43" s="150"/>
      <c r="L43" s="150"/>
      <c r="M43" s="150"/>
      <c r="N43" s="150"/>
      <c r="O43" s="155">
        <v>60760</v>
      </c>
      <c r="P43" s="155"/>
      <c r="Q43" s="156">
        <f>O43-950-2400-110</f>
        <v>57300</v>
      </c>
      <c r="R43" s="150"/>
      <c r="S43" s="150"/>
      <c r="T43" s="148"/>
      <c r="U43" s="148" t="s">
        <v>439</v>
      </c>
      <c r="V43" s="148">
        <v>41947</v>
      </c>
      <c r="W43" s="232">
        <v>42038</v>
      </c>
      <c r="X43" s="241"/>
      <c r="Y43" s="242">
        <f t="shared" si="21"/>
        <v>458.40000000000003</v>
      </c>
      <c r="Z43" s="157"/>
      <c r="AA43" s="152"/>
      <c r="AB43" s="150"/>
      <c r="AC43" s="194"/>
      <c r="AF43" s="221">
        <f t="shared" si="8"/>
        <v>15.280000000000001</v>
      </c>
      <c r="AG43" s="266">
        <f t="shared" si="15"/>
        <v>3</v>
      </c>
      <c r="AH43" s="223">
        <f t="shared" si="10"/>
        <v>45.84</v>
      </c>
      <c r="AI43" s="266"/>
      <c r="AJ43" s="223"/>
      <c r="AK43" s="207">
        <f t="array" ref="AK43">IF($A43=0,0,SUMPRODUCT(($B$4:$B$60=$B43)*($X$4:$X$60)))</f>
        <v>0</v>
      </c>
      <c r="AL43" s="225"/>
      <c r="AM43" s="175"/>
      <c r="AN43" s="259">
        <f t="shared" si="11"/>
        <v>42063</v>
      </c>
      <c r="AO43" s="256">
        <f t="shared" si="12"/>
        <v>0</v>
      </c>
      <c r="AP43" s="256">
        <f t="shared" si="12"/>
        <v>0</v>
      </c>
      <c r="AQ43" s="256">
        <f t="shared" si="12"/>
        <v>0</v>
      </c>
      <c r="AR43" s="256">
        <f t="shared" si="12"/>
        <v>0</v>
      </c>
      <c r="AS43" s="256">
        <f t="shared" si="12"/>
        <v>0</v>
      </c>
      <c r="AT43" s="256">
        <f t="shared" si="12"/>
        <v>0</v>
      </c>
      <c r="AU43" s="256">
        <f t="shared" si="12"/>
        <v>0</v>
      </c>
      <c r="AV43" s="256">
        <f t="shared" si="12"/>
        <v>0</v>
      </c>
      <c r="AW43" s="256">
        <f t="shared" si="12"/>
        <v>0</v>
      </c>
      <c r="AX43" s="256">
        <f t="shared" si="12"/>
        <v>0</v>
      </c>
      <c r="AY43" s="256">
        <f t="shared" si="12"/>
        <v>0</v>
      </c>
      <c r="AZ43" s="256">
        <f t="shared" si="12"/>
        <v>0</v>
      </c>
      <c r="BA43" s="254">
        <f t="shared" si="20"/>
        <v>0</v>
      </c>
      <c r="BB43" s="254">
        <f t="shared" si="20"/>
        <v>0</v>
      </c>
      <c r="BC43" s="254">
        <f t="shared" si="20"/>
        <v>0</v>
      </c>
      <c r="BD43" s="254">
        <f t="shared" si="20"/>
        <v>0</v>
      </c>
      <c r="BE43" s="254">
        <f t="shared" si="20"/>
        <v>0</v>
      </c>
      <c r="BF43" s="254">
        <f t="shared" si="20"/>
        <v>0</v>
      </c>
      <c r="BG43" s="254">
        <f t="shared" si="20"/>
        <v>0</v>
      </c>
      <c r="BH43" s="254">
        <f t="shared" si="20"/>
        <v>0</v>
      </c>
      <c r="BI43" s="254">
        <f t="shared" si="20"/>
        <v>0</v>
      </c>
      <c r="BJ43" s="254">
        <f t="shared" si="20"/>
        <v>0</v>
      </c>
      <c r="BK43" s="254">
        <f t="shared" si="20"/>
        <v>0</v>
      </c>
      <c r="BL43" s="254">
        <f t="shared" si="20"/>
        <v>0</v>
      </c>
      <c r="BM43" s="254">
        <f t="shared" si="16"/>
        <v>0</v>
      </c>
    </row>
    <row r="44" spans="1:65" s="139" customFormat="1" ht="17.100000000000001" customHeight="1" x14ac:dyDescent="0.25">
      <c r="A44" s="192"/>
      <c r="B44" s="192"/>
      <c r="C44" s="228">
        <f t="shared" si="19"/>
        <v>0</v>
      </c>
      <c r="D44" s="229">
        <f t="shared" si="5"/>
        <v>42156</v>
      </c>
      <c r="E44" s="148">
        <v>42017</v>
      </c>
      <c r="F44" s="246">
        <v>1424</v>
      </c>
      <c r="G44" s="150" t="s">
        <v>475</v>
      </c>
      <c r="H44" s="150" t="s">
        <v>476</v>
      </c>
      <c r="I44" s="150"/>
      <c r="J44" s="150"/>
      <c r="K44" s="150"/>
      <c r="L44" s="150"/>
      <c r="M44" s="150"/>
      <c r="N44" s="150"/>
      <c r="O44" s="155">
        <v>60700</v>
      </c>
      <c r="P44" s="155"/>
      <c r="Q44" s="156">
        <f>O44-2400</f>
        <v>58300</v>
      </c>
      <c r="R44" s="150"/>
      <c r="S44" s="150"/>
      <c r="T44" s="148"/>
      <c r="U44" s="148" t="s">
        <v>439</v>
      </c>
      <c r="V44" s="148">
        <v>42038</v>
      </c>
      <c r="W44" s="232">
        <v>42167</v>
      </c>
      <c r="X44" s="241"/>
      <c r="Y44" s="242">
        <f t="shared" si="21"/>
        <v>466.40000000000003</v>
      </c>
      <c r="Z44" s="157"/>
      <c r="AA44" s="152"/>
      <c r="AB44" s="150"/>
      <c r="AC44" s="194"/>
      <c r="AF44" s="221">
        <f t="shared" si="8"/>
        <v>15.546666666666669</v>
      </c>
      <c r="AG44" s="266">
        <f t="shared" si="15"/>
        <v>12</v>
      </c>
      <c r="AH44" s="223">
        <f t="shared" si="10"/>
        <v>186.56000000000003</v>
      </c>
      <c r="AI44" s="266"/>
      <c r="AJ44" s="223"/>
      <c r="AK44" s="207">
        <f t="array" ref="AK44">IF($A44=0,0,SUMPRODUCT(($B$4:$B$60=$B44)*($X$4:$X$60)))</f>
        <v>0</v>
      </c>
      <c r="AL44" s="225"/>
      <c r="AM44" s="175"/>
      <c r="AN44" s="259">
        <f t="shared" si="11"/>
        <v>42185</v>
      </c>
      <c r="AO44" s="256">
        <f t="shared" si="12"/>
        <v>0</v>
      </c>
      <c r="AP44" s="256">
        <f t="shared" si="12"/>
        <v>0</v>
      </c>
      <c r="AQ44" s="256">
        <f t="shared" si="12"/>
        <v>0</v>
      </c>
      <c r="AR44" s="256">
        <f t="shared" si="12"/>
        <v>0</v>
      </c>
      <c r="AS44" s="256">
        <f t="shared" si="12"/>
        <v>0</v>
      </c>
      <c r="AT44" s="256">
        <f t="shared" si="12"/>
        <v>0</v>
      </c>
      <c r="AU44" s="256">
        <f t="shared" si="12"/>
        <v>0</v>
      </c>
      <c r="AV44" s="256">
        <f t="shared" si="12"/>
        <v>0</v>
      </c>
      <c r="AW44" s="256">
        <f t="shared" si="12"/>
        <v>0</v>
      </c>
      <c r="AX44" s="256">
        <f t="shared" si="12"/>
        <v>0</v>
      </c>
      <c r="AY44" s="256">
        <f t="shared" si="12"/>
        <v>0</v>
      </c>
      <c r="AZ44" s="256">
        <f t="shared" si="12"/>
        <v>0</v>
      </c>
      <c r="BA44" s="254">
        <f t="shared" si="20"/>
        <v>0</v>
      </c>
      <c r="BB44" s="254">
        <f t="shared" si="20"/>
        <v>0</v>
      </c>
      <c r="BC44" s="254">
        <f t="shared" si="20"/>
        <v>0</v>
      </c>
      <c r="BD44" s="254">
        <f t="shared" si="20"/>
        <v>0</v>
      </c>
      <c r="BE44" s="254">
        <f t="shared" si="20"/>
        <v>0</v>
      </c>
      <c r="BF44" s="254">
        <f t="shared" si="20"/>
        <v>0</v>
      </c>
      <c r="BG44" s="254">
        <f t="shared" si="20"/>
        <v>0</v>
      </c>
      <c r="BH44" s="254">
        <f t="shared" si="20"/>
        <v>0</v>
      </c>
      <c r="BI44" s="254">
        <f t="shared" si="20"/>
        <v>0</v>
      </c>
      <c r="BJ44" s="254">
        <f t="shared" si="20"/>
        <v>0</v>
      </c>
      <c r="BK44" s="254">
        <f t="shared" si="20"/>
        <v>0</v>
      </c>
      <c r="BL44" s="254">
        <f t="shared" si="20"/>
        <v>0</v>
      </c>
      <c r="BM44" s="254">
        <f t="shared" si="16"/>
        <v>0</v>
      </c>
    </row>
    <row r="45" spans="1:65" s="139" customFormat="1" ht="17.100000000000001" customHeight="1" x14ac:dyDescent="0.25">
      <c r="A45" s="192"/>
      <c r="B45" s="192"/>
      <c r="C45" s="228">
        <f t="shared" si="19"/>
        <v>0</v>
      </c>
      <c r="D45" s="229">
        <f t="shared" si="5"/>
        <v>42248</v>
      </c>
      <c r="E45" s="148">
        <v>42075</v>
      </c>
      <c r="F45" s="246">
        <v>1424</v>
      </c>
      <c r="G45" s="150" t="s">
        <v>475</v>
      </c>
      <c r="H45" s="150" t="s">
        <v>476</v>
      </c>
      <c r="I45" s="150"/>
      <c r="J45" s="150"/>
      <c r="K45" s="150"/>
      <c r="L45" s="150"/>
      <c r="M45" s="150"/>
      <c r="N45" s="150"/>
      <c r="O45" s="155">
        <v>53140</v>
      </c>
      <c r="P45" s="155"/>
      <c r="Q45" s="156">
        <f>O45-760-150</f>
        <v>52230</v>
      </c>
      <c r="R45" s="150"/>
      <c r="S45" s="150"/>
      <c r="T45" s="148"/>
      <c r="U45" s="148" t="s">
        <v>439</v>
      </c>
      <c r="V45" s="148">
        <v>42167</v>
      </c>
      <c r="W45" s="232">
        <v>42265</v>
      </c>
      <c r="X45" s="241"/>
      <c r="Y45" s="242">
        <f t="shared" si="21"/>
        <v>417.84000000000003</v>
      </c>
      <c r="Z45" s="157"/>
      <c r="AA45" s="152"/>
      <c r="AB45" s="150"/>
      <c r="AC45" s="194"/>
      <c r="AF45" s="221">
        <f t="shared" si="8"/>
        <v>13.928000000000001</v>
      </c>
      <c r="AG45" s="266">
        <f t="shared" si="15"/>
        <v>18</v>
      </c>
      <c r="AH45" s="223">
        <f t="shared" si="10"/>
        <v>250.70400000000001</v>
      </c>
      <c r="AI45" s="266"/>
      <c r="AJ45" s="223"/>
      <c r="AK45" s="207">
        <f t="array" ref="AK45">IF($A45=0,0,SUMPRODUCT(($B$4:$B$60=$B45)*($X$4:$X$60)))</f>
        <v>0</v>
      </c>
      <c r="AL45" s="225"/>
      <c r="AM45" s="175"/>
      <c r="AN45" s="259">
        <f t="shared" si="11"/>
        <v>42277</v>
      </c>
      <c r="AO45" s="256">
        <f t="shared" si="12"/>
        <v>0</v>
      </c>
      <c r="AP45" s="256">
        <f t="shared" si="12"/>
        <v>0</v>
      </c>
      <c r="AQ45" s="256">
        <f t="shared" si="12"/>
        <v>0</v>
      </c>
      <c r="AR45" s="256">
        <f t="shared" si="12"/>
        <v>0</v>
      </c>
      <c r="AS45" s="256">
        <f t="shared" si="12"/>
        <v>0</v>
      </c>
      <c r="AT45" s="256">
        <f t="shared" si="12"/>
        <v>0</v>
      </c>
      <c r="AU45" s="256">
        <f t="shared" si="12"/>
        <v>0</v>
      </c>
      <c r="AV45" s="256">
        <f t="shared" si="12"/>
        <v>0</v>
      </c>
      <c r="AW45" s="256">
        <f t="shared" si="12"/>
        <v>0</v>
      </c>
      <c r="AX45" s="256">
        <f t="shared" si="12"/>
        <v>0</v>
      </c>
      <c r="AY45" s="256">
        <f t="shared" si="12"/>
        <v>0</v>
      </c>
      <c r="AZ45" s="256">
        <f t="shared" si="12"/>
        <v>0</v>
      </c>
      <c r="BA45" s="254">
        <f t="shared" si="20"/>
        <v>0</v>
      </c>
      <c r="BB45" s="254">
        <f t="shared" si="20"/>
        <v>0</v>
      </c>
      <c r="BC45" s="254">
        <f t="shared" si="20"/>
        <v>0</v>
      </c>
      <c r="BD45" s="254">
        <f t="shared" si="20"/>
        <v>0</v>
      </c>
      <c r="BE45" s="254">
        <f t="shared" si="20"/>
        <v>0</v>
      </c>
      <c r="BF45" s="254">
        <f t="shared" si="20"/>
        <v>0</v>
      </c>
      <c r="BG45" s="254">
        <f t="shared" si="20"/>
        <v>0</v>
      </c>
      <c r="BH45" s="254">
        <f t="shared" si="20"/>
        <v>0</v>
      </c>
      <c r="BI45" s="254">
        <f t="shared" si="20"/>
        <v>0</v>
      </c>
      <c r="BJ45" s="254">
        <f t="shared" si="20"/>
        <v>0</v>
      </c>
      <c r="BK45" s="254">
        <f t="shared" si="20"/>
        <v>0</v>
      </c>
      <c r="BL45" s="254">
        <f t="shared" si="20"/>
        <v>0</v>
      </c>
      <c r="BM45" s="254">
        <f t="shared" si="16"/>
        <v>0</v>
      </c>
    </row>
    <row r="46" spans="1:65" s="139" customFormat="1" ht="17.100000000000001" customHeight="1" x14ac:dyDescent="0.25">
      <c r="A46" s="192"/>
      <c r="B46" s="192"/>
      <c r="C46" s="228">
        <f t="shared" si="19"/>
        <v>0</v>
      </c>
      <c r="D46" s="229">
        <f t="shared" si="5"/>
        <v>42339</v>
      </c>
      <c r="E46" s="148">
        <v>42208</v>
      </c>
      <c r="F46" s="246">
        <v>1424</v>
      </c>
      <c r="G46" s="150" t="s">
        <v>475</v>
      </c>
      <c r="H46" s="150" t="s">
        <v>476</v>
      </c>
      <c r="I46" s="150"/>
      <c r="J46" s="150"/>
      <c r="K46" s="150"/>
      <c r="L46" s="150"/>
      <c r="M46" s="150"/>
      <c r="N46" s="150"/>
      <c r="O46" s="155">
        <v>60420</v>
      </c>
      <c r="P46" s="155"/>
      <c r="Q46" s="156">
        <f>O46-2400-110</f>
        <v>57910</v>
      </c>
      <c r="R46" s="150"/>
      <c r="S46" s="150"/>
      <c r="T46" s="148"/>
      <c r="U46" s="148" t="s">
        <v>439</v>
      </c>
      <c r="V46" s="148">
        <v>42265</v>
      </c>
      <c r="W46" s="232">
        <v>42353</v>
      </c>
      <c r="X46" s="241"/>
      <c r="Y46" s="242">
        <f t="shared" si="21"/>
        <v>463.28000000000003</v>
      </c>
      <c r="Z46" s="157"/>
      <c r="AA46" s="152"/>
      <c r="AB46" s="150"/>
      <c r="AC46" s="194"/>
      <c r="AF46" s="221">
        <f t="shared" si="8"/>
        <v>15.442666666666668</v>
      </c>
      <c r="AG46" s="266">
        <f t="shared" si="15"/>
        <v>15</v>
      </c>
      <c r="AH46" s="223">
        <f t="shared" si="10"/>
        <v>231.64000000000001</v>
      </c>
      <c r="AI46" s="266"/>
      <c r="AJ46" s="223"/>
      <c r="AK46" s="207">
        <f t="array" ref="AK46">IF($A46=0,0,SUMPRODUCT(($B$4:$B$60=$B46)*($X$4:$X$60)))</f>
        <v>0</v>
      </c>
      <c r="AL46" s="225"/>
      <c r="AM46" s="175"/>
      <c r="AN46" s="259">
        <f t="shared" si="11"/>
        <v>42369</v>
      </c>
      <c r="AO46" s="256">
        <f t="shared" si="12"/>
        <v>0</v>
      </c>
      <c r="AP46" s="256">
        <f t="shared" si="12"/>
        <v>0</v>
      </c>
      <c r="AQ46" s="256">
        <f t="shared" si="12"/>
        <v>0</v>
      </c>
      <c r="AR46" s="256">
        <f t="shared" si="12"/>
        <v>0</v>
      </c>
      <c r="AS46" s="256">
        <f t="shared" si="12"/>
        <v>0</v>
      </c>
      <c r="AT46" s="256">
        <f t="shared" si="12"/>
        <v>0</v>
      </c>
      <c r="AU46" s="256">
        <f t="shared" si="12"/>
        <v>0</v>
      </c>
      <c r="AV46" s="256">
        <f t="shared" si="12"/>
        <v>0</v>
      </c>
      <c r="AW46" s="256">
        <f t="shared" si="12"/>
        <v>0</v>
      </c>
      <c r="AX46" s="256">
        <f t="shared" si="12"/>
        <v>0</v>
      </c>
      <c r="AY46" s="256">
        <f t="shared" si="12"/>
        <v>0</v>
      </c>
      <c r="AZ46" s="256">
        <f t="shared" si="12"/>
        <v>0</v>
      </c>
      <c r="BA46" s="254">
        <f t="shared" si="20"/>
        <v>0</v>
      </c>
      <c r="BB46" s="254">
        <f t="shared" si="20"/>
        <v>0</v>
      </c>
      <c r="BC46" s="254">
        <f t="shared" si="20"/>
        <v>0</v>
      </c>
      <c r="BD46" s="254">
        <f t="shared" si="20"/>
        <v>0</v>
      </c>
      <c r="BE46" s="254">
        <f t="shared" si="20"/>
        <v>0</v>
      </c>
      <c r="BF46" s="254">
        <f t="shared" si="20"/>
        <v>0</v>
      </c>
      <c r="BG46" s="254">
        <f t="shared" si="20"/>
        <v>0</v>
      </c>
      <c r="BH46" s="254">
        <f t="shared" si="20"/>
        <v>0</v>
      </c>
      <c r="BI46" s="254">
        <f t="shared" si="20"/>
        <v>0</v>
      </c>
      <c r="BJ46" s="254">
        <f t="shared" si="20"/>
        <v>0</v>
      </c>
      <c r="BK46" s="254">
        <f t="shared" si="20"/>
        <v>0</v>
      </c>
      <c r="BL46" s="254">
        <f t="shared" si="20"/>
        <v>0</v>
      </c>
      <c r="BM46" s="254">
        <f t="shared" si="16"/>
        <v>0</v>
      </c>
    </row>
    <row r="47" spans="1:65" s="139" customFormat="1" ht="17.100000000000001" customHeight="1" x14ac:dyDescent="0.25">
      <c r="A47" s="192"/>
      <c r="B47" s="192"/>
      <c r="C47" s="228">
        <f t="shared" si="19"/>
        <v>0</v>
      </c>
      <c r="D47" s="229">
        <f t="shared" si="5"/>
        <v>42461</v>
      </c>
      <c r="E47" s="148">
        <v>42256</v>
      </c>
      <c r="F47" s="246">
        <v>1424</v>
      </c>
      <c r="G47" s="150" t="s">
        <v>475</v>
      </c>
      <c r="H47" s="150" t="s">
        <v>476</v>
      </c>
      <c r="I47" s="150"/>
      <c r="J47" s="150"/>
      <c r="K47" s="150"/>
      <c r="L47" s="150"/>
      <c r="M47" s="150"/>
      <c r="N47" s="150"/>
      <c r="O47" s="155">
        <v>65640.02</v>
      </c>
      <c r="P47" s="155"/>
      <c r="Q47" s="156">
        <f>O47-2400-550</f>
        <v>62690.020000000004</v>
      </c>
      <c r="R47" s="150"/>
      <c r="S47" s="150"/>
      <c r="T47" s="148"/>
      <c r="U47" s="148" t="s">
        <v>439</v>
      </c>
      <c r="V47" s="148">
        <v>42353</v>
      </c>
      <c r="W47" s="232">
        <v>42486</v>
      </c>
      <c r="X47" s="241"/>
      <c r="Y47" s="242">
        <f t="shared" si="21"/>
        <v>501.52016000000003</v>
      </c>
      <c r="Z47" s="157"/>
      <c r="AA47" s="152"/>
      <c r="AB47" s="150"/>
      <c r="AC47" s="194"/>
      <c r="AF47" s="221">
        <f t="shared" si="8"/>
        <v>16.717338666666667</v>
      </c>
      <c r="AG47" s="274">
        <f t="shared" ref="AG47:AG48" si="22">IF(G47=0,0,IF($W47=0,EOMONTH($V47,0)-DATE(YEAR($V47),MONTH($V47),1),$W47-DATE(YEAR($W47),MONTH($W47),1)+1))</f>
        <v>26</v>
      </c>
      <c r="AH47" s="223">
        <f t="shared" si="10"/>
        <v>434.65080533333332</v>
      </c>
      <c r="AI47" s="267">
        <f>IF(AND($F47=$F48,$W47=$V48),$AN47-$W47,0)</f>
        <v>4</v>
      </c>
      <c r="AJ47" s="261">
        <f>IF($AI47&lt;&gt;0,$Y48/30*$AI47,0)</f>
        <v>67.680000000000007</v>
      </c>
      <c r="AK47" s="207">
        <f t="array" ref="AK47">IF($A47=0,0,SUMPRODUCT(($B$4:$B$60=$B47)*($X$4:$X$60)))</f>
        <v>0</v>
      </c>
      <c r="AL47" s="225"/>
      <c r="AM47" s="175"/>
      <c r="AN47" s="259">
        <f t="shared" si="11"/>
        <v>42490</v>
      </c>
      <c r="AO47" s="256">
        <f t="shared" si="12"/>
        <v>0</v>
      </c>
      <c r="AP47" s="256">
        <f t="shared" si="12"/>
        <v>0</v>
      </c>
      <c r="AQ47" s="256">
        <f t="shared" si="12"/>
        <v>0</v>
      </c>
      <c r="AR47" s="256">
        <f t="shared" si="12"/>
        <v>0</v>
      </c>
      <c r="AS47" s="256">
        <f t="shared" ref="AS47:AZ47" si="23">IF(AND(YEAR(AS$4)=YEAR($V47),MONTH(AS$4)=MONTH($V47)+1),"X",0)</f>
        <v>0</v>
      </c>
      <c r="AT47" s="256">
        <f t="shared" si="23"/>
        <v>0</v>
      </c>
      <c r="AU47" s="256">
        <f t="shared" si="23"/>
        <v>0</v>
      </c>
      <c r="AV47" s="256">
        <f t="shared" si="23"/>
        <v>0</v>
      </c>
      <c r="AW47" s="256">
        <f t="shared" si="23"/>
        <v>0</v>
      </c>
      <c r="AX47" s="256">
        <f t="shared" si="23"/>
        <v>0</v>
      </c>
      <c r="AY47" s="256">
        <f t="shared" si="23"/>
        <v>0</v>
      </c>
      <c r="AZ47" s="256">
        <f t="shared" si="23"/>
        <v>0</v>
      </c>
      <c r="BA47" s="254">
        <f t="shared" si="20"/>
        <v>501.52016000000003</v>
      </c>
      <c r="BB47" s="254">
        <f t="shared" si="20"/>
        <v>501.52016000000003</v>
      </c>
      <c r="BC47" s="254">
        <f t="shared" si="20"/>
        <v>501.52016000000003</v>
      </c>
      <c r="BD47" s="254">
        <f t="shared" si="20"/>
        <v>501.52016000000003</v>
      </c>
      <c r="BE47" s="254">
        <f t="shared" si="20"/>
        <v>0</v>
      </c>
      <c r="BF47" s="254">
        <f t="shared" si="20"/>
        <v>0</v>
      </c>
      <c r="BG47" s="254">
        <f t="shared" si="20"/>
        <v>0</v>
      </c>
      <c r="BH47" s="254">
        <f t="shared" si="20"/>
        <v>0</v>
      </c>
      <c r="BI47" s="254">
        <f t="shared" si="20"/>
        <v>0</v>
      </c>
      <c r="BJ47" s="254">
        <f t="shared" si="20"/>
        <v>0</v>
      </c>
      <c r="BK47" s="254">
        <f t="shared" si="20"/>
        <v>0</v>
      </c>
      <c r="BL47" s="254">
        <f t="shared" si="20"/>
        <v>0</v>
      </c>
      <c r="BM47" s="254">
        <f t="shared" si="16"/>
        <v>2006.0806400000001</v>
      </c>
    </row>
    <row r="48" spans="1:65" s="139" customFormat="1" ht="17.100000000000001" customHeight="1" x14ac:dyDescent="0.25">
      <c r="A48" s="192"/>
      <c r="B48" s="192">
        <v>6</v>
      </c>
      <c r="C48" s="228">
        <f t="shared" si="19"/>
        <v>0</v>
      </c>
      <c r="D48" s="229">
        <f t="shared" si="5"/>
        <v>42583</v>
      </c>
      <c r="E48" s="148">
        <v>42353</v>
      </c>
      <c r="F48" s="246">
        <v>1424</v>
      </c>
      <c r="G48" s="150" t="s">
        <v>475</v>
      </c>
      <c r="H48" s="150" t="s">
        <v>476</v>
      </c>
      <c r="I48" s="150"/>
      <c r="J48" s="150"/>
      <c r="K48" s="150"/>
      <c r="L48" s="150"/>
      <c r="M48" s="150"/>
      <c r="N48" s="150"/>
      <c r="O48" s="155">
        <v>66360</v>
      </c>
      <c r="P48" s="155"/>
      <c r="Q48" s="156">
        <f>O48-2360-550</f>
        <v>63450</v>
      </c>
      <c r="R48" s="150"/>
      <c r="S48" s="150"/>
      <c r="T48" s="148"/>
      <c r="U48" s="148" t="s">
        <v>439</v>
      </c>
      <c r="V48" s="148">
        <v>42486</v>
      </c>
      <c r="W48" s="232">
        <v>42608</v>
      </c>
      <c r="X48" s="241"/>
      <c r="Y48" s="242">
        <f t="shared" si="21"/>
        <v>507.6</v>
      </c>
      <c r="Z48" s="157"/>
      <c r="AA48" s="152"/>
      <c r="AB48" s="150"/>
      <c r="AC48" s="194"/>
      <c r="AF48" s="221">
        <f t="shared" si="8"/>
        <v>16.920000000000002</v>
      </c>
      <c r="AG48" s="274">
        <f t="shared" si="22"/>
        <v>26</v>
      </c>
      <c r="AH48" s="223">
        <f t="shared" si="10"/>
        <v>439.92000000000007</v>
      </c>
      <c r="AI48" s="267">
        <f>IF(AND($F48=$F49,$W48=$V49),$AN48-$W48,0)</f>
        <v>5</v>
      </c>
      <c r="AJ48" s="261">
        <f>IF($AI48&lt;&gt;0,$Y49/30*$AI48,0)</f>
        <v>85.36</v>
      </c>
      <c r="AK48" s="207">
        <f t="array" ref="AK48">IF($A48=0,0,SUMPRODUCT(($B$4:$B$60=$B48)*($X$4:$X$60)))</f>
        <v>0</v>
      </c>
      <c r="AL48" s="225"/>
      <c r="AM48" s="175"/>
      <c r="AN48" s="259">
        <f t="shared" si="11"/>
        <v>42613</v>
      </c>
      <c r="AO48" s="256">
        <f t="shared" ref="AO48:AZ60" si="24">IF(AND(YEAR(AO$4)=YEAR($V48),MONTH(AO$4)=MONTH($V48)+1),"X",0)</f>
        <v>0</v>
      </c>
      <c r="AP48" s="256">
        <f t="shared" si="24"/>
        <v>0</v>
      </c>
      <c r="AQ48" s="256">
        <f t="shared" si="24"/>
        <v>0</v>
      </c>
      <c r="AR48" s="256">
        <f t="shared" si="24"/>
        <v>0</v>
      </c>
      <c r="AS48" s="256" t="str">
        <f t="shared" si="24"/>
        <v>X</v>
      </c>
      <c r="AT48" s="256">
        <f t="shared" si="24"/>
        <v>0</v>
      </c>
      <c r="AU48" s="256">
        <f t="shared" si="24"/>
        <v>0</v>
      </c>
      <c r="AV48" s="256">
        <f t="shared" si="24"/>
        <v>0</v>
      </c>
      <c r="AW48" s="256">
        <f t="shared" si="24"/>
        <v>0</v>
      </c>
      <c r="AX48" s="256">
        <f t="shared" si="24"/>
        <v>0</v>
      </c>
      <c r="AY48" s="256">
        <f t="shared" si="24"/>
        <v>0</v>
      </c>
      <c r="AZ48" s="256">
        <f t="shared" si="24"/>
        <v>0</v>
      </c>
      <c r="BA48" s="254">
        <f t="shared" si="20"/>
        <v>0</v>
      </c>
      <c r="BB48" s="254">
        <f t="shared" si="20"/>
        <v>0</v>
      </c>
      <c r="BC48" s="254">
        <f t="shared" si="20"/>
        <v>0</v>
      </c>
      <c r="BD48" s="254">
        <f t="shared" si="20"/>
        <v>0</v>
      </c>
      <c r="BE48" s="254">
        <f t="shared" si="20"/>
        <v>507.6</v>
      </c>
      <c r="BF48" s="254">
        <f t="shared" si="20"/>
        <v>507.6</v>
      </c>
      <c r="BG48" s="254">
        <f t="shared" si="20"/>
        <v>507.6</v>
      </c>
      <c r="BH48" s="254">
        <f t="shared" si="20"/>
        <v>507.6</v>
      </c>
      <c r="BI48" s="254">
        <f t="shared" si="20"/>
        <v>0</v>
      </c>
      <c r="BJ48" s="254">
        <f t="shared" si="20"/>
        <v>0</v>
      </c>
      <c r="BK48" s="254">
        <f t="shared" si="20"/>
        <v>0</v>
      </c>
      <c r="BL48" s="254">
        <f t="shared" si="20"/>
        <v>0</v>
      </c>
      <c r="BM48" s="254">
        <f t="shared" si="16"/>
        <v>2030.4</v>
      </c>
    </row>
    <row r="49" spans="1:65" s="139" customFormat="1" ht="17.100000000000001" customHeight="1" x14ac:dyDescent="0.25">
      <c r="A49" s="192"/>
      <c r="B49" s="192">
        <v>6</v>
      </c>
      <c r="C49" s="228">
        <f t="shared" si="19"/>
        <v>0</v>
      </c>
      <c r="D49" s="229">
        <f t="shared" si="5"/>
        <v>42583</v>
      </c>
      <c r="E49" s="148">
        <v>42502</v>
      </c>
      <c r="F49" s="246">
        <v>1424</v>
      </c>
      <c r="G49" s="150" t="s">
        <v>475</v>
      </c>
      <c r="H49" s="150" t="s">
        <v>476</v>
      </c>
      <c r="I49" s="150"/>
      <c r="J49" s="150"/>
      <c r="K49" s="150"/>
      <c r="L49" s="150"/>
      <c r="M49" s="150"/>
      <c r="N49" s="150"/>
      <c r="O49" s="155">
        <v>67420</v>
      </c>
      <c r="P49" s="155"/>
      <c r="Q49" s="156">
        <f>O49-1000-2400</f>
        <v>64020</v>
      </c>
      <c r="R49" s="150"/>
      <c r="S49" s="150"/>
      <c r="T49" s="148"/>
      <c r="U49" s="148" t="s">
        <v>439</v>
      </c>
      <c r="V49" s="148">
        <v>42608</v>
      </c>
      <c r="W49" s="232"/>
      <c r="X49" s="241"/>
      <c r="Y49" s="242">
        <f t="shared" si="21"/>
        <v>512.16</v>
      </c>
      <c r="Z49" s="157"/>
      <c r="AA49" s="152"/>
      <c r="AB49" s="150"/>
      <c r="AC49" s="194"/>
      <c r="AF49" s="221">
        <f t="shared" si="8"/>
        <v>17.071999999999999</v>
      </c>
      <c r="AG49" s="274">
        <f>IF(G49=0,0,IF($W49=0,EOMONTH($V49,0)-DATE(YEAR($V49),MONTH($V49),1),$W49-DATE(YEAR($W49),MONTH($W49),1)+1))</f>
        <v>30</v>
      </c>
      <c r="AH49" s="223">
        <f t="shared" si="10"/>
        <v>512.16</v>
      </c>
      <c r="AI49" s="267">
        <f>IF(AND($F49=$F50,$W49=$V50),$AN49-$W49,0)</f>
        <v>73050</v>
      </c>
      <c r="AJ49" s="261">
        <f>IF($AI49&lt;&gt;0,$Y50/30*$AI49,0)</f>
        <v>1215357.2</v>
      </c>
      <c r="AK49" s="207">
        <f t="array" ref="AK49">IF($A49=0,0,SUMPRODUCT(($B$4:$B$60=$B49)*($X$4:$X$60)))</f>
        <v>0</v>
      </c>
      <c r="AL49" s="225"/>
      <c r="AM49" s="175"/>
      <c r="AN49" s="259">
        <f t="shared" si="11"/>
        <v>73050</v>
      </c>
      <c r="AO49" s="256">
        <f t="shared" si="24"/>
        <v>0</v>
      </c>
      <c r="AP49" s="256">
        <f t="shared" si="24"/>
        <v>0</v>
      </c>
      <c r="AQ49" s="256">
        <f t="shared" si="24"/>
        <v>0</v>
      </c>
      <c r="AR49" s="256">
        <f t="shared" si="24"/>
        <v>0</v>
      </c>
      <c r="AS49" s="256">
        <f t="shared" si="24"/>
        <v>0</v>
      </c>
      <c r="AT49" s="256">
        <f t="shared" si="24"/>
        <v>0</v>
      </c>
      <c r="AU49" s="256">
        <f t="shared" si="24"/>
        <v>0</v>
      </c>
      <c r="AV49" s="256">
        <f t="shared" si="24"/>
        <v>0</v>
      </c>
      <c r="AW49" s="256" t="str">
        <f t="shared" si="24"/>
        <v>X</v>
      </c>
      <c r="AX49" s="256">
        <f t="shared" si="24"/>
        <v>0</v>
      </c>
      <c r="AY49" s="256">
        <f t="shared" si="24"/>
        <v>0</v>
      </c>
      <c r="AZ49" s="256">
        <f t="shared" si="24"/>
        <v>0</v>
      </c>
      <c r="BA49" s="254">
        <f t="shared" si="20"/>
        <v>0</v>
      </c>
      <c r="BB49" s="254">
        <f t="shared" si="20"/>
        <v>0</v>
      </c>
      <c r="BC49" s="254">
        <f t="shared" si="20"/>
        <v>0</v>
      </c>
      <c r="BD49" s="254">
        <f t="shared" si="20"/>
        <v>0</v>
      </c>
      <c r="BE49" s="254">
        <f t="shared" si="20"/>
        <v>0</v>
      </c>
      <c r="BF49" s="254">
        <f t="shared" si="20"/>
        <v>0</v>
      </c>
      <c r="BG49" s="254">
        <f t="shared" si="20"/>
        <v>0</v>
      </c>
      <c r="BH49" s="254">
        <f t="shared" si="20"/>
        <v>0</v>
      </c>
      <c r="BI49" s="254">
        <f t="shared" si="20"/>
        <v>512.16</v>
      </c>
      <c r="BJ49" s="254">
        <f t="shared" si="20"/>
        <v>512.16</v>
      </c>
      <c r="BK49" s="254">
        <f t="shared" si="20"/>
        <v>512.16</v>
      </c>
      <c r="BL49" s="254">
        <f t="shared" si="20"/>
        <v>512.16</v>
      </c>
      <c r="BM49" s="254">
        <f t="shared" si="16"/>
        <v>2048.64</v>
      </c>
    </row>
    <row r="50" spans="1:65" s="139" customFormat="1" ht="17.100000000000001" customHeight="1" x14ac:dyDescent="0.25">
      <c r="A50" s="192"/>
      <c r="B50" s="192"/>
      <c r="C50" s="228">
        <f t="shared" si="19"/>
        <v>0</v>
      </c>
      <c r="D50" s="229" t="str">
        <f t="shared" si="5"/>
        <v>Absence dates</v>
      </c>
      <c r="E50" s="148">
        <v>42620</v>
      </c>
      <c r="F50" s="246">
        <v>1424</v>
      </c>
      <c r="G50" s="150" t="s">
        <v>475</v>
      </c>
      <c r="H50" s="150" t="s">
        <v>476</v>
      </c>
      <c r="I50" s="150"/>
      <c r="J50" s="150"/>
      <c r="K50" s="150"/>
      <c r="L50" s="150"/>
      <c r="M50" s="150"/>
      <c r="N50" s="150"/>
      <c r="O50" s="155">
        <v>66340</v>
      </c>
      <c r="P50" s="155"/>
      <c r="Q50" s="156">
        <v>62390</v>
      </c>
      <c r="R50" s="150"/>
      <c r="S50" s="150"/>
      <c r="T50" s="148"/>
      <c r="U50" s="148" t="s">
        <v>439</v>
      </c>
      <c r="V50" s="148"/>
      <c r="W50" s="232"/>
      <c r="X50" s="241"/>
      <c r="Y50" s="242">
        <f t="shared" si="21"/>
        <v>499.12</v>
      </c>
      <c r="Z50" s="157"/>
      <c r="AA50" s="152"/>
      <c r="AB50" s="150"/>
      <c r="AC50" s="194"/>
      <c r="AF50" s="221">
        <f t="shared" si="8"/>
        <v>16.637333333333334</v>
      </c>
      <c r="AG50" s="266">
        <f t="shared" si="15"/>
        <v>31</v>
      </c>
      <c r="AH50" s="223">
        <f t="shared" si="10"/>
        <v>515.75733333333335</v>
      </c>
      <c r="AI50" s="266"/>
      <c r="AJ50" s="223"/>
      <c r="AK50" s="207">
        <f t="array" ref="AK50">IF($A50=0,0,SUMPRODUCT(($B$4:$B$60=$B50)*($X$4:$X$60)))</f>
        <v>0</v>
      </c>
      <c r="AL50" s="225"/>
      <c r="AM50" s="175"/>
      <c r="AN50" s="259">
        <f t="shared" si="11"/>
        <v>73050</v>
      </c>
      <c r="AO50" s="256">
        <f t="shared" si="24"/>
        <v>0</v>
      </c>
      <c r="AP50" s="256">
        <f t="shared" si="24"/>
        <v>0</v>
      </c>
      <c r="AQ50" s="256">
        <f t="shared" si="24"/>
        <v>0</v>
      </c>
      <c r="AR50" s="256">
        <f t="shared" si="24"/>
        <v>0</v>
      </c>
      <c r="AS50" s="256">
        <f t="shared" si="24"/>
        <v>0</v>
      </c>
      <c r="AT50" s="256">
        <f t="shared" si="24"/>
        <v>0</v>
      </c>
      <c r="AU50" s="256">
        <f t="shared" si="24"/>
        <v>0</v>
      </c>
      <c r="AV50" s="256">
        <f t="shared" si="24"/>
        <v>0</v>
      </c>
      <c r="AW50" s="256">
        <f t="shared" si="24"/>
        <v>0</v>
      </c>
      <c r="AX50" s="256">
        <f t="shared" si="24"/>
        <v>0</v>
      </c>
      <c r="AY50" s="256">
        <f t="shared" si="24"/>
        <v>0</v>
      </c>
      <c r="AZ50" s="256">
        <f t="shared" si="24"/>
        <v>0</v>
      </c>
      <c r="BA50" s="254">
        <f t="shared" si="20"/>
        <v>0</v>
      </c>
      <c r="BB50" s="254">
        <f t="shared" si="20"/>
        <v>499.12</v>
      </c>
      <c r="BC50" s="254">
        <f t="shared" si="20"/>
        <v>499.12</v>
      </c>
      <c r="BD50" s="254">
        <f t="shared" si="20"/>
        <v>499.12</v>
      </c>
      <c r="BE50" s="254">
        <f t="shared" si="20"/>
        <v>499.12</v>
      </c>
      <c r="BF50" s="254">
        <f t="shared" si="20"/>
        <v>499.12</v>
      </c>
      <c r="BG50" s="254">
        <f t="shared" si="20"/>
        <v>499.12</v>
      </c>
      <c r="BH50" s="254">
        <f t="shared" si="20"/>
        <v>499.12</v>
      </c>
      <c r="BI50" s="254">
        <f t="shared" si="20"/>
        <v>499.12</v>
      </c>
      <c r="BJ50" s="254">
        <f t="shared" si="20"/>
        <v>499.12</v>
      </c>
      <c r="BK50" s="254">
        <f t="shared" si="20"/>
        <v>499.12</v>
      </c>
      <c r="BL50" s="254">
        <f t="shared" si="20"/>
        <v>499.12</v>
      </c>
      <c r="BM50" s="254">
        <f t="shared" si="16"/>
        <v>5490.32</v>
      </c>
    </row>
    <row r="51" spans="1:65" ht="17.100000000000001" customHeight="1" x14ac:dyDescent="0.25">
      <c r="A51" s="192" t="s">
        <v>221</v>
      </c>
      <c r="B51" s="150"/>
      <c r="C51" s="228">
        <f t="shared" si="19"/>
        <v>0</v>
      </c>
      <c r="D51" s="229">
        <f t="shared" si="5"/>
        <v>41487</v>
      </c>
      <c r="E51" s="148">
        <v>41241</v>
      </c>
      <c r="F51" s="246">
        <v>341</v>
      </c>
      <c r="G51" s="280" t="s">
        <v>472</v>
      </c>
      <c r="H51" s="280" t="s">
        <v>39</v>
      </c>
      <c r="I51" s="150"/>
      <c r="J51" s="150"/>
      <c r="K51" s="150"/>
      <c r="L51" s="150"/>
      <c r="M51" s="150"/>
      <c r="N51" s="150"/>
      <c r="O51" s="150"/>
      <c r="P51" s="150"/>
      <c r="Q51" s="200"/>
      <c r="R51" s="150"/>
      <c r="S51" s="150"/>
      <c r="T51" s="148"/>
      <c r="U51" s="148"/>
      <c r="V51" s="148">
        <v>41264</v>
      </c>
      <c r="W51" s="232">
        <v>41499</v>
      </c>
      <c r="X51" s="241"/>
      <c r="Y51" s="242">
        <v>238.32</v>
      </c>
      <c r="Z51" s="157"/>
      <c r="AA51" s="152"/>
      <c r="AB51" s="150"/>
      <c r="AC51" s="194"/>
      <c r="AD51" s="139"/>
      <c r="AE51" s="139"/>
      <c r="AF51" s="221">
        <f t="shared" si="8"/>
        <v>7.944</v>
      </c>
      <c r="AG51" s="266">
        <f t="shared" si="15"/>
        <v>13</v>
      </c>
      <c r="AH51" s="223">
        <f t="shared" si="10"/>
        <v>103.27200000000001</v>
      </c>
      <c r="AI51" s="266"/>
      <c r="AJ51" s="223"/>
      <c r="AK51" s="207" t="e">
        <f t="array" ref="AK51">IF($A51=0,0,SUMPRODUCT(($B$4:$B$60=$B51)*($X$4:$X$60)))</f>
        <v>#VALUE!</v>
      </c>
      <c r="AL51" s="225"/>
      <c r="AN51" s="259">
        <f t="shared" si="11"/>
        <v>41517</v>
      </c>
      <c r="AO51" s="256">
        <f t="shared" si="24"/>
        <v>0</v>
      </c>
      <c r="AP51" s="256">
        <f t="shared" si="24"/>
        <v>0</v>
      </c>
      <c r="AQ51" s="256">
        <f t="shared" si="24"/>
        <v>0</v>
      </c>
      <c r="AR51" s="256">
        <f t="shared" si="24"/>
        <v>0</v>
      </c>
      <c r="AS51" s="256">
        <f t="shared" si="24"/>
        <v>0</v>
      </c>
      <c r="AT51" s="256">
        <f t="shared" si="24"/>
        <v>0</v>
      </c>
      <c r="AU51" s="256">
        <f t="shared" si="24"/>
        <v>0</v>
      </c>
      <c r="AV51" s="256">
        <f t="shared" si="24"/>
        <v>0</v>
      </c>
      <c r="AW51" s="256">
        <f t="shared" si="24"/>
        <v>0</v>
      </c>
      <c r="AX51" s="256">
        <f t="shared" si="24"/>
        <v>0</v>
      </c>
      <c r="AY51" s="256">
        <f t="shared" si="24"/>
        <v>0</v>
      </c>
      <c r="AZ51" s="256">
        <f t="shared" si="24"/>
        <v>0</v>
      </c>
      <c r="BA51" s="254">
        <f t="shared" si="20"/>
        <v>0</v>
      </c>
      <c r="BB51" s="254">
        <f t="shared" si="20"/>
        <v>0</v>
      </c>
      <c r="BC51" s="254">
        <f t="shared" si="20"/>
        <v>0</v>
      </c>
      <c r="BD51" s="254">
        <f t="shared" si="20"/>
        <v>0</v>
      </c>
      <c r="BE51" s="254">
        <f t="shared" si="20"/>
        <v>0</v>
      </c>
      <c r="BF51" s="254">
        <f t="shared" si="20"/>
        <v>0</v>
      </c>
      <c r="BG51" s="254">
        <f t="shared" si="20"/>
        <v>0</v>
      </c>
      <c r="BH51" s="254">
        <f t="shared" si="20"/>
        <v>0</v>
      </c>
      <c r="BI51" s="254">
        <f t="shared" si="20"/>
        <v>0</v>
      </c>
      <c r="BJ51" s="254">
        <f t="shared" si="20"/>
        <v>0</v>
      </c>
      <c r="BK51" s="254">
        <f t="shared" si="20"/>
        <v>0</v>
      </c>
      <c r="BL51" s="254">
        <f t="shared" si="20"/>
        <v>0</v>
      </c>
      <c r="BM51" s="254">
        <f t="shared" si="16"/>
        <v>0</v>
      </c>
    </row>
    <row r="52" spans="1:65" ht="17.100000000000001" customHeight="1" x14ac:dyDescent="0.25">
      <c r="A52" s="192" t="s">
        <v>221</v>
      </c>
      <c r="B52" s="150"/>
      <c r="C52" s="228">
        <f t="shared" si="19"/>
        <v>0</v>
      </c>
      <c r="D52" s="229">
        <f t="shared" si="5"/>
        <v>41760</v>
      </c>
      <c r="E52" s="148">
        <v>41452</v>
      </c>
      <c r="F52" s="246">
        <v>341</v>
      </c>
      <c r="G52" s="280" t="s">
        <v>472</v>
      </c>
      <c r="H52" s="280" t="s">
        <v>39</v>
      </c>
      <c r="I52" s="150"/>
      <c r="J52" s="150"/>
      <c r="K52" s="150"/>
      <c r="L52" s="150"/>
      <c r="M52" s="150"/>
      <c r="N52" s="150"/>
      <c r="O52" s="155">
        <v>34680</v>
      </c>
      <c r="P52" s="155"/>
      <c r="Q52" s="156">
        <v>33930</v>
      </c>
      <c r="R52" s="150"/>
      <c r="S52" s="150"/>
      <c r="T52" s="148"/>
      <c r="U52" s="148"/>
      <c r="V52" s="148">
        <v>41499</v>
      </c>
      <c r="W52" s="232">
        <v>41782</v>
      </c>
      <c r="X52" s="241"/>
      <c r="Y52" s="242">
        <v>271.44</v>
      </c>
      <c r="Z52" s="157"/>
      <c r="AA52" s="152"/>
      <c r="AB52" s="150"/>
      <c r="AC52" s="194"/>
      <c r="AF52" s="221">
        <f t="shared" si="8"/>
        <v>9.048</v>
      </c>
      <c r="AG52" s="266">
        <f t="shared" si="15"/>
        <v>23</v>
      </c>
      <c r="AH52" s="223">
        <f t="shared" si="10"/>
        <v>208.10400000000001</v>
      </c>
      <c r="AI52" s="266"/>
      <c r="AJ52" s="223"/>
      <c r="AK52" s="207" t="e">
        <f t="array" ref="AK52">IF($A52=0,0,SUMPRODUCT(($B$4:$B$60=$B52)*($X$4:$X$60)))</f>
        <v>#VALUE!</v>
      </c>
      <c r="AL52" s="225"/>
      <c r="AN52" s="259">
        <f t="shared" si="11"/>
        <v>41790</v>
      </c>
      <c r="AO52" s="256">
        <f t="shared" si="24"/>
        <v>0</v>
      </c>
      <c r="AP52" s="256">
        <f t="shared" si="24"/>
        <v>0</v>
      </c>
      <c r="AQ52" s="256">
        <f t="shared" si="24"/>
        <v>0</v>
      </c>
      <c r="AR52" s="256">
        <f t="shared" si="24"/>
        <v>0</v>
      </c>
      <c r="AS52" s="256">
        <f t="shared" si="24"/>
        <v>0</v>
      </c>
      <c r="AT52" s="256">
        <f t="shared" si="24"/>
        <v>0</v>
      </c>
      <c r="AU52" s="256">
        <f t="shared" si="24"/>
        <v>0</v>
      </c>
      <c r="AV52" s="256">
        <f t="shared" si="24"/>
        <v>0</v>
      </c>
      <c r="AW52" s="256">
        <f t="shared" si="24"/>
        <v>0</v>
      </c>
      <c r="AX52" s="256">
        <f t="shared" si="24"/>
        <v>0</v>
      </c>
      <c r="AY52" s="256">
        <f t="shared" si="24"/>
        <v>0</v>
      </c>
      <c r="AZ52" s="256">
        <f t="shared" si="24"/>
        <v>0</v>
      </c>
      <c r="BA52" s="254">
        <f t="shared" si="20"/>
        <v>0</v>
      </c>
      <c r="BB52" s="254">
        <f t="shared" si="20"/>
        <v>0</v>
      </c>
      <c r="BC52" s="254">
        <f t="shared" si="20"/>
        <v>0</v>
      </c>
      <c r="BD52" s="254">
        <f t="shared" si="20"/>
        <v>0</v>
      </c>
      <c r="BE52" s="254">
        <f t="shared" si="20"/>
        <v>0</v>
      </c>
      <c r="BF52" s="254">
        <f t="shared" si="20"/>
        <v>0</v>
      </c>
      <c r="BG52" s="254">
        <f t="shared" si="20"/>
        <v>0</v>
      </c>
      <c r="BH52" s="254">
        <f t="shared" si="20"/>
        <v>0</v>
      </c>
      <c r="BI52" s="254">
        <f t="shared" si="20"/>
        <v>0</v>
      </c>
      <c r="BJ52" s="254">
        <f t="shared" si="20"/>
        <v>0</v>
      </c>
      <c r="BK52" s="254">
        <f t="shared" si="20"/>
        <v>0</v>
      </c>
      <c r="BL52" s="254">
        <f t="shared" si="20"/>
        <v>0</v>
      </c>
      <c r="BM52" s="254">
        <f t="shared" si="16"/>
        <v>0</v>
      </c>
    </row>
    <row r="53" spans="1:65" ht="17.100000000000001" customHeight="1" x14ac:dyDescent="0.25">
      <c r="A53" s="192" t="s">
        <v>221</v>
      </c>
      <c r="B53" s="150"/>
      <c r="C53" s="228">
        <f t="shared" si="19"/>
        <v>0</v>
      </c>
      <c r="D53" s="229">
        <f t="shared" si="5"/>
        <v>42036</v>
      </c>
      <c r="E53" s="148">
        <v>41744</v>
      </c>
      <c r="F53" s="246">
        <v>341</v>
      </c>
      <c r="G53" s="280" t="s">
        <v>472</v>
      </c>
      <c r="H53" s="280" t="s">
        <v>39</v>
      </c>
      <c r="I53" s="150"/>
      <c r="J53" s="150"/>
      <c r="K53" s="150"/>
      <c r="L53" s="150"/>
      <c r="M53" s="150"/>
      <c r="N53" s="150"/>
      <c r="O53" s="155">
        <v>36040</v>
      </c>
      <c r="P53" s="155"/>
      <c r="Q53" s="156">
        <f>O53-750-110</f>
        <v>35180</v>
      </c>
      <c r="R53" s="150"/>
      <c r="S53" s="150"/>
      <c r="T53" s="148"/>
      <c r="U53" s="148" t="s">
        <v>439</v>
      </c>
      <c r="V53" s="148">
        <v>41782</v>
      </c>
      <c r="W53" s="232">
        <v>42048</v>
      </c>
      <c r="X53" s="241"/>
      <c r="Y53" s="242">
        <f>IF($U53=0,0,$Q53*VLOOKUP($U53,$W$1:$X$3,2))</f>
        <v>281.44</v>
      </c>
      <c r="Z53" s="157"/>
      <c r="AA53" s="152"/>
      <c r="AB53" s="150"/>
      <c r="AC53" s="194"/>
      <c r="AF53" s="221">
        <f t="shared" si="8"/>
        <v>9.381333333333334</v>
      </c>
      <c r="AG53" s="266">
        <f t="shared" si="15"/>
        <v>13</v>
      </c>
      <c r="AH53" s="223">
        <f t="shared" si="10"/>
        <v>121.95733333333334</v>
      </c>
      <c r="AI53" s="266"/>
      <c r="AJ53" s="223"/>
      <c r="AK53" s="207" t="e">
        <f t="array" ref="AK53">IF($A53=0,0,SUMPRODUCT(($B$4:$B$60=$B53)*($X$4:$X$60)))</f>
        <v>#VALUE!</v>
      </c>
      <c r="AL53" s="225"/>
      <c r="AN53" s="259">
        <f t="shared" si="11"/>
        <v>42063</v>
      </c>
      <c r="AO53" s="256">
        <f t="shared" si="24"/>
        <v>0</v>
      </c>
      <c r="AP53" s="256">
        <f t="shared" si="24"/>
        <v>0</v>
      </c>
      <c r="AQ53" s="256">
        <f t="shared" si="24"/>
        <v>0</v>
      </c>
      <c r="AR53" s="256">
        <f t="shared" si="24"/>
        <v>0</v>
      </c>
      <c r="AS53" s="256">
        <f t="shared" si="24"/>
        <v>0</v>
      </c>
      <c r="AT53" s="256">
        <f t="shared" si="24"/>
        <v>0</v>
      </c>
      <c r="AU53" s="256">
        <f t="shared" si="24"/>
        <v>0</v>
      </c>
      <c r="AV53" s="256">
        <f t="shared" si="24"/>
        <v>0</v>
      </c>
      <c r="AW53" s="256">
        <f t="shared" si="24"/>
        <v>0</v>
      </c>
      <c r="AX53" s="256">
        <f t="shared" si="24"/>
        <v>0</v>
      </c>
      <c r="AY53" s="256">
        <f t="shared" si="24"/>
        <v>0</v>
      </c>
      <c r="AZ53" s="256">
        <f t="shared" si="24"/>
        <v>0</v>
      </c>
      <c r="BA53" s="254">
        <f t="shared" si="20"/>
        <v>0</v>
      </c>
      <c r="BB53" s="254">
        <f t="shared" si="20"/>
        <v>0</v>
      </c>
      <c r="BC53" s="254">
        <f t="shared" si="20"/>
        <v>0</v>
      </c>
      <c r="BD53" s="254">
        <f t="shared" si="20"/>
        <v>0</v>
      </c>
      <c r="BE53" s="254">
        <f t="shared" si="20"/>
        <v>0</v>
      </c>
      <c r="BF53" s="254">
        <f t="shared" si="20"/>
        <v>0</v>
      </c>
      <c r="BG53" s="254">
        <f t="shared" si="20"/>
        <v>0</v>
      </c>
      <c r="BH53" s="254">
        <f t="shared" si="20"/>
        <v>0</v>
      </c>
      <c r="BI53" s="254">
        <f t="shared" si="20"/>
        <v>0</v>
      </c>
      <c r="BJ53" s="254">
        <f t="shared" si="20"/>
        <v>0</v>
      </c>
      <c r="BK53" s="254">
        <f t="shared" si="20"/>
        <v>0</v>
      </c>
      <c r="BL53" s="254">
        <f t="shared" si="20"/>
        <v>0</v>
      </c>
      <c r="BM53" s="254">
        <f t="shared" si="16"/>
        <v>0</v>
      </c>
    </row>
    <row r="54" spans="1:65" ht="17.100000000000001" customHeight="1" x14ac:dyDescent="0.25">
      <c r="A54" s="192" t="s">
        <v>221</v>
      </c>
      <c r="B54" s="150"/>
      <c r="C54" s="228">
        <f t="shared" si="19"/>
        <v>0</v>
      </c>
      <c r="D54" s="229">
        <f t="shared" si="5"/>
        <v>42278</v>
      </c>
      <c r="E54" s="148">
        <v>41962</v>
      </c>
      <c r="F54" s="246">
        <v>341</v>
      </c>
      <c r="G54" s="280" t="s">
        <v>472</v>
      </c>
      <c r="H54" s="280" t="s">
        <v>39</v>
      </c>
      <c r="I54" s="150"/>
      <c r="J54" s="150"/>
      <c r="K54" s="150"/>
      <c r="L54" s="150"/>
      <c r="M54" s="150"/>
      <c r="N54" s="150"/>
      <c r="O54" s="155">
        <v>29110</v>
      </c>
      <c r="P54" s="155"/>
      <c r="Q54" s="156">
        <f>O54-570</f>
        <v>28540</v>
      </c>
      <c r="R54" s="150"/>
      <c r="S54" s="150"/>
      <c r="T54" s="148"/>
      <c r="U54" s="148" t="s">
        <v>439</v>
      </c>
      <c r="V54" s="148">
        <v>42048</v>
      </c>
      <c r="W54" s="232">
        <v>42300</v>
      </c>
      <c r="X54" s="241"/>
      <c r="Y54" s="242">
        <f>IF($U54=0,0,$Q54*VLOOKUP($U54,$W$1:$X$3,2))</f>
        <v>228.32</v>
      </c>
      <c r="Z54" s="157"/>
      <c r="AA54" s="152"/>
      <c r="AB54" s="150"/>
      <c r="AC54" s="194"/>
      <c r="AF54" s="221">
        <f t="shared" si="8"/>
        <v>7.610666666666666</v>
      </c>
      <c r="AG54" s="266">
        <f t="shared" si="15"/>
        <v>23</v>
      </c>
      <c r="AH54" s="223">
        <f t="shared" si="10"/>
        <v>175.04533333333333</v>
      </c>
      <c r="AI54" s="266"/>
      <c r="AJ54" s="223"/>
      <c r="AK54" s="207" t="e">
        <f t="array" ref="AK54">IF($A54=0,0,SUMPRODUCT(($B$4:$B$60=$B54)*($X$4:$X$60)))</f>
        <v>#VALUE!</v>
      </c>
      <c r="AL54" s="225"/>
      <c r="AN54" s="259">
        <f t="shared" si="11"/>
        <v>42308</v>
      </c>
      <c r="AO54" s="256">
        <f t="shared" si="24"/>
        <v>0</v>
      </c>
      <c r="AP54" s="256">
        <f t="shared" si="24"/>
        <v>0</v>
      </c>
      <c r="AQ54" s="256">
        <f t="shared" si="24"/>
        <v>0</v>
      </c>
      <c r="AR54" s="256">
        <f t="shared" si="24"/>
        <v>0</v>
      </c>
      <c r="AS54" s="256">
        <f t="shared" si="24"/>
        <v>0</v>
      </c>
      <c r="AT54" s="256">
        <f t="shared" si="24"/>
        <v>0</v>
      </c>
      <c r="AU54" s="256">
        <f t="shared" si="24"/>
        <v>0</v>
      </c>
      <c r="AV54" s="256">
        <f t="shared" si="24"/>
        <v>0</v>
      </c>
      <c r="AW54" s="256">
        <f t="shared" si="24"/>
        <v>0</v>
      </c>
      <c r="AX54" s="256">
        <f t="shared" si="24"/>
        <v>0</v>
      </c>
      <c r="AY54" s="256">
        <f t="shared" si="24"/>
        <v>0</v>
      </c>
      <c r="AZ54" s="256">
        <f t="shared" si="24"/>
        <v>0</v>
      </c>
      <c r="BA54" s="254">
        <f t="shared" si="20"/>
        <v>0</v>
      </c>
      <c r="BB54" s="254">
        <f t="shared" si="20"/>
        <v>0</v>
      </c>
      <c r="BC54" s="254">
        <f t="shared" si="20"/>
        <v>0</v>
      </c>
      <c r="BD54" s="254">
        <f t="shared" si="20"/>
        <v>0</v>
      </c>
      <c r="BE54" s="254">
        <f t="shared" si="20"/>
        <v>0</v>
      </c>
      <c r="BF54" s="254">
        <f t="shared" si="20"/>
        <v>0</v>
      </c>
      <c r="BG54" s="254">
        <f t="shared" si="20"/>
        <v>0</v>
      </c>
      <c r="BH54" s="254">
        <f t="shared" si="20"/>
        <v>0</v>
      </c>
      <c r="BI54" s="254">
        <f t="shared" si="20"/>
        <v>0</v>
      </c>
      <c r="BJ54" s="254">
        <f t="shared" si="20"/>
        <v>0</v>
      </c>
      <c r="BK54" s="254">
        <f t="shared" si="20"/>
        <v>0</v>
      </c>
      <c r="BL54" s="254">
        <f t="shared" si="20"/>
        <v>0</v>
      </c>
      <c r="BM54" s="254">
        <f t="shared" si="16"/>
        <v>0</v>
      </c>
    </row>
    <row r="55" spans="1:65" ht="17.100000000000001" customHeight="1" x14ac:dyDescent="0.25">
      <c r="A55" s="192" t="s">
        <v>221</v>
      </c>
      <c r="B55" s="150"/>
      <c r="C55" s="228">
        <f t="shared" si="19"/>
        <v>0</v>
      </c>
      <c r="D55" s="229">
        <f t="shared" si="5"/>
        <v>42461</v>
      </c>
      <c r="E55" s="148">
        <v>42243</v>
      </c>
      <c r="F55" s="246">
        <v>341</v>
      </c>
      <c r="G55" s="280" t="s">
        <v>472</v>
      </c>
      <c r="H55" s="280" t="s">
        <v>39</v>
      </c>
      <c r="I55" s="150"/>
      <c r="J55" s="150"/>
      <c r="K55" s="150"/>
      <c r="L55" s="150"/>
      <c r="M55" s="150"/>
      <c r="N55" s="150"/>
      <c r="O55" s="155">
        <v>44630</v>
      </c>
      <c r="P55" s="155"/>
      <c r="Q55" s="156">
        <f>O55-2300-490</f>
        <v>41840</v>
      </c>
      <c r="R55" s="150"/>
      <c r="S55" s="150"/>
      <c r="T55" s="148"/>
      <c r="U55" s="148" t="s">
        <v>439</v>
      </c>
      <c r="V55" s="148">
        <v>42300</v>
      </c>
      <c r="W55" s="232">
        <v>42468</v>
      </c>
      <c r="X55" s="241"/>
      <c r="Y55" s="242">
        <f>IF($U55=0,0,$Q55*VLOOKUP($U55,$W$1:$X$3,2))</f>
        <v>334.72</v>
      </c>
      <c r="Z55" s="157"/>
      <c r="AA55" s="152"/>
      <c r="AB55" s="150"/>
      <c r="AC55" s="194"/>
      <c r="AF55" s="260">
        <f>$Y55/30</f>
        <v>11.157333333333334</v>
      </c>
      <c r="AG55" s="267">
        <f t="shared" ref="AG55" si="25">IF(G55=0,0,IF($W55=0,EOMONTH($V55,0)-$V55,$W55-DATE(YEAR($W55),MONTH($W55),1)+1))</f>
        <v>8</v>
      </c>
      <c r="AH55" s="261">
        <f>$AF55*$AG55</f>
        <v>89.25866666666667</v>
      </c>
      <c r="AI55" s="267">
        <f>IF(OR($F55&lt;&gt;$F56,G56=0,$V56=0),0,IF($W56=0,EOMONTH($V56,0)-$V56,$W56-DATE(YEAR($W56),MONTH($W56),1)+1))</f>
        <v>6</v>
      </c>
      <c r="AJ55" s="261">
        <f>IF($AI55&lt;&gt;0,$Y56/30*$AI55,0)</f>
        <v>58.480000000000004</v>
      </c>
      <c r="AK55" s="262" t="e">
        <f t="array" ref="AK55">IF($A55=0,0,SUMPRODUCT(($B$4:$B$60=$B55)*($X$4:$X$60)))</f>
        <v>#VALUE!</v>
      </c>
      <c r="AL55" s="263"/>
      <c r="AM55" s="271"/>
      <c r="AN55" s="264">
        <f t="shared" si="11"/>
        <v>42490</v>
      </c>
      <c r="AO55" s="272">
        <f t="shared" si="24"/>
        <v>0</v>
      </c>
      <c r="AP55" s="272">
        <f t="shared" si="24"/>
        <v>0</v>
      </c>
      <c r="AQ55" s="272">
        <f t="shared" si="24"/>
        <v>0</v>
      </c>
      <c r="AR55" s="272">
        <f t="shared" si="24"/>
        <v>0</v>
      </c>
      <c r="AS55" s="272">
        <f t="shared" si="24"/>
        <v>0</v>
      </c>
      <c r="AT55" s="272">
        <f t="shared" si="24"/>
        <v>0</v>
      </c>
      <c r="AU55" s="272">
        <f t="shared" si="24"/>
        <v>0</v>
      </c>
      <c r="AV55" s="272">
        <f t="shared" si="24"/>
        <v>0</v>
      </c>
      <c r="AW55" s="272">
        <f t="shared" si="24"/>
        <v>0</v>
      </c>
      <c r="AX55" s="272">
        <f t="shared" si="24"/>
        <v>0</v>
      </c>
      <c r="AY55" s="272">
        <f t="shared" si="24"/>
        <v>0</v>
      </c>
      <c r="AZ55" s="272">
        <f t="shared" si="24"/>
        <v>0</v>
      </c>
      <c r="BA55" s="254">
        <f t="shared" si="20"/>
        <v>334.72</v>
      </c>
      <c r="BB55" s="254">
        <f t="shared" si="20"/>
        <v>334.72</v>
      </c>
      <c r="BC55" s="254">
        <f t="shared" si="20"/>
        <v>334.72</v>
      </c>
      <c r="BD55" s="254">
        <f t="shared" si="20"/>
        <v>334.72</v>
      </c>
      <c r="BE55" s="254">
        <f t="shared" si="20"/>
        <v>0</v>
      </c>
      <c r="BF55" s="254">
        <f t="shared" si="20"/>
        <v>0</v>
      </c>
      <c r="BG55" s="254">
        <f t="shared" si="20"/>
        <v>0</v>
      </c>
      <c r="BH55" s="254">
        <f t="shared" si="20"/>
        <v>0</v>
      </c>
      <c r="BI55" s="254">
        <f t="shared" si="20"/>
        <v>0</v>
      </c>
      <c r="BJ55" s="254">
        <f t="shared" si="20"/>
        <v>0</v>
      </c>
      <c r="BK55" s="254">
        <f t="shared" si="20"/>
        <v>0</v>
      </c>
      <c r="BL55" s="254">
        <f t="shared" si="20"/>
        <v>0</v>
      </c>
      <c r="BM55" s="273">
        <f t="shared" si="16"/>
        <v>1338.88</v>
      </c>
    </row>
    <row r="56" spans="1:65" ht="17.100000000000001" customHeight="1" x14ac:dyDescent="0.25">
      <c r="A56" s="192" t="s">
        <v>221</v>
      </c>
      <c r="B56" s="150">
        <v>7</v>
      </c>
      <c r="C56" s="228" t="str">
        <f t="shared" si="19"/>
        <v>X</v>
      </c>
      <c r="D56" s="229">
        <f t="shared" si="5"/>
        <v>42614</v>
      </c>
      <c r="E56" s="148">
        <v>42390</v>
      </c>
      <c r="F56" s="246">
        <v>341</v>
      </c>
      <c r="G56" s="280" t="s">
        <v>472</v>
      </c>
      <c r="H56" s="280" t="s">
        <v>39</v>
      </c>
      <c r="I56" s="150"/>
      <c r="J56" s="150"/>
      <c r="K56" s="150"/>
      <c r="L56" s="150"/>
      <c r="M56" s="150"/>
      <c r="N56" s="150"/>
      <c r="O56" s="155">
        <v>36800</v>
      </c>
      <c r="P56" s="155"/>
      <c r="Q56" s="156">
        <f>O56-250</f>
        <v>36550</v>
      </c>
      <c r="R56" s="150"/>
      <c r="S56" s="150"/>
      <c r="T56" s="148"/>
      <c r="U56" s="148" t="s">
        <v>439</v>
      </c>
      <c r="V56" s="232">
        <v>42468</v>
      </c>
      <c r="W56" s="232">
        <v>42619</v>
      </c>
      <c r="X56" s="241"/>
      <c r="Y56" s="242">
        <f>IF($U56=0,0,$Q56*VLOOKUP($U56,$W$1:$X$3,2))</f>
        <v>292.40000000000003</v>
      </c>
      <c r="Z56" s="157"/>
      <c r="AA56" s="152"/>
      <c r="AB56" s="150"/>
      <c r="AC56" s="194"/>
      <c r="AF56" s="260">
        <f t="shared" ref="AF56:AF57" si="26">$Y56/30</f>
        <v>9.7466666666666679</v>
      </c>
      <c r="AG56" s="267">
        <f t="shared" ref="AG56:AG57" si="27">IF(G56=0,0,IF($W56=0,EOMONTH($V56,0)-$V56,$W56-DATE(YEAR($W56),MONTH($W56),1)+1))</f>
        <v>6</v>
      </c>
      <c r="AH56" s="261">
        <f t="shared" ref="AH56:AH57" si="28">$AF56*$AG56</f>
        <v>58.480000000000004</v>
      </c>
      <c r="AI56" s="267">
        <f t="shared" ref="AI56:AI57" si="29">IF(OR($F56&lt;&gt;$F57,G57=0,$V57=0),0,IF($W57=0,EOMONTH($V57,0)-$V57,$W57-DATE(YEAR($W57),MONTH($W57),1)+1))</f>
        <v>24</v>
      </c>
      <c r="AJ56" s="261">
        <f t="shared" ref="AJ56:AJ57" si="30">IF($AI56&lt;&gt;0,$Y57/30*$AI56,0)</f>
        <v>234.88</v>
      </c>
      <c r="AK56" s="262" t="e">
        <f t="array" ref="AK56">IF($A56=0,0,SUMPRODUCT(($B$4:$B$60=$B56)*($X$4:$X$60)))</f>
        <v>#VALUE!</v>
      </c>
      <c r="AL56" s="263"/>
      <c r="AM56" s="271"/>
      <c r="AN56" s="264">
        <f t="shared" si="11"/>
        <v>42643</v>
      </c>
      <c r="AO56" s="272">
        <f t="shared" si="24"/>
        <v>0</v>
      </c>
      <c r="AP56" s="272">
        <f t="shared" si="24"/>
        <v>0</v>
      </c>
      <c r="AQ56" s="272">
        <f t="shared" si="24"/>
        <v>0</v>
      </c>
      <c r="AR56" s="272">
        <f t="shared" si="24"/>
        <v>0</v>
      </c>
      <c r="AS56" s="272" t="str">
        <f t="shared" si="24"/>
        <v>X</v>
      </c>
      <c r="AT56" s="272">
        <f t="shared" si="24"/>
        <v>0</v>
      </c>
      <c r="AU56" s="272">
        <f t="shared" si="24"/>
        <v>0</v>
      </c>
      <c r="AV56" s="272">
        <f t="shared" si="24"/>
        <v>0</v>
      </c>
      <c r="AW56" s="272">
        <f t="shared" si="24"/>
        <v>0</v>
      </c>
      <c r="AX56" s="272">
        <f t="shared" si="24"/>
        <v>0</v>
      </c>
      <c r="AY56" s="272">
        <f t="shared" si="24"/>
        <v>0</v>
      </c>
      <c r="AZ56" s="272">
        <f t="shared" si="24"/>
        <v>0</v>
      </c>
      <c r="BA56" s="254">
        <f t="shared" si="20"/>
        <v>0</v>
      </c>
      <c r="BB56" s="254">
        <f t="shared" si="20"/>
        <v>0</v>
      </c>
      <c r="BC56" s="254">
        <f t="shared" si="20"/>
        <v>0</v>
      </c>
      <c r="BD56" s="254">
        <f t="shared" si="20"/>
        <v>0</v>
      </c>
      <c r="BE56" s="254">
        <f t="shared" si="20"/>
        <v>292.40000000000003</v>
      </c>
      <c r="BF56" s="254">
        <f t="shared" si="20"/>
        <v>292.40000000000003</v>
      </c>
      <c r="BG56" s="254">
        <f t="shared" si="20"/>
        <v>292.40000000000003</v>
      </c>
      <c r="BH56" s="254">
        <f t="shared" si="20"/>
        <v>292.40000000000003</v>
      </c>
      <c r="BI56" s="254">
        <f t="shared" si="20"/>
        <v>292.40000000000003</v>
      </c>
      <c r="BJ56" s="254">
        <f t="shared" si="20"/>
        <v>0</v>
      </c>
      <c r="BK56" s="254">
        <f t="shared" si="20"/>
        <v>0</v>
      </c>
      <c r="BL56" s="254">
        <f t="shared" si="20"/>
        <v>0</v>
      </c>
      <c r="BM56" s="273">
        <f t="shared" si="16"/>
        <v>1462.0000000000002</v>
      </c>
    </row>
    <row r="57" spans="1:65" ht="17.100000000000001" customHeight="1" x14ac:dyDescent="0.25">
      <c r="A57" s="192" t="s">
        <v>221</v>
      </c>
      <c r="B57" s="150">
        <v>7</v>
      </c>
      <c r="C57" s="228" t="str">
        <f t="shared" si="19"/>
        <v>X</v>
      </c>
      <c r="D57" s="229">
        <f t="shared" si="5"/>
        <v>42614</v>
      </c>
      <c r="E57" s="148">
        <v>42583</v>
      </c>
      <c r="F57" s="246">
        <v>341</v>
      </c>
      <c r="G57" s="280" t="s">
        <v>472</v>
      </c>
      <c r="H57" s="280" t="s">
        <v>39</v>
      </c>
      <c r="I57" s="150"/>
      <c r="J57" s="150"/>
      <c r="K57" s="150"/>
      <c r="L57" s="150"/>
      <c r="M57" s="150"/>
      <c r="N57" s="150"/>
      <c r="O57" s="155">
        <v>36700</v>
      </c>
      <c r="P57" s="155"/>
      <c r="Q57" s="156">
        <f>O57</f>
        <v>36700</v>
      </c>
      <c r="R57" s="150"/>
      <c r="S57" s="150"/>
      <c r="T57" s="148"/>
      <c r="U57" s="148" t="s">
        <v>439</v>
      </c>
      <c r="V57" s="148">
        <v>42619</v>
      </c>
      <c r="W57" s="232"/>
      <c r="X57" s="241"/>
      <c r="Y57" s="242">
        <f>IF($U57=0,0,$Q57*VLOOKUP($U57,$W$1:$X$3,2))</f>
        <v>293.60000000000002</v>
      </c>
      <c r="Z57" s="157"/>
      <c r="AA57" s="152"/>
      <c r="AB57" s="150"/>
      <c r="AC57" s="194"/>
      <c r="AF57" s="260">
        <f t="shared" si="26"/>
        <v>9.7866666666666671</v>
      </c>
      <c r="AG57" s="267">
        <f t="shared" si="27"/>
        <v>24</v>
      </c>
      <c r="AH57" s="261">
        <f t="shared" si="28"/>
        <v>234.88</v>
      </c>
      <c r="AI57" s="267">
        <f t="shared" si="29"/>
        <v>0</v>
      </c>
      <c r="AJ57" s="261">
        <f t="shared" si="30"/>
        <v>0</v>
      </c>
      <c r="AK57" s="262" t="e">
        <f t="array" ref="AK57">IF($A57=0,0,SUMPRODUCT(($B$4:$B$60=$B57)*($X$4:$X$60)))</f>
        <v>#VALUE!</v>
      </c>
      <c r="AL57" s="263"/>
      <c r="AM57" s="271"/>
      <c r="AN57" s="264">
        <f t="shared" si="11"/>
        <v>73050</v>
      </c>
      <c r="AO57" s="272">
        <f t="shared" si="24"/>
        <v>0</v>
      </c>
      <c r="AP57" s="272">
        <f t="shared" si="24"/>
        <v>0</v>
      </c>
      <c r="AQ57" s="272">
        <f t="shared" si="24"/>
        <v>0</v>
      </c>
      <c r="AR57" s="272">
        <f t="shared" si="24"/>
        <v>0</v>
      </c>
      <c r="AS57" s="272">
        <f t="shared" si="24"/>
        <v>0</v>
      </c>
      <c r="AT57" s="272">
        <f t="shared" si="24"/>
        <v>0</v>
      </c>
      <c r="AU57" s="272">
        <f t="shared" si="24"/>
        <v>0</v>
      </c>
      <c r="AV57" s="272">
        <f t="shared" si="24"/>
        <v>0</v>
      </c>
      <c r="AW57" s="272">
        <f t="shared" si="24"/>
        <v>0</v>
      </c>
      <c r="AX57" s="272" t="str">
        <f t="shared" si="24"/>
        <v>X</v>
      </c>
      <c r="AY57" s="272">
        <f t="shared" si="24"/>
        <v>0</v>
      </c>
      <c r="AZ57" s="272">
        <f t="shared" si="24"/>
        <v>0</v>
      </c>
      <c r="BA57" s="254">
        <f t="shared" si="20"/>
        <v>0</v>
      </c>
      <c r="BB57" s="254">
        <f t="shared" si="20"/>
        <v>0</v>
      </c>
      <c r="BC57" s="254">
        <f t="shared" si="20"/>
        <v>0</v>
      </c>
      <c r="BD57" s="254">
        <f t="shared" si="20"/>
        <v>0</v>
      </c>
      <c r="BE57" s="254">
        <f t="shared" si="20"/>
        <v>0</v>
      </c>
      <c r="BF57" s="254">
        <f t="shared" si="20"/>
        <v>0</v>
      </c>
      <c r="BG57" s="254">
        <f t="shared" si="20"/>
        <v>0</v>
      </c>
      <c r="BH57" s="254">
        <f t="shared" si="20"/>
        <v>0</v>
      </c>
      <c r="BI57" s="254">
        <f t="shared" si="20"/>
        <v>0</v>
      </c>
      <c r="BJ57" s="254">
        <f t="shared" si="20"/>
        <v>293.60000000000002</v>
      </c>
      <c r="BK57" s="254">
        <f t="shared" si="20"/>
        <v>293.60000000000002</v>
      </c>
      <c r="BL57" s="254">
        <f t="shared" si="20"/>
        <v>293.60000000000002</v>
      </c>
      <c r="BM57" s="273">
        <f t="shared" si="16"/>
        <v>880.80000000000007</v>
      </c>
    </row>
    <row r="58" spans="1:65" ht="17.100000000000001" customHeight="1" x14ac:dyDescent="0.25">
      <c r="A58" s="147" t="s">
        <v>221</v>
      </c>
      <c r="B58" s="147" t="s">
        <v>388</v>
      </c>
      <c r="C58" s="228">
        <f t="shared" si="19"/>
        <v>0</v>
      </c>
      <c r="D58" s="229">
        <f t="shared" si="5"/>
        <v>41548</v>
      </c>
      <c r="E58" s="148">
        <v>41257</v>
      </c>
      <c r="F58" s="246">
        <v>226</v>
      </c>
      <c r="G58" s="150" t="s">
        <v>474</v>
      </c>
      <c r="H58" s="150" t="s">
        <v>487</v>
      </c>
      <c r="I58" s="150"/>
      <c r="J58" s="150"/>
      <c r="K58" s="150"/>
      <c r="L58" s="150"/>
      <c r="M58" s="150"/>
      <c r="N58" s="150"/>
      <c r="O58" s="155">
        <v>39780</v>
      </c>
      <c r="P58" s="155"/>
      <c r="Q58" s="156">
        <v>28920</v>
      </c>
      <c r="R58" s="150"/>
      <c r="S58" s="150"/>
      <c r="T58" s="148"/>
      <c r="U58" s="148"/>
      <c r="V58" s="148">
        <v>41348</v>
      </c>
      <c r="W58" s="232">
        <v>41558</v>
      </c>
      <c r="X58" s="241"/>
      <c r="Y58" s="242">
        <v>306.5</v>
      </c>
      <c r="Z58" s="157"/>
      <c r="AA58" s="152"/>
      <c r="AB58" s="150"/>
      <c r="AC58" s="154"/>
      <c r="AF58" s="221">
        <f t="shared" si="8"/>
        <v>10.216666666666667</v>
      </c>
      <c r="AG58" s="266">
        <f t="shared" ref="AG58:AG60" si="31">IF(G58=0,0,IF($W58=0,EOMONTH($V58,0)-$V58,$W58-DATE(YEAR($W58),MONTH($W58),1)+1))</f>
        <v>11</v>
      </c>
      <c r="AH58" s="223">
        <f t="shared" si="10"/>
        <v>112.38333333333334</v>
      </c>
      <c r="AI58" s="266"/>
      <c r="AJ58" s="223"/>
      <c r="AK58" s="207" t="e">
        <f t="array" ref="AK58">IF($A58=0,0,SUMPRODUCT(($B$4:$B$60=$B58)*($X$4:$X$60)))</f>
        <v>#VALUE!</v>
      </c>
      <c r="AL58" s="225"/>
      <c r="AN58" s="259">
        <f t="shared" si="11"/>
        <v>41578</v>
      </c>
      <c r="AO58" s="256">
        <f t="shared" si="24"/>
        <v>0</v>
      </c>
      <c r="AP58" s="256">
        <f t="shared" si="24"/>
        <v>0</v>
      </c>
      <c r="AQ58" s="256">
        <f t="shared" si="24"/>
        <v>0</v>
      </c>
      <c r="AR58" s="256">
        <f t="shared" si="24"/>
        <v>0</v>
      </c>
      <c r="AS58" s="256">
        <f t="shared" si="24"/>
        <v>0</v>
      </c>
      <c r="AT58" s="256">
        <f t="shared" si="24"/>
        <v>0</v>
      </c>
      <c r="AU58" s="256">
        <f t="shared" si="24"/>
        <v>0</v>
      </c>
      <c r="AV58" s="256">
        <f t="shared" si="24"/>
        <v>0</v>
      </c>
      <c r="AW58" s="256">
        <f t="shared" si="24"/>
        <v>0</v>
      </c>
      <c r="AX58" s="256">
        <f t="shared" si="24"/>
        <v>0</v>
      </c>
      <c r="AY58" s="256">
        <f t="shared" si="24"/>
        <v>0</v>
      </c>
      <c r="AZ58" s="256">
        <f t="shared" si="24"/>
        <v>0</v>
      </c>
      <c r="BA58" s="254">
        <f t="shared" si="20"/>
        <v>0</v>
      </c>
      <c r="BB58" s="254">
        <f t="shared" si="20"/>
        <v>0</v>
      </c>
      <c r="BC58" s="254">
        <f t="shared" si="20"/>
        <v>0</v>
      </c>
      <c r="BD58" s="254">
        <f t="shared" si="20"/>
        <v>0</v>
      </c>
      <c r="BE58" s="254">
        <f t="shared" si="20"/>
        <v>0</v>
      </c>
      <c r="BF58" s="254">
        <f t="shared" si="20"/>
        <v>0</v>
      </c>
      <c r="BG58" s="254">
        <f t="shared" si="20"/>
        <v>0</v>
      </c>
      <c r="BH58" s="254">
        <f t="shared" si="20"/>
        <v>0</v>
      </c>
      <c r="BI58" s="254">
        <f t="shared" si="20"/>
        <v>0</v>
      </c>
      <c r="BJ58" s="254">
        <f t="shared" si="20"/>
        <v>0</v>
      </c>
      <c r="BK58" s="254">
        <f t="shared" si="20"/>
        <v>0</v>
      </c>
      <c r="BL58" s="254">
        <f t="shared" si="20"/>
        <v>0</v>
      </c>
      <c r="BM58" s="254">
        <f t="shared" ref="BM58:BM60" si="32">SUM(BA58:BL58)</f>
        <v>0</v>
      </c>
    </row>
    <row r="59" spans="1:65" ht="17.100000000000001" customHeight="1" x14ac:dyDescent="0.25">
      <c r="A59" s="147" t="s">
        <v>221</v>
      </c>
      <c r="B59" s="147" t="s">
        <v>388</v>
      </c>
      <c r="C59" s="228">
        <f t="shared" si="19"/>
        <v>0</v>
      </c>
      <c r="D59" s="229">
        <f t="shared" si="5"/>
        <v>41791</v>
      </c>
      <c r="E59" s="148">
        <v>41522</v>
      </c>
      <c r="F59" s="246">
        <v>226</v>
      </c>
      <c r="G59" s="150" t="s">
        <v>474</v>
      </c>
      <c r="H59" s="150" t="s">
        <v>487</v>
      </c>
      <c r="I59" s="150"/>
      <c r="J59" s="150"/>
      <c r="K59" s="150"/>
      <c r="L59" s="150"/>
      <c r="M59" s="150"/>
      <c r="N59" s="150"/>
      <c r="O59" s="155">
        <v>43710</v>
      </c>
      <c r="P59" s="155"/>
      <c r="Q59" s="156">
        <v>40500</v>
      </c>
      <c r="R59" s="150"/>
      <c r="S59" s="150"/>
      <c r="T59" s="148"/>
      <c r="U59" s="148"/>
      <c r="V59" s="148">
        <v>41558</v>
      </c>
      <c r="W59" s="232">
        <v>41802</v>
      </c>
      <c r="X59" s="241"/>
      <c r="Y59" s="242">
        <v>324</v>
      </c>
      <c r="Z59" s="157"/>
      <c r="AA59" s="152"/>
      <c r="AB59" s="150"/>
      <c r="AC59" s="154"/>
      <c r="AF59" s="221">
        <f t="shared" si="8"/>
        <v>10.8</v>
      </c>
      <c r="AG59" s="266">
        <f t="shared" si="31"/>
        <v>12</v>
      </c>
      <c r="AH59" s="223">
        <f t="shared" si="10"/>
        <v>129.60000000000002</v>
      </c>
      <c r="AI59" s="266"/>
      <c r="AJ59" s="223"/>
      <c r="AK59" s="207" t="e">
        <f t="array" ref="AK59">IF($A59=0,0,SUMPRODUCT(($B$4:$B$60=$B59)*($X$4:$X$60)))</f>
        <v>#VALUE!</v>
      </c>
      <c r="AL59" s="225"/>
      <c r="AN59" s="259">
        <f t="shared" si="11"/>
        <v>41820</v>
      </c>
      <c r="AO59" s="256">
        <f t="shared" si="24"/>
        <v>0</v>
      </c>
      <c r="AP59" s="256">
        <f t="shared" si="24"/>
        <v>0</v>
      </c>
      <c r="AQ59" s="256">
        <f t="shared" si="24"/>
        <v>0</v>
      </c>
      <c r="AR59" s="256">
        <f t="shared" si="24"/>
        <v>0</v>
      </c>
      <c r="AS59" s="256">
        <f t="shared" si="24"/>
        <v>0</v>
      </c>
      <c r="AT59" s="256">
        <f t="shared" si="24"/>
        <v>0</v>
      </c>
      <c r="AU59" s="256">
        <f t="shared" si="24"/>
        <v>0</v>
      </c>
      <c r="AV59" s="256">
        <f t="shared" si="24"/>
        <v>0</v>
      </c>
      <c r="AW59" s="256">
        <f t="shared" si="24"/>
        <v>0</v>
      </c>
      <c r="AX59" s="256">
        <f t="shared" si="24"/>
        <v>0</v>
      </c>
      <c r="AY59" s="256">
        <f t="shared" si="24"/>
        <v>0</v>
      </c>
      <c r="AZ59" s="256">
        <f t="shared" si="24"/>
        <v>0</v>
      </c>
      <c r="BA59" s="254">
        <f t="shared" si="20"/>
        <v>0</v>
      </c>
      <c r="BB59" s="254">
        <f t="shared" si="20"/>
        <v>0</v>
      </c>
      <c r="BC59" s="254">
        <f t="shared" si="20"/>
        <v>0</v>
      </c>
      <c r="BD59" s="254">
        <f t="shared" ref="BB59:BL60" si="33">IF(MONTH($V59)=MONTH(BD$4),0,IF(AND($V59&lt;=EOMONTH(BD$4,0),$AN59&gt;=BD$4),$Y59,0))</f>
        <v>0</v>
      </c>
      <c r="BE59" s="254">
        <f t="shared" si="33"/>
        <v>0</v>
      </c>
      <c r="BF59" s="254">
        <f t="shared" si="33"/>
        <v>0</v>
      </c>
      <c r="BG59" s="254">
        <f t="shared" si="33"/>
        <v>0</v>
      </c>
      <c r="BH59" s="254">
        <f t="shared" si="33"/>
        <v>0</v>
      </c>
      <c r="BI59" s="254">
        <f t="shared" si="33"/>
        <v>0</v>
      </c>
      <c r="BJ59" s="254">
        <f t="shared" si="33"/>
        <v>0</v>
      </c>
      <c r="BK59" s="254">
        <f t="shared" si="33"/>
        <v>0</v>
      </c>
      <c r="BL59" s="254">
        <f t="shared" si="33"/>
        <v>0</v>
      </c>
      <c r="BM59" s="254">
        <f t="shared" si="32"/>
        <v>0</v>
      </c>
    </row>
    <row r="60" spans="1:65" ht="17.100000000000001" customHeight="1" x14ac:dyDescent="0.25">
      <c r="A60" s="147" t="s">
        <v>221</v>
      </c>
      <c r="B60" s="147" t="s">
        <v>388</v>
      </c>
      <c r="C60" s="228">
        <f t="shared" si="19"/>
        <v>0</v>
      </c>
      <c r="D60" s="229">
        <f t="shared" si="5"/>
        <v>41974</v>
      </c>
      <c r="E60" s="148">
        <v>41764</v>
      </c>
      <c r="F60" s="246">
        <v>226</v>
      </c>
      <c r="G60" s="150" t="s">
        <v>474</v>
      </c>
      <c r="H60" s="150" t="s">
        <v>487</v>
      </c>
      <c r="I60" s="150"/>
      <c r="J60" s="150"/>
      <c r="K60" s="150"/>
      <c r="L60" s="150"/>
      <c r="M60" s="150"/>
      <c r="N60" s="150"/>
      <c r="O60" s="155">
        <v>50070</v>
      </c>
      <c r="P60" s="155"/>
      <c r="Q60" s="156">
        <f>O60-950-2200-110</f>
        <v>46810</v>
      </c>
      <c r="R60" s="150"/>
      <c r="S60" s="150"/>
      <c r="T60" s="148"/>
      <c r="U60" s="148"/>
      <c r="V60" s="148">
        <v>41802</v>
      </c>
      <c r="W60" s="232">
        <v>41992</v>
      </c>
      <c r="X60" s="241"/>
      <c r="Y60" s="242">
        <f>Q60*0.8%</f>
        <v>374.48</v>
      </c>
      <c r="Z60" s="157"/>
      <c r="AA60" s="152"/>
      <c r="AB60" s="150"/>
      <c r="AC60" s="154"/>
      <c r="AF60" s="221">
        <f t="shared" si="8"/>
        <v>12.482666666666667</v>
      </c>
      <c r="AG60" s="266">
        <f t="shared" si="31"/>
        <v>19</v>
      </c>
      <c r="AH60" s="223">
        <f t="shared" si="10"/>
        <v>237.17066666666668</v>
      </c>
      <c r="AI60" s="266"/>
      <c r="AJ60" s="223"/>
      <c r="AK60" s="207" t="e">
        <f t="array" ref="AK60">IF($A60=0,0,SUMPRODUCT(($B$4:$B$60=$B60)*($X$4:$X$60)))</f>
        <v>#VALUE!</v>
      </c>
      <c r="AL60" s="225"/>
      <c r="AN60" s="259">
        <f t="shared" si="11"/>
        <v>42004</v>
      </c>
      <c r="AO60" s="256">
        <f t="shared" si="24"/>
        <v>0</v>
      </c>
      <c r="AP60" s="256">
        <f t="shared" si="24"/>
        <v>0</v>
      </c>
      <c r="AQ60" s="256">
        <f t="shared" si="24"/>
        <v>0</v>
      </c>
      <c r="AR60" s="256">
        <f t="shared" si="24"/>
        <v>0</v>
      </c>
      <c r="AS60" s="256">
        <f t="shared" si="24"/>
        <v>0</v>
      </c>
      <c r="AT60" s="256">
        <f t="shared" si="24"/>
        <v>0</v>
      </c>
      <c r="AU60" s="256">
        <f t="shared" si="24"/>
        <v>0</v>
      </c>
      <c r="AV60" s="256">
        <f t="shared" si="24"/>
        <v>0</v>
      </c>
      <c r="AW60" s="256">
        <f t="shared" si="24"/>
        <v>0</v>
      </c>
      <c r="AX60" s="256">
        <f t="shared" si="24"/>
        <v>0</v>
      </c>
      <c r="AY60" s="256">
        <f t="shared" si="24"/>
        <v>0</v>
      </c>
      <c r="AZ60" s="256">
        <f t="shared" si="24"/>
        <v>0</v>
      </c>
      <c r="BA60" s="254">
        <f t="shared" ref="BA60" si="34">IF(MONTH($V60)=MONTH(BA$4),0,IF(AND($V60&lt;=EOMONTH(BA$4,0),$AN60&gt;=BA$4),$Y60,0))</f>
        <v>0</v>
      </c>
      <c r="BB60" s="254">
        <f t="shared" si="33"/>
        <v>0</v>
      </c>
      <c r="BC60" s="254">
        <f t="shared" si="33"/>
        <v>0</v>
      </c>
      <c r="BD60" s="254">
        <f t="shared" si="33"/>
        <v>0</v>
      </c>
      <c r="BE60" s="254">
        <f t="shared" si="33"/>
        <v>0</v>
      </c>
      <c r="BF60" s="254">
        <f t="shared" si="33"/>
        <v>0</v>
      </c>
      <c r="BG60" s="254">
        <f t="shared" si="33"/>
        <v>0</v>
      </c>
      <c r="BH60" s="254">
        <f t="shared" si="33"/>
        <v>0</v>
      </c>
      <c r="BI60" s="254">
        <f t="shared" si="33"/>
        <v>0</v>
      </c>
      <c r="BJ60" s="254">
        <f t="shared" si="33"/>
        <v>0</v>
      </c>
      <c r="BK60" s="254">
        <f t="shared" si="33"/>
        <v>0</v>
      </c>
      <c r="BL60" s="254">
        <f t="shared" si="33"/>
        <v>0</v>
      </c>
      <c r="BM60" s="254">
        <f t="shared" si="32"/>
        <v>0</v>
      </c>
    </row>
  </sheetData>
  <autoFilter ref="A4:AD60">
    <sortState ref="A5:AC498">
      <sortCondition ref="G4:G570"/>
    </sortState>
  </autoFilter>
  <sortState ref="A1:AE470">
    <sortCondition ref="G1:G470"/>
  </sortState>
  <mergeCells count="2">
    <mergeCell ref="AO2:AZ2"/>
    <mergeCell ref="BA2:BL2"/>
  </mergeCells>
  <conditionalFormatting sqref="A62:AC5540 A5:AC60">
    <cfRule type="expression" dxfId="7" priority="5">
      <formula>$B5="x"</formula>
    </cfRule>
    <cfRule type="expression" dxfId="6" priority="6">
      <formula>$F4&lt;&gt;$F5</formula>
    </cfRule>
  </conditionalFormatting>
  <conditionalFormatting sqref="AO5:BM60">
    <cfRule type="expression" dxfId="5" priority="3">
      <formula>$A5="x"</formula>
    </cfRule>
    <cfRule type="expression" dxfId="4" priority="4">
      <formula>AND($C5="VEH N°1",$A5&lt;&gt;"x")</formula>
    </cfRule>
  </conditionalFormatting>
  <conditionalFormatting sqref="AN5:AN60">
    <cfRule type="expression" dxfId="3" priority="1">
      <formula>$A5="x"</formula>
    </cfRule>
    <cfRule type="expression" dxfId="2" priority="2">
      <formula>AND($C5="VEH N°1",$A5&lt;&gt;"x")</formula>
    </cfRule>
  </conditionalFormatting>
  <conditionalFormatting sqref="A61:AC61">
    <cfRule type="expression" dxfId="1" priority="13">
      <formula>$B61="x"</formula>
    </cfRule>
    <cfRule type="expression" dxfId="0" priority="14">
      <formula>#REF!&lt;&gt;$F61</formula>
    </cfRule>
  </conditionalFormatting>
  <dataValidations count="1">
    <dataValidation type="list" allowBlank="1" showInputMessage="1" showErrorMessage="1" sqref="U5:U6 U12:U15 U31:U37 U53:U57 U41:U50 U25:U26">
      <formula1>"Diesel,Essence"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paperSize="8" scale="78" fitToHeight="0" orientation="landscape" r:id="rId1"/>
  <headerFooter>
    <oddHeader>&amp;C&amp;"-,Gras"&amp;16Liste véhicules Lease Car Collaborateurs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35"/>
  <sheetViews>
    <sheetView showZeros="0" tabSelected="1" workbookViewId="0">
      <pane xSplit="21" ySplit="4" topLeftCell="V5" activePane="bottomRight" state="frozen"/>
      <selection pane="topRight" activeCell="U1" sqref="U1"/>
      <selection pane="bottomLeft" activeCell="A5" sqref="A5"/>
      <selection pane="bottomRight" activeCell="AA2" sqref="AA2"/>
    </sheetView>
  </sheetViews>
  <sheetFormatPr baseColWidth="10" defaultRowHeight="15" x14ac:dyDescent="0.25"/>
  <cols>
    <col min="1" max="1" width="4.140625" style="159" customWidth="1"/>
    <col min="2" max="2" width="5.85546875" style="159" customWidth="1"/>
    <col min="3" max="3" width="20.28515625" style="159" bestFit="1" customWidth="1"/>
    <col min="4" max="4" width="12.5703125" style="159" bestFit="1" customWidth="1"/>
    <col min="5" max="5" width="11.5703125" style="159" hidden="1" customWidth="1"/>
    <col min="6" max="6" width="17.7109375" style="159" hidden="1" customWidth="1"/>
    <col min="7" max="7" width="13.42578125" style="159" hidden="1" customWidth="1"/>
    <col min="8" max="8" width="39" style="159" hidden="1" customWidth="1"/>
    <col min="9" max="9" width="12.42578125" style="159" hidden="1" customWidth="1"/>
    <col min="10" max="10" width="26.85546875" style="159" hidden="1" customWidth="1"/>
    <col min="11" max="12" width="21.7109375" style="159" hidden="1" customWidth="1"/>
    <col min="13" max="13" width="33.28515625" style="159" hidden="1" customWidth="1"/>
    <col min="14" max="14" width="16.7109375" style="159" hidden="1" customWidth="1"/>
    <col min="15" max="15" width="19.7109375" style="159" hidden="1" customWidth="1"/>
    <col min="16" max="16" width="21.42578125" style="159" hidden="1" customWidth="1"/>
    <col min="17" max="17" width="14.28515625" style="159" hidden="1" customWidth="1"/>
    <col min="18" max="19" width="11.140625" style="159" customWidth="1"/>
    <col min="20" max="22" width="10.7109375" style="159" customWidth="1"/>
    <col min="23" max="23" width="8.7109375" style="159" customWidth="1"/>
    <col min="24" max="24" width="10.85546875" style="159" customWidth="1"/>
    <col min="25" max="25" width="11.42578125" style="159" customWidth="1"/>
    <col min="26" max="26" width="9.5703125" style="159" customWidth="1"/>
    <col min="27" max="28" width="20.7109375" style="159" customWidth="1"/>
    <col min="29" max="29" width="17.7109375" style="159" bestFit="1" customWidth="1"/>
    <col min="30" max="30" width="16.85546875" style="159" customWidth="1"/>
    <col min="31" max="31" width="1.85546875" style="212" hidden="1" customWidth="1"/>
    <col min="32" max="16384" width="11.42578125" style="213"/>
  </cols>
  <sheetData>
    <row r="1" spans="1:31" ht="18.75" x14ac:dyDescent="0.25">
      <c r="C1" s="211" t="s">
        <v>438</v>
      </c>
      <c r="D1" s="211" t="s">
        <v>437</v>
      </c>
      <c r="AA1" s="210"/>
      <c r="AB1" s="210"/>
    </row>
    <row r="2" spans="1:31" ht="18.75" x14ac:dyDescent="0.25">
      <c r="C2" s="227">
        <f>'Suivi Véhicules'!D2</f>
        <v>42614</v>
      </c>
      <c r="D2" s="227">
        <f>DATE(YEAR($C$2),MONTH($C$2)+1,1)</f>
        <v>42644</v>
      </c>
      <c r="AA2" s="209">
        <f>SUBTOTAL(9,AA4:AA100)</f>
        <v>3419.3625000000002</v>
      </c>
      <c r="AB2" s="209">
        <f>SUBTOTAL(9,AB4:AB100)</f>
        <v>3985.3450000000003</v>
      </c>
    </row>
    <row r="3" spans="1:31" ht="28.5" customHeight="1" x14ac:dyDescent="0.25">
      <c r="A3" s="142" t="s">
        <v>405</v>
      </c>
      <c r="B3" s="168" t="s">
        <v>435</v>
      </c>
      <c r="C3" s="169" t="s">
        <v>199</v>
      </c>
      <c r="D3" s="170" t="s">
        <v>0</v>
      </c>
      <c r="E3" s="170" t="s">
        <v>66</v>
      </c>
      <c r="F3" s="170" t="s">
        <v>427</v>
      </c>
      <c r="G3" s="170" t="s">
        <v>63</v>
      </c>
      <c r="H3" s="170" t="s">
        <v>3</v>
      </c>
      <c r="I3" s="170" t="s">
        <v>6</v>
      </c>
      <c r="J3" s="170" t="s">
        <v>7</v>
      </c>
      <c r="K3" s="170" t="s">
        <v>135</v>
      </c>
      <c r="L3" s="170" t="s">
        <v>448</v>
      </c>
      <c r="M3" s="170" t="s">
        <v>136</v>
      </c>
      <c r="N3" s="170" t="s">
        <v>1</v>
      </c>
      <c r="O3" s="170" t="s">
        <v>29</v>
      </c>
      <c r="P3" s="171" t="s">
        <v>2</v>
      </c>
      <c r="Q3" s="172" t="s">
        <v>433</v>
      </c>
      <c r="R3" s="171" t="s">
        <v>8</v>
      </c>
      <c r="S3" s="171" t="s">
        <v>84</v>
      </c>
      <c r="T3" s="173" t="s">
        <v>489</v>
      </c>
      <c r="U3" s="174" t="s">
        <v>429</v>
      </c>
      <c r="V3" s="141" t="s">
        <v>430</v>
      </c>
      <c r="W3" s="141" t="s">
        <v>434</v>
      </c>
      <c r="X3" s="141" t="s">
        <v>431</v>
      </c>
      <c r="Y3" s="141"/>
      <c r="Z3" s="141" t="s">
        <v>441</v>
      </c>
      <c r="AA3" s="146" t="str">
        <f>"Montant proraté sur : "&amp;TEXT($D$2,"MmmM")</f>
        <v>Montant proraté sur : octobre</v>
      </c>
      <c r="AB3" s="146" t="str">
        <f>"Montant partir de : "&amp;TEXT(DATE(YEAR($D$2),MONTH($D$2)+1,1),"MmmM")</f>
        <v>Montant partir de : novembre</v>
      </c>
      <c r="AC3" s="140" t="s">
        <v>442</v>
      </c>
      <c r="AD3" s="140" t="s">
        <v>443</v>
      </c>
    </row>
    <row r="4" spans="1:31" x14ac:dyDescent="0.25">
      <c r="A4" s="214">
        <f>IF($B4=$B5,0,"X")</f>
        <v>0</v>
      </c>
      <c r="B4" s="218">
        <v>499</v>
      </c>
      <c r="C4" s="278" t="s">
        <v>471</v>
      </c>
      <c r="D4" s="278" t="s">
        <v>400</v>
      </c>
      <c r="E4" s="167"/>
      <c r="F4" s="167"/>
      <c r="G4" s="167"/>
      <c r="H4" s="167"/>
      <c r="I4" s="167"/>
      <c r="J4" s="167"/>
      <c r="K4" s="167">
        <v>39385</v>
      </c>
      <c r="L4" s="167"/>
      <c r="M4" s="167">
        <v>38100</v>
      </c>
      <c r="N4" s="167"/>
      <c r="O4" s="167"/>
      <c r="P4" s="167"/>
      <c r="Q4" s="167" t="s">
        <v>440</v>
      </c>
      <c r="R4" s="162">
        <v>42426</v>
      </c>
      <c r="S4" s="163">
        <v>42629</v>
      </c>
      <c r="T4" s="144">
        <v>135.59</v>
      </c>
      <c r="U4" s="220">
        <v>342.9</v>
      </c>
      <c r="V4" s="221">
        <f>$U4/30</f>
        <v>11.43</v>
      </c>
      <c r="W4" s="143">
        <f>IF(D4=0,0,IF($S4=0,EOMONTH($R4,0)-$R4,$S4-DATE(YEAR($S4),MONTH($S4),1)+1))</f>
        <v>16</v>
      </c>
      <c r="X4" s="223">
        <f>$V4*$W4</f>
        <v>182.88</v>
      </c>
      <c r="Y4" s="207">
        <f t="array" ref="Y4">IF($A4=0,0,SUMPRODUCT(($B$4:$B$100=$B4)*($X$4:$X$100)))</f>
        <v>0</v>
      </c>
      <c r="Z4" s="225"/>
      <c r="AA4" s="224">
        <f t="shared" ref="AA4:AA35" si="0">IF($Y4&gt;$U4,$U4+$Z4,$Y4+$Z4)</f>
        <v>0</v>
      </c>
      <c r="AB4" s="224">
        <f t="shared" ref="AB4:AB35" si="1">IF(OR($A4=0,$AC4="Restitution"),0,$U4)</f>
        <v>0</v>
      </c>
      <c r="AC4" s="208">
        <f t="shared" ref="AC4:AC35" si="2">IF(AND($AE4=1,$S4=0),"Livraison",IF(AND($AE4=1,$S4&lt;&gt;0),"Restitution",0))</f>
        <v>0</v>
      </c>
      <c r="AD4" s="226"/>
      <c r="AE4" s="215">
        <f>IF($A4=0,0,COUNTIF($B$4:$B$100,$B4))</f>
        <v>0</v>
      </c>
    </row>
    <row r="5" spans="1:31" x14ac:dyDescent="0.25">
      <c r="A5" s="214" t="str">
        <f t="shared" ref="A5:A21" si="3">IF($B5=$B6,0,"X")</f>
        <v>X</v>
      </c>
      <c r="B5" s="167">
        <v>499</v>
      </c>
      <c r="C5" s="278" t="s">
        <v>471</v>
      </c>
      <c r="D5" s="278" t="s">
        <v>400</v>
      </c>
      <c r="E5" s="167"/>
      <c r="F5" s="167"/>
      <c r="G5" s="167"/>
      <c r="H5" s="167"/>
      <c r="I5" s="167"/>
      <c r="J5" s="167"/>
      <c r="K5" s="167">
        <v>39815</v>
      </c>
      <c r="L5" s="167"/>
      <c r="M5" s="167">
        <v>39225</v>
      </c>
      <c r="N5" s="167"/>
      <c r="O5" s="167"/>
      <c r="P5" s="167"/>
      <c r="Q5" s="167" t="s">
        <v>440</v>
      </c>
      <c r="R5" s="162">
        <v>42629</v>
      </c>
      <c r="S5" s="162"/>
      <c r="T5" s="144">
        <v>137.09</v>
      </c>
      <c r="U5" s="220">
        <v>353.02499999999998</v>
      </c>
      <c r="V5" s="221">
        <f t="shared" ref="V5:V35" si="4">$U5/30</f>
        <v>11.7675</v>
      </c>
      <c r="W5" s="143">
        <f>IF(D5=0,0,IF($S5=0,EOMONTH($R5,0)-$R5,$S5-DATE(YEAR($S5),MONTH($S5),1)+1))</f>
        <v>14</v>
      </c>
      <c r="X5" s="223">
        <f>$V5*$W5</f>
        <v>164.745</v>
      </c>
      <c r="Y5" s="207">
        <f>IF($A5=0,0,SUMPRODUCT(($B$4:$B$100=$B5)*($X$4:$X$100)))</f>
        <v>347.625</v>
      </c>
      <c r="Z5" s="225"/>
      <c r="AA5" s="224">
        <f t="shared" si="0"/>
        <v>347.625</v>
      </c>
      <c r="AB5" s="224">
        <f t="shared" si="1"/>
        <v>353.02499999999998</v>
      </c>
      <c r="AC5" s="208">
        <f t="shared" si="2"/>
        <v>0</v>
      </c>
      <c r="AD5" s="226"/>
      <c r="AE5" s="215">
        <f t="shared" ref="AE5:AE35" si="5">IF($A5=0,0,COUNTIF($B$4:$B$100,$B5))</f>
        <v>2</v>
      </c>
    </row>
    <row r="6" spans="1:31" x14ac:dyDescent="0.25">
      <c r="A6" s="214">
        <f t="shared" si="3"/>
        <v>0</v>
      </c>
      <c r="B6" s="137">
        <v>341</v>
      </c>
      <c r="C6" s="279" t="s">
        <v>472</v>
      </c>
      <c r="D6" s="279" t="s">
        <v>39</v>
      </c>
      <c r="E6" s="137"/>
      <c r="F6" s="137"/>
      <c r="G6" s="137"/>
      <c r="H6" s="137"/>
      <c r="I6" s="137"/>
      <c r="J6" s="137"/>
      <c r="K6" s="137">
        <v>36800</v>
      </c>
      <c r="L6" s="137"/>
      <c r="M6" s="137">
        <v>36550</v>
      </c>
      <c r="N6" s="137"/>
      <c r="O6" s="137"/>
      <c r="P6" s="137"/>
      <c r="Q6" s="137" t="s">
        <v>439</v>
      </c>
      <c r="R6" s="164">
        <v>42468</v>
      </c>
      <c r="S6" s="163">
        <v>42619</v>
      </c>
      <c r="T6" s="145">
        <v>42.13</v>
      </c>
      <c r="U6" s="222">
        <v>292.40000000000003</v>
      </c>
      <c r="V6" s="221">
        <f t="shared" si="4"/>
        <v>9.7466666666666679</v>
      </c>
      <c r="W6" s="143">
        <f t="shared" ref="W6:W26" si="6">IF(D6=0,0,IF($S6=0,EOMONTH($R6,0)-$R6,$S6-DATE(YEAR($S6),MONTH($S6),1)+1))</f>
        <v>6</v>
      </c>
      <c r="X6" s="223">
        <f t="shared" ref="X6:X35" si="7">$V6*$W6</f>
        <v>58.480000000000004</v>
      </c>
      <c r="Y6" s="207">
        <f t="array" ref="Y6">IF($A6=0,0,SUMPRODUCT(($B$4:$B$100=$B6)*($X$4:$X$100)))</f>
        <v>0</v>
      </c>
      <c r="Z6" s="225"/>
      <c r="AA6" s="224">
        <f t="shared" si="0"/>
        <v>0</v>
      </c>
      <c r="AB6" s="224">
        <f t="shared" si="1"/>
        <v>0</v>
      </c>
      <c r="AC6" s="208">
        <f t="shared" si="2"/>
        <v>0</v>
      </c>
      <c r="AD6" s="226"/>
      <c r="AE6" s="215">
        <f t="shared" si="5"/>
        <v>0</v>
      </c>
    </row>
    <row r="7" spans="1:31" x14ac:dyDescent="0.25">
      <c r="A7" s="214" t="str">
        <f t="shared" si="3"/>
        <v>X</v>
      </c>
      <c r="B7" s="137">
        <v>341</v>
      </c>
      <c r="C7" s="279" t="s">
        <v>472</v>
      </c>
      <c r="D7" s="279" t="s">
        <v>39</v>
      </c>
      <c r="E7" s="137"/>
      <c r="F7" s="137"/>
      <c r="G7" s="137"/>
      <c r="H7" s="137"/>
      <c r="I7" s="137"/>
      <c r="J7" s="137"/>
      <c r="K7" s="137">
        <v>36700</v>
      </c>
      <c r="L7" s="137"/>
      <c r="M7" s="137">
        <v>36700</v>
      </c>
      <c r="N7" s="137"/>
      <c r="O7" s="137"/>
      <c r="P7" s="137"/>
      <c r="Q7" s="137" t="s">
        <v>439</v>
      </c>
      <c r="R7" s="164">
        <v>42619</v>
      </c>
      <c r="S7" s="164"/>
      <c r="T7" s="145">
        <v>211.39</v>
      </c>
      <c r="U7" s="222">
        <v>293.60000000000002</v>
      </c>
      <c r="V7" s="221">
        <f t="shared" si="4"/>
        <v>9.7866666666666671</v>
      </c>
      <c r="W7" s="143">
        <f t="shared" si="6"/>
        <v>24</v>
      </c>
      <c r="X7" s="223">
        <f t="shared" si="7"/>
        <v>234.88</v>
      </c>
      <c r="Y7" s="207">
        <f t="array" ref="Y7">IF($A7=0,0,SUMPRODUCT(($B$4:$B$100=$B7)*($X$4:$X$100)))</f>
        <v>293.36</v>
      </c>
      <c r="Z7" s="225"/>
      <c r="AA7" s="224">
        <f t="shared" si="0"/>
        <v>293.36</v>
      </c>
      <c r="AB7" s="224">
        <f t="shared" si="1"/>
        <v>293.60000000000002</v>
      </c>
      <c r="AC7" s="208">
        <f t="shared" si="2"/>
        <v>0</v>
      </c>
      <c r="AD7" s="226"/>
      <c r="AE7" s="215">
        <f t="shared" si="5"/>
        <v>2</v>
      </c>
    </row>
    <row r="8" spans="1:31" x14ac:dyDescent="0.25">
      <c r="A8" s="214" t="str">
        <f t="shared" si="3"/>
        <v>X</v>
      </c>
      <c r="B8" s="165">
        <v>190</v>
      </c>
      <c r="C8" s="233" t="s">
        <v>473</v>
      </c>
      <c r="D8" s="165" t="s">
        <v>122</v>
      </c>
      <c r="E8" s="165"/>
      <c r="F8" s="165"/>
      <c r="G8" s="165"/>
      <c r="H8" s="165"/>
      <c r="I8" s="165"/>
      <c r="J8" s="165"/>
      <c r="K8" s="165">
        <v>45420</v>
      </c>
      <c r="L8" s="165"/>
      <c r="M8" s="165">
        <v>44035</v>
      </c>
      <c r="N8" s="165"/>
      <c r="O8" s="165"/>
      <c r="P8" s="165"/>
      <c r="Q8" s="165" t="s">
        <v>440</v>
      </c>
      <c r="R8" s="162">
        <v>42447</v>
      </c>
      <c r="S8" s="163">
        <v>42636</v>
      </c>
      <c r="T8" s="144">
        <v>400.55</v>
      </c>
      <c r="U8" s="220">
        <v>396.315</v>
      </c>
      <c r="V8" s="221">
        <f t="shared" si="4"/>
        <v>13.2105</v>
      </c>
      <c r="W8" s="143">
        <f t="shared" si="6"/>
        <v>23</v>
      </c>
      <c r="X8" s="223">
        <f t="shared" si="7"/>
        <v>303.8415</v>
      </c>
      <c r="Y8" s="207">
        <f t="array" ref="Y8">IF($A8=0,0,SUMPRODUCT(($B$4:$B$100=$B8)*($X$4:$X$100)))</f>
        <v>303.8415</v>
      </c>
      <c r="Z8" s="225"/>
      <c r="AA8" s="224">
        <f t="shared" si="0"/>
        <v>303.8415</v>
      </c>
      <c r="AB8" s="224">
        <f t="shared" si="1"/>
        <v>0</v>
      </c>
      <c r="AC8" s="208" t="str">
        <f t="shared" si="2"/>
        <v>Restitution</v>
      </c>
      <c r="AD8" s="226"/>
      <c r="AE8" s="215">
        <f t="shared" si="5"/>
        <v>1</v>
      </c>
    </row>
    <row r="9" spans="1:31" x14ac:dyDescent="0.25">
      <c r="A9" s="214" t="str">
        <f t="shared" si="3"/>
        <v>X</v>
      </c>
      <c r="B9" s="165">
        <v>646</v>
      </c>
      <c r="C9" s="233" t="s">
        <v>460</v>
      </c>
      <c r="D9" s="165" t="s">
        <v>445</v>
      </c>
      <c r="E9" s="165"/>
      <c r="F9" s="165"/>
      <c r="G9" s="165"/>
      <c r="H9" s="165"/>
      <c r="I9" s="165"/>
      <c r="J9" s="165"/>
      <c r="K9" s="165">
        <v>37750</v>
      </c>
      <c r="L9" s="165"/>
      <c r="M9" s="165">
        <v>37180</v>
      </c>
      <c r="N9" s="165"/>
      <c r="O9" s="165"/>
      <c r="P9" s="165"/>
      <c r="Q9" s="165" t="s">
        <v>439</v>
      </c>
      <c r="R9" s="162">
        <v>42636</v>
      </c>
      <c r="S9" s="162"/>
      <c r="T9" s="144"/>
      <c r="U9" s="220">
        <v>297.44</v>
      </c>
      <c r="V9" s="221">
        <f t="shared" si="4"/>
        <v>9.9146666666666672</v>
      </c>
      <c r="W9" s="143">
        <f t="shared" si="6"/>
        <v>7</v>
      </c>
      <c r="X9" s="223">
        <f t="shared" si="7"/>
        <v>69.402666666666676</v>
      </c>
      <c r="Y9" s="224">
        <f t="array" ref="Y9">IF($A9=0,0,SUMPRODUCT(($B$4:$B$100=$B9)*($X$4:$X$100)))</f>
        <v>69.402666666666676</v>
      </c>
      <c r="Z9" s="225"/>
      <c r="AA9" s="224">
        <f t="shared" si="0"/>
        <v>69.402666666666676</v>
      </c>
      <c r="AB9" s="224">
        <f t="shared" si="1"/>
        <v>297.44</v>
      </c>
      <c r="AC9" s="208" t="str">
        <f t="shared" si="2"/>
        <v>Livraison</v>
      </c>
      <c r="AD9" s="226"/>
      <c r="AE9" s="215">
        <f t="shared" si="5"/>
        <v>1</v>
      </c>
    </row>
    <row r="10" spans="1:31" x14ac:dyDescent="0.25">
      <c r="A10" s="214" t="str">
        <f t="shared" si="3"/>
        <v>X</v>
      </c>
      <c r="B10" s="166">
        <v>644</v>
      </c>
      <c r="C10" s="234" t="s">
        <v>461</v>
      </c>
      <c r="D10" s="166" t="s">
        <v>418</v>
      </c>
      <c r="E10" s="166"/>
      <c r="F10" s="166"/>
      <c r="G10" s="166"/>
      <c r="H10" s="166"/>
      <c r="I10" s="166"/>
      <c r="J10" s="166"/>
      <c r="K10" s="166">
        <v>42230</v>
      </c>
      <c r="L10" s="166"/>
      <c r="M10" s="166">
        <v>39030</v>
      </c>
      <c r="N10" s="166"/>
      <c r="O10" s="166"/>
      <c r="P10" s="166"/>
      <c r="Q10" s="166" t="s">
        <v>439</v>
      </c>
      <c r="R10" s="164">
        <v>42643</v>
      </c>
      <c r="S10" s="163"/>
      <c r="T10" s="145"/>
      <c r="U10" s="222">
        <v>312.24</v>
      </c>
      <c r="V10" s="221">
        <f t="shared" si="4"/>
        <v>10.407999999999999</v>
      </c>
      <c r="W10" s="143">
        <f t="shared" si="6"/>
        <v>0</v>
      </c>
      <c r="X10" s="223">
        <f t="shared" si="7"/>
        <v>0</v>
      </c>
      <c r="Y10" s="224">
        <f t="array" ref="Y10">IF($A10=0,0,SUMPRODUCT(($B$4:$B$100=$B10)*($X$4:$X$100)))</f>
        <v>0</v>
      </c>
      <c r="Z10" s="225"/>
      <c r="AA10" s="224">
        <f t="shared" si="0"/>
        <v>0</v>
      </c>
      <c r="AB10" s="224">
        <f t="shared" si="1"/>
        <v>312.24</v>
      </c>
      <c r="AC10" s="208" t="str">
        <f t="shared" si="2"/>
        <v>Livraison</v>
      </c>
      <c r="AD10" s="226"/>
      <c r="AE10" s="215">
        <f t="shared" si="5"/>
        <v>1</v>
      </c>
    </row>
    <row r="11" spans="1:31" x14ac:dyDescent="0.25">
      <c r="A11" s="214">
        <f t="shared" si="3"/>
        <v>0</v>
      </c>
      <c r="B11" s="166">
        <v>238</v>
      </c>
      <c r="C11" s="166" t="s">
        <v>462</v>
      </c>
      <c r="D11" s="166" t="s">
        <v>71</v>
      </c>
      <c r="E11" s="166"/>
      <c r="F11" s="166"/>
      <c r="G11" s="166"/>
      <c r="H11" s="166"/>
      <c r="I11" s="166"/>
      <c r="J11" s="166"/>
      <c r="K11" s="166">
        <v>42140</v>
      </c>
      <c r="L11" s="166"/>
      <c r="M11" s="166">
        <v>41350</v>
      </c>
      <c r="N11" s="166"/>
      <c r="O11" s="166"/>
      <c r="P11" s="166"/>
      <c r="Q11" s="166" t="s">
        <v>439</v>
      </c>
      <c r="R11" s="164">
        <v>42423</v>
      </c>
      <c r="S11" s="164">
        <v>42640</v>
      </c>
      <c r="T11" s="145">
        <v>251.74</v>
      </c>
      <c r="U11" s="222">
        <v>330.8</v>
      </c>
      <c r="V11" s="221">
        <f t="shared" si="4"/>
        <v>11.026666666666667</v>
      </c>
      <c r="W11" s="143">
        <f t="shared" si="6"/>
        <v>27</v>
      </c>
      <c r="X11" s="223">
        <f t="shared" si="7"/>
        <v>297.72000000000003</v>
      </c>
      <c r="Y11" s="224">
        <f t="array" ref="Y11">IF($A11=0,0,SUMPRODUCT(($B$4:$B$100=$B11)*($X$4:$X$100)))</f>
        <v>0</v>
      </c>
      <c r="Z11" s="225"/>
      <c r="AA11" s="224">
        <f t="shared" si="0"/>
        <v>0</v>
      </c>
      <c r="AB11" s="224">
        <f t="shared" si="1"/>
        <v>0</v>
      </c>
      <c r="AC11" s="208">
        <f t="shared" si="2"/>
        <v>0</v>
      </c>
      <c r="AD11" s="226"/>
      <c r="AE11" s="215">
        <f t="shared" si="5"/>
        <v>0</v>
      </c>
    </row>
    <row r="12" spans="1:31" x14ac:dyDescent="0.25">
      <c r="A12" s="214" t="str">
        <f t="shared" si="3"/>
        <v>X</v>
      </c>
      <c r="B12" s="167">
        <v>238</v>
      </c>
      <c r="C12" s="233" t="s">
        <v>462</v>
      </c>
      <c r="D12" s="167" t="s">
        <v>71</v>
      </c>
      <c r="E12" s="167"/>
      <c r="F12" s="167"/>
      <c r="G12" s="167"/>
      <c r="H12" s="167"/>
      <c r="I12" s="167"/>
      <c r="J12" s="167"/>
      <c r="K12" s="167">
        <v>37750</v>
      </c>
      <c r="L12" s="167"/>
      <c r="M12" s="167">
        <v>36960</v>
      </c>
      <c r="N12" s="167"/>
      <c r="O12" s="167"/>
      <c r="P12" s="167"/>
      <c r="Q12" s="167" t="s">
        <v>439</v>
      </c>
      <c r="R12" s="162">
        <v>42640</v>
      </c>
      <c r="S12" s="163"/>
      <c r="T12" s="144">
        <v>34.61</v>
      </c>
      <c r="U12" s="220">
        <v>295.68</v>
      </c>
      <c r="V12" s="221">
        <f t="shared" si="4"/>
        <v>9.8559999999999999</v>
      </c>
      <c r="W12" s="143">
        <f t="shared" si="6"/>
        <v>3</v>
      </c>
      <c r="X12" s="223">
        <f t="shared" si="7"/>
        <v>29.567999999999998</v>
      </c>
      <c r="Y12" s="224">
        <f t="array" ref="Y12">IF($A12=0,0,SUMPRODUCT(($B$4:$B$100=$B12)*($X$4:$X$100)))</f>
        <v>327.28800000000001</v>
      </c>
      <c r="Z12" s="225"/>
      <c r="AA12" s="224">
        <f t="shared" si="0"/>
        <v>295.68</v>
      </c>
      <c r="AB12" s="224">
        <f t="shared" si="1"/>
        <v>295.68</v>
      </c>
      <c r="AC12" s="208">
        <f t="shared" si="2"/>
        <v>0</v>
      </c>
      <c r="AD12" s="226"/>
      <c r="AE12" s="215">
        <f t="shared" si="5"/>
        <v>2</v>
      </c>
    </row>
    <row r="13" spans="1:31" x14ac:dyDescent="0.25">
      <c r="A13" s="214" t="str">
        <f t="shared" si="3"/>
        <v>X</v>
      </c>
      <c r="B13" s="167">
        <v>649</v>
      </c>
      <c r="C13" s="233" t="s">
        <v>463</v>
      </c>
      <c r="D13" s="167" t="s">
        <v>419</v>
      </c>
      <c r="E13" s="167"/>
      <c r="F13" s="167"/>
      <c r="G13" s="167"/>
      <c r="H13" s="167"/>
      <c r="I13" s="167"/>
      <c r="J13" s="167"/>
      <c r="K13" s="167">
        <v>38820</v>
      </c>
      <c r="L13" s="167"/>
      <c r="M13" s="167">
        <v>38030</v>
      </c>
      <c r="N13" s="167"/>
      <c r="O13" s="167"/>
      <c r="P13" s="167"/>
      <c r="Q13" s="167" t="s">
        <v>439</v>
      </c>
      <c r="R13" s="162">
        <v>42640</v>
      </c>
      <c r="S13" s="162"/>
      <c r="T13" s="144">
        <v>35.590000000000003</v>
      </c>
      <c r="U13" s="220">
        <v>304.24</v>
      </c>
      <c r="V13" s="221">
        <f t="shared" si="4"/>
        <v>10.141333333333334</v>
      </c>
      <c r="W13" s="143">
        <f t="shared" si="6"/>
        <v>3</v>
      </c>
      <c r="X13" s="223">
        <f t="shared" si="7"/>
        <v>30.423999999999999</v>
      </c>
      <c r="Y13" s="224">
        <f t="array" ref="Y13">IF($A13=0,0,SUMPRODUCT(($B$4:$B$100=$B13)*($X$4:$X$100)))</f>
        <v>30.423999999999999</v>
      </c>
      <c r="Z13" s="225"/>
      <c r="AA13" s="224">
        <f t="shared" si="0"/>
        <v>30.423999999999999</v>
      </c>
      <c r="AB13" s="224">
        <f t="shared" si="1"/>
        <v>304.24</v>
      </c>
      <c r="AC13" s="208" t="str">
        <f t="shared" si="2"/>
        <v>Livraison</v>
      </c>
      <c r="AD13" s="226"/>
      <c r="AE13" s="215">
        <f t="shared" si="5"/>
        <v>1</v>
      </c>
    </row>
    <row r="14" spans="1:31" x14ac:dyDescent="0.25">
      <c r="A14" s="214">
        <f t="shared" si="3"/>
        <v>0</v>
      </c>
      <c r="B14" s="166">
        <v>540</v>
      </c>
      <c r="C14" s="166" t="s">
        <v>464</v>
      </c>
      <c r="D14" s="166" t="s">
        <v>389</v>
      </c>
      <c r="E14" s="166"/>
      <c r="F14" s="166"/>
      <c r="G14" s="166"/>
      <c r="H14" s="166"/>
      <c r="I14" s="166"/>
      <c r="J14" s="166"/>
      <c r="K14" s="166">
        <v>30970</v>
      </c>
      <c r="L14" s="166"/>
      <c r="M14" s="166">
        <v>30670</v>
      </c>
      <c r="N14" s="166"/>
      <c r="O14" s="166"/>
      <c r="P14" s="166"/>
      <c r="Q14" s="166" t="s">
        <v>439</v>
      </c>
      <c r="R14" s="164">
        <v>42360</v>
      </c>
      <c r="S14" s="163">
        <v>42619</v>
      </c>
      <c r="T14" s="145">
        <v>35.51</v>
      </c>
      <c r="U14" s="222">
        <v>245.36</v>
      </c>
      <c r="V14" s="221">
        <f t="shared" si="4"/>
        <v>8.1786666666666665</v>
      </c>
      <c r="W14" s="143">
        <f t="shared" si="6"/>
        <v>6</v>
      </c>
      <c r="X14" s="223">
        <f t="shared" si="7"/>
        <v>49.072000000000003</v>
      </c>
      <c r="Y14" s="224">
        <f t="array" ref="Y14">IF($A14=0,0,SUMPRODUCT(($B$4:$B$100=$B14)*($X$4:$X$100)))</f>
        <v>0</v>
      </c>
      <c r="Z14" s="225"/>
      <c r="AA14" s="224">
        <f t="shared" si="0"/>
        <v>0</v>
      </c>
      <c r="AB14" s="224">
        <f t="shared" si="1"/>
        <v>0</v>
      </c>
      <c r="AC14" s="208">
        <f t="shared" si="2"/>
        <v>0</v>
      </c>
      <c r="AD14" s="226"/>
      <c r="AE14" s="215">
        <f t="shared" si="5"/>
        <v>0</v>
      </c>
    </row>
    <row r="15" spans="1:31" x14ac:dyDescent="0.25">
      <c r="A15" s="214" t="str">
        <f t="shared" si="3"/>
        <v>X</v>
      </c>
      <c r="B15" s="166">
        <v>540</v>
      </c>
      <c r="C15" s="234" t="s">
        <v>464</v>
      </c>
      <c r="D15" s="166" t="s">
        <v>389</v>
      </c>
      <c r="E15" s="166"/>
      <c r="F15" s="166"/>
      <c r="G15" s="166"/>
      <c r="H15" s="166"/>
      <c r="I15" s="166"/>
      <c r="J15" s="166"/>
      <c r="K15" s="166">
        <v>37850</v>
      </c>
      <c r="L15" s="166"/>
      <c r="M15" s="166">
        <v>37060</v>
      </c>
      <c r="N15" s="166"/>
      <c r="O15" s="166"/>
      <c r="P15" s="166"/>
      <c r="Q15" s="166" t="s">
        <v>439</v>
      </c>
      <c r="R15" s="164">
        <v>42619</v>
      </c>
      <c r="S15" s="164"/>
      <c r="T15" s="145">
        <v>216.46</v>
      </c>
      <c r="U15" s="222">
        <v>296.48</v>
      </c>
      <c r="V15" s="221">
        <f t="shared" si="4"/>
        <v>9.8826666666666672</v>
      </c>
      <c r="W15" s="143">
        <f t="shared" si="6"/>
        <v>24</v>
      </c>
      <c r="X15" s="223">
        <f t="shared" si="7"/>
        <v>237.18400000000003</v>
      </c>
      <c r="Y15" s="224">
        <f t="array" ref="Y15">IF($A15=0,0,SUMPRODUCT(($B$4:$B$100=$B15)*($X$4:$X$100)))</f>
        <v>286.25600000000003</v>
      </c>
      <c r="Z15" s="225"/>
      <c r="AA15" s="224">
        <f t="shared" si="0"/>
        <v>286.25600000000003</v>
      </c>
      <c r="AB15" s="224">
        <f t="shared" si="1"/>
        <v>296.48</v>
      </c>
      <c r="AC15" s="208">
        <f t="shared" si="2"/>
        <v>0</v>
      </c>
      <c r="AD15" s="226"/>
      <c r="AE15" s="215">
        <f t="shared" si="5"/>
        <v>2</v>
      </c>
    </row>
    <row r="16" spans="1:31" x14ac:dyDescent="0.25">
      <c r="A16" s="214">
        <f t="shared" si="3"/>
        <v>0</v>
      </c>
      <c r="B16" s="165">
        <v>549</v>
      </c>
      <c r="C16" s="165" t="s">
        <v>465</v>
      </c>
      <c r="D16" s="165" t="s">
        <v>401</v>
      </c>
      <c r="E16" s="165"/>
      <c r="F16" s="165"/>
      <c r="G16" s="165"/>
      <c r="H16" s="165"/>
      <c r="I16" s="165"/>
      <c r="J16" s="165"/>
      <c r="K16" s="165">
        <v>37850</v>
      </c>
      <c r="L16" s="165"/>
      <c r="M16" s="165">
        <v>37060</v>
      </c>
      <c r="N16" s="165"/>
      <c r="O16" s="165"/>
      <c r="P16" s="165"/>
      <c r="Q16" s="165" t="s">
        <v>439</v>
      </c>
      <c r="R16" s="162">
        <v>42444</v>
      </c>
      <c r="S16" s="163">
        <v>42640</v>
      </c>
      <c r="T16" s="144">
        <v>225.71</v>
      </c>
      <c r="U16" s="220">
        <v>296.48</v>
      </c>
      <c r="V16" s="221">
        <f t="shared" si="4"/>
        <v>9.8826666666666672</v>
      </c>
      <c r="W16" s="143">
        <f t="shared" si="6"/>
        <v>27</v>
      </c>
      <c r="X16" s="223">
        <f t="shared" si="7"/>
        <v>266.83199999999999</v>
      </c>
      <c r="Y16" s="224">
        <f t="array" ref="Y16">IF($A16=0,0,SUMPRODUCT(($B$4:$B$100=$B16)*($X$4:$X$100)))</f>
        <v>0</v>
      </c>
      <c r="Z16" s="225"/>
      <c r="AA16" s="224">
        <f t="shared" si="0"/>
        <v>0</v>
      </c>
      <c r="AB16" s="224">
        <f t="shared" si="1"/>
        <v>0</v>
      </c>
      <c r="AC16" s="208">
        <f t="shared" si="2"/>
        <v>0</v>
      </c>
      <c r="AD16" s="226"/>
      <c r="AE16" s="215">
        <f t="shared" si="5"/>
        <v>0</v>
      </c>
    </row>
    <row r="17" spans="1:31" x14ac:dyDescent="0.25">
      <c r="A17" s="214" t="str">
        <f t="shared" si="3"/>
        <v>X</v>
      </c>
      <c r="B17" s="165">
        <v>549</v>
      </c>
      <c r="C17" s="233" t="s">
        <v>465</v>
      </c>
      <c r="D17" s="165" t="s">
        <v>401</v>
      </c>
      <c r="E17" s="165"/>
      <c r="F17" s="165"/>
      <c r="G17" s="165"/>
      <c r="H17" s="165"/>
      <c r="I17" s="165"/>
      <c r="J17" s="165"/>
      <c r="K17" s="165">
        <v>41770</v>
      </c>
      <c r="L17" s="165"/>
      <c r="M17" s="165">
        <v>40980</v>
      </c>
      <c r="N17" s="165"/>
      <c r="O17" s="165"/>
      <c r="P17" s="165"/>
      <c r="Q17" s="165" t="s">
        <v>439</v>
      </c>
      <c r="R17" s="162">
        <v>42640</v>
      </c>
      <c r="S17" s="162"/>
      <c r="T17" s="144">
        <v>38.340000000000003</v>
      </c>
      <c r="U17" s="220">
        <v>327.84000000000003</v>
      </c>
      <c r="V17" s="221">
        <f t="shared" si="4"/>
        <v>10.928000000000001</v>
      </c>
      <c r="W17" s="143">
        <f t="shared" si="6"/>
        <v>3</v>
      </c>
      <c r="X17" s="223">
        <f t="shared" si="7"/>
        <v>32.784000000000006</v>
      </c>
      <c r="Y17" s="224">
        <f t="array" ref="Y17">IF($A17=0,0,SUMPRODUCT(($B$4:$B$100=$B17)*($X$4:$X$100)))</f>
        <v>299.61599999999999</v>
      </c>
      <c r="Z17" s="225"/>
      <c r="AA17" s="224">
        <f t="shared" si="0"/>
        <v>299.61599999999999</v>
      </c>
      <c r="AB17" s="224">
        <f t="shared" si="1"/>
        <v>327.84000000000003</v>
      </c>
      <c r="AC17" s="208">
        <f t="shared" si="2"/>
        <v>0</v>
      </c>
      <c r="AD17" s="226"/>
      <c r="AE17" s="215">
        <f t="shared" si="5"/>
        <v>2</v>
      </c>
    </row>
    <row r="18" spans="1:31" x14ac:dyDescent="0.25">
      <c r="A18" s="214">
        <f t="shared" si="3"/>
        <v>0</v>
      </c>
      <c r="B18" s="166">
        <v>534</v>
      </c>
      <c r="C18" s="166" t="s">
        <v>466</v>
      </c>
      <c r="D18" s="166" t="s">
        <v>391</v>
      </c>
      <c r="E18" s="166"/>
      <c r="F18" s="166"/>
      <c r="G18" s="166"/>
      <c r="H18" s="166"/>
      <c r="I18" s="166"/>
      <c r="J18" s="166"/>
      <c r="K18" s="166">
        <v>32320</v>
      </c>
      <c r="L18" s="166"/>
      <c r="M18" s="166">
        <v>31750</v>
      </c>
      <c r="N18" s="166"/>
      <c r="O18" s="166"/>
      <c r="P18" s="166"/>
      <c r="Q18" s="166" t="s">
        <v>439</v>
      </c>
      <c r="R18" s="164">
        <v>42368</v>
      </c>
      <c r="S18" s="163">
        <v>42636</v>
      </c>
      <c r="T18" s="145">
        <v>163.54</v>
      </c>
      <c r="U18" s="222">
        <v>254</v>
      </c>
      <c r="V18" s="221">
        <f t="shared" si="4"/>
        <v>8.4666666666666668</v>
      </c>
      <c r="W18" s="143">
        <f t="shared" si="6"/>
        <v>23</v>
      </c>
      <c r="X18" s="223">
        <f t="shared" si="7"/>
        <v>194.73333333333335</v>
      </c>
      <c r="Y18" s="224">
        <f t="array" ref="Y18">IF($A18=0,0,SUMPRODUCT(($B$4:$B$100=$B18)*($X$4:$X$100)))</f>
        <v>0</v>
      </c>
      <c r="Z18" s="225"/>
      <c r="AA18" s="224">
        <f t="shared" si="0"/>
        <v>0</v>
      </c>
      <c r="AB18" s="224">
        <f t="shared" si="1"/>
        <v>0</v>
      </c>
      <c r="AC18" s="208">
        <f t="shared" si="2"/>
        <v>0</v>
      </c>
      <c r="AD18" s="226"/>
      <c r="AE18" s="215">
        <f t="shared" si="5"/>
        <v>0</v>
      </c>
    </row>
    <row r="19" spans="1:31" x14ac:dyDescent="0.25">
      <c r="A19" s="214" t="str">
        <f t="shared" si="3"/>
        <v>X</v>
      </c>
      <c r="B19" s="166">
        <v>534</v>
      </c>
      <c r="C19" s="234" t="s">
        <v>466</v>
      </c>
      <c r="D19" s="166" t="s">
        <v>391</v>
      </c>
      <c r="E19" s="166"/>
      <c r="F19" s="166"/>
      <c r="G19" s="166"/>
      <c r="H19" s="166"/>
      <c r="I19" s="166"/>
      <c r="J19" s="166"/>
      <c r="K19" s="166">
        <v>32765</v>
      </c>
      <c r="L19" s="166"/>
      <c r="M19" s="166">
        <v>32070</v>
      </c>
      <c r="N19" s="166"/>
      <c r="O19" s="166"/>
      <c r="P19" s="166"/>
      <c r="Q19" s="166" t="s">
        <v>439</v>
      </c>
      <c r="R19" s="164">
        <v>42636</v>
      </c>
      <c r="S19" s="164"/>
      <c r="T19" s="145">
        <v>59.95</v>
      </c>
      <c r="U19" s="222">
        <v>256.56</v>
      </c>
      <c r="V19" s="221">
        <f t="shared" si="4"/>
        <v>8.5519999999999996</v>
      </c>
      <c r="W19" s="143">
        <f t="shared" si="6"/>
        <v>7</v>
      </c>
      <c r="X19" s="223">
        <f t="shared" si="7"/>
        <v>59.863999999999997</v>
      </c>
      <c r="Y19" s="224">
        <f t="array" ref="Y19">IF($A19=0,0,SUMPRODUCT(($B$4:$B$100=$B19)*($X$4:$X$100)))</f>
        <v>254.59733333333335</v>
      </c>
      <c r="Z19" s="225"/>
      <c r="AA19" s="224">
        <f t="shared" si="0"/>
        <v>254.59733333333335</v>
      </c>
      <c r="AB19" s="224">
        <f t="shared" si="1"/>
        <v>256.56</v>
      </c>
      <c r="AC19" s="208">
        <f t="shared" si="2"/>
        <v>0</v>
      </c>
      <c r="AD19" s="226"/>
      <c r="AE19" s="215">
        <f t="shared" si="5"/>
        <v>2</v>
      </c>
    </row>
    <row r="20" spans="1:31" x14ac:dyDescent="0.25">
      <c r="A20" s="214">
        <f t="shared" si="3"/>
        <v>0</v>
      </c>
      <c r="B20" s="165">
        <v>248</v>
      </c>
      <c r="C20" s="165" t="s">
        <v>467</v>
      </c>
      <c r="D20" s="165" t="s">
        <v>51</v>
      </c>
      <c r="E20" s="165"/>
      <c r="F20" s="165"/>
      <c r="G20" s="165"/>
      <c r="H20" s="165"/>
      <c r="I20" s="165"/>
      <c r="J20" s="165"/>
      <c r="K20" s="165">
        <v>39930</v>
      </c>
      <c r="L20" s="165"/>
      <c r="M20" s="165">
        <v>39360</v>
      </c>
      <c r="N20" s="165"/>
      <c r="O20" s="165"/>
      <c r="P20" s="165"/>
      <c r="Q20" s="165" t="s">
        <v>439</v>
      </c>
      <c r="R20" s="162">
        <v>42377</v>
      </c>
      <c r="S20" s="163">
        <v>42615</v>
      </c>
      <c r="T20" s="144">
        <v>9.11</v>
      </c>
      <c r="U20" s="220">
        <v>314.88</v>
      </c>
      <c r="V20" s="221">
        <f t="shared" si="4"/>
        <v>10.496</v>
      </c>
      <c r="W20" s="143">
        <f t="shared" si="6"/>
        <v>2</v>
      </c>
      <c r="X20" s="223">
        <f t="shared" si="7"/>
        <v>20.992000000000001</v>
      </c>
      <c r="Y20" s="224">
        <f t="array" ref="Y20">IF($A20=0,0,SUMPRODUCT(($B$4:$B$100=$B20)*($X$4:$X$100)))</f>
        <v>0</v>
      </c>
      <c r="Z20" s="225"/>
      <c r="AA20" s="224">
        <f t="shared" si="0"/>
        <v>0</v>
      </c>
      <c r="AB20" s="224">
        <f t="shared" si="1"/>
        <v>0</v>
      </c>
      <c r="AC20" s="208">
        <f t="shared" si="2"/>
        <v>0</v>
      </c>
      <c r="AD20" s="226"/>
      <c r="AE20" s="215">
        <f t="shared" si="5"/>
        <v>0</v>
      </c>
    </row>
    <row r="21" spans="1:31" x14ac:dyDescent="0.25">
      <c r="A21" s="214" t="str">
        <f t="shared" si="3"/>
        <v>X</v>
      </c>
      <c r="B21" s="165">
        <v>248</v>
      </c>
      <c r="C21" s="233" t="s">
        <v>467</v>
      </c>
      <c r="D21" s="165" t="s">
        <v>51</v>
      </c>
      <c r="E21" s="165"/>
      <c r="F21" s="165"/>
      <c r="G21" s="165"/>
      <c r="H21" s="165"/>
      <c r="I21" s="165"/>
      <c r="J21" s="165"/>
      <c r="K21" s="165">
        <v>42400</v>
      </c>
      <c r="L21" s="165"/>
      <c r="M21" s="165">
        <v>42100</v>
      </c>
      <c r="N21" s="165"/>
      <c r="O21" s="165"/>
      <c r="P21" s="165"/>
      <c r="Q21" s="165" t="s">
        <v>439</v>
      </c>
      <c r="R21" s="162">
        <v>42615</v>
      </c>
      <c r="S21" s="162"/>
      <c r="T21" s="144"/>
      <c r="U21" s="220">
        <v>336.8</v>
      </c>
      <c r="V21" s="221">
        <f t="shared" si="4"/>
        <v>11.226666666666667</v>
      </c>
      <c r="W21" s="143">
        <f t="shared" si="6"/>
        <v>28</v>
      </c>
      <c r="X21" s="223">
        <f t="shared" si="7"/>
        <v>314.34666666666669</v>
      </c>
      <c r="Y21" s="224">
        <f t="array" ref="Y21">IF($A21=0,0,SUMPRODUCT(($B$4:$B$100=$B21)*($X$4:$X$100)))</f>
        <v>335.33866666666671</v>
      </c>
      <c r="Z21" s="225"/>
      <c r="AA21" s="224">
        <f t="shared" si="0"/>
        <v>335.33866666666671</v>
      </c>
      <c r="AB21" s="224">
        <f t="shared" si="1"/>
        <v>336.8</v>
      </c>
      <c r="AC21" s="208">
        <f t="shared" si="2"/>
        <v>0</v>
      </c>
      <c r="AD21" s="226"/>
      <c r="AE21" s="215">
        <f t="shared" si="5"/>
        <v>2</v>
      </c>
    </row>
    <row r="22" spans="1:31" x14ac:dyDescent="0.25">
      <c r="A22" s="214">
        <f t="shared" ref="A22:A27" si="8">IF($B22=$B23,0,"X")</f>
        <v>0</v>
      </c>
      <c r="B22" s="165">
        <v>236</v>
      </c>
      <c r="C22" s="165" t="s">
        <v>468</v>
      </c>
      <c r="D22" s="165" t="s">
        <v>42</v>
      </c>
      <c r="E22" s="165"/>
      <c r="F22" s="165"/>
      <c r="G22" s="165"/>
      <c r="H22" s="165"/>
      <c r="I22" s="165"/>
      <c r="J22" s="165"/>
      <c r="K22" s="165">
        <v>37325</v>
      </c>
      <c r="L22" s="165"/>
      <c r="M22" s="165">
        <v>36630</v>
      </c>
      <c r="N22" s="165"/>
      <c r="O22" s="165"/>
      <c r="P22" s="165"/>
      <c r="Q22" s="165" t="s">
        <v>439</v>
      </c>
      <c r="R22" s="162">
        <v>42368</v>
      </c>
      <c r="S22" s="162">
        <v>42633</v>
      </c>
      <c r="T22" s="144">
        <v>162.69999999999999</v>
      </c>
      <c r="U22" s="220">
        <v>293.04000000000002</v>
      </c>
      <c r="V22" s="221">
        <f t="shared" si="4"/>
        <v>9.7680000000000007</v>
      </c>
      <c r="W22" s="143">
        <f t="shared" si="6"/>
        <v>20</v>
      </c>
      <c r="X22" s="223">
        <f t="shared" si="7"/>
        <v>195.36</v>
      </c>
      <c r="Y22" s="224">
        <f t="array" ref="Y22">IF($A22=0,0,SUMPRODUCT(($B$4:$B$100=$B22)*($X$4:$X$100)))</f>
        <v>0</v>
      </c>
      <c r="Z22" s="225"/>
      <c r="AA22" s="224">
        <f t="shared" si="0"/>
        <v>0</v>
      </c>
      <c r="AB22" s="224">
        <f t="shared" si="1"/>
        <v>0</v>
      </c>
      <c r="AC22" s="208">
        <f t="shared" si="2"/>
        <v>0</v>
      </c>
      <c r="AD22" s="226"/>
      <c r="AE22" s="215">
        <f t="shared" si="5"/>
        <v>0</v>
      </c>
    </row>
    <row r="23" spans="1:31" x14ac:dyDescent="0.25">
      <c r="A23" s="214" t="str">
        <f t="shared" si="8"/>
        <v>X</v>
      </c>
      <c r="B23" s="165">
        <v>236</v>
      </c>
      <c r="C23" s="233" t="s">
        <v>468</v>
      </c>
      <c r="D23" s="165" t="s">
        <v>42</v>
      </c>
      <c r="E23" s="165"/>
      <c r="F23" s="165"/>
      <c r="G23" s="165"/>
      <c r="H23" s="165"/>
      <c r="I23" s="165"/>
      <c r="J23" s="165"/>
      <c r="K23" s="165">
        <v>39035</v>
      </c>
      <c r="L23" s="165"/>
      <c r="M23" s="165">
        <v>37750</v>
      </c>
      <c r="N23" s="165"/>
      <c r="O23" s="165"/>
      <c r="P23" s="165"/>
      <c r="Q23" s="165" t="s">
        <v>439</v>
      </c>
      <c r="R23" s="162">
        <v>42633</v>
      </c>
      <c r="S23" s="162"/>
      <c r="T23" s="144">
        <v>98.52</v>
      </c>
      <c r="U23" s="220">
        <v>302</v>
      </c>
      <c r="V23" s="221">
        <f t="shared" si="4"/>
        <v>10.066666666666666</v>
      </c>
      <c r="W23" s="143">
        <f t="shared" si="6"/>
        <v>10</v>
      </c>
      <c r="X23" s="223">
        <f t="shared" si="7"/>
        <v>100.66666666666666</v>
      </c>
      <c r="Y23" s="224">
        <f t="array" ref="Y23">IF($A23=0,0,SUMPRODUCT(($B$4:$B$100=$B23)*($X$4:$X$100)))</f>
        <v>296.02666666666664</v>
      </c>
      <c r="Z23" s="225"/>
      <c r="AA23" s="224">
        <f t="shared" si="0"/>
        <v>296.02666666666664</v>
      </c>
      <c r="AB23" s="224">
        <f t="shared" si="1"/>
        <v>302</v>
      </c>
      <c r="AC23" s="208">
        <f t="shared" si="2"/>
        <v>0</v>
      </c>
      <c r="AD23" s="226"/>
      <c r="AE23" s="215">
        <f t="shared" si="5"/>
        <v>2</v>
      </c>
    </row>
    <row r="24" spans="1:31" x14ac:dyDescent="0.25">
      <c r="A24" s="214">
        <f t="shared" si="8"/>
        <v>0</v>
      </c>
      <c r="B24" s="165">
        <v>505</v>
      </c>
      <c r="C24" s="165" t="s">
        <v>469</v>
      </c>
      <c r="D24" s="165" t="s">
        <v>381</v>
      </c>
      <c r="E24" s="165"/>
      <c r="F24" s="165"/>
      <c r="G24" s="165"/>
      <c r="H24" s="165"/>
      <c r="I24" s="165"/>
      <c r="J24" s="165"/>
      <c r="K24" s="165">
        <v>41080</v>
      </c>
      <c r="L24" s="165"/>
      <c r="M24" s="165">
        <v>41080</v>
      </c>
      <c r="N24" s="165"/>
      <c r="O24" s="165"/>
      <c r="P24" s="165"/>
      <c r="Q24" s="165" t="s">
        <v>439</v>
      </c>
      <c r="R24" s="162">
        <v>42391</v>
      </c>
      <c r="S24" s="162">
        <v>42615</v>
      </c>
      <c r="T24" s="144">
        <v>283.07</v>
      </c>
      <c r="U24" s="220">
        <v>328.64</v>
      </c>
      <c r="V24" s="221">
        <f t="shared" si="4"/>
        <v>10.954666666666666</v>
      </c>
      <c r="W24" s="143">
        <f t="shared" si="6"/>
        <v>2</v>
      </c>
      <c r="X24" s="223">
        <f t="shared" si="7"/>
        <v>21.909333333333333</v>
      </c>
      <c r="Y24" s="224">
        <f t="array" ref="Y24">IF($A24=0,0,SUMPRODUCT(($B$4:$B$100=$B24)*($X$4:$X$100)))</f>
        <v>0</v>
      </c>
      <c r="Z24" s="225"/>
      <c r="AA24" s="224">
        <f t="shared" si="0"/>
        <v>0</v>
      </c>
      <c r="AB24" s="224">
        <f t="shared" si="1"/>
        <v>0</v>
      </c>
      <c r="AC24" s="208">
        <f t="shared" si="2"/>
        <v>0</v>
      </c>
      <c r="AD24" s="226"/>
      <c r="AE24" s="215">
        <f t="shared" si="5"/>
        <v>0</v>
      </c>
    </row>
    <row r="25" spans="1:31" x14ac:dyDescent="0.25">
      <c r="A25" s="214" t="str">
        <f t="shared" si="8"/>
        <v>X</v>
      </c>
      <c r="B25" s="165">
        <v>505</v>
      </c>
      <c r="C25" s="233" t="s">
        <v>469</v>
      </c>
      <c r="D25" s="165" t="s">
        <v>381</v>
      </c>
      <c r="E25" s="165"/>
      <c r="F25" s="165"/>
      <c r="G25" s="165"/>
      <c r="H25" s="165"/>
      <c r="I25" s="165"/>
      <c r="J25" s="165"/>
      <c r="K25" s="165">
        <v>48770</v>
      </c>
      <c r="L25" s="165"/>
      <c r="M25" s="165">
        <v>45290</v>
      </c>
      <c r="N25" s="165"/>
      <c r="O25" s="165"/>
      <c r="P25" s="165"/>
      <c r="Q25" s="165" t="s">
        <v>439</v>
      </c>
      <c r="R25" s="162">
        <v>42615</v>
      </c>
      <c r="S25" s="162"/>
      <c r="T25" s="144"/>
      <c r="U25" s="220">
        <v>362.32</v>
      </c>
      <c r="V25" s="221">
        <f t="shared" si="4"/>
        <v>12.077333333333334</v>
      </c>
      <c r="W25" s="143">
        <f t="shared" si="6"/>
        <v>28</v>
      </c>
      <c r="X25" s="223">
        <f t="shared" si="7"/>
        <v>338.16533333333336</v>
      </c>
      <c r="Y25" s="224">
        <f t="array" ref="Y25">IF($A25=0,0,SUMPRODUCT(($B$4:$B$100=$B25)*($X$4:$X$100)))</f>
        <v>360.0746666666667</v>
      </c>
      <c r="Z25" s="225"/>
      <c r="AA25" s="224">
        <f t="shared" si="0"/>
        <v>360.0746666666667</v>
      </c>
      <c r="AB25" s="224">
        <f t="shared" si="1"/>
        <v>362.32</v>
      </c>
      <c r="AC25" s="208">
        <f t="shared" si="2"/>
        <v>0</v>
      </c>
      <c r="AD25" s="226"/>
      <c r="AE25" s="215">
        <f t="shared" si="5"/>
        <v>2</v>
      </c>
    </row>
    <row r="26" spans="1:31" x14ac:dyDescent="0.25">
      <c r="A26" s="214">
        <f t="shared" si="8"/>
        <v>0</v>
      </c>
      <c r="B26" s="165">
        <v>296</v>
      </c>
      <c r="C26" s="165" t="s">
        <v>470</v>
      </c>
      <c r="D26" s="165" t="s">
        <v>53</v>
      </c>
      <c r="E26" s="165"/>
      <c r="F26" s="165"/>
      <c r="G26" s="165"/>
      <c r="H26" s="165"/>
      <c r="I26" s="165"/>
      <c r="J26" s="165"/>
      <c r="K26" s="165">
        <v>40210</v>
      </c>
      <c r="L26" s="165"/>
      <c r="M26" s="165">
        <v>38930</v>
      </c>
      <c r="N26" s="165"/>
      <c r="O26" s="165"/>
      <c r="P26" s="165"/>
      <c r="Q26" s="165" t="s">
        <v>439</v>
      </c>
      <c r="R26" s="162">
        <v>42356</v>
      </c>
      <c r="S26" s="162">
        <v>42619</v>
      </c>
      <c r="T26" s="144">
        <v>46.55</v>
      </c>
      <c r="U26" s="220">
        <v>311.44</v>
      </c>
      <c r="V26" s="221">
        <f t="shared" si="4"/>
        <v>10.381333333333334</v>
      </c>
      <c r="W26" s="143">
        <f t="shared" si="6"/>
        <v>6</v>
      </c>
      <c r="X26" s="223">
        <f t="shared" si="7"/>
        <v>62.288000000000004</v>
      </c>
      <c r="Y26" s="224">
        <f t="array" ref="Y26">IF($A26=0,0,SUMPRODUCT(($B$4:$B$100=$B26)*($X$4:$X$100)))</f>
        <v>0</v>
      </c>
      <c r="Z26" s="225"/>
      <c r="AA26" s="224">
        <f t="shared" si="0"/>
        <v>0</v>
      </c>
      <c r="AB26" s="224">
        <f t="shared" si="1"/>
        <v>0</v>
      </c>
      <c r="AC26" s="208">
        <f t="shared" si="2"/>
        <v>0</v>
      </c>
      <c r="AD26" s="226"/>
      <c r="AE26" s="215">
        <f t="shared" si="5"/>
        <v>0</v>
      </c>
    </row>
    <row r="27" spans="1:31" x14ac:dyDescent="0.25">
      <c r="A27" s="214" t="str">
        <f t="shared" si="8"/>
        <v>X</v>
      </c>
      <c r="B27" s="165">
        <v>296</v>
      </c>
      <c r="C27" s="233" t="s">
        <v>470</v>
      </c>
      <c r="D27" s="165" t="s">
        <v>53</v>
      </c>
      <c r="E27" s="165"/>
      <c r="F27" s="165"/>
      <c r="G27" s="165"/>
      <c r="H27" s="165"/>
      <c r="I27" s="165"/>
      <c r="J27" s="165"/>
      <c r="K27" s="165">
        <v>32175</v>
      </c>
      <c r="L27" s="165"/>
      <c r="M27" s="165">
        <v>30890</v>
      </c>
      <c r="N27" s="165"/>
      <c r="O27" s="165"/>
      <c r="P27" s="165"/>
      <c r="Q27" s="165" t="s">
        <v>439</v>
      </c>
      <c r="R27" s="162">
        <v>42619</v>
      </c>
      <c r="S27" s="162"/>
      <c r="T27" s="144">
        <v>184.03</v>
      </c>
      <c r="U27" s="220">
        <v>247.12</v>
      </c>
      <c r="V27" s="221">
        <f t="shared" si="4"/>
        <v>8.2373333333333338</v>
      </c>
      <c r="W27" s="143">
        <f>IF(D27=0,0,IF($S27=0,EOMONTH($R27,0)-$R27,$S27-DATE(YEAR($S27),MONTH($S27),1)+1))</f>
        <v>24</v>
      </c>
      <c r="X27" s="223">
        <f t="shared" si="7"/>
        <v>197.69600000000003</v>
      </c>
      <c r="Y27" s="224">
        <f t="array" ref="Y27">IF($A27=0,0,SUMPRODUCT(($B$4:$B$100=$B27)*($X$4:$X$100)))</f>
        <v>259.98400000000004</v>
      </c>
      <c r="Z27" s="225"/>
      <c r="AA27" s="224">
        <f t="shared" si="0"/>
        <v>247.12</v>
      </c>
      <c r="AB27" s="224">
        <f t="shared" si="1"/>
        <v>247.12</v>
      </c>
      <c r="AC27" s="208">
        <f t="shared" si="2"/>
        <v>0</v>
      </c>
      <c r="AD27" s="226"/>
      <c r="AE27" s="215">
        <f t="shared" si="5"/>
        <v>2</v>
      </c>
    </row>
    <row r="28" spans="1:31" x14ac:dyDescent="0.25">
      <c r="A28" s="214">
        <f t="shared" ref="A28:A35" si="9">IF($B28=$B29,0,"X")</f>
        <v>0</v>
      </c>
      <c r="B28" s="165"/>
      <c r="C28" s="165"/>
      <c r="D28" s="165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2"/>
      <c r="S28" s="162"/>
      <c r="T28" s="144"/>
      <c r="U28" s="220"/>
      <c r="V28" s="221">
        <f t="shared" si="4"/>
        <v>0</v>
      </c>
      <c r="W28" s="143">
        <f t="shared" ref="W28:W35" si="10">IF(D28=0,0,IF($S28=0,EOMONTH($R28,0)-$R28,$S28-DATE(YEAR($S28),MONTH($S28),1)+1))</f>
        <v>0</v>
      </c>
      <c r="X28" s="223">
        <f t="shared" si="7"/>
        <v>0</v>
      </c>
      <c r="Y28" s="224">
        <f t="array" ref="Y28">IF($A28=0,0,SUMPRODUCT(($B$4:$B$100=$B28)*($X$4:$X$100)))</f>
        <v>0</v>
      </c>
      <c r="Z28" s="225"/>
      <c r="AA28" s="224">
        <f t="shared" si="0"/>
        <v>0</v>
      </c>
      <c r="AB28" s="224">
        <f t="shared" si="1"/>
        <v>0</v>
      </c>
      <c r="AC28" s="208">
        <f t="shared" si="2"/>
        <v>0</v>
      </c>
      <c r="AD28" s="226"/>
      <c r="AE28" s="215">
        <f t="shared" si="5"/>
        <v>0</v>
      </c>
    </row>
    <row r="29" spans="1:31" x14ac:dyDescent="0.25">
      <c r="A29" s="214">
        <f t="shared" si="9"/>
        <v>0</v>
      </c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2"/>
      <c r="S29" s="162"/>
      <c r="T29" s="144"/>
      <c r="U29" s="220"/>
      <c r="V29" s="221">
        <f t="shared" si="4"/>
        <v>0</v>
      </c>
      <c r="W29" s="143">
        <f t="shared" si="10"/>
        <v>0</v>
      </c>
      <c r="X29" s="223">
        <f t="shared" si="7"/>
        <v>0</v>
      </c>
      <c r="Y29" s="224">
        <f t="array" ref="Y29">IF($A29=0,0,SUMPRODUCT(($B$4:$B$100=$B29)*($X$4:$X$100)))</f>
        <v>0</v>
      </c>
      <c r="Z29" s="225"/>
      <c r="AA29" s="224">
        <f t="shared" si="0"/>
        <v>0</v>
      </c>
      <c r="AB29" s="224">
        <f t="shared" si="1"/>
        <v>0</v>
      </c>
      <c r="AC29" s="208">
        <f t="shared" si="2"/>
        <v>0</v>
      </c>
      <c r="AD29" s="226"/>
      <c r="AE29" s="215">
        <f t="shared" si="5"/>
        <v>0</v>
      </c>
    </row>
    <row r="30" spans="1:31" x14ac:dyDescent="0.25">
      <c r="A30" s="214">
        <f t="shared" si="9"/>
        <v>0</v>
      </c>
      <c r="B30" s="165"/>
      <c r="C30" s="165"/>
      <c r="D30" s="165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165"/>
      <c r="R30" s="162"/>
      <c r="S30" s="162"/>
      <c r="T30" s="144"/>
      <c r="U30" s="220"/>
      <c r="V30" s="221">
        <f t="shared" si="4"/>
        <v>0</v>
      </c>
      <c r="W30" s="143">
        <f t="shared" si="10"/>
        <v>0</v>
      </c>
      <c r="X30" s="223">
        <f t="shared" si="7"/>
        <v>0</v>
      </c>
      <c r="Y30" s="224">
        <f t="array" ref="Y30">IF($A30=0,0,SUMPRODUCT(($B$4:$B$100=$B30)*($X$4:$X$100)))</f>
        <v>0</v>
      </c>
      <c r="Z30" s="225"/>
      <c r="AA30" s="224">
        <f t="shared" si="0"/>
        <v>0</v>
      </c>
      <c r="AB30" s="224">
        <f t="shared" si="1"/>
        <v>0</v>
      </c>
      <c r="AC30" s="208">
        <f t="shared" si="2"/>
        <v>0</v>
      </c>
      <c r="AD30" s="226"/>
      <c r="AE30" s="215">
        <f t="shared" si="5"/>
        <v>0</v>
      </c>
    </row>
    <row r="31" spans="1:31" x14ac:dyDescent="0.25">
      <c r="A31" s="214">
        <f t="shared" si="9"/>
        <v>0</v>
      </c>
      <c r="B31" s="165"/>
      <c r="C31" s="165"/>
      <c r="D31" s="165"/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2"/>
      <c r="S31" s="162"/>
      <c r="T31" s="144"/>
      <c r="U31" s="220"/>
      <c r="V31" s="221">
        <f t="shared" si="4"/>
        <v>0</v>
      </c>
      <c r="W31" s="143">
        <f t="shared" si="10"/>
        <v>0</v>
      </c>
      <c r="X31" s="223">
        <f t="shared" si="7"/>
        <v>0</v>
      </c>
      <c r="Y31" s="224">
        <f t="array" ref="Y31">IF($A31=0,0,SUMPRODUCT(($B$4:$B$100=$B31)*($X$4:$X$100)))</f>
        <v>0</v>
      </c>
      <c r="Z31" s="225"/>
      <c r="AA31" s="224">
        <f t="shared" si="0"/>
        <v>0</v>
      </c>
      <c r="AB31" s="224">
        <f t="shared" si="1"/>
        <v>0</v>
      </c>
      <c r="AC31" s="208">
        <f t="shared" si="2"/>
        <v>0</v>
      </c>
      <c r="AD31" s="226"/>
      <c r="AE31" s="215">
        <f t="shared" si="5"/>
        <v>0</v>
      </c>
    </row>
    <row r="32" spans="1:31" x14ac:dyDescent="0.25">
      <c r="A32" s="214">
        <f t="shared" si="9"/>
        <v>0</v>
      </c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5"/>
      <c r="O32" s="165"/>
      <c r="P32" s="165"/>
      <c r="Q32" s="165"/>
      <c r="R32" s="162"/>
      <c r="S32" s="162"/>
      <c r="T32" s="144"/>
      <c r="U32" s="220"/>
      <c r="V32" s="221">
        <f t="shared" si="4"/>
        <v>0</v>
      </c>
      <c r="W32" s="143">
        <f t="shared" si="10"/>
        <v>0</v>
      </c>
      <c r="X32" s="223">
        <f t="shared" si="7"/>
        <v>0</v>
      </c>
      <c r="Y32" s="224">
        <f t="array" ref="Y32">IF($A32=0,0,SUMPRODUCT(($B$4:$B$100=$B32)*($X$4:$X$100)))</f>
        <v>0</v>
      </c>
      <c r="Z32" s="225"/>
      <c r="AA32" s="224">
        <f t="shared" si="0"/>
        <v>0</v>
      </c>
      <c r="AB32" s="224">
        <f t="shared" si="1"/>
        <v>0</v>
      </c>
      <c r="AC32" s="208">
        <f t="shared" si="2"/>
        <v>0</v>
      </c>
      <c r="AD32" s="226"/>
      <c r="AE32" s="215">
        <f t="shared" si="5"/>
        <v>0</v>
      </c>
    </row>
    <row r="33" spans="1:31" x14ac:dyDescent="0.25">
      <c r="A33" s="214">
        <f t="shared" si="9"/>
        <v>0</v>
      </c>
      <c r="B33" s="165"/>
      <c r="C33" s="165"/>
      <c r="D33" s="165"/>
      <c r="E33" s="165"/>
      <c r="F33" s="165"/>
      <c r="G33" s="165"/>
      <c r="H33" s="165"/>
      <c r="I33" s="165"/>
      <c r="J33" s="165"/>
      <c r="K33" s="165"/>
      <c r="L33" s="165"/>
      <c r="M33" s="165"/>
      <c r="N33" s="165"/>
      <c r="O33" s="165"/>
      <c r="P33" s="165"/>
      <c r="Q33" s="165"/>
      <c r="R33" s="162"/>
      <c r="S33" s="162"/>
      <c r="T33" s="144"/>
      <c r="U33" s="220"/>
      <c r="V33" s="221">
        <f t="shared" si="4"/>
        <v>0</v>
      </c>
      <c r="W33" s="143">
        <f t="shared" si="10"/>
        <v>0</v>
      </c>
      <c r="X33" s="223">
        <f t="shared" si="7"/>
        <v>0</v>
      </c>
      <c r="Y33" s="224">
        <f t="array" ref="Y33">IF($A33=0,0,SUMPRODUCT(($B$4:$B$100=$B33)*($X$4:$X$100)))</f>
        <v>0</v>
      </c>
      <c r="Z33" s="225"/>
      <c r="AA33" s="224">
        <f t="shared" si="0"/>
        <v>0</v>
      </c>
      <c r="AB33" s="224">
        <f t="shared" si="1"/>
        <v>0</v>
      </c>
      <c r="AC33" s="208">
        <f t="shared" si="2"/>
        <v>0</v>
      </c>
      <c r="AD33" s="226"/>
      <c r="AE33" s="215">
        <f t="shared" si="5"/>
        <v>0</v>
      </c>
    </row>
    <row r="34" spans="1:31" x14ac:dyDescent="0.25">
      <c r="A34" s="214">
        <f t="shared" si="9"/>
        <v>0</v>
      </c>
      <c r="B34" s="165"/>
      <c r="C34" s="165"/>
      <c r="D34" s="165"/>
      <c r="E34" s="165"/>
      <c r="F34" s="165"/>
      <c r="G34" s="165"/>
      <c r="H34" s="165"/>
      <c r="I34" s="165"/>
      <c r="J34" s="165"/>
      <c r="K34" s="165"/>
      <c r="L34" s="165"/>
      <c r="M34" s="165"/>
      <c r="N34" s="165"/>
      <c r="O34" s="165"/>
      <c r="P34" s="165"/>
      <c r="Q34" s="165"/>
      <c r="R34" s="162"/>
      <c r="S34" s="162"/>
      <c r="T34" s="144"/>
      <c r="U34" s="220"/>
      <c r="V34" s="221">
        <f t="shared" si="4"/>
        <v>0</v>
      </c>
      <c r="W34" s="143">
        <f t="shared" si="10"/>
        <v>0</v>
      </c>
      <c r="X34" s="223">
        <f t="shared" si="7"/>
        <v>0</v>
      </c>
      <c r="Y34" s="224">
        <f t="array" ref="Y34">IF($A34=0,0,SUMPRODUCT(($B$4:$B$100=$B34)*($X$4:$X$100)))</f>
        <v>0</v>
      </c>
      <c r="Z34" s="225"/>
      <c r="AA34" s="224">
        <f t="shared" si="0"/>
        <v>0</v>
      </c>
      <c r="AB34" s="224">
        <f t="shared" si="1"/>
        <v>0</v>
      </c>
      <c r="AC34" s="208">
        <f t="shared" si="2"/>
        <v>0</v>
      </c>
      <c r="AD34" s="226"/>
      <c r="AE34" s="215">
        <f t="shared" si="5"/>
        <v>0</v>
      </c>
    </row>
    <row r="35" spans="1:31" x14ac:dyDescent="0.25">
      <c r="A35" s="214">
        <f t="shared" si="9"/>
        <v>0</v>
      </c>
      <c r="B35" s="165"/>
      <c r="C35" s="165"/>
      <c r="D35" s="165"/>
      <c r="E35" s="165"/>
      <c r="F35" s="165"/>
      <c r="G35" s="165"/>
      <c r="H35" s="165"/>
      <c r="I35" s="165"/>
      <c r="J35" s="165"/>
      <c r="K35" s="165"/>
      <c r="L35" s="165"/>
      <c r="M35" s="165"/>
      <c r="N35" s="165"/>
      <c r="O35" s="165"/>
      <c r="P35" s="165"/>
      <c r="Q35" s="165"/>
      <c r="R35" s="162"/>
      <c r="S35" s="162"/>
      <c r="T35" s="144"/>
      <c r="U35" s="220"/>
      <c r="V35" s="221">
        <f t="shared" si="4"/>
        <v>0</v>
      </c>
      <c r="W35" s="143">
        <f t="shared" si="10"/>
        <v>0</v>
      </c>
      <c r="X35" s="223">
        <f t="shared" si="7"/>
        <v>0</v>
      </c>
      <c r="Y35" s="224">
        <f t="array" ref="Y35">IF($A35=0,0,SUMPRODUCT(($B$4:$B$100=$B35)*($X$4:$X$100)))</f>
        <v>0</v>
      </c>
      <c r="Z35" s="225"/>
      <c r="AA35" s="224">
        <f t="shared" si="0"/>
        <v>0</v>
      </c>
      <c r="AB35" s="224">
        <f t="shared" si="1"/>
        <v>0</v>
      </c>
      <c r="AC35" s="208">
        <f t="shared" si="2"/>
        <v>0</v>
      </c>
      <c r="AD35" s="226"/>
      <c r="AE35" s="215">
        <f t="shared" si="5"/>
        <v>0</v>
      </c>
    </row>
  </sheetData>
  <autoFilter ref="A3:AE35"/>
  <printOptions horizontalCentered="1"/>
  <pageMargins left="0.70866141732283472" right="0.70866141732283472" top="0.94488188976377963" bottom="0.74803149606299213" header="0.51181102362204722" footer="0.31496062992125984"/>
  <pageSetup paperSize="9" scale="74" orientation="landscape" r:id="rId1"/>
  <headerFooter>
    <oddHeader>&amp;R&amp;"-,Italique"&amp;8&amp;F / &amp;A / 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67"/>
  <sheetViews>
    <sheetView topLeftCell="A46" workbookViewId="0">
      <selection activeCell="N59" sqref="N59"/>
    </sheetView>
  </sheetViews>
  <sheetFormatPr baseColWidth="10" defaultRowHeight="15" x14ac:dyDescent="0.25"/>
  <cols>
    <col min="2" max="2" width="22.5703125" customWidth="1"/>
    <col min="10" max="10" width="19.42578125" customWidth="1"/>
    <col min="11" max="11" width="18.7109375" bestFit="1" customWidth="1"/>
  </cols>
  <sheetData>
    <row r="1" spans="2:2" x14ac:dyDescent="0.25">
      <c r="B1" t="s">
        <v>163</v>
      </c>
    </row>
    <row r="2" spans="2:2" x14ac:dyDescent="0.25">
      <c r="B2" s="20" t="s">
        <v>31</v>
      </c>
    </row>
    <row r="3" spans="2:2" x14ac:dyDescent="0.25">
      <c r="B3" s="21" t="s">
        <v>102</v>
      </c>
    </row>
    <row r="4" spans="2:2" x14ac:dyDescent="0.25">
      <c r="B4" s="21" t="s">
        <v>15</v>
      </c>
    </row>
    <row r="5" spans="2:2" x14ac:dyDescent="0.25">
      <c r="B5" s="21" t="s">
        <v>147</v>
      </c>
    </row>
    <row r="6" spans="2:2" x14ac:dyDescent="0.25">
      <c r="B6" s="21" t="s">
        <v>38</v>
      </c>
    </row>
    <row r="7" spans="2:2" x14ac:dyDescent="0.25">
      <c r="B7" s="21" t="s">
        <v>48</v>
      </c>
    </row>
    <row r="8" spans="2:2" x14ac:dyDescent="0.25">
      <c r="B8" s="21" t="s">
        <v>59</v>
      </c>
    </row>
    <row r="9" spans="2:2" x14ac:dyDescent="0.25">
      <c r="B9" s="21" t="s">
        <v>87</v>
      </c>
    </row>
    <row r="10" spans="2:2" x14ac:dyDescent="0.25">
      <c r="B10" s="21" t="s">
        <v>121</v>
      </c>
    </row>
    <row r="11" spans="2:2" x14ac:dyDescent="0.25">
      <c r="B11" s="21" t="s">
        <v>155</v>
      </c>
    </row>
    <row r="12" spans="2:2" x14ac:dyDescent="0.25">
      <c r="B12" s="21" t="s">
        <v>10</v>
      </c>
    </row>
    <row r="13" spans="2:2" x14ac:dyDescent="0.25">
      <c r="B13" s="21" t="s">
        <v>103</v>
      </c>
    </row>
    <row r="14" spans="2:2" x14ac:dyDescent="0.25">
      <c r="B14" s="22" t="s">
        <v>93</v>
      </c>
    </row>
    <row r="15" spans="2:2" x14ac:dyDescent="0.25">
      <c r="B15" s="22" t="s">
        <v>101</v>
      </c>
    </row>
    <row r="16" spans="2:2" x14ac:dyDescent="0.25">
      <c r="B16" s="22" t="s">
        <v>70</v>
      </c>
    </row>
    <row r="17" spans="2:2" x14ac:dyDescent="0.25">
      <c r="B17" s="22" t="s">
        <v>61</v>
      </c>
    </row>
    <row r="18" spans="2:2" x14ac:dyDescent="0.25">
      <c r="B18" s="22" t="s">
        <v>151</v>
      </c>
    </row>
    <row r="19" spans="2:2" x14ac:dyDescent="0.25">
      <c r="B19" s="22" t="s">
        <v>85</v>
      </c>
    </row>
    <row r="20" spans="2:2" x14ac:dyDescent="0.25">
      <c r="B20" s="22" t="s">
        <v>105</v>
      </c>
    </row>
    <row r="21" spans="2:2" x14ac:dyDescent="0.25">
      <c r="B21" s="22" t="s">
        <v>95</v>
      </c>
    </row>
    <row r="22" spans="2:2" x14ac:dyDescent="0.25">
      <c r="B22" s="22" t="s">
        <v>78</v>
      </c>
    </row>
    <row r="23" spans="2:2" x14ac:dyDescent="0.25">
      <c r="B23" s="22" t="s">
        <v>107</v>
      </c>
    </row>
    <row r="24" spans="2:2" x14ac:dyDescent="0.25">
      <c r="B24" s="22" t="s">
        <v>4</v>
      </c>
    </row>
    <row r="25" spans="2:2" x14ac:dyDescent="0.25">
      <c r="B25" s="22" t="s">
        <v>109</v>
      </c>
    </row>
    <row r="26" spans="2:2" x14ac:dyDescent="0.25">
      <c r="B26" s="22" t="s">
        <v>129</v>
      </c>
    </row>
    <row r="27" spans="2:2" x14ac:dyDescent="0.25">
      <c r="B27" s="22" t="s">
        <v>45</v>
      </c>
    </row>
    <row r="28" spans="2:2" x14ac:dyDescent="0.25">
      <c r="B28" s="22" t="s">
        <v>13</v>
      </c>
    </row>
    <row r="29" spans="2:2" x14ac:dyDescent="0.25">
      <c r="B29" s="22" t="s">
        <v>80</v>
      </c>
    </row>
    <row r="30" spans="2:2" x14ac:dyDescent="0.25">
      <c r="B30" s="22" t="s">
        <v>43</v>
      </c>
    </row>
    <row r="31" spans="2:2" x14ac:dyDescent="0.25">
      <c r="B31" s="22" t="s">
        <v>89</v>
      </c>
    </row>
    <row r="32" spans="2:2" x14ac:dyDescent="0.25">
      <c r="B32" s="22" t="s">
        <v>119</v>
      </c>
    </row>
    <row r="33" spans="2:2" x14ac:dyDescent="0.25">
      <c r="B33" s="22" t="s">
        <v>57</v>
      </c>
    </row>
    <row r="34" spans="2:2" x14ac:dyDescent="0.25">
      <c r="B34" s="22" t="s">
        <v>111</v>
      </c>
    </row>
    <row r="35" spans="2:2" x14ac:dyDescent="0.25">
      <c r="B35" s="22" t="s">
        <v>17</v>
      </c>
    </row>
    <row r="36" spans="2:2" x14ac:dyDescent="0.25">
      <c r="B36" s="22" t="s">
        <v>82</v>
      </c>
    </row>
    <row r="37" spans="2:2" x14ac:dyDescent="0.25">
      <c r="B37" s="22" t="s">
        <v>20</v>
      </c>
    </row>
    <row r="38" spans="2:2" x14ac:dyDescent="0.25">
      <c r="B38" s="22" t="s">
        <v>35</v>
      </c>
    </row>
    <row r="39" spans="2:2" x14ac:dyDescent="0.25">
      <c r="B39" s="22" t="s">
        <v>33</v>
      </c>
    </row>
    <row r="40" spans="2:2" x14ac:dyDescent="0.25">
      <c r="B40" s="22" t="s">
        <v>131</v>
      </c>
    </row>
    <row r="41" spans="2:2" x14ac:dyDescent="0.25">
      <c r="B41" s="22" t="s">
        <v>152</v>
      </c>
    </row>
    <row r="42" spans="2:2" x14ac:dyDescent="0.25">
      <c r="B42" s="22" t="s">
        <v>55</v>
      </c>
    </row>
    <row r="43" spans="2:2" x14ac:dyDescent="0.25">
      <c r="B43" s="22" t="s">
        <v>22</v>
      </c>
    </row>
    <row r="44" spans="2:2" x14ac:dyDescent="0.25">
      <c r="B44" s="22" t="s">
        <v>72</v>
      </c>
    </row>
    <row r="45" spans="2:2" x14ac:dyDescent="0.25">
      <c r="B45" s="22" t="s">
        <v>76</v>
      </c>
    </row>
    <row r="46" spans="2:2" x14ac:dyDescent="0.25">
      <c r="B46" s="22" t="s">
        <v>50</v>
      </c>
    </row>
    <row r="47" spans="2:2" x14ac:dyDescent="0.25">
      <c r="B47" s="22" t="s">
        <v>125</v>
      </c>
    </row>
    <row r="48" spans="2:2" x14ac:dyDescent="0.25">
      <c r="B48" s="22" t="s">
        <v>132</v>
      </c>
    </row>
    <row r="49" spans="2:2" x14ac:dyDescent="0.25">
      <c r="B49" s="22" t="s">
        <v>97</v>
      </c>
    </row>
    <row r="50" spans="2:2" x14ac:dyDescent="0.25">
      <c r="B50" s="22" t="s">
        <v>91</v>
      </c>
    </row>
    <row r="51" spans="2:2" x14ac:dyDescent="0.25">
      <c r="B51" s="22" t="s">
        <v>113</v>
      </c>
    </row>
    <row r="52" spans="2:2" x14ac:dyDescent="0.25">
      <c r="B52" s="22" t="s">
        <v>41</v>
      </c>
    </row>
    <row r="53" spans="2:2" x14ac:dyDescent="0.25">
      <c r="B53" s="22" t="s">
        <v>74</v>
      </c>
    </row>
    <row r="54" spans="2:2" x14ac:dyDescent="0.25">
      <c r="B54" s="22" t="s">
        <v>123</v>
      </c>
    </row>
    <row r="55" spans="2:2" x14ac:dyDescent="0.25">
      <c r="B55" s="22" t="s">
        <v>115</v>
      </c>
    </row>
    <row r="56" spans="2:2" x14ac:dyDescent="0.25">
      <c r="B56" s="22" t="s">
        <v>52</v>
      </c>
    </row>
    <row r="57" spans="2:2" x14ac:dyDescent="0.25">
      <c r="B57" s="22" t="s">
        <v>99</v>
      </c>
    </row>
    <row r="58" spans="2:2" x14ac:dyDescent="0.25">
      <c r="B58" s="22" t="s">
        <v>100</v>
      </c>
    </row>
    <row r="59" spans="2:2" x14ac:dyDescent="0.25">
      <c r="B59" s="22" t="s">
        <v>158</v>
      </c>
    </row>
    <row r="60" spans="2:2" x14ac:dyDescent="0.25">
      <c r="B60" s="21" t="s">
        <v>26</v>
      </c>
    </row>
    <row r="61" spans="2:2" x14ac:dyDescent="0.25">
      <c r="B61" s="22" t="s">
        <v>117</v>
      </c>
    </row>
    <row r="66" spans="2:11" x14ac:dyDescent="0.25">
      <c r="J66" t="s">
        <v>424</v>
      </c>
      <c r="K66" t="s">
        <v>423</v>
      </c>
    </row>
    <row r="67" spans="2:11" x14ac:dyDescent="0.25">
      <c r="B67" s="29" t="s">
        <v>403</v>
      </c>
      <c r="C67" s="29" t="s">
        <v>404</v>
      </c>
      <c r="D67" s="94" t="s">
        <v>409</v>
      </c>
      <c r="E67" s="55" t="s">
        <v>407</v>
      </c>
      <c r="F67" s="57">
        <v>42513</v>
      </c>
      <c r="G67" s="57">
        <v>42524</v>
      </c>
      <c r="H67" s="138">
        <v>248.72</v>
      </c>
      <c r="I67" s="58">
        <f>H67/30</f>
        <v>8.2906666666666666</v>
      </c>
      <c r="J67" s="1">
        <f>I67*28</f>
        <v>232.13866666666667</v>
      </c>
      <c r="K67">
        <v>248.72</v>
      </c>
    </row>
  </sheetData>
  <sortState ref="B2:B98">
    <sortCondition ref="B2:B98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18"/>
  <sheetViews>
    <sheetView topLeftCell="B193" workbookViewId="0">
      <selection activeCell="P227" sqref="P227"/>
    </sheetView>
  </sheetViews>
  <sheetFormatPr baseColWidth="10" defaultRowHeight="15" x14ac:dyDescent="0.25"/>
  <cols>
    <col min="1" max="1" width="0" hidden="1" customWidth="1"/>
    <col min="6" max="7" width="11.42578125" style="121"/>
    <col min="10" max="10" width="16.5703125" style="133" bestFit="1" customWidth="1"/>
  </cols>
  <sheetData>
    <row r="2" spans="1:10" x14ac:dyDescent="0.25">
      <c r="J2" s="133" t="s">
        <v>412</v>
      </c>
    </row>
    <row r="4" spans="1:10" ht="15.75" thickBot="1" x14ac:dyDescent="0.3">
      <c r="A4">
        <v>1</v>
      </c>
      <c r="B4" s="109" t="s">
        <v>331</v>
      </c>
      <c r="C4" s="109" t="s">
        <v>332</v>
      </c>
      <c r="D4" s="112" t="s">
        <v>365</v>
      </c>
      <c r="E4" s="115">
        <v>41971</v>
      </c>
      <c r="F4" s="122">
        <v>41984</v>
      </c>
      <c r="G4" s="122">
        <v>42185</v>
      </c>
      <c r="H4" s="117">
        <v>259.16000000000003</v>
      </c>
      <c r="J4" s="135">
        <v>1</v>
      </c>
    </row>
    <row r="5" spans="1:10" ht="15.75" thickBot="1" x14ac:dyDescent="0.3">
      <c r="B5" s="88" t="s">
        <v>31</v>
      </c>
      <c r="C5" s="89" t="s">
        <v>32</v>
      </c>
      <c r="D5" s="100" t="s">
        <v>181</v>
      </c>
      <c r="E5" s="103">
        <v>41516</v>
      </c>
      <c r="F5" s="123">
        <v>41541</v>
      </c>
      <c r="G5" s="123">
        <v>41800</v>
      </c>
      <c r="H5" s="107">
        <v>271.91000000000003</v>
      </c>
      <c r="J5" s="283">
        <v>12</v>
      </c>
    </row>
    <row r="6" spans="1:10" x14ac:dyDescent="0.25">
      <c r="A6">
        <v>2</v>
      </c>
      <c r="B6" s="60" t="s">
        <v>31</v>
      </c>
      <c r="C6" s="59" t="s">
        <v>32</v>
      </c>
      <c r="D6" s="54" t="s">
        <v>285</v>
      </c>
      <c r="E6" s="62">
        <v>41786</v>
      </c>
      <c r="F6" s="124">
        <v>41800</v>
      </c>
      <c r="G6" s="124">
        <v>42062</v>
      </c>
      <c r="H6" s="64">
        <v>279.49</v>
      </c>
      <c r="J6" s="284"/>
    </row>
    <row r="7" spans="1:10" x14ac:dyDescent="0.25">
      <c r="A7">
        <v>3</v>
      </c>
      <c r="B7" s="67" t="s">
        <v>312</v>
      </c>
      <c r="C7" s="68" t="s">
        <v>301</v>
      </c>
      <c r="D7" s="69" t="s">
        <v>339</v>
      </c>
      <c r="E7" s="70">
        <v>41921</v>
      </c>
      <c r="F7" s="125">
        <v>41933</v>
      </c>
      <c r="G7" s="125">
        <v>42201</v>
      </c>
      <c r="H7" s="71">
        <v>300.35000000000002</v>
      </c>
      <c r="J7" s="136">
        <v>2</v>
      </c>
    </row>
    <row r="8" spans="1:10" x14ac:dyDescent="0.25">
      <c r="B8" s="21" t="s">
        <v>102</v>
      </c>
      <c r="C8" s="29" t="s">
        <v>387</v>
      </c>
      <c r="D8" s="23" t="s">
        <v>173</v>
      </c>
      <c r="E8" s="30">
        <v>41485</v>
      </c>
      <c r="F8" s="124">
        <v>41499</v>
      </c>
      <c r="G8" s="124">
        <v>41774</v>
      </c>
      <c r="H8" s="72">
        <v>363.47</v>
      </c>
      <c r="J8" s="283">
        <v>12</v>
      </c>
    </row>
    <row r="9" spans="1:10" x14ac:dyDescent="0.25">
      <c r="B9" s="21" t="s">
        <v>102</v>
      </c>
      <c r="C9" s="29" t="s">
        <v>387</v>
      </c>
      <c r="D9" s="23" t="s">
        <v>275</v>
      </c>
      <c r="E9" s="30">
        <v>41757</v>
      </c>
      <c r="F9" s="124">
        <v>41774</v>
      </c>
      <c r="G9" s="124">
        <v>41964</v>
      </c>
      <c r="H9" s="72">
        <v>388.85</v>
      </c>
      <c r="J9" s="284"/>
    </row>
    <row r="10" spans="1:10" x14ac:dyDescent="0.25">
      <c r="B10" s="21" t="s">
        <v>102</v>
      </c>
      <c r="C10" s="29" t="s">
        <v>387</v>
      </c>
      <c r="D10" s="23" t="s">
        <v>275</v>
      </c>
      <c r="E10" s="30">
        <v>41757</v>
      </c>
      <c r="F10" s="124">
        <v>41774</v>
      </c>
      <c r="G10" s="124">
        <v>41964</v>
      </c>
      <c r="H10" s="72">
        <v>388.85</v>
      </c>
      <c r="J10" s="284"/>
    </row>
    <row r="11" spans="1:10" x14ac:dyDescent="0.25">
      <c r="A11">
        <v>4</v>
      </c>
      <c r="B11" s="21" t="s">
        <v>102</v>
      </c>
      <c r="C11" s="29" t="s">
        <v>387</v>
      </c>
      <c r="D11" s="23" t="s">
        <v>352</v>
      </c>
      <c r="E11" s="30">
        <v>41949</v>
      </c>
      <c r="F11" s="124">
        <v>41964</v>
      </c>
      <c r="G11" s="124">
        <v>42178</v>
      </c>
      <c r="H11" s="72">
        <v>405.84</v>
      </c>
      <c r="J11" s="284"/>
    </row>
    <row r="12" spans="1:10" x14ac:dyDescent="0.25">
      <c r="B12" s="76" t="s">
        <v>15</v>
      </c>
      <c r="C12" s="68" t="s">
        <v>16</v>
      </c>
      <c r="D12" s="73" t="s">
        <v>184</v>
      </c>
      <c r="E12" s="74">
        <v>41506</v>
      </c>
      <c r="F12" s="124">
        <v>41520</v>
      </c>
      <c r="G12" s="124">
        <v>41752</v>
      </c>
      <c r="H12" s="75">
        <v>228.82</v>
      </c>
      <c r="J12" s="283">
        <v>12</v>
      </c>
    </row>
    <row r="13" spans="1:10" x14ac:dyDescent="0.25">
      <c r="B13" s="76" t="s">
        <v>15</v>
      </c>
      <c r="C13" s="68" t="s">
        <v>16</v>
      </c>
      <c r="D13" s="73" t="s">
        <v>267</v>
      </c>
      <c r="E13" s="74">
        <v>41739</v>
      </c>
      <c r="F13" s="124">
        <v>41752</v>
      </c>
      <c r="G13" s="124">
        <v>42018</v>
      </c>
      <c r="H13" s="75">
        <v>235.48</v>
      </c>
      <c r="J13" s="284"/>
    </row>
    <row r="14" spans="1:10" x14ac:dyDescent="0.25">
      <c r="A14">
        <v>5</v>
      </c>
      <c r="B14" s="76" t="s">
        <v>15</v>
      </c>
      <c r="C14" s="68" t="s">
        <v>16</v>
      </c>
      <c r="D14" s="73" t="s">
        <v>367</v>
      </c>
      <c r="E14" s="74">
        <v>41999</v>
      </c>
      <c r="F14" s="124">
        <v>42018</v>
      </c>
      <c r="G14" s="124">
        <v>42262</v>
      </c>
      <c r="H14" s="75">
        <v>275.89</v>
      </c>
      <c r="J14" s="284"/>
    </row>
    <row r="15" spans="1:10" x14ac:dyDescent="0.25">
      <c r="B15" s="21" t="s">
        <v>227</v>
      </c>
      <c r="C15" s="29" t="s">
        <v>228</v>
      </c>
      <c r="D15" s="42" t="s">
        <v>290</v>
      </c>
      <c r="E15" s="46">
        <v>41758</v>
      </c>
      <c r="F15" s="125">
        <v>41816</v>
      </c>
      <c r="G15" s="125">
        <v>42059</v>
      </c>
      <c r="H15" s="47">
        <v>352.66</v>
      </c>
      <c r="J15" s="283">
        <v>6</v>
      </c>
    </row>
    <row r="16" spans="1:10" x14ac:dyDescent="0.25">
      <c r="A16">
        <v>6</v>
      </c>
      <c r="B16" s="21" t="s">
        <v>227</v>
      </c>
      <c r="C16" s="29" t="s">
        <v>228</v>
      </c>
      <c r="D16" s="42" t="s">
        <v>379</v>
      </c>
      <c r="E16" s="46">
        <v>41999</v>
      </c>
      <c r="F16" s="125">
        <v>42059</v>
      </c>
      <c r="G16" s="125">
        <v>42293</v>
      </c>
      <c r="H16" s="47">
        <v>341.45</v>
      </c>
      <c r="J16" s="284"/>
    </row>
    <row r="17" spans="1:10" x14ac:dyDescent="0.25">
      <c r="B17" s="34" t="s">
        <v>147</v>
      </c>
      <c r="C17" s="10" t="s">
        <v>148</v>
      </c>
      <c r="D17" s="11" t="s">
        <v>194</v>
      </c>
      <c r="E17" s="12">
        <v>41529</v>
      </c>
      <c r="F17" s="124">
        <v>41537</v>
      </c>
      <c r="G17" s="124">
        <v>41691</v>
      </c>
      <c r="H17" s="13">
        <v>403.35</v>
      </c>
      <c r="J17" s="283">
        <v>12</v>
      </c>
    </row>
    <row r="18" spans="1:10" x14ac:dyDescent="0.25">
      <c r="B18" s="34" t="s">
        <v>147</v>
      </c>
      <c r="C18" s="10" t="s">
        <v>148</v>
      </c>
      <c r="D18" s="11" t="s">
        <v>239</v>
      </c>
      <c r="E18" s="12">
        <v>41680</v>
      </c>
      <c r="F18" s="124">
        <v>41691</v>
      </c>
      <c r="G18" s="124">
        <v>41849</v>
      </c>
      <c r="H18" s="13">
        <v>329.5</v>
      </c>
      <c r="J18" s="284"/>
    </row>
    <row r="19" spans="1:10" x14ac:dyDescent="0.25">
      <c r="B19" s="34" t="s">
        <v>147</v>
      </c>
      <c r="C19" s="10" t="s">
        <v>148</v>
      </c>
      <c r="D19" s="11" t="s">
        <v>239</v>
      </c>
      <c r="E19" s="12">
        <v>41680</v>
      </c>
      <c r="F19" s="124">
        <v>41691</v>
      </c>
      <c r="G19" s="124">
        <v>41849</v>
      </c>
      <c r="H19" s="13">
        <v>329.5</v>
      </c>
      <c r="J19" s="284"/>
    </row>
    <row r="20" spans="1:10" x14ac:dyDescent="0.25">
      <c r="B20" s="34" t="s">
        <v>147</v>
      </c>
      <c r="C20" s="10" t="s">
        <v>148</v>
      </c>
      <c r="D20" s="11" t="s">
        <v>305</v>
      </c>
      <c r="E20" s="12">
        <v>41837</v>
      </c>
      <c r="F20" s="124">
        <v>41849</v>
      </c>
      <c r="G20" s="124">
        <v>41947</v>
      </c>
      <c r="H20" s="13">
        <v>227.18</v>
      </c>
      <c r="J20" s="284"/>
    </row>
    <row r="21" spans="1:10" x14ac:dyDescent="0.25">
      <c r="B21" s="34" t="s">
        <v>147</v>
      </c>
      <c r="C21" s="10" t="s">
        <v>148</v>
      </c>
      <c r="D21" s="11" t="s">
        <v>305</v>
      </c>
      <c r="E21" s="12">
        <v>41837</v>
      </c>
      <c r="F21" s="124">
        <v>41849</v>
      </c>
      <c r="G21" s="124">
        <v>41947</v>
      </c>
      <c r="H21" s="13">
        <v>227.18</v>
      </c>
      <c r="J21" s="284"/>
    </row>
    <row r="22" spans="1:10" x14ac:dyDescent="0.25">
      <c r="B22" s="34" t="s">
        <v>147</v>
      </c>
      <c r="C22" s="10" t="s">
        <v>148</v>
      </c>
      <c r="D22" s="11" t="s">
        <v>354</v>
      </c>
      <c r="E22" s="12">
        <v>41936</v>
      </c>
      <c r="F22" s="124">
        <v>41947</v>
      </c>
      <c r="G22" s="124">
        <v>42038</v>
      </c>
      <c r="H22" s="13">
        <v>423.13</v>
      </c>
      <c r="J22" s="284"/>
    </row>
    <row r="23" spans="1:10" x14ac:dyDescent="0.25">
      <c r="A23">
        <v>7</v>
      </c>
      <c r="B23" s="34" t="s">
        <v>147</v>
      </c>
      <c r="C23" s="10" t="s">
        <v>148</v>
      </c>
      <c r="D23" s="11" t="s">
        <v>375</v>
      </c>
      <c r="E23" s="12">
        <v>42004</v>
      </c>
      <c r="F23" s="124">
        <v>42038</v>
      </c>
      <c r="G23" s="124">
        <v>42167</v>
      </c>
      <c r="H23" s="13">
        <v>420.42</v>
      </c>
      <c r="J23" s="284"/>
    </row>
    <row r="24" spans="1:10" x14ac:dyDescent="0.25">
      <c r="B24" s="21" t="s">
        <v>38</v>
      </c>
      <c r="C24" s="29" t="s">
        <v>39</v>
      </c>
      <c r="D24" s="23" t="s">
        <v>172</v>
      </c>
      <c r="E24" s="30">
        <v>41485</v>
      </c>
      <c r="F24" s="124">
        <v>41499</v>
      </c>
      <c r="G24" s="124">
        <v>41782</v>
      </c>
      <c r="H24" s="31">
        <v>209.45</v>
      </c>
      <c r="J24" s="283">
        <v>12</v>
      </c>
    </row>
    <row r="25" spans="1:10" x14ac:dyDescent="0.25">
      <c r="A25">
        <v>8</v>
      </c>
      <c r="B25" s="21" t="s">
        <v>38</v>
      </c>
      <c r="C25" s="29" t="s">
        <v>39</v>
      </c>
      <c r="D25" s="23" t="s">
        <v>278</v>
      </c>
      <c r="E25" s="30">
        <v>41772</v>
      </c>
      <c r="F25" s="124">
        <v>41782</v>
      </c>
      <c r="G25" s="124">
        <v>42048</v>
      </c>
      <c r="H25" s="31">
        <v>247.98</v>
      </c>
      <c r="J25" s="284"/>
    </row>
    <row r="26" spans="1:10" x14ac:dyDescent="0.25">
      <c r="B26" s="60" t="s">
        <v>48</v>
      </c>
      <c r="C26" s="59" t="s">
        <v>49</v>
      </c>
      <c r="D26" s="54" t="s">
        <v>198</v>
      </c>
      <c r="E26" s="62">
        <v>41547</v>
      </c>
      <c r="F26" s="124">
        <v>41558</v>
      </c>
      <c r="G26" s="124">
        <v>41802</v>
      </c>
      <c r="H26" s="64">
        <v>302.68</v>
      </c>
      <c r="J26" s="283">
        <v>12</v>
      </c>
    </row>
    <row r="27" spans="1:10" x14ac:dyDescent="0.25">
      <c r="B27" s="60" t="s">
        <v>48</v>
      </c>
      <c r="C27" s="59" t="s">
        <v>49</v>
      </c>
      <c r="D27" s="54" t="s">
        <v>286</v>
      </c>
      <c r="E27" s="62">
        <v>41787</v>
      </c>
      <c r="F27" s="124">
        <v>41802</v>
      </c>
      <c r="G27" s="124">
        <v>41992</v>
      </c>
      <c r="H27" s="64">
        <v>346.19</v>
      </c>
      <c r="J27" s="284"/>
    </row>
    <row r="28" spans="1:10" x14ac:dyDescent="0.25">
      <c r="B28" s="60" t="s">
        <v>48</v>
      </c>
      <c r="C28" s="59" t="s">
        <v>49</v>
      </c>
      <c r="D28" s="54" t="s">
        <v>286</v>
      </c>
      <c r="E28" s="62">
        <v>41787</v>
      </c>
      <c r="F28" s="124">
        <v>41802</v>
      </c>
      <c r="G28" s="124">
        <v>41992</v>
      </c>
      <c r="H28" s="64">
        <v>346.19</v>
      </c>
      <c r="J28" s="284"/>
    </row>
    <row r="29" spans="1:10" x14ac:dyDescent="0.25">
      <c r="A29" t="s">
        <v>411</v>
      </c>
      <c r="B29" s="60" t="s">
        <v>48</v>
      </c>
      <c r="C29" s="59" t="s">
        <v>49</v>
      </c>
      <c r="D29" s="54" t="s">
        <v>363</v>
      </c>
      <c r="E29" s="62">
        <v>41971</v>
      </c>
      <c r="F29" s="124">
        <v>41992</v>
      </c>
      <c r="G29" s="124"/>
      <c r="H29" s="64">
        <v>326.87</v>
      </c>
      <c r="J29" s="284"/>
    </row>
    <row r="30" spans="1:10" x14ac:dyDescent="0.25">
      <c r="A30" t="s">
        <v>411</v>
      </c>
      <c r="B30" s="80" t="s">
        <v>276</v>
      </c>
      <c r="C30" s="81" t="s">
        <v>277</v>
      </c>
      <c r="D30" s="82" t="s">
        <v>287</v>
      </c>
      <c r="E30" s="83">
        <v>41794</v>
      </c>
      <c r="F30" s="126">
        <v>41815</v>
      </c>
      <c r="G30" s="126"/>
      <c r="H30" s="84">
        <v>413.62</v>
      </c>
      <c r="J30" s="136">
        <v>6</v>
      </c>
    </row>
    <row r="31" spans="1:10" x14ac:dyDescent="0.25">
      <c r="B31" s="32" t="s">
        <v>59</v>
      </c>
      <c r="C31" s="2" t="s">
        <v>60</v>
      </c>
      <c r="D31" s="4" t="s">
        <v>141</v>
      </c>
      <c r="E31" s="3">
        <v>41411</v>
      </c>
      <c r="F31" s="124">
        <v>41425</v>
      </c>
      <c r="G31" s="124">
        <v>41681</v>
      </c>
      <c r="H31" s="8">
        <v>377.91</v>
      </c>
      <c r="J31" s="283">
        <v>12</v>
      </c>
    </row>
    <row r="32" spans="1:10" x14ac:dyDescent="0.25">
      <c r="B32" s="32" t="s">
        <v>59</v>
      </c>
      <c r="C32" s="2" t="s">
        <v>60</v>
      </c>
      <c r="D32" s="4" t="s">
        <v>235</v>
      </c>
      <c r="E32" s="3">
        <v>41669</v>
      </c>
      <c r="F32" s="124">
        <v>41681</v>
      </c>
      <c r="G32" s="124">
        <v>41957</v>
      </c>
      <c r="H32" s="8">
        <v>338.8</v>
      </c>
      <c r="J32" s="284"/>
    </row>
    <row r="33" spans="1:10" x14ac:dyDescent="0.25">
      <c r="B33" s="32" t="s">
        <v>59</v>
      </c>
      <c r="C33" s="2" t="s">
        <v>60</v>
      </c>
      <c r="D33" s="4" t="s">
        <v>235</v>
      </c>
      <c r="E33" s="3">
        <v>41669</v>
      </c>
      <c r="F33" s="124">
        <v>41681</v>
      </c>
      <c r="G33" s="124">
        <v>41957</v>
      </c>
      <c r="H33" s="8">
        <v>338.8</v>
      </c>
      <c r="J33" s="284"/>
    </row>
    <row r="34" spans="1:10" x14ac:dyDescent="0.25">
      <c r="A34">
        <v>9</v>
      </c>
      <c r="B34" s="32" t="s">
        <v>59</v>
      </c>
      <c r="C34" s="2" t="s">
        <v>60</v>
      </c>
      <c r="D34" s="4" t="s">
        <v>356</v>
      </c>
      <c r="E34" s="3">
        <v>41943</v>
      </c>
      <c r="F34" s="124">
        <v>41957</v>
      </c>
      <c r="G34" s="124">
        <v>42206</v>
      </c>
      <c r="H34" s="8">
        <v>342.49</v>
      </c>
      <c r="J34" s="284"/>
    </row>
    <row r="35" spans="1:10" x14ac:dyDescent="0.25">
      <c r="B35" s="36" t="s">
        <v>87</v>
      </c>
      <c r="C35" s="14" t="s">
        <v>88</v>
      </c>
      <c r="D35" s="15" t="s">
        <v>143</v>
      </c>
      <c r="E35" s="16">
        <v>41432</v>
      </c>
      <c r="F35" s="86">
        <v>41444</v>
      </c>
      <c r="G35" s="86">
        <v>41688</v>
      </c>
      <c r="H35" s="17">
        <v>352.68</v>
      </c>
      <c r="J35" s="283">
        <v>12</v>
      </c>
    </row>
    <row r="36" spans="1:10" x14ac:dyDescent="0.25">
      <c r="B36" s="36" t="s">
        <v>87</v>
      </c>
      <c r="C36" s="14" t="s">
        <v>88</v>
      </c>
      <c r="D36" s="15" t="s">
        <v>238</v>
      </c>
      <c r="E36" s="16">
        <v>41677</v>
      </c>
      <c r="F36" s="86">
        <v>41688</v>
      </c>
      <c r="G36" s="86">
        <v>41940</v>
      </c>
      <c r="H36" s="17">
        <v>368.32</v>
      </c>
      <c r="J36" s="284"/>
    </row>
    <row r="37" spans="1:10" x14ac:dyDescent="0.25">
      <c r="B37" s="36" t="s">
        <v>87</v>
      </c>
      <c r="C37" s="14" t="s">
        <v>88</v>
      </c>
      <c r="D37" s="15" t="s">
        <v>238</v>
      </c>
      <c r="E37" s="16">
        <v>41677</v>
      </c>
      <c r="F37" s="86">
        <v>41688</v>
      </c>
      <c r="G37" s="86">
        <v>41940</v>
      </c>
      <c r="H37" s="17">
        <v>368.32</v>
      </c>
      <c r="J37" s="284"/>
    </row>
    <row r="38" spans="1:10" x14ac:dyDescent="0.25">
      <c r="A38">
        <v>10</v>
      </c>
      <c r="B38" s="36" t="s">
        <v>87</v>
      </c>
      <c r="C38" s="14" t="s">
        <v>88</v>
      </c>
      <c r="D38" s="15" t="s">
        <v>340</v>
      </c>
      <c r="E38" s="16">
        <v>41928</v>
      </c>
      <c r="F38" s="86">
        <v>41940</v>
      </c>
      <c r="G38" s="86">
        <v>42195</v>
      </c>
      <c r="H38" s="17">
        <v>406.39</v>
      </c>
      <c r="J38" s="284"/>
    </row>
    <row r="39" spans="1:10" x14ac:dyDescent="0.25">
      <c r="B39" s="35" t="s">
        <v>121</v>
      </c>
      <c r="C39" s="5" t="s">
        <v>122</v>
      </c>
      <c r="D39" s="6" t="s">
        <v>169</v>
      </c>
      <c r="E39" s="7"/>
      <c r="F39" s="86">
        <v>41473</v>
      </c>
      <c r="G39" s="86">
        <v>41740</v>
      </c>
      <c r="H39" s="9">
        <v>302.92</v>
      </c>
      <c r="J39" s="283">
        <v>12</v>
      </c>
    </row>
    <row r="40" spans="1:10" x14ac:dyDescent="0.25">
      <c r="B40" s="35" t="s">
        <v>121</v>
      </c>
      <c r="C40" s="5" t="s">
        <v>122</v>
      </c>
      <c r="D40" s="6" t="s">
        <v>271</v>
      </c>
      <c r="E40" s="7">
        <v>41729</v>
      </c>
      <c r="F40" s="86">
        <v>41740</v>
      </c>
      <c r="G40" s="86">
        <v>41943</v>
      </c>
      <c r="H40" s="9">
        <v>309.64</v>
      </c>
      <c r="J40" s="284"/>
    </row>
    <row r="41" spans="1:10" x14ac:dyDescent="0.25">
      <c r="B41" s="35" t="s">
        <v>121</v>
      </c>
      <c r="C41" s="5" t="s">
        <v>122</v>
      </c>
      <c r="D41" s="6" t="s">
        <v>271</v>
      </c>
      <c r="E41" s="7">
        <v>41729</v>
      </c>
      <c r="F41" s="86">
        <v>41740</v>
      </c>
      <c r="G41" s="86">
        <v>41943</v>
      </c>
      <c r="H41" s="9">
        <v>309.64</v>
      </c>
      <c r="J41" s="284"/>
    </row>
    <row r="42" spans="1:10" x14ac:dyDescent="0.25">
      <c r="A42">
        <v>11</v>
      </c>
      <c r="B42" s="35" t="s">
        <v>121</v>
      </c>
      <c r="C42" s="5" t="s">
        <v>122</v>
      </c>
      <c r="D42" s="6" t="s">
        <v>347</v>
      </c>
      <c r="E42" s="7">
        <v>41933</v>
      </c>
      <c r="F42" s="86">
        <v>41943</v>
      </c>
      <c r="G42" s="86">
        <v>42177</v>
      </c>
      <c r="H42" s="9">
        <v>330.22</v>
      </c>
      <c r="J42" s="284"/>
    </row>
    <row r="43" spans="1:10" x14ac:dyDescent="0.25">
      <c r="B43" s="95" t="s">
        <v>155</v>
      </c>
      <c r="C43" s="14" t="s">
        <v>205</v>
      </c>
      <c r="D43" s="15" t="s">
        <v>161</v>
      </c>
      <c r="E43" s="16">
        <v>41470</v>
      </c>
      <c r="F43" s="86">
        <v>41481</v>
      </c>
      <c r="G43" s="86">
        <v>41816</v>
      </c>
      <c r="H43" s="17">
        <v>139.21</v>
      </c>
      <c r="J43" s="283">
        <v>12</v>
      </c>
    </row>
    <row r="44" spans="1:10" x14ac:dyDescent="0.25">
      <c r="A44">
        <v>12</v>
      </c>
      <c r="B44" s="95" t="s">
        <v>155</v>
      </c>
      <c r="C44" s="14" t="s">
        <v>205</v>
      </c>
      <c r="D44" s="15" t="s">
        <v>291</v>
      </c>
      <c r="E44" s="16">
        <v>41785</v>
      </c>
      <c r="F44" s="86">
        <v>41816</v>
      </c>
      <c r="G44" s="86">
        <v>42055</v>
      </c>
      <c r="H44" s="17">
        <v>194.52</v>
      </c>
      <c r="J44" s="284"/>
    </row>
    <row r="45" spans="1:10" x14ac:dyDescent="0.25">
      <c r="A45">
        <v>13</v>
      </c>
      <c r="B45" s="48" t="s">
        <v>315</v>
      </c>
      <c r="C45" s="49" t="s">
        <v>92</v>
      </c>
      <c r="D45" s="90" t="s">
        <v>341</v>
      </c>
      <c r="E45" s="91">
        <v>41918</v>
      </c>
      <c r="F45" s="127">
        <v>41928</v>
      </c>
      <c r="G45" s="127">
        <v>42192</v>
      </c>
      <c r="H45" s="92">
        <v>194</v>
      </c>
      <c r="J45" s="136">
        <v>2.5</v>
      </c>
    </row>
    <row r="46" spans="1:10" x14ac:dyDescent="0.25">
      <c r="B46" s="48" t="s">
        <v>10</v>
      </c>
      <c r="C46" s="49" t="s">
        <v>11</v>
      </c>
      <c r="D46" s="50" t="s">
        <v>175</v>
      </c>
      <c r="E46" s="51">
        <v>41516</v>
      </c>
      <c r="F46" s="86">
        <v>41537</v>
      </c>
      <c r="G46" s="86">
        <v>41733</v>
      </c>
      <c r="H46" s="53">
        <v>235.03</v>
      </c>
      <c r="J46" s="283">
        <v>12</v>
      </c>
    </row>
    <row r="47" spans="1:10" x14ac:dyDescent="0.25">
      <c r="B47" s="48" t="s">
        <v>10</v>
      </c>
      <c r="C47" s="49" t="s">
        <v>11</v>
      </c>
      <c r="D47" s="50" t="s">
        <v>258</v>
      </c>
      <c r="E47" s="51">
        <v>41723</v>
      </c>
      <c r="F47" s="86">
        <v>41733</v>
      </c>
      <c r="G47" s="86">
        <v>41934</v>
      </c>
      <c r="H47" s="53">
        <v>244.98</v>
      </c>
      <c r="J47" s="284"/>
    </row>
    <row r="48" spans="1:10" x14ac:dyDescent="0.25">
      <c r="B48" s="48" t="s">
        <v>10</v>
      </c>
      <c r="C48" s="49" t="s">
        <v>11</v>
      </c>
      <c r="D48" s="50" t="s">
        <v>258</v>
      </c>
      <c r="E48" s="51">
        <v>41723</v>
      </c>
      <c r="F48" s="86">
        <v>41733</v>
      </c>
      <c r="G48" s="86">
        <v>41934</v>
      </c>
      <c r="H48" s="53">
        <v>244.98</v>
      </c>
      <c r="J48" s="284"/>
    </row>
    <row r="49" spans="1:10" x14ac:dyDescent="0.25">
      <c r="A49">
        <v>14</v>
      </c>
      <c r="B49" s="48" t="s">
        <v>10</v>
      </c>
      <c r="C49" s="49" t="s">
        <v>11</v>
      </c>
      <c r="D49" s="50" t="s">
        <v>336</v>
      </c>
      <c r="E49" s="51">
        <v>41925</v>
      </c>
      <c r="F49" s="86">
        <v>41934</v>
      </c>
      <c r="G49" s="86">
        <v>42194</v>
      </c>
      <c r="H49" s="53">
        <v>275.08999999999997</v>
      </c>
      <c r="J49" s="284"/>
    </row>
    <row r="50" spans="1:10" x14ac:dyDescent="0.25">
      <c r="B50" s="48" t="s">
        <v>103</v>
      </c>
      <c r="C50" s="49" t="s">
        <v>104</v>
      </c>
      <c r="D50" s="50" t="s">
        <v>179</v>
      </c>
      <c r="E50" s="51">
        <v>41515</v>
      </c>
      <c r="F50" s="86">
        <v>41527</v>
      </c>
      <c r="G50" s="86">
        <v>41753</v>
      </c>
      <c r="H50" s="52">
        <v>406.86</v>
      </c>
      <c r="J50" s="283">
        <v>8</v>
      </c>
    </row>
    <row r="51" spans="1:10" x14ac:dyDescent="0.25">
      <c r="B51" s="48" t="s">
        <v>103</v>
      </c>
      <c r="C51" s="49" t="s">
        <v>104</v>
      </c>
      <c r="D51" s="50" t="s">
        <v>270</v>
      </c>
      <c r="E51" s="51">
        <v>41725</v>
      </c>
      <c r="F51" s="86">
        <v>41753</v>
      </c>
      <c r="G51" s="86">
        <v>41879</v>
      </c>
      <c r="H51" s="52">
        <v>285.01</v>
      </c>
      <c r="J51" s="284"/>
    </row>
    <row r="52" spans="1:10" x14ac:dyDescent="0.25">
      <c r="A52">
        <v>15</v>
      </c>
      <c r="B52" s="48" t="s">
        <v>103</v>
      </c>
      <c r="C52" s="49" t="s">
        <v>104</v>
      </c>
      <c r="D52" s="50" t="s">
        <v>270</v>
      </c>
      <c r="E52" s="51">
        <v>41725</v>
      </c>
      <c r="F52" s="86">
        <v>41753</v>
      </c>
      <c r="G52" s="86">
        <v>41879</v>
      </c>
      <c r="H52" s="52">
        <v>285.01</v>
      </c>
      <c r="J52" s="284"/>
    </row>
    <row r="53" spans="1:10" x14ac:dyDescent="0.25">
      <c r="B53" s="48" t="s">
        <v>225</v>
      </c>
      <c r="C53" s="49" t="s">
        <v>226</v>
      </c>
      <c r="D53" s="90" t="s">
        <v>237</v>
      </c>
      <c r="E53" s="91">
        <v>41670</v>
      </c>
      <c r="F53" s="127">
        <v>41688</v>
      </c>
      <c r="G53" s="127">
        <v>41943</v>
      </c>
      <c r="H53" s="92">
        <v>180.96</v>
      </c>
      <c r="J53" s="283">
        <v>12</v>
      </c>
    </row>
    <row r="54" spans="1:10" x14ac:dyDescent="0.25">
      <c r="B54" s="48" t="s">
        <v>225</v>
      </c>
      <c r="C54" s="49" t="s">
        <v>226</v>
      </c>
      <c r="D54" s="90" t="s">
        <v>237</v>
      </c>
      <c r="E54" s="91">
        <v>41670</v>
      </c>
      <c r="F54" s="127">
        <v>41688</v>
      </c>
      <c r="G54" s="127">
        <v>41943</v>
      </c>
      <c r="H54" s="92">
        <v>180.96</v>
      </c>
      <c r="J54" s="284"/>
    </row>
    <row r="55" spans="1:10" x14ac:dyDescent="0.25">
      <c r="A55" t="s">
        <v>411</v>
      </c>
      <c r="B55" s="48" t="s">
        <v>225</v>
      </c>
      <c r="C55" s="49" t="s">
        <v>226</v>
      </c>
      <c r="D55" s="90" t="s">
        <v>342</v>
      </c>
      <c r="E55" s="91">
        <v>41933</v>
      </c>
      <c r="F55" s="127">
        <v>41943</v>
      </c>
      <c r="G55" s="127"/>
      <c r="H55" s="92">
        <v>224.82</v>
      </c>
      <c r="J55" s="284"/>
    </row>
    <row r="56" spans="1:10" x14ac:dyDescent="0.25">
      <c r="B56" s="22" t="s">
        <v>93</v>
      </c>
      <c r="C56" s="19" t="s">
        <v>94</v>
      </c>
      <c r="D56" s="25" t="s">
        <v>139</v>
      </c>
      <c r="E56" s="26">
        <v>41423</v>
      </c>
      <c r="F56" s="86">
        <v>41424</v>
      </c>
      <c r="G56" s="86">
        <v>41656</v>
      </c>
      <c r="H56" s="28">
        <v>169.8</v>
      </c>
      <c r="J56" s="283">
        <v>12</v>
      </c>
    </row>
    <row r="57" spans="1:10" x14ac:dyDescent="0.25">
      <c r="B57" s="22" t="s">
        <v>93</v>
      </c>
      <c r="C57" s="19" t="s">
        <v>94</v>
      </c>
      <c r="D57" s="25" t="s">
        <v>230</v>
      </c>
      <c r="E57" s="26">
        <v>41606</v>
      </c>
      <c r="F57" s="86">
        <v>41656</v>
      </c>
      <c r="G57" s="86">
        <v>41898</v>
      </c>
      <c r="H57" s="28">
        <v>171.07</v>
      </c>
      <c r="J57" s="284"/>
    </row>
    <row r="58" spans="1:10" ht="15.75" thickBot="1" x14ac:dyDescent="0.3">
      <c r="A58">
        <v>16</v>
      </c>
      <c r="B58" s="110" t="s">
        <v>93</v>
      </c>
      <c r="C58" s="111" t="s">
        <v>94</v>
      </c>
      <c r="D58" s="114" t="s">
        <v>319</v>
      </c>
      <c r="E58" s="116">
        <v>41880</v>
      </c>
      <c r="F58" s="128">
        <v>41898</v>
      </c>
      <c r="G58" s="128">
        <v>42143</v>
      </c>
      <c r="H58" s="120">
        <v>163.44999999999999</v>
      </c>
      <c r="J58" s="284"/>
    </row>
    <row r="59" spans="1:10" x14ac:dyDescent="0.25">
      <c r="A59">
        <v>17</v>
      </c>
      <c r="B59" s="48" t="s">
        <v>101</v>
      </c>
      <c r="C59" s="49" t="s">
        <v>56</v>
      </c>
      <c r="D59" s="50" t="s">
        <v>174</v>
      </c>
      <c r="E59" s="51">
        <v>41516</v>
      </c>
      <c r="F59" s="86">
        <v>41527</v>
      </c>
      <c r="G59" s="86">
        <v>41740</v>
      </c>
      <c r="H59" s="53">
        <v>192.7</v>
      </c>
      <c r="J59" s="136">
        <v>4.5</v>
      </c>
    </row>
    <row r="60" spans="1:10" x14ac:dyDescent="0.25">
      <c r="A60">
        <v>18</v>
      </c>
      <c r="B60" s="37" t="s">
        <v>316</v>
      </c>
      <c r="C60" s="38" t="s">
        <v>94</v>
      </c>
      <c r="D60" s="77" t="s">
        <v>334</v>
      </c>
      <c r="E60" s="78">
        <v>41914</v>
      </c>
      <c r="F60" s="127">
        <v>41922</v>
      </c>
      <c r="G60" s="127">
        <v>42185</v>
      </c>
      <c r="H60" s="79">
        <v>194</v>
      </c>
      <c r="J60" s="136">
        <v>2.5</v>
      </c>
    </row>
    <row r="61" spans="1:10" x14ac:dyDescent="0.25">
      <c r="B61" s="35" t="s">
        <v>70</v>
      </c>
      <c r="C61" s="5" t="s">
        <v>71</v>
      </c>
      <c r="D61" s="6" t="s">
        <v>128</v>
      </c>
      <c r="E61" s="7">
        <v>41410</v>
      </c>
      <c r="F61" s="86">
        <v>41415</v>
      </c>
      <c r="G61" s="86">
        <v>41691</v>
      </c>
      <c r="H61" s="9">
        <v>226.48</v>
      </c>
      <c r="J61" s="283">
        <v>12</v>
      </c>
    </row>
    <row r="62" spans="1:10" x14ac:dyDescent="0.25">
      <c r="B62" s="35" t="s">
        <v>70</v>
      </c>
      <c r="C62" s="5" t="s">
        <v>71</v>
      </c>
      <c r="D62" s="6" t="s">
        <v>251</v>
      </c>
      <c r="E62" s="7">
        <v>41639</v>
      </c>
      <c r="F62" s="86">
        <v>41691</v>
      </c>
      <c r="G62" s="86">
        <v>41912</v>
      </c>
      <c r="H62" s="9">
        <v>262.83999999999997</v>
      </c>
      <c r="J62" s="284"/>
    </row>
    <row r="63" spans="1:10" x14ac:dyDescent="0.25">
      <c r="A63">
        <v>19</v>
      </c>
      <c r="B63" s="35" t="s">
        <v>70</v>
      </c>
      <c r="C63" s="5" t="s">
        <v>71</v>
      </c>
      <c r="D63" s="6" t="s">
        <v>325</v>
      </c>
      <c r="E63" s="7">
        <v>41900</v>
      </c>
      <c r="F63" s="86">
        <v>41912</v>
      </c>
      <c r="G63" s="86">
        <v>42174</v>
      </c>
      <c r="H63" s="9">
        <v>217.6</v>
      </c>
      <c r="J63" s="284"/>
    </row>
    <row r="64" spans="1:10" x14ac:dyDescent="0.25">
      <c r="B64" s="36" t="s">
        <v>61</v>
      </c>
      <c r="C64" s="14" t="s">
        <v>62</v>
      </c>
      <c r="D64" s="15" t="s">
        <v>208</v>
      </c>
      <c r="E64" s="16">
        <v>41547</v>
      </c>
      <c r="F64" s="86">
        <v>41583</v>
      </c>
      <c r="G64" s="86">
        <v>41821</v>
      </c>
      <c r="H64" s="17">
        <v>298.12</v>
      </c>
      <c r="J64" s="283">
        <v>12</v>
      </c>
    </row>
    <row r="65" spans="1:10" x14ac:dyDescent="0.25">
      <c r="A65">
        <v>20</v>
      </c>
      <c r="B65" s="36" t="s">
        <v>61</v>
      </c>
      <c r="C65" s="14" t="s">
        <v>62</v>
      </c>
      <c r="D65" s="15" t="s">
        <v>293</v>
      </c>
      <c r="E65" s="16">
        <v>41809</v>
      </c>
      <c r="F65" s="86">
        <v>41821</v>
      </c>
      <c r="G65" s="86">
        <v>42157</v>
      </c>
      <c r="H65" s="17">
        <v>407.78</v>
      </c>
      <c r="J65" s="284"/>
    </row>
    <row r="66" spans="1:10" x14ac:dyDescent="0.25">
      <c r="B66" s="36" t="s">
        <v>85</v>
      </c>
      <c r="C66" s="14" t="s">
        <v>86</v>
      </c>
      <c r="D66" s="15" t="s">
        <v>140</v>
      </c>
      <c r="E66" s="16">
        <v>41411</v>
      </c>
      <c r="F66" s="86">
        <v>41424</v>
      </c>
      <c r="G66" s="86">
        <v>41674</v>
      </c>
      <c r="H66" s="17">
        <v>234.28</v>
      </c>
      <c r="J66" s="283">
        <v>12</v>
      </c>
    </row>
    <row r="67" spans="1:10" x14ac:dyDescent="0.25">
      <c r="B67" s="36" t="s">
        <v>85</v>
      </c>
      <c r="C67" s="14" t="s">
        <v>86</v>
      </c>
      <c r="D67" s="15" t="s">
        <v>232</v>
      </c>
      <c r="E67" s="16">
        <v>41639</v>
      </c>
      <c r="F67" s="86">
        <v>41674</v>
      </c>
      <c r="G67" s="86">
        <v>41906</v>
      </c>
      <c r="H67" s="17">
        <v>224</v>
      </c>
      <c r="J67" s="284"/>
    </row>
    <row r="68" spans="1:10" x14ac:dyDescent="0.25">
      <c r="A68">
        <v>21</v>
      </c>
      <c r="B68" s="36" t="s">
        <v>85</v>
      </c>
      <c r="C68" s="14" t="s">
        <v>86</v>
      </c>
      <c r="D68" s="15" t="s">
        <v>322</v>
      </c>
      <c r="E68" s="16">
        <v>41880</v>
      </c>
      <c r="F68" s="86">
        <v>41906</v>
      </c>
      <c r="G68" s="86">
        <v>42153</v>
      </c>
      <c r="H68" s="17">
        <v>251.84</v>
      </c>
      <c r="J68" s="284"/>
    </row>
    <row r="69" spans="1:10" x14ac:dyDescent="0.25">
      <c r="B69" s="37" t="s">
        <v>105</v>
      </c>
      <c r="C69" s="38" t="s">
        <v>106</v>
      </c>
      <c r="D69" s="39" t="s">
        <v>149</v>
      </c>
      <c r="E69" s="40">
        <v>41425</v>
      </c>
      <c r="F69" s="86">
        <v>41446</v>
      </c>
      <c r="G69" s="86">
        <v>41688</v>
      </c>
      <c r="H69" s="41">
        <v>280.83999999999997</v>
      </c>
      <c r="J69" s="283">
        <v>12</v>
      </c>
    </row>
    <row r="70" spans="1:10" x14ac:dyDescent="0.25">
      <c r="B70" s="37" t="s">
        <v>241</v>
      </c>
      <c r="C70" s="38" t="s">
        <v>106</v>
      </c>
      <c r="D70" s="39" t="s">
        <v>242</v>
      </c>
      <c r="E70" s="40">
        <v>41676</v>
      </c>
      <c r="F70" s="86">
        <v>41688</v>
      </c>
      <c r="G70" s="86">
        <v>41831</v>
      </c>
      <c r="H70" s="41">
        <v>345.42</v>
      </c>
      <c r="J70" s="284"/>
    </row>
    <row r="71" spans="1:10" x14ac:dyDescent="0.25">
      <c r="B71" s="37" t="s">
        <v>241</v>
      </c>
      <c r="C71" s="38" t="s">
        <v>106</v>
      </c>
      <c r="D71" s="39" t="s">
        <v>242</v>
      </c>
      <c r="E71" s="40">
        <v>41676</v>
      </c>
      <c r="F71" s="86">
        <v>41688</v>
      </c>
      <c r="G71" s="86">
        <v>41831</v>
      </c>
      <c r="H71" s="41">
        <v>345.42</v>
      </c>
      <c r="J71" s="284"/>
    </row>
    <row r="72" spans="1:10" x14ac:dyDescent="0.25">
      <c r="A72">
        <v>22</v>
      </c>
      <c r="B72" s="37" t="s">
        <v>241</v>
      </c>
      <c r="C72" s="38" t="s">
        <v>106</v>
      </c>
      <c r="D72" s="39" t="s">
        <v>297</v>
      </c>
      <c r="E72" s="40">
        <v>41820</v>
      </c>
      <c r="F72" s="86">
        <v>41831</v>
      </c>
      <c r="G72" s="86">
        <v>42101</v>
      </c>
      <c r="H72" s="41">
        <v>268.37</v>
      </c>
      <c r="J72" s="284"/>
    </row>
    <row r="73" spans="1:10" x14ac:dyDescent="0.25">
      <c r="B73" s="22" t="s">
        <v>95</v>
      </c>
      <c r="C73" s="19" t="s">
        <v>96</v>
      </c>
      <c r="D73" s="25" t="s">
        <v>145</v>
      </c>
      <c r="E73" s="26">
        <v>41425</v>
      </c>
      <c r="F73" s="86">
        <v>41446</v>
      </c>
      <c r="G73" s="86">
        <v>41698</v>
      </c>
      <c r="H73" s="28">
        <v>251.44</v>
      </c>
      <c r="J73" s="283">
        <v>12</v>
      </c>
    </row>
    <row r="74" spans="1:10" x14ac:dyDescent="0.25">
      <c r="B74" s="22" t="s">
        <v>95</v>
      </c>
      <c r="C74" s="19" t="s">
        <v>96</v>
      </c>
      <c r="D74" s="25" t="s">
        <v>240</v>
      </c>
      <c r="E74" s="26">
        <v>41670</v>
      </c>
      <c r="F74" s="86">
        <v>41698</v>
      </c>
      <c r="G74" s="86">
        <v>41943</v>
      </c>
      <c r="H74" s="28">
        <v>254.11</v>
      </c>
      <c r="J74" s="284"/>
    </row>
    <row r="75" spans="1:10" x14ac:dyDescent="0.25">
      <c r="B75" s="22" t="s">
        <v>95</v>
      </c>
      <c r="C75" s="19" t="s">
        <v>96</v>
      </c>
      <c r="D75" s="25" t="s">
        <v>240</v>
      </c>
      <c r="E75" s="26">
        <v>41670</v>
      </c>
      <c r="F75" s="86">
        <v>41698</v>
      </c>
      <c r="G75" s="86">
        <v>41943</v>
      </c>
      <c r="H75" s="28">
        <v>254.11</v>
      </c>
      <c r="J75" s="284"/>
    </row>
    <row r="76" spans="1:10" x14ac:dyDescent="0.25">
      <c r="A76">
        <v>23</v>
      </c>
      <c r="B76" s="22" t="s">
        <v>95</v>
      </c>
      <c r="C76" s="19" t="s">
        <v>96</v>
      </c>
      <c r="D76" s="25" t="s">
        <v>346</v>
      </c>
      <c r="E76" s="26">
        <v>41933</v>
      </c>
      <c r="F76" s="86">
        <v>41943</v>
      </c>
      <c r="G76" s="86">
        <v>42202</v>
      </c>
      <c r="H76" s="28">
        <v>224.82</v>
      </c>
      <c r="J76" s="284"/>
    </row>
    <row r="77" spans="1:10" x14ac:dyDescent="0.25">
      <c r="B77" s="37" t="s">
        <v>223</v>
      </c>
      <c r="C77" s="38" t="s">
        <v>224</v>
      </c>
      <c r="D77" s="77" t="s">
        <v>256</v>
      </c>
      <c r="E77" s="78">
        <v>41696</v>
      </c>
      <c r="F77" s="127">
        <v>41716</v>
      </c>
      <c r="G77" s="127">
        <v>41968</v>
      </c>
      <c r="H77" s="79">
        <v>218.81</v>
      </c>
      <c r="J77" s="283">
        <v>9</v>
      </c>
    </row>
    <row r="78" spans="1:10" x14ac:dyDescent="0.25">
      <c r="B78" s="37" t="s">
        <v>223</v>
      </c>
      <c r="C78" s="38" t="s">
        <v>224</v>
      </c>
      <c r="D78" s="77" t="s">
        <v>256</v>
      </c>
      <c r="E78" s="78">
        <v>41696</v>
      </c>
      <c r="F78" s="127">
        <v>41716</v>
      </c>
      <c r="G78" s="127">
        <v>41968</v>
      </c>
      <c r="H78" s="79">
        <v>218.81</v>
      </c>
      <c r="J78" s="284"/>
    </row>
    <row r="79" spans="1:10" x14ac:dyDescent="0.25">
      <c r="A79">
        <v>24</v>
      </c>
      <c r="B79" s="37" t="s">
        <v>223</v>
      </c>
      <c r="C79" s="38" t="s">
        <v>224</v>
      </c>
      <c r="D79" s="77" t="s">
        <v>357</v>
      </c>
      <c r="E79" s="78">
        <v>41943</v>
      </c>
      <c r="F79" s="127">
        <v>41968</v>
      </c>
      <c r="G79" s="127">
        <v>42213</v>
      </c>
      <c r="H79" s="79">
        <v>231.68</v>
      </c>
      <c r="J79" s="284"/>
    </row>
    <row r="80" spans="1:10" x14ac:dyDescent="0.25">
      <c r="A80">
        <v>25</v>
      </c>
      <c r="B80" s="85" t="s">
        <v>78</v>
      </c>
      <c r="C80" s="19" t="s">
        <v>79</v>
      </c>
      <c r="D80" s="25" t="s">
        <v>372</v>
      </c>
      <c r="E80" s="26">
        <v>41999</v>
      </c>
      <c r="F80" s="86">
        <v>42026</v>
      </c>
      <c r="G80" s="86">
        <v>42293</v>
      </c>
      <c r="H80" s="28">
        <v>301.55</v>
      </c>
      <c r="J80" s="136">
        <v>0</v>
      </c>
    </row>
    <row r="81" spans="1:10" x14ac:dyDescent="0.25">
      <c r="B81" s="36" t="s">
        <v>107</v>
      </c>
      <c r="C81" s="14" t="s">
        <v>108</v>
      </c>
      <c r="D81" s="15" t="s">
        <v>185</v>
      </c>
      <c r="E81" s="16">
        <v>41527</v>
      </c>
      <c r="F81" s="86">
        <v>41534</v>
      </c>
      <c r="G81" s="86">
        <v>41709</v>
      </c>
      <c r="H81" s="17">
        <v>398.77</v>
      </c>
      <c r="J81" s="283">
        <v>12</v>
      </c>
    </row>
    <row r="82" spans="1:10" x14ac:dyDescent="0.25">
      <c r="B82" s="36" t="s">
        <v>107</v>
      </c>
      <c r="C82" s="14" t="s">
        <v>108</v>
      </c>
      <c r="D82" s="15" t="s">
        <v>249</v>
      </c>
      <c r="E82" s="16">
        <v>41670</v>
      </c>
      <c r="F82" s="86">
        <v>41709</v>
      </c>
      <c r="G82" s="86">
        <v>41905</v>
      </c>
      <c r="H82" s="17">
        <v>366.16</v>
      </c>
      <c r="J82" s="284"/>
    </row>
    <row r="83" spans="1:10" x14ac:dyDescent="0.25">
      <c r="B83" s="36" t="s">
        <v>107</v>
      </c>
      <c r="C83" s="14" t="s">
        <v>108</v>
      </c>
      <c r="D83" s="11" t="s">
        <v>249</v>
      </c>
      <c r="E83" s="16">
        <v>41670</v>
      </c>
      <c r="F83" s="86">
        <v>41709</v>
      </c>
      <c r="G83" s="86">
        <v>41905</v>
      </c>
      <c r="H83" s="17">
        <v>366.16</v>
      </c>
      <c r="J83" s="284"/>
    </row>
    <row r="84" spans="1:10" x14ac:dyDescent="0.25">
      <c r="A84">
        <v>26</v>
      </c>
      <c r="B84" s="36" t="s">
        <v>107</v>
      </c>
      <c r="C84" s="14" t="s">
        <v>108</v>
      </c>
      <c r="D84" s="15" t="s">
        <v>323</v>
      </c>
      <c r="E84" s="16">
        <v>41893</v>
      </c>
      <c r="F84" s="86">
        <v>41905</v>
      </c>
      <c r="G84" s="86">
        <v>42108</v>
      </c>
      <c r="H84" s="17">
        <v>403.26</v>
      </c>
      <c r="J84" s="284"/>
    </row>
    <row r="85" spans="1:10" x14ac:dyDescent="0.25">
      <c r="A85">
        <v>27</v>
      </c>
      <c r="B85" s="37" t="s">
        <v>307</v>
      </c>
      <c r="C85" s="38" t="s">
        <v>308</v>
      </c>
      <c r="D85" s="77" t="s">
        <v>326</v>
      </c>
      <c r="E85" s="78">
        <v>41904</v>
      </c>
      <c r="F85" s="127">
        <v>41915</v>
      </c>
      <c r="G85" s="127">
        <v>42160</v>
      </c>
      <c r="H85" s="79">
        <v>168.9</v>
      </c>
      <c r="J85" s="136">
        <v>3</v>
      </c>
    </row>
    <row r="86" spans="1:10" x14ac:dyDescent="0.25">
      <c r="B86" s="48" t="s">
        <v>4</v>
      </c>
      <c r="C86" s="49" t="s">
        <v>5</v>
      </c>
      <c r="D86" s="50" t="s">
        <v>196</v>
      </c>
      <c r="E86" s="51">
        <v>41547</v>
      </c>
      <c r="F86" s="86">
        <v>41562</v>
      </c>
      <c r="G86" s="86">
        <v>41816</v>
      </c>
      <c r="H86" s="53">
        <v>249.01</v>
      </c>
      <c r="J86" s="283">
        <v>12</v>
      </c>
    </row>
    <row r="87" spans="1:10" x14ac:dyDescent="0.25">
      <c r="A87">
        <v>28</v>
      </c>
      <c r="B87" s="48" t="s">
        <v>4</v>
      </c>
      <c r="C87" s="49" t="s">
        <v>5</v>
      </c>
      <c r="D87" s="50" t="s">
        <v>294</v>
      </c>
      <c r="E87" s="51">
        <v>41787</v>
      </c>
      <c r="F87" s="86">
        <v>41816</v>
      </c>
      <c r="G87" s="86">
        <v>42031</v>
      </c>
      <c r="H87" s="53">
        <v>238.33</v>
      </c>
      <c r="J87" s="284"/>
    </row>
    <row r="88" spans="1:10" x14ac:dyDescent="0.25">
      <c r="B88" s="22" t="s">
        <v>109</v>
      </c>
      <c r="C88" s="19" t="s">
        <v>110</v>
      </c>
      <c r="D88" s="25" t="s">
        <v>209</v>
      </c>
      <c r="E88" s="26">
        <v>41575</v>
      </c>
      <c r="F88" s="86">
        <v>41586</v>
      </c>
      <c r="G88" s="86">
        <v>41838</v>
      </c>
      <c r="H88" s="28">
        <v>311.41000000000003</v>
      </c>
      <c r="J88" s="283">
        <v>12</v>
      </c>
    </row>
    <row r="89" spans="1:10" x14ac:dyDescent="0.25">
      <c r="A89">
        <v>29</v>
      </c>
      <c r="B89" s="22" t="s">
        <v>109</v>
      </c>
      <c r="C89" s="19" t="s">
        <v>110</v>
      </c>
      <c r="D89" s="25" t="s">
        <v>311</v>
      </c>
      <c r="E89" s="26">
        <v>41827</v>
      </c>
      <c r="F89" s="86">
        <v>41838</v>
      </c>
      <c r="G89" s="86">
        <v>42097</v>
      </c>
      <c r="H89" s="28">
        <v>317.42</v>
      </c>
      <c r="J89" s="284"/>
    </row>
    <row r="90" spans="1:10" x14ac:dyDescent="0.25">
      <c r="B90" s="36" t="s">
        <v>45</v>
      </c>
      <c r="C90" s="14" t="s">
        <v>46</v>
      </c>
      <c r="D90" s="15" t="s">
        <v>212</v>
      </c>
      <c r="E90" s="16">
        <v>41564</v>
      </c>
      <c r="F90" s="86">
        <v>41583</v>
      </c>
      <c r="G90" s="86">
        <v>41899</v>
      </c>
      <c r="H90" s="17">
        <v>163.52000000000001</v>
      </c>
      <c r="J90" s="283">
        <v>12</v>
      </c>
    </row>
    <row r="91" spans="1:10" x14ac:dyDescent="0.25">
      <c r="A91">
        <v>30</v>
      </c>
      <c r="B91" s="36" t="s">
        <v>45</v>
      </c>
      <c r="C91" s="14" t="s">
        <v>46</v>
      </c>
      <c r="D91" s="15" t="s">
        <v>324</v>
      </c>
      <c r="E91" s="16">
        <v>41880</v>
      </c>
      <c r="F91" s="86">
        <v>41899</v>
      </c>
      <c r="G91" s="86">
        <v>42153</v>
      </c>
      <c r="H91" s="17">
        <v>194</v>
      </c>
      <c r="J91" s="284"/>
    </row>
    <row r="92" spans="1:10" x14ac:dyDescent="0.25">
      <c r="B92" s="35" t="s">
        <v>13</v>
      </c>
      <c r="C92" s="5" t="s">
        <v>14</v>
      </c>
      <c r="D92" s="24" t="s">
        <v>189</v>
      </c>
      <c r="E92" s="7">
        <v>41486</v>
      </c>
      <c r="F92" s="86">
        <v>41548</v>
      </c>
      <c r="G92" s="86">
        <v>41810</v>
      </c>
      <c r="H92" s="9">
        <v>241.94</v>
      </c>
      <c r="J92" s="283">
        <v>12</v>
      </c>
    </row>
    <row r="93" spans="1:10" x14ac:dyDescent="0.25">
      <c r="A93">
        <v>31</v>
      </c>
      <c r="B93" s="35" t="s">
        <v>13</v>
      </c>
      <c r="C93" s="5" t="s">
        <v>14</v>
      </c>
      <c r="D93" s="24" t="s">
        <v>289</v>
      </c>
      <c r="E93" s="7">
        <v>41800</v>
      </c>
      <c r="F93" s="86">
        <v>41810</v>
      </c>
      <c r="G93" s="86">
        <v>42076</v>
      </c>
      <c r="H93" s="9">
        <v>244.14</v>
      </c>
      <c r="J93" s="284"/>
    </row>
    <row r="94" spans="1:10" x14ac:dyDescent="0.25">
      <c r="B94" s="36" t="s">
        <v>80</v>
      </c>
      <c r="C94" s="14" t="s">
        <v>81</v>
      </c>
      <c r="D94" s="15" t="s">
        <v>127</v>
      </c>
      <c r="E94" s="16">
        <v>41389</v>
      </c>
      <c r="F94" s="86">
        <v>41401</v>
      </c>
      <c r="G94" s="86">
        <v>41663</v>
      </c>
      <c r="H94" s="17">
        <v>173.53</v>
      </c>
      <c r="J94" s="283">
        <v>12</v>
      </c>
    </row>
    <row r="95" spans="1:10" x14ac:dyDescent="0.25">
      <c r="B95" s="36" t="s">
        <v>80</v>
      </c>
      <c r="C95" s="14" t="s">
        <v>81</v>
      </c>
      <c r="D95" s="15" t="s">
        <v>231</v>
      </c>
      <c r="E95" s="16">
        <v>41653</v>
      </c>
      <c r="F95" s="86">
        <v>41663</v>
      </c>
      <c r="G95" s="86">
        <v>41929</v>
      </c>
      <c r="H95" s="17">
        <v>185.77</v>
      </c>
      <c r="J95" s="284"/>
    </row>
    <row r="96" spans="1:10" x14ac:dyDescent="0.25">
      <c r="B96" s="36" t="s">
        <v>80</v>
      </c>
      <c r="C96" s="14" t="s">
        <v>81</v>
      </c>
      <c r="D96" s="15" t="s">
        <v>231</v>
      </c>
      <c r="E96" s="16">
        <v>41653</v>
      </c>
      <c r="F96" s="86">
        <v>41663</v>
      </c>
      <c r="G96" s="86">
        <v>41929</v>
      </c>
      <c r="H96" s="17">
        <v>185.77</v>
      </c>
      <c r="J96" s="284"/>
    </row>
    <row r="97" spans="1:10" x14ac:dyDescent="0.25">
      <c r="A97">
        <v>32</v>
      </c>
      <c r="B97" s="36" t="s">
        <v>80</v>
      </c>
      <c r="C97" s="14" t="s">
        <v>81</v>
      </c>
      <c r="D97" s="15" t="s">
        <v>337</v>
      </c>
      <c r="E97" s="16">
        <v>41918</v>
      </c>
      <c r="F97" s="86">
        <v>41929</v>
      </c>
      <c r="G97" s="86">
        <v>42118</v>
      </c>
      <c r="H97" s="17">
        <v>194.59</v>
      </c>
      <c r="J97" s="284"/>
    </row>
    <row r="98" spans="1:10" x14ac:dyDescent="0.25">
      <c r="B98" s="35" t="s">
        <v>43</v>
      </c>
      <c r="C98" s="5" t="s">
        <v>44</v>
      </c>
      <c r="D98" s="6" t="s">
        <v>204</v>
      </c>
      <c r="E98" s="7">
        <v>41561</v>
      </c>
      <c r="F98" s="86">
        <v>41569</v>
      </c>
      <c r="G98" s="86">
        <v>41835</v>
      </c>
      <c r="H98" s="9">
        <v>235.94</v>
      </c>
      <c r="J98" s="283">
        <v>12</v>
      </c>
    </row>
    <row r="99" spans="1:10" x14ac:dyDescent="0.25">
      <c r="A99">
        <v>33</v>
      </c>
      <c r="B99" s="32" t="s">
        <v>43</v>
      </c>
      <c r="C99" s="2" t="s">
        <v>44</v>
      </c>
      <c r="D99" s="4" t="s">
        <v>299</v>
      </c>
      <c r="E99" s="3">
        <v>41820</v>
      </c>
      <c r="F99" s="124">
        <v>41835</v>
      </c>
      <c r="G99" s="124">
        <v>42111</v>
      </c>
      <c r="H99" s="8">
        <v>244.27</v>
      </c>
      <c r="J99" s="284"/>
    </row>
    <row r="100" spans="1:10" x14ac:dyDescent="0.25">
      <c r="B100" s="60" t="s">
        <v>89</v>
      </c>
      <c r="C100" s="59" t="s">
        <v>90</v>
      </c>
      <c r="D100" s="54" t="s">
        <v>162</v>
      </c>
      <c r="E100" s="62">
        <v>41470</v>
      </c>
      <c r="F100" s="124">
        <v>41486</v>
      </c>
      <c r="G100" s="124">
        <v>41726</v>
      </c>
      <c r="H100" s="65">
        <v>229.45</v>
      </c>
      <c r="J100" s="283">
        <v>12</v>
      </c>
    </row>
    <row r="101" spans="1:10" x14ac:dyDescent="0.25">
      <c r="B101" s="60" t="s">
        <v>89</v>
      </c>
      <c r="C101" s="59" t="s">
        <v>90</v>
      </c>
      <c r="D101" s="54" t="s">
        <v>257</v>
      </c>
      <c r="E101" s="62">
        <v>41715</v>
      </c>
      <c r="F101" s="124">
        <v>41726</v>
      </c>
      <c r="G101" s="124">
        <v>41978</v>
      </c>
      <c r="H101" s="65">
        <v>213.85</v>
      </c>
      <c r="J101" s="284"/>
    </row>
    <row r="102" spans="1:10" x14ac:dyDescent="0.25">
      <c r="B102" s="48" t="s">
        <v>89</v>
      </c>
      <c r="C102" s="49" t="s">
        <v>90</v>
      </c>
      <c r="D102" s="50" t="s">
        <v>257</v>
      </c>
      <c r="E102" s="51">
        <v>41715</v>
      </c>
      <c r="F102" s="86">
        <v>41726</v>
      </c>
      <c r="G102" s="86">
        <v>41978</v>
      </c>
      <c r="H102" s="52">
        <v>213.85</v>
      </c>
      <c r="J102" s="284"/>
    </row>
    <row r="103" spans="1:10" x14ac:dyDescent="0.25">
      <c r="A103">
        <v>34</v>
      </c>
      <c r="B103" s="48" t="s">
        <v>89</v>
      </c>
      <c r="C103" s="49" t="s">
        <v>90</v>
      </c>
      <c r="D103" s="50" t="s">
        <v>358</v>
      </c>
      <c r="E103" s="51">
        <v>41967</v>
      </c>
      <c r="F103" s="86">
        <v>41978</v>
      </c>
      <c r="G103" s="86">
        <v>42181</v>
      </c>
      <c r="H103" s="52">
        <v>214.58</v>
      </c>
      <c r="J103" s="284"/>
    </row>
    <row r="104" spans="1:10" x14ac:dyDescent="0.25">
      <c r="A104">
        <v>35</v>
      </c>
      <c r="B104" s="48" t="s">
        <v>119</v>
      </c>
      <c r="C104" s="49" t="s">
        <v>120</v>
      </c>
      <c r="D104" s="50" t="s">
        <v>164</v>
      </c>
      <c r="E104" s="51">
        <v>41485</v>
      </c>
      <c r="F104" s="86">
        <v>41500</v>
      </c>
      <c r="G104" s="86">
        <v>41774</v>
      </c>
      <c r="H104" s="52">
        <v>219.05</v>
      </c>
      <c r="J104" s="136">
        <v>5.5</v>
      </c>
    </row>
    <row r="105" spans="1:10" x14ac:dyDescent="0.25">
      <c r="A105">
        <v>36</v>
      </c>
      <c r="B105" s="21" t="s">
        <v>343</v>
      </c>
      <c r="C105" s="29" t="s">
        <v>344</v>
      </c>
      <c r="D105" s="55" t="s">
        <v>377</v>
      </c>
      <c r="E105" s="57">
        <v>41999</v>
      </c>
      <c r="F105" s="125">
        <v>42024</v>
      </c>
      <c r="G105" s="125">
        <v>42244</v>
      </c>
      <c r="H105" s="58">
        <v>190.25</v>
      </c>
      <c r="J105" s="136">
        <v>0</v>
      </c>
    </row>
    <row r="106" spans="1:10" x14ac:dyDescent="0.25">
      <c r="B106" s="36" t="s">
        <v>57</v>
      </c>
      <c r="C106" s="14" t="s">
        <v>58</v>
      </c>
      <c r="D106" s="15" t="s">
        <v>157</v>
      </c>
      <c r="E106" s="16">
        <v>41456</v>
      </c>
      <c r="F106" s="86">
        <v>41464</v>
      </c>
      <c r="G106" s="86">
        <v>41642</v>
      </c>
      <c r="H106" s="18">
        <v>372.81</v>
      </c>
      <c r="J106" s="283">
        <v>12</v>
      </c>
    </row>
    <row r="107" spans="1:10" x14ac:dyDescent="0.25">
      <c r="B107" s="10" t="s">
        <v>57</v>
      </c>
      <c r="C107" s="10" t="s">
        <v>58</v>
      </c>
      <c r="D107" s="11" t="s">
        <v>229</v>
      </c>
      <c r="E107" s="12">
        <v>41625</v>
      </c>
      <c r="F107" s="124">
        <v>41642</v>
      </c>
      <c r="G107" s="124">
        <v>41803</v>
      </c>
      <c r="H107" s="27">
        <v>289.13</v>
      </c>
      <c r="J107" s="284"/>
    </row>
    <row r="108" spans="1:10" x14ac:dyDescent="0.25">
      <c r="B108" s="10" t="s">
        <v>57</v>
      </c>
      <c r="C108" s="10" t="s">
        <v>58</v>
      </c>
      <c r="D108" s="11" t="s">
        <v>292</v>
      </c>
      <c r="E108" s="12">
        <v>41787</v>
      </c>
      <c r="F108" s="124">
        <v>41803</v>
      </c>
      <c r="G108" s="124">
        <v>41968</v>
      </c>
      <c r="H108" s="27">
        <v>288.64</v>
      </c>
      <c r="J108" s="284"/>
    </row>
    <row r="109" spans="1:10" x14ac:dyDescent="0.25">
      <c r="B109" s="10" t="s">
        <v>57</v>
      </c>
      <c r="C109" s="10" t="s">
        <v>58</v>
      </c>
      <c r="D109" s="11" t="s">
        <v>292</v>
      </c>
      <c r="E109" s="12">
        <v>41787</v>
      </c>
      <c r="F109" s="124">
        <v>41803</v>
      </c>
      <c r="G109" s="124">
        <v>41968</v>
      </c>
      <c r="H109" s="27">
        <v>288.64</v>
      </c>
      <c r="J109" s="284"/>
    </row>
    <row r="110" spans="1:10" x14ac:dyDescent="0.25">
      <c r="A110">
        <v>37</v>
      </c>
      <c r="B110" s="10" t="s">
        <v>57</v>
      </c>
      <c r="C110" s="10" t="s">
        <v>58</v>
      </c>
      <c r="D110" s="11" t="s">
        <v>360</v>
      </c>
      <c r="E110" s="12">
        <v>41943</v>
      </c>
      <c r="F110" s="124">
        <v>41968</v>
      </c>
      <c r="G110" s="124">
        <v>42206</v>
      </c>
      <c r="H110" s="27">
        <v>330.29</v>
      </c>
      <c r="J110" s="284"/>
    </row>
    <row r="111" spans="1:10" x14ac:dyDescent="0.25">
      <c r="B111" s="59" t="s">
        <v>111</v>
      </c>
      <c r="C111" s="59" t="s">
        <v>112</v>
      </c>
      <c r="D111" s="54" t="s">
        <v>206</v>
      </c>
      <c r="E111" s="62">
        <v>41541</v>
      </c>
      <c r="F111" s="124">
        <v>41550</v>
      </c>
      <c r="G111" s="124">
        <v>41683</v>
      </c>
      <c r="H111" s="65">
        <v>236.18</v>
      </c>
      <c r="J111" s="283">
        <v>12</v>
      </c>
    </row>
    <row r="112" spans="1:10" x14ac:dyDescent="0.25">
      <c r="B112" s="59" t="s">
        <v>111</v>
      </c>
      <c r="C112" s="59" t="s">
        <v>112</v>
      </c>
      <c r="D112" s="54" t="s">
        <v>236</v>
      </c>
      <c r="E112" s="62">
        <v>41673</v>
      </c>
      <c r="F112" s="124">
        <v>41683</v>
      </c>
      <c r="G112" s="124">
        <v>41845</v>
      </c>
      <c r="H112" s="65">
        <v>279.16000000000003</v>
      </c>
      <c r="J112" s="284"/>
    </row>
    <row r="113" spans="1:10" x14ac:dyDescent="0.25">
      <c r="B113" s="59" t="s">
        <v>111</v>
      </c>
      <c r="C113" s="59" t="s">
        <v>112</v>
      </c>
      <c r="D113" s="54" t="s">
        <v>236</v>
      </c>
      <c r="E113" s="62">
        <v>41673</v>
      </c>
      <c r="F113" s="124">
        <v>41683</v>
      </c>
      <c r="G113" s="124">
        <v>41845</v>
      </c>
      <c r="H113" s="65">
        <v>279.16000000000003</v>
      </c>
      <c r="J113" s="284"/>
    </row>
    <row r="114" spans="1:10" x14ac:dyDescent="0.25">
      <c r="A114" t="s">
        <v>411</v>
      </c>
      <c r="B114" s="81" t="s">
        <v>111</v>
      </c>
      <c r="C114" s="81" t="s">
        <v>112</v>
      </c>
      <c r="D114" s="113" t="s">
        <v>304</v>
      </c>
      <c r="E114" s="93">
        <v>41820</v>
      </c>
      <c r="F114" s="129">
        <v>41845</v>
      </c>
      <c r="G114" s="129"/>
      <c r="H114" s="119">
        <v>481.36</v>
      </c>
      <c r="J114" s="284"/>
    </row>
    <row r="115" spans="1:10" x14ac:dyDescent="0.25">
      <c r="A115" t="s">
        <v>411</v>
      </c>
      <c r="B115" s="59" t="s">
        <v>17</v>
      </c>
      <c r="C115" s="59" t="s">
        <v>18</v>
      </c>
      <c r="D115" s="54" t="s">
        <v>165</v>
      </c>
      <c r="E115" s="62">
        <v>41493</v>
      </c>
      <c r="F115" s="124">
        <v>41499</v>
      </c>
      <c r="G115" s="124">
        <v>41716</v>
      </c>
      <c r="H115" s="64">
        <v>192.1</v>
      </c>
      <c r="J115" s="283">
        <v>12</v>
      </c>
    </row>
    <row r="116" spans="1:10" x14ac:dyDescent="0.25">
      <c r="B116" s="59" t="s">
        <v>17</v>
      </c>
      <c r="C116" s="59" t="s">
        <v>18</v>
      </c>
      <c r="D116" s="54" t="s">
        <v>254</v>
      </c>
      <c r="E116" s="62">
        <v>41696</v>
      </c>
      <c r="F116" s="124">
        <v>41716</v>
      </c>
      <c r="G116" s="124">
        <v>41915</v>
      </c>
      <c r="H116" s="64">
        <v>230.71</v>
      </c>
      <c r="J116" s="284"/>
    </row>
    <row r="117" spans="1:10" x14ac:dyDescent="0.25">
      <c r="B117" s="49" t="s">
        <v>17</v>
      </c>
      <c r="C117" s="49" t="s">
        <v>18</v>
      </c>
      <c r="D117" s="50" t="s">
        <v>254</v>
      </c>
      <c r="E117" s="51">
        <v>41696</v>
      </c>
      <c r="F117" s="86">
        <v>41716</v>
      </c>
      <c r="G117" s="86">
        <v>41915</v>
      </c>
      <c r="H117" s="53">
        <v>230.71</v>
      </c>
      <c r="J117" s="284"/>
    </row>
    <row r="118" spans="1:10" x14ac:dyDescent="0.25">
      <c r="B118" s="60" t="s">
        <v>17</v>
      </c>
      <c r="C118" s="59" t="s">
        <v>18</v>
      </c>
      <c r="D118" s="54" t="s">
        <v>327</v>
      </c>
      <c r="E118" s="62">
        <v>41904</v>
      </c>
      <c r="F118" s="124">
        <v>41915</v>
      </c>
      <c r="G118" s="124"/>
      <c r="H118" s="64"/>
      <c r="J118" s="284"/>
    </row>
    <row r="119" spans="1:10" x14ac:dyDescent="0.25">
      <c r="B119" s="60" t="s">
        <v>82</v>
      </c>
      <c r="C119" s="59" t="s">
        <v>83</v>
      </c>
      <c r="D119" s="54" t="s">
        <v>142</v>
      </c>
      <c r="E119" s="62">
        <v>41425</v>
      </c>
      <c r="F119" s="124">
        <v>41439</v>
      </c>
      <c r="G119" s="124">
        <v>41744</v>
      </c>
      <c r="H119" s="64">
        <v>220.93</v>
      </c>
      <c r="J119" s="283">
        <v>12</v>
      </c>
    </row>
    <row r="120" spans="1:10" x14ac:dyDescent="0.25">
      <c r="B120" s="60" t="s">
        <v>82</v>
      </c>
      <c r="C120" s="59" t="s">
        <v>83</v>
      </c>
      <c r="D120" s="54" t="s">
        <v>279</v>
      </c>
      <c r="E120" s="62">
        <v>41729</v>
      </c>
      <c r="F120" s="124">
        <v>41744</v>
      </c>
      <c r="G120" s="124">
        <v>41996</v>
      </c>
      <c r="H120" s="64">
        <v>221.59</v>
      </c>
      <c r="J120" s="284"/>
    </row>
    <row r="121" spans="1:10" x14ac:dyDescent="0.25">
      <c r="B121" s="60" t="s">
        <v>82</v>
      </c>
      <c r="C121" s="59" t="s">
        <v>83</v>
      </c>
      <c r="D121" s="54" t="s">
        <v>279</v>
      </c>
      <c r="E121" s="62">
        <v>41729</v>
      </c>
      <c r="F121" s="124">
        <v>41744</v>
      </c>
      <c r="G121" s="124">
        <v>41996</v>
      </c>
      <c r="H121" s="64">
        <v>221.59</v>
      </c>
      <c r="J121" s="284"/>
    </row>
    <row r="122" spans="1:10" x14ac:dyDescent="0.25">
      <c r="A122">
        <v>38</v>
      </c>
      <c r="B122" s="60" t="s">
        <v>82</v>
      </c>
      <c r="C122" s="59" t="s">
        <v>83</v>
      </c>
      <c r="D122" s="54" t="s">
        <v>366</v>
      </c>
      <c r="E122" s="62">
        <v>41971</v>
      </c>
      <c r="F122" s="124">
        <v>41996</v>
      </c>
      <c r="G122" s="124">
        <v>42276</v>
      </c>
      <c r="H122" s="64">
        <v>223.42</v>
      </c>
      <c r="J122" s="284"/>
    </row>
    <row r="123" spans="1:10" x14ac:dyDescent="0.25">
      <c r="A123">
        <v>39</v>
      </c>
      <c r="B123" s="60" t="s">
        <v>20</v>
      </c>
      <c r="C123" s="59" t="s">
        <v>21</v>
      </c>
      <c r="D123" s="54" t="s">
        <v>214</v>
      </c>
      <c r="E123" s="62">
        <v>41547</v>
      </c>
      <c r="F123" s="124">
        <v>41562</v>
      </c>
      <c r="G123" s="124">
        <v>41772</v>
      </c>
      <c r="H123" s="64">
        <v>186.84</v>
      </c>
      <c r="J123" s="136">
        <v>5.5</v>
      </c>
    </row>
    <row r="124" spans="1:10" x14ac:dyDescent="0.25">
      <c r="A124" t="s">
        <v>411</v>
      </c>
      <c r="B124" s="60" t="s">
        <v>35</v>
      </c>
      <c r="C124" s="59" t="s">
        <v>36</v>
      </c>
      <c r="D124" s="54" t="s">
        <v>187</v>
      </c>
      <c r="E124" s="62">
        <v>41486</v>
      </c>
      <c r="F124" s="124">
        <v>41523</v>
      </c>
      <c r="G124" s="124">
        <v>41786</v>
      </c>
      <c r="H124" s="64">
        <v>236.8</v>
      </c>
      <c r="J124" s="136">
        <v>12</v>
      </c>
    </row>
    <row r="125" spans="1:10" x14ac:dyDescent="0.25">
      <c r="B125" s="33" t="s">
        <v>33</v>
      </c>
      <c r="C125" s="10" t="s">
        <v>34</v>
      </c>
      <c r="D125" s="11" t="s">
        <v>180</v>
      </c>
      <c r="E125" s="12">
        <v>41516</v>
      </c>
      <c r="F125" s="124">
        <v>41534</v>
      </c>
      <c r="G125" s="124">
        <v>41740</v>
      </c>
      <c r="H125" s="13">
        <v>308.77999999999997</v>
      </c>
      <c r="J125" s="283">
        <v>12</v>
      </c>
    </row>
    <row r="126" spans="1:10" x14ac:dyDescent="0.25">
      <c r="B126" s="33" t="s">
        <v>33</v>
      </c>
      <c r="C126" s="10" t="s">
        <v>34</v>
      </c>
      <c r="D126" s="11" t="s">
        <v>269</v>
      </c>
      <c r="E126" s="12">
        <v>41730</v>
      </c>
      <c r="F126" s="124">
        <v>41740</v>
      </c>
      <c r="G126" s="124">
        <v>41922</v>
      </c>
      <c r="H126" s="13">
        <v>346.19</v>
      </c>
      <c r="J126" s="284"/>
    </row>
    <row r="127" spans="1:10" x14ac:dyDescent="0.25">
      <c r="B127" s="33" t="s">
        <v>33</v>
      </c>
      <c r="C127" s="10" t="s">
        <v>34</v>
      </c>
      <c r="D127" s="11" t="s">
        <v>269</v>
      </c>
      <c r="E127" s="12">
        <v>41730</v>
      </c>
      <c r="F127" s="124">
        <v>41740</v>
      </c>
      <c r="G127" s="124">
        <v>41922</v>
      </c>
      <c r="H127" s="13">
        <v>346.19</v>
      </c>
      <c r="J127" s="284"/>
    </row>
    <row r="128" spans="1:10" x14ac:dyDescent="0.25">
      <c r="A128">
        <v>40</v>
      </c>
      <c r="B128" s="33" t="s">
        <v>33</v>
      </c>
      <c r="C128" s="10" t="s">
        <v>34</v>
      </c>
      <c r="D128" s="11" t="s">
        <v>335</v>
      </c>
      <c r="E128" s="12">
        <v>41912</v>
      </c>
      <c r="F128" s="124">
        <v>41922</v>
      </c>
      <c r="G128" s="124">
        <v>42094</v>
      </c>
      <c r="H128" s="13">
        <v>412</v>
      </c>
      <c r="J128" s="284"/>
    </row>
    <row r="129" spans="1:10" x14ac:dyDescent="0.25">
      <c r="B129" s="60" t="s">
        <v>215</v>
      </c>
      <c r="C129" s="59" t="s">
        <v>216</v>
      </c>
      <c r="D129" s="54" t="s">
        <v>233</v>
      </c>
      <c r="E129" s="62">
        <v>41660</v>
      </c>
      <c r="F129" s="124">
        <v>41677</v>
      </c>
      <c r="G129" s="124">
        <v>41929</v>
      </c>
      <c r="H129" s="64">
        <v>224.02</v>
      </c>
      <c r="J129" s="283">
        <v>11</v>
      </c>
    </row>
    <row r="130" spans="1:10" x14ac:dyDescent="0.25">
      <c r="B130" s="60" t="s">
        <v>215</v>
      </c>
      <c r="C130" s="59" t="s">
        <v>216</v>
      </c>
      <c r="D130" s="54" t="s">
        <v>233</v>
      </c>
      <c r="E130" s="62">
        <v>41660</v>
      </c>
      <c r="F130" s="124">
        <v>41677</v>
      </c>
      <c r="G130" s="124">
        <v>41929</v>
      </c>
      <c r="H130" s="64">
        <v>224.02</v>
      </c>
      <c r="J130" s="284"/>
    </row>
    <row r="131" spans="1:10" x14ac:dyDescent="0.25">
      <c r="B131" s="60" t="s">
        <v>215</v>
      </c>
      <c r="C131" s="59" t="s">
        <v>216</v>
      </c>
      <c r="D131" s="54" t="s">
        <v>338</v>
      </c>
      <c r="E131" s="62">
        <v>41912</v>
      </c>
      <c r="F131" s="124">
        <v>41929</v>
      </c>
      <c r="G131" s="124">
        <v>42178</v>
      </c>
      <c r="H131" s="64">
        <v>240.65</v>
      </c>
      <c r="J131" s="284"/>
    </row>
    <row r="132" spans="1:10" x14ac:dyDescent="0.25">
      <c r="A132">
        <v>41</v>
      </c>
      <c r="B132" s="60" t="s">
        <v>215</v>
      </c>
      <c r="C132" s="59" t="s">
        <v>216</v>
      </c>
      <c r="D132" s="54"/>
      <c r="E132" s="62"/>
      <c r="F132" s="124">
        <v>41439</v>
      </c>
      <c r="G132" s="124">
        <v>41677</v>
      </c>
      <c r="H132" s="64">
        <v>224.16</v>
      </c>
      <c r="J132" s="284"/>
    </row>
    <row r="133" spans="1:10" x14ac:dyDescent="0.25">
      <c r="B133" s="67" t="s">
        <v>152</v>
      </c>
      <c r="C133" s="68" t="s">
        <v>153</v>
      </c>
      <c r="D133" s="73" t="s">
        <v>154</v>
      </c>
      <c r="E133" s="74">
        <v>41456</v>
      </c>
      <c r="F133" s="124">
        <v>41457</v>
      </c>
      <c r="G133" s="124">
        <v>41726</v>
      </c>
      <c r="H133" s="75">
        <v>147.55000000000001</v>
      </c>
      <c r="J133" s="283">
        <v>12</v>
      </c>
    </row>
    <row r="134" spans="1:10" x14ac:dyDescent="0.25">
      <c r="B134" s="67" t="s">
        <v>152</v>
      </c>
      <c r="C134" s="68" t="s">
        <v>153</v>
      </c>
      <c r="D134" s="73" t="s">
        <v>284</v>
      </c>
      <c r="E134" s="74">
        <v>41758</v>
      </c>
      <c r="F134" s="124">
        <v>41772</v>
      </c>
      <c r="G134" s="124">
        <v>42024</v>
      </c>
      <c r="H134" s="75">
        <v>205.7</v>
      </c>
      <c r="J134" s="284"/>
    </row>
    <row r="135" spans="1:10" x14ac:dyDescent="0.25">
      <c r="A135">
        <v>42</v>
      </c>
      <c r="B135" s="67" t="s">
        <v>152</v>
      </c>
      <c r="C135" s="68" t="s">
        <v>153</v>
      </c>
      <c r="D135" s="73" t="s">
        <v>368</v>
      </c>
      <c r="E135" s="74">
        <v>41999</v>
      </c>
      <c r="F135" s="124">
        <v>42024</v>
      </c>
      <c r="G135" s="124">
        <v>42255</v>
      </c>
      <c r="H135" s="75">
        <v>221.11</v>
      </c>
      <c r="J135" s="284"/>
    </row>
    <row r="136" spans="1:10" x14ac:dyDescent="0.25">
      <c r="A136">
        <v>43</v>
      </c>
      <c r="B136" s="67" t="s">
        <v>259</v>
      </c>
      <c r="C136" s="68" t="s">
        <v>260</v>
      </c>
      <c r="D136" s="69" t="s">
        <v>281</v>
      </c>
      <c r="E136" s="70">
        <v>41766</v>
      </c>
      <c r="F136" s="125">
        <v>41789</v>
      </c>
      <c r="G136" s="125">
        <v>42048</v>
      </c>
      <c r="H136" s="71">
        <v>194.52</v>
      </c>
      <c r="J136" s="136">
        <v>7</v>
      </c>
    </row>
    <row r="137" spans="1:10" x14ac:dyDescent="0.25">
      <c r="B137" s="21" t="s">
        <v>55</v>
      </c>
      <c r="C137" s="29" t="s">
        <v>56</v>
      </c>
      <c r="D137" s="23" t="s">
        <v>177</v>
      </c>
      <c r="E137" s="30" t="s">
        <v>178</v>
      </c>
      <c r="F137" s="124">
        <v>41527</v>
      </c>
      <c r="G137" s="124">
        <v>41775</v>
      </c>
      <c r="H137" s="31">
        <v>264.98</v>
      </c>
      <c r="J137" s="283">
        <v>12</v>
      </c>
    </row>
    <row r="138" spans="1:10" x14ac:dyDescent="0.25">
      <c r="B138" s="21" t="s">
        <v>55</v>
      </c>
      <c r="C138" s="29" t="s">
        <v>56</v>
      </c>
      <c r="D138" s="23" t="s">
        <v>282</v>
      </c>
      <c r="E138" s="30">
        <v>41757</v>
      </c>
      <c r="F138" s="124">
        <v>41775</v>
      </c>
      <c r="G138" s="124">
        <v>42024</v>
      </c>
      <c r="H138" s="31">
        <v>304.44</v>
      </c>
      <c r="J138" s="284"/>
    </row>
    <row r="139" spans="1:10" x14ac:dyDescent="0.25">
      <c r="A139">
        <v>44</v>
      </c>
      <c r="B139" s="21" t="s">
        <v>55</v>
      </c>
      <c r="C139" s="29" t="s">
        <v>56</v>
      </c>
      <c r="D139" s="23" t="s">
        <v>378</v>
      </c>
      <c r="E139" s="30">
        <v>41999</v>
      </c>
      <c r="F139" s="124">
        <v>42024</v>
      </c>
      <c r="G139" s="124">
        <v>42269</v>
      </c>
      <c r="H139" s="31">
        <v>316.43</v>
      </c>
      <c r="J139" s="284"/>
    </row>
    <row r="140" spans="1:10" x14ac:dyDescent="0.25">
      <c r="B140" s="37" t="s">
        <v>22</v>
      </c>
      <c r="C140" s="38" t="s">
        <v>23</v>
      </c>
      <c r="D140" s="39" t="s">
        <v>183</v>
      </c>
      <c r="E140" s="40">
        <v>41495</v>
      </c>
      <c r="F140" s="86">
        <v>41530</v>
      </c>
      <c r="G140" s="86">
        <v>41774</v>
      </c>
      <c r="H140" s="41">
        <v>224.53</v>
      </c>
      <c r="J140" s="283">
        <v>12</v>
      </c>
    </row>
    <row r="141" spans="1:10" x14ac:dyDescent="0.25">
      <c r="B141" s="37" t="s">
        <v>22</v>
      </c>
      <c r="C141" s="38" t="s">
        <v>23</v>
      </c>
      <c r="D141" s="39" t="s">
        <v>273</v>
      </c>
      <c r="E141" s="40">
        <v>41758</v>
      </c>
      <c r="F141" s="86">
        <v>41774</v>
      </c>
      <c r="G141" s="86">
        <v>42034</v>
      </c>
      <c r="H141" s="41">
        <v>276.68</v>
      </c>
      <c r="J141" s="284"/>
    </row>
    <row r="142" spans="1:10" x14ac:dyDescent="0.25">
      <c r="A142">
        <v>45</v>
      </c>
      <c r="B142" s="37" t="s">
        <v>22</v>
      </c>
      <c r="C142" s="38" t="s">
        <v>23</v>
      </c>
      <c r="D142" s="39" t="s">
        <v>374</v>
      </c>
      <c r="E142" s="40">
        <v>41999</v>
      </c>
      <c r="F142" s="86">
        <v>42034</v>
      </c>
      <c r="G142" s="86">
        <v>42272</v>
      </c>
      <c r="H142" s="41">
        <v>271.08</v>
      </c>
      <c r="J142" s="284"/>
    </row>
    <row r="143" spans="1:10" x14ac:dyDescent="0.25">
      <c r="B143" s="22" t="s">
        <v>72</v>
      </c>
      <c r="C143" s="19" t="s">
        <v>73</v>
      </c>
      <c r="D143" s="23" t="s">
        <v>211</v>
      </c>
      <c r="E143" s="30">
        <v>41577</v>
      </c>
      <c r="F143" s="124">
        <v>41593</v>
      </c>
      <c r="G143" s="124">
        <v>41828</v>
      </c>
      <c r="H143" s="31">
        <v>395.76</v>
      </c>
      <c r="J143" s="283">
        <v>12</v>
      </c>
    </row>
    <row r="144" spans="1:10" x14ac:dyDescent="0.25">
      <c r="A144">
        <v>46</v>
      </c>
      <c r="B144" s="22" t="s">
        <v>72</v>
      </c>
      <c r="C144" s="19" t="s">
        <v>73</v>
      </c>
      <c r="D144" s="23" t="s">
        <v>295</v>
      </c>
      <c r="E144" s="30">
        <v>41817</v>
      </c>
      <c r="F144" s="124">
        <v>41828</v>
      </c>
      <c r="G144" s="124">
        <v>42052</v>
      </c>
      <c r="H144" s="31">
        <v>313.57</v>
      </c>
      <c r="J144" s="284"/>
    </row>
    <row r="145" spans="1:10" x14ac:dyDescent="0.25">
      <c r="B145" s="37" t="s">
        <v>218</v>
      </c>
      <c r="C145" s="38" t="s">
        <v>219</v>
      </c>
      <c r="D145" s="39" t="s">
        <v>234</v>
      </c>
      <c r="E145" s="40">
        <v>41666</v>
      </c>
      <c r="F145" s="86">
        <v>41677</v>
      </c>
      <c r="G145" s="86">
        <v>41955</v>
      </c>
      <c r="H145" s="41">
        <v>274.81</v>
      </c>
      <c r="J145" s="283">
        <v>11</v>
      </c>
    </row>
    <row r="146" spans="1:10" x14ac:dyDescent="0.25">
      <c r="B146" s="37" t="s">
        <v>218</v>
      </c>
      <c r="C146" s="38" t="s">
        <v>219</v>
      </c>
      <c r="D146" s="39" t="s">
        <v>234</v>
      </c>
      <c r="E146" s="40">
        <v>41666</v>
      </c>
      <c r="F146" s="86">
        <v>41677</v>
      </c>
      <c r="G146" s="86">
        <v>41955</v>
      </c>
      <c r="H146" s="41">
        <v>274.81</v>
      </c>
      <c r="J146" s="284"/>
    </row>
    <row r="147" spans="1:10" x14ac:dyDescent="0.25">
      <c r="A147">
        <v>47</v>
      </c>
      <c r="B147" s="37" t="s">
        <v>218</v>
      </c>
      <c r="C147" s="38" t="s">
        <v>219</v>
      </c>
      <c r="D147" s="39" t="s">
        <v>349</v>
      </c>
      <c r="E147" s="40">
        <v>41939</v>
      </c>
      <c r="F147" s="86">
        <v>41955</v>
      </c>
      <c r="G147" s="86">
        <v>42202</v>
      </c>
      <c r="H147" s="41">
        <v>258.32</v>
      </c>
      <c r="J147" s="284"/>
    </row>
    <row r="148" spans="1:10" x14ac:dyDescent="0.25">
      <c r="B148" s="48" t="s">
        <v>76</v>
      </c>
      <c r="C148" s="49" t="s">
        <v>77</v>
      </c>
      <c r="D148" s="50" t="s">
        <v>134</v>
      </c>
      <c r="E148" s="51">
        <v>41390</v>
      </c>
      <c r="F148" s="86">
        <v>41407</v>
      </c>
      <c r="G148" s="86">
        <v>41709</v>
      </c>
      <c r="H148" s="53">
        <v>170.59</v>
      </c>
      <c r="J148" s="283">
        <v>4</v>
      </c>
    </row>
    <row r="149" spans="1:10" x14ac:dyDescent="0.25">
      <c r="B149" s="48" t="s">
        <v>76</v>
      </c>
      <c r="C149" s="49" t="s">
        <v>77</v>
      </c>
      <c r="D149" s="50" t="s">
        <v>253</v>
      </c>
      <c r="E149" s="51">
        <v>41696</v>
      </c>
      <c r="F149" s="86">
        <v>41709</v>
      </c>
      <c r="G149" s="86">
        <v>41754</v>
      </c>
      <c r="H149" s="53"/>
      <c r="J149" s="284"/>
    </row>
    <row r="150" spans="1:10" x14ac:dyDescent="0.25">
      <c r="A150">
        <v>48</v>
      </c>
      <c r="B150" s="48" t="s">
        <v>76</v>
      </c>
      <c r="C150" s="49" t="s">
        <v>77</v>
      </c>
      <c r="D150" s="50" t="s">
        <v>253</v>
      </c>
      <c r="E150" s="51">
        <v>41696</v>
      </c>
      <c r="F150" s="86">
        <v>41709</v>
      </c>
      <c r="G150" s="86">
        <v>41754</v>
      </c>
      <c r="H150" s="53"/>
      <c r="J150" s="284"/>
    </row>
    <row r="151" spans="1:10" x14ac:dyDescent="0.25">
      <c r="B151" s="22" t="s">
        <v>50</v>
      </c>
      <c r="C151" s="19" t="s">
        <v>51</v>
      </c>
      <c r="D151" s="25" t="s">
        <v>217</v>
      </c>
      <c r="E151" s="26">
        <v>41592</v>
      </c>
      <c r="F151" s="86">
        <v>41606</v>
      </c>
      <c r="G151" s="86">
        <v>41915</v>
      </c>
      <c r="H151" s="28">
        <v>278.51</v>
      </c>
      <c r="J151" s="283">
        <v>12</v>
      </c>
    </row>
    <row r="152" spans="1:10" x14ac:dyDescent="0.25">
      <c r="A152">
        <v>49</v>
      </c>
      <c r="B152" s="22" t="s">
        <v>50</v>
      </c>
      <c r="C152" s="19" t="s">
        <v>51</v>
      </c>
      <c r="D152" s="25" t="s">
        <v>329</v>
      </c>
      <c r="E152" s="26">
        <v>41904</v>
      </c>
      <c r="F152" s="86">
        <v>41915</v>
      </c>
      <c r="G152" s="86">
        <v>42181</v>
      </c>
      <c r="H152" s="28">
        <v>280.14999999999998</v>
      </c>
      <c r="J152" s="284"/>
    </row>
    <row r="153" spans="1:10" x14ac:dyDescent="0.25">
      <c r="A153">
        <v>50</v>
      </c>
      <c r="B153" s="36" t="s">
        <v>125</v>
      </c>
      <c r="C153" s="14" t="s">
        <v>126</v>
      </c>
      <c r="D153" s="15" t="s">
        <v>283</v>
      </c>
      <c r="E153" s="16">
        <v>41766</v>
      </c>
      <c r="F153" s="86">
        <v>41775</v>
      </c>
      <c r="G153" s="86">
        <v>42052</v>
      </c>
      <c r="H153" s="17">
        <v>214.46</v>
      </c>
      <c r="J153" s="136">
        <v>7.5</v>
      </c>
    </row>
    <row r="154" spans="1:10" x14ac:dyDescent="0.25">
      <c r="B154" s="35" t="s">
        <v>200</v>
      </c>
      <c r="C154" s="5" t="s">
        <v>182</v>
      </c>
      <c r="D154" s="6" t="s">
        <v>193</v>
      </c>
      <c r="E154" s="7">
        <v>41551</v>
      </c>
      <c r="F154" s="86">
        <v>41558</v>
      </c>
      <c r="G154" s="86">
        <v>41824</v>
      </c>
      <c r="H154" s="9">
        <v>189.32</v>
      </c>
      <c r="J154" s="283">
        <v>12</v>
      </c>
    </row>
    <row r="155" spans="1:10" x14ac:dyDescent="0.25">
      <c r="B155" s="35" t="s">
        <v>200</v>
      </c>
      <c r="C155" s="5" t="s">
        <v>182</v>
      </c>
      <c r="D155" s="6" t="s">
        <v>303</v>
      </c>
      <c r="E155" s="7">
        <v>41787</v>
      </c>
      <c r="F155" s="86">
        <v>41824</v>
      </c>
      <c r="G155" s="86">
        <v>42031</v>
      </c>
      <c r="H155" s="9">
        <v>205.15</v>
      </c>
      <c r="J155" s="284"/>
    </row>
    <row r="156" spans="1:10" x14ac:dyDescent="0.25">
      <c r="A156">
        <v>51</v>
      </c>
      <c r="B156" s="35" t="s">
        <v>200</v>
      </c>
      <c r="C156" s="5" t="s">
        <v>182</v>
      </c>
      <c r="D156" s="6" t="s">
        <v>373</v>
      </c>
      <c r="E156" s="7">
        <v>42003</v>
      </c>
      <c r="F156" s="86">
        <v>42031</v>
      </c>
      <c r="G156" s="86">
        <v>42283</v>
      </c>
      <c r="H156" s="9">
        <v>189.83</v>
      </c>
      <c r="J156" s="284"/>
    </row>
    <row r="157" spans="1:10" x14ac:dyDescent="0.25">
      <c r="B157" s="48" t="s">
        <v>246</v>
      </c>
      <c r="C157" s="49" t="s">
        <v>247</v>
      </c>
      <c r="D157" s="90" t="s">
        <v>255</v>
      </c>
      <c r="E157" s="91">
        <v>41698</v>
      </c>
      <c r="F157" s="127">
        <v>41716</v>
      </c>
      <c r="G157" s="127">
        <v>41971</v>
      </c>
      <c r="H157" s="92">
        <v>282.56</v>
      </c>
      <c r="J157" s="283">
        <v>9.5</v>
      </c>
    </row>
    <row r="158" spans="1:10" x14ac:dyDescent="0.25">
      <c r="A158">
        <v>52</v>
      </c>
      <c r="B158" s="48" t="s">
        <v>246</v>
      </c>
      <c r="C158" s="49" t="s">
        <v>247</v>
      </c>
      <c r="D158" s="90" t="s">
        <v>255</v>
      </c>
      <c r="E158" s="91">
        <v>41698</v>
      </c>
      <c r="F158" s="127">
        <v>41716</v>
      </c>
      <c r="G158" s="127">
        <v>41971</v>
      </c>
      <c r="H158" s="92">
        <v>282.56</v>
      </c>
      <c r="J158" s="284"/>
    </row>
    <row r="159" spans="1:10" x14ac:dyDescent="0.25">
      <c r="B159" s="22" t="s">
        <v>243</v>
      </c>
      <c r="C159" s="19" t="s">
        <v>244</v>
      </c>
      <c r="D159" s="43" t="s">
        <v>280</v>
      </c>
      <c r="E159" s="44">
        <v>41747</v>
      </c>
      <c r="F159" s="127">
        <v>41772</v>
      </c>
      <c r="G159" s="127">
        <v>42003</v>
      </c>
      <c r="H159" s="45">
        <v>205.15</v>
      </c>
      <c r="J159" s="283">
        <v>7.5</v>
      </c>
    </row>
    <row r="160" spans="1:10" x14ac:dyDescent="0.25">
      <c r="B160" s="22" t="s">
        <v>243</v>
      </c>
      <c r="C160" s="19" t="s">
        <v>244</v>
      </c>
      <c r="D160" s="43" t="s">
        <v>280</v>
      </c>
      <c r="E160" s="44">
        <v>41747</v>
      </c>
      <c r="F160" s="127">
        <v>41772</v>
      </c>
      <c r="G160" s="127">
        <v>42003</v>
      </c>
      <c r="H160" s="45">
        <v>205.15</v>
      </c>
      <c r="J160" s="284"/>
    </row>
    <row r="161" spans="1:10" ht="15.75" thickBot="1" x14ac:dyDescent="0.3">
      <c r="A161">
        <v>53</v>
      </c>
      <c r="B161" s="22" t="s">
        <v>243</v>
      </c>
      <c r="C161" s="19" t="s">
        <v>244</v>
      </c>
      <c r="D161" s="43" t="s">
        <v>364</v>
      </c>
      <c r="E161" s="44">
        <v>41989</v>
      </c>
      <c r="F161" s="127">
        <v>42003</v>
      </c>
      <c r="G161" s="127">
        <v>42251</v>
      </c>
      <c r="H161" s="45">
        <v>194.39</v>
      </c>
      <c r="J161" s="284"/>
    </row>
    <row r="162" spans="1:10" x14ac:dyDescent="0.25">
      <c r="B162" s="96" t="s">
        <v>201</v>
      </c>
      <c r="C162" s="98" t="s">
        <v>167</v>
      </c>
      <c r="D162" s="101" t="s">
        <v>191</v>
      </c>
      <c r="E162" s="104">
        <v>41541</v>
      </c>
      <c r="F162" s="130">
        <v>41551</v>
      </c>
      <c r="G162" s="130">
        <v>41774</v>
      </c>
      <c r="H162" s="118">
        <v>198.13</v>
      </c>
      <c r="J162" s="283">
        <v>12</v>
      </c>
    </row>
    <row r="163" spans="1:10" x14ac:dyDescent="0.25">
      <c r="B163" s="36" t="s">
        <v>201</v>
      </c>
      <c r="C163" s="14" t="s">
        <v>167</v>
      </c>
      <c r="D163" s="15" t="s">
        <v>274</v>
      </c>
      <c r="E163" s="16">
        <v>41758</v>
      </c>
      <c r="F163" s="86">
        <v>41774</v>
      </c>
      <c r="G163" s="86">
        <v>41922</v>
      </c>
      <c r="H163" s="17">
        <v>201.17</v>
      </c>
      <c r="J163" s="284"/>
    </row>
    <row r="164" spans="1:10" x14ac:dyDescent="0.25">
      <c r="B164" s="97" t="s">
        <v>201</v>
      </c>
      <c r="C164" s="99" t="s">
        <v>167</v>
      </c>
      <c r="D164" s="102" t="s">
        <v>274</v>
      </c>
      <c r="E164" s="105">
        <v>41758</v>
      </c>
      <c r="F164" s="131">
        <v>41774</v>
      </c>
      <c r="G164" s="131">
        <v>41922</v>
      </c>
      <c r="H164" s="108">
        <v>201.17</v>
      </c>
      <c r="J164" s="284"/>
    </row>
    <row r="165" spans="1:10" x14ac:dyDescent="0.25">
      <c r="A165">
        <v>54</v>
      </c>
      <c r="B165" s="36" t="s">
        <v>201</v>
      </c>
      <c r="C165" s="14" t="s">
        <v>167</v>
      </c>
      <c r="D165" s="15" t="s">
        <v>330</v>
      </c>
      <c r="E165" s="16">
        <v>41911</v>
      </c>
      <c r="F165" s="86">
        <v>41922</v>
      </c>
      <c r="G165" s="86">
        <v>42167</v>
      </c>
      <c r="H165" s="17">
        <v>230.06</v>
      </c>
      <c r="J165" s="284"/>
    </row>
    <row r="166" spans="1:10" x14ac:dyDescent="0.25">
      <c r="A166">
        <v>55</v>
      </c>
      <c r="B166" s="48" t="s">
        <v>132</v>
      </c>
      <c r="C166" s="49" t="s">
        <v>133</v>
      </c>
      <c r="D166" s="50" t="s">
        <v>160</v>
      </c>
      <c r="E166" s="51">
        <v>41467</v>
      </c>
      <c r="F166" s="86">
        <v>41481</v>
      </c>
      <c r="G166" s="86">
        <v>41698</v>
      </c>
      <c r="H166" s="53">
        <v>194.9</v>
      </c>
      <c r="J166" s="136">
        <v>2</v>
      </c>
    </row>
    <row r="167" spans="1:10" x14ac:dyDescent="0.25">
      <c r="B167" s="36" t="s">
        <v>97</v>
      </c>
      <c r="C167" s="14" t="s">
        <v>98</v>
      </c>
      <c r="D167" s="15" t="s">
        <v>195</v>
      </c>
      <c r="E167" s="16">
        <v>41543</v>
      </c>
      <c r="F167" s="86">
        <v>41557</v>
      </c>
      <c r="G167" s="86">
        <v>41726</v>
      </c>
      <c r="H167" s="18">
        <v>248.96</v>
      </c>
      <c r="J167" s="283">
        <v>12</v>
      </c>
    </row>
    <row r="168" spans="1:10" x14ac:dyDescent="0.25">
      <c r="B168" s="36" t="s">
        <v>97</v>
      </c>
      <c r="C168" s="14" t="s">
        <v>98</v>
      </c>
      <c r="D168" s="15" t="s">
        <v>262</v>
      </c>
      <c r="E168" s="16">
        <v>41696</v>
      </c>
      <c r="F168" s="86">
        <v>41726</v>
      </c>
      <c r="G168" s="86">
        <v>41863</v>
      </c>
      <c r="H168" s="18">
        <v>310.08999999999997</v>
      </c>
      <c r="J168" s="284"/>
    </row>
    <row r="169" spans="1:10" x14ac:dyDescent="0.25">
      <c r="B169" s="36" t="s">
        <v>97</v>
      </c>
      <c r="C169" s="14" t="s">
        <v>98</v>
      </c>
      <c r="D169" s="15" t="s">
        <v>262</v>
      </c>
      <c r="E169" s="16">
        <v>41696</v>
      </c>
      <c r="F169" s="86">
        <v>41726</v>
      </c>
      <c r="G169" s="86">
        <v>41863</v>
      </c>
      <c r="H169" s="18">
        <v>310.08999999999997</v>
      </c>
      <c r="J169" s="284"/>
    </row>
    <row r="170" spans="1:10" x14ac:dyDescent="0.25">
      <c r="B170" s="36" t="s">
        <v>97</v>
      </c>
      <c r="C170" s="14" t="s">
        <v>98</v>
      </c>
      <c r="D170" s="15" t="s">
        <v>310</v>
      </c>
      <c r="E170" s="16">
        <v>41858</v>
      </c>
      <c r="F170" s="86">
        <v>41863</v>
      </c>
      <c r="G170" s="86">
        <v>42024</v>
      </c>
      <c r="H170" s="18">
        <v>254.35</v>
      </c>
      <c r="J170" s="284"/>
    </row>
    <row r="171" spans="1:10" x14ac:dyDescent="0.25">
      <c r="A171">
        <v>56</v>
      </c>
      <c r="B171" s="36" t="s">
        <v>97</v>
      </c>
      <c r="C171" s="14" t="s">
        <v>98</v>
      </c>
      <c r="D171" s="15" t="s">
        <v>370</v>
      </c>
      <c r="E171" s="16">
        <v>41999</v>
      </c>
      <c r="F171" s="86">
        <v>42024</v>
      </c>
      <c r="G171" s="86">
        <v>42186</v>
      </c>
      <c r="H171" s="18">
        <v>314.33</v>
      </c>
      <c r="J171" s="284"/>
    </row>
    <row r="172" spans="1:10" x14ac:dyDescent="0.25">
      <c r="A172">
        <v>57</v>
      </c>
      <c r="B172" s="22" t="s">
        <v>300</v>
      </c>
      <c r="C172" s="19" t="s">
        <v>301</v>
      </c>
      <c r="D172" s="61" t="s">
        <v>309</v>
      </c>
      <c r="E172" s="63">
        <v>41820</v>
      </c>
      <c r="F172" s="127">
        <v>41859</v>
      </c>
      <c r="G172" s="127">
        <v>42073</v>
      </c>
      <c r="H172" s="66">
        <v>261.18</v>
      </c>
      <c r="J172" s="136">
        <v>5</v>
      </c>
    </row>
    <row r="173" spans="1:10" x14ac:dyDescent="0.25">
      <c r="A173">
        <v>58</v>
      </c>
      <c r="B173" s="37" t="s">
        <v>313</v>
      </c>
      <c r="C173" s="38" t="s">
        <v>314</v>
      </c>
      <c r="D173" s="77" t="s">
        <v>333</v>
      </c>
      <c r="E173" s="78">
        <v>41918</v>
      </c>
      <c r="F173" s="127">
        <v>41928</v>
      </c>
      <c r="G173" s="127">
        <v>42188</v>
      </c>
      <c r="H173" s="79">
        <v>219.58</v>
      </c>
      <c r="J173" s="136">
        <v>2.5</v>
      </c>
    </row>
    <row r="174" spans="1:10" x14ac:dyDescent="0.25">
      <c r="B174" s="22" t="s">
        <v>91</v>
      </c>
      <c r="C174" s="19" t="s">
        <v>92</v>
      </c>
      <c r="D174" s="25" t="s">
        <v>144</v>
      </c>
      <c r="E174" s="26">
        <v>41425</v>
      </c>
      <c r="F174" s="86">
        <v>41439</v>
      </c>
      <c r="G174" s="86">
        <v>41726</v>
      </c>
      <c r="H174" s="28">
        <v>143.63</v>
      </c>
      <c r="J174" s="283">
        <v>6.5</v>
      </c>
    </row>
    <row r="175" spans="1:10" x14ac:dyDescent="0.25">
      <c r="B175" s="22" t="s">
        <v>91</v>
      </c>
      <c r="C175" s="19" t="s">
        <v>92</v>
      </c>
      <c r="D175" s="25" t="s">
        <v>264</v>
      </c>
      <c r="E175" s="26">
        <v>41715</v>
      </c>
      <c r="F175" s="86">
        <v>41726</v>
      </c>
      <c r="G175" s="86">
        <v>41961</v>
      </c>
      <c r="H175" s="28">
        <v>168.91</v>
      </c>
      <c r="J175" s="284"/>
    </row>
    <row r="176" spans="1:10" x14ac:dyDescent="0.25">
      <c r="B176" s="22" t="s">
        <v>91</v>
      </c>
      <c r="C176" s="19" t="s">
        <v>92</v>
      </c>
      <c r="D176" s="25" t="s">
        <v>264</v>
      </c>
      <c r="E176" s="26">
        <v>41715</v>
      </c>
      <c r="F176" s="86">
        <v>41726</v>
      </c>
      <c r="G176" s="86">
        <v>41961</v>
      </c>
      <c r="H176" s="28">
        <v>168.91</v>
      </c>
      <c r="J176" s="284"/>
    </row>
    <row r="177" spans="1:10" x14ac:dyDescent="0.25">
      <c r="A177">
        <v>59</v>
      </c>
      <c r="B177" s="22" t="s">
        <v>91</v>
      </c>
      <c r="C177" s="19" t="s">
        <v>92</v>
      </c>
      <c r="D177" s="25" t="s">
        <v>353</v>
      </c>
      <c r="E177" s="26">
        <v>41943</v>
      </c>
      <c r="F177" s="86">
        <v>41961</v>
      </c>
      <c r="G177" s="86">
        <v>42209</v>
      </c>
      <c r="H177" s="28">
        <v>166.66</v>
      </c>
      <c r="J177" s="284"/>
    </row>
    <row r="178" spans="1:10" x14ac:dyDescent="0.25">
      <c r="B178" s="36" t="s">
        <v>113</v>
      </c>
      <c r="C178" s="14" t="s">
        <v>114</v>
      </c>
      <c r="D178" s="15" t="s">
        <v>192</v>
      </c>
      <c r="E178" s="16">
        <v>41486</v>
      </c>
      <c r="F178" s="86">
        <v>41537</v>
      </c>
      <c r="G178" s="86">
        <v>41758</v>
      </c>
      <c r="H178" s="18">
        <v>222.52</v>
      </c>
      <c r="J178" s="283">
        <v>12</v>
      </c>
    </row>
    <row r="179" spans="1:10" x14ac:dyDescent="0.25">
      <c r="B179" s="36" t="s">
        <v>113</v>
      </c>
      <c r="C179" s="14" t="s">
        <v>114</v>
      </c>
      <c r="D179" s="15" t="s">
        <v>272</v>
      </c>
      <c r="E179" s="16">
        <v>41746</v>
      </c>
      <c r="F179" s="86">
        <v>41758</v>
      </c>
      <c r="G179" s="86">
        <v>42024</v>
      </c>
      <c r="H179" s="18">
        <v>219.71</v>
      </c>
      <c r="J179" s="284"/>
    </row>
    <row r="180" spans="1:10" x14ac:dyDescent="0.25">
      <c r="A180">
        <v>60</v>
      </c>
      <c r="B180" s="36" t="s">
        <v>113</v>
      </c>
      <c r="C180" s="14" t="s">
        <v>114</v>
      </c>
      <c r="D180" s="15" t="s">
        <v>371</v>
      </c>
      <c r="E180" s="16">
        <v>41999</v>
      </c>
      <c r="F180" s="86">
        <v>42024</v>
      </c>
      <c r="G180" s="86">
        <v>42283</v>
      </c>
      <c r="H180" s="18">
        <v>223.13</v>
      </c>
      <c r="J180" s="284"/>
    </row>
    <row r="181" spans="1:10" x14ac:dyDescent="0.25">
      <c r="B181" s="22" t="s">
        <v>41</v>
      </c>
      <c r="C181" s="19" t="s">
        <v>42</v>
      </c>
      <c r="D181" s="25" t="s">
        <v>213</v>
      </c>
      <c r="E181" s="26">
        <v>41576</v>
      </c>
      <c r="F181" s="86">
        <v>41590</v>
      </c>
      <c r="G181" s="86">
        <v>41835</v>
      </c>
      <c r="H181" s="28">
        <v>211.96</v>
      </c>
      <c r="J181" s="283">
        <v>12</v>
      </c>
    </row>
    <row r="182" spans="1:10" x14ac:dyDescent="0.25">
      <c r="A182">
        <v>61</v>
      </c>
      <c r="B182" s="22" t="s">
        <v>41</v>
      </c>
      <c r="C182" s="19" t="s">
        <v>42</v>
      </c>
      <c r="D182" s="25" t="s">
        <v>298</v>
      </c>
      <c r="E182" s="26">
        <v>41820</v>
      </c>
      <c r="F182" s="86">
        <v>41835</v>
      </c>
      <c r="G182" s="86">
        <v>42124</v>
      </c>
      <c r="H182" s="28">
        <v>257.83</v>
      </c>
      <c r="J182" s="284"/>
    </row>
    <row r="183" spans="1:10" x14ac:dyDescent="0.25">
      <c r="B183" s="36" t="s">
        <v>74</v>
      </c>
      <c r="C183" s="14" t="s">
        <v>75</v>
      </c>
      <c r="D183" s="15" t="s">
        <v>138</v>
      </c>
      <c r="E183" s="16">
        <v>41423</v>
      </c>
      <c r="F183" s="86">
        <v>41425</v>
      </c>
      <c r="G183" s="86">
        <v>41737</v>
      </c>
      <c r="H183" s="17">
        <v>372.24</v>
      </c>
      <c r="J183" s="283">
        <v>12</v>
      </c>
    </row>
    <row r="184" spans="1:10" x14ac:dyDescent="0.25">
      <c r="B184" s="36" t="s">
        <v>74</v>
      </c>
      <c r="C184" s="14" t="s">
        <v>75</v>
      </c>
      <c r="D184" s="15" t="s">
        <v>261</v>
      </c>
      <c r="E184" s="16">
        <v>41724</v>
      </c>
      <c r="F184" s="86">
        <v>41737</v>
      </c>
      <c r="G184" s="86">
        <v>41975</v>
      </c>
      <c r="H184" s="17">
        <v>387.79</v>
      </c>
      <c r="J184" s="284"/>
    </row>
    <row r="185" spans="1:10" x14ac:dyDescent="0.25">
      <c r="B185" s="36" t="s">
        <v>74</v>
      </c>
      <c r="C185" s="14" t="s">
        <v>75</v>
      </c>
      <c r="D185" s="15" t="s">
        <v>261</v>
      </c>
      <c r="E185" s="16">
        <v>41724</v>
      </c>
      <c r="F185" s="86">
        <v>41737</v>
      </c>
      <c r="G185" s="86">
        <v>41975</v>
      </c>
      <c r="H185" s="17">
        <v>387.79</v>
      </c>
      <c r="J185" s="284"/>
    </row>
    <row r="186" spans="1:10" x14ac:dyDescent="0.25">
      <c r="A186">
        <v>62</v>
      </c>
      <c r="B186" s="36" t="s">
        <v>74</v>
      </c>
      <c r="C186" s="14" t="s">
        <v>75</v>
      </c>
      <c r="D186" s="15" t="s">
        <v>359</v>
      </c>
      <c r="E186" s="16">
        <v>41942</v>
      </c>
      <c r="F186" s="86">
        <v>41975</v>
      </c>
      <c r="G186" s="86">
        <v>42213</v>
      </c>
      <c r="H186" s="17">
        <v>416.34</v>
      </c>
      <c r="J186" s="284"/>
    </row>
    <row r="187" spans="1:10" x14ac:dyDescent="0.25">
      <c r="A187">
        <v>63</v>
      </c>
      <c r="B187" s="48" t="s">
        <v>123</v>
      </c>
      <c r="C187" s="49" t="s">
        <v>124</v>
      </c>
      <c r="D187" s="50" t="s">
        <v>170</v>
      </c>
      <c r="E187" s="51"/>
      <c r="F187" s="86">
        <v>41471</v>
      </c>
      <c r="G187" s="86">
        <v>41789</v>
      </c>
      <c r="H187" s="53">
        <v>408.16</v>
      </c>
      <c r="J187" s="136">
        <v>5</v>
      </c>
    </row>
    <row r="188" spans="1:10" x14ac:dyDescent="0.25">
      <c r="A188">
        <v>64</v>
      </c>
      <c r="B188" s="48" t="s">
        <v>328</v>
      </c>
      <c r="C188" s="49" t="s">
        <v>90</v>
      </c>
      <c r="D188" s="90" t="s">
        <v>345</v>
      </c>
      <c r="E188" s="91">
        <v>41933</v>
      </c>
      <c r="F188" s="127">
        <v>41943</v>
      </c>
      <c r="G188" s="127">
        <v>42192</v>
      </c>
      <c r="H188" s="92">
        <v>162.66999999999999</v>
      </c>
      <c r="J188" s="136">
        <v>2</v>
      </c>
    </row>
    <row r="189" spans="1:10" x14ac:dyDescent="0.25">
      <c r="B189" s="48" t="s">
        <v>202</v>
      </c>
      <c r="C189" s="49" t="s">
        <v>168</v>
      </c>
      <c r="D189" s="50" t="s">
        <v>190</v>
      </c>
      <c r="E189" s="51">
        <v>41551</v>
      </c>
      <c r="F189" s="86">
        <v>41557</v>
      </c>
      <c r="G189" s="86">
        <v>41807</v>
      </c>
      <c r="H189" s="53">
        <v>135.35</v>
      </c>
      <c r="J189" s="283">
        <v>12</v>
      </c>
    </row>
    <row r="190" spans="1:10" x14ac:dyDescent="0.25">
      <c r="B190" s="48" t="s">
        <v>202</v>
      </c>
      <c r="C190" s="49" t="s">
        <v>168</v>
      </c>
      <c r="D190" s="50" t="s">
        <v>288</v>
      </c>
      <c r="E190" s="51">
        <v>41795</v>
      </c>
      <c r="F190" s="86">
        <v>41807</v>
      </c>
      <c r="G190" s="86">
        <v>42003</v>
      </c>
      <c r="H190" s="53">
        <v>189.26</v>
      </c>
      <c r="J190" s="284"/>
    </row>
    <row r="191" spans="1:10" x14ac:dyDescent="0.25">
      <c r="A191">
        <v>65</v>
      </c>
      <c r="B191" s="48" t="s">
        <v>202</v>
      </c>
      <c r="C191" s="49" t="s">
        <v>168</v>
      </c>
      <c r="D191" s="50" t="s">
        <v>288</v>
      </c>
      <c r="E191" s="51">
        <v>41795</v>
      </c>
      <c r="F191" s="86">
        <v>41807</v>
      </c>
      <c r="G191" s="86">
        <v>42003</v>
      </c>
      <c r="H191" s="53">
        <v>189.26</v>
      </c>
      <c r="J191" s="284"/>
    </row>
    <row r="192" spans="1:10" x14ac:dyDescent="0.25">
      <c r="B192" s="22" t="s">
        <v>115</v>
      </c>
      <c r="C192" s="19" t="s">
        <v>116</v>
      </c>
      <c r="D192" s="25" t="s">
        <v>207</v>
      </c>
      <c r="E192" s="26">
        <v>41561</v>
      </c>
      <c r="F192" s="86">
        <v>41572</v>
      </c>
      <c r="G192" s="86">
        <v>41842</v>
      </c>
      <c r="H192" s="28">
        <v>229.04</v>
      </c>
      <c r="J192" s="283">
        <v>12</v>
      </c>
    </row>
    <row r="193" spans="1:10" x14ac:dyDescent="0.25">
      <c r="A193">
        <v>66</v>
      </c>
      <c r="B193" s="22" t="s">
        <v>115</v>
      </c>
      <c r="C193" s="19" t="s">
        <v>116</v>
      </c>
      <c r="D193" s="25" t="s">
        <v>306</v>
      </c>
      <c r="E193" s="26">
        <v>41820</v>
      </c>
      <c r="F193" s="86">
        <v>41842</v>
      </c>
      <c r="G193" s="86">
        <v>42055</v>
      </c>
      <c r="H193" s="28">
        <v>269.23</v>
      </c>
      <c r="J193" s="284"/>
    </row>
    <row r="194" spans="1:10" x14ac:dyDescent="0.25">
      <c r="B194" s="36" t="s">
        <v>52</v>
      </c>
      <c r="C194" s="14" t="s">
        <v>53</v>
      </c>
      <c r="D194" s="15" t="s">
        <v>222</v>
      </c>
      <c r="E194" s="16">
        <v>41575</v>
      </c>
      <c r="F194" s="86">
        <v>41626</v>
      </c>
      <c r="G194" s="86">
        <v>41842</v>
      </c>
      <c r="H194" s="17">
        <v>167.62</v>
      </c>
      <c r="J194" s="283">
        <v>12</v>
      </c>
    </row>
    <row r="195" spans="1:10" x14ac:dyDescent="0.25">
      <c r="A195">
        <v>67</v>
      </c>
      <c r="B195" s="36" t="s">
        <v>52</v>
      </c>
      <c r="C195" s="14" t="s">
        <v>53</v>
      </c>
      <c r="D195" s="15" t="s">
        <v>302</v>
      </c>
      <c r="E195" s="16">
        <v>41829</v>
      </c>
      <c r="F195" s="86">
        <v>41842</v>
      </c>
      <c r="G195" s="86">
        <v>42104</v>
      </c>
      <c r="H195" s="17">
        <v>189.34</v>
      </c>
      <c r="J195" s="284"/>
    </row>
    <row r="196" spans="1:10" x14ac:dyDescent="0.25">
      <c r="A196">
        <v>68</v>
      </c>
      <c r="B196" s="22" t="s">
        <v>320</v>
      </c>
      <c r="C196" s="19" t="s">
        <v>321</v>
      </c>
      <c r="D196" s="43" t="s">
        <v>355</v>
      </c>
      <c r="E196" s="44">
        <v>41956</v>
      </c>
      <c r="F196" s="127">
        <v>41968</v>
      </c>
      <c r="G196" s="127">
        <v>42216</v>
      </c>
      <c r="H196" s="45">
        <v>334.78</v>
      </c>
      <c r="J196" s="136">
        <v>1</v>
      </c>
    </row>
    <row r="197" spans="1:10" x14ac:dyDescent="0.25">
      <c r="B197" s="37" t="s">
        <v>99</v>
      </c>
      <c r="C197" s="38" t="s">
        <v>14</v>
      </c>
      <c r="D197" s="39" t="s">
        <v>156</v>
      </c>
      <c r="E197" s="40">
        <v>41456</v>
      </c>
      <c r="F197" s="86">
        <v>41460</v>
      </c>
      <c r="G197" s="86">
        <v>41712</v>
      </c>
      <c r="H197" s="106">
        <v>254.99</v>
      </c>
      <c r="J197" s="283">
        <v>12</v>
      </c>
    </row>
    <row r="198" spans="1:10" x14ac:dyDescent="0.25">
      <c r="B198" s="67" t="s">
        <v>99</v>
      </c>
      <c r="C198" s="68" t="s">
        <v>14</v>
      </c>
      <c r="D198" s="73" t="s">
        <v>250</v>
      </c>
      <c r="E198" s="74">
        <v>41696</v>
      </c>
      <c r="F198" s="124">
        <v>41712</v>
      </c>
      <c r="G198" s="124">
        <v>41964</v>
      </c>
      <c r="H198" s="87">
        <v>219.14</v>
      </c>
      <c r="J198" s="284"/>
    </row>
    <row r="199" spans="1:10" x14ac:dyDescent="0.25">
      <c r="B199" s="67" t="s">
        <v>99</v>
      </c>
      <c r="C199" s="68" t="s">
        <v>14</v>
      </c>
      <c r="D199" s="73" t="s">
        <v>250</v>
      </c>
      <c r="E199" s="74">
        <v>41696</v>
      </c>
      <c r="F199" s="124">
        <v>41712</v>
      </c>
      <c r="G199" s="124">
        <v>41964</v>
      </c>
      <c r="H199" s="87">
        <v>219.14</v>
      </c>
      <c r="J199" s="284"/>
    </row>
    <row r="200" spans="1:10" x14ac:dyDescent="0.25">
      <c r="A200">
        <v>69</v>
      </c>
      <c r="B200" s="67" t="s">
        <v>99</v>
      </c>
      <c r="C200" s="68" t="s">
        <v>14</v>
      </c>
      <c r="D200" s="73" t="s">
        <v>351</v>
      </c>
      <c r="E200" s="74">
        <v>41943</v>
      </c>
      <c r="F200" s="124">
        <v>41964</v>
      </c>
      <c r="G200" s="124">
        <v>42195</v>
      </c>
      <c r="H200" s="87">
        <v>301.55</v>
      </c>
      <c r="J200" s="284"/>
    </row>
    <row r="201" spans="1:10" x14ac:dyDescent="0.25">
      <c r="B201" s="22" t="s">
        <v>100</v>
      </c>
      <c r="C201" s="19" t="s">
        <v>51</v>
      </c>
      <c r="D201" s="25" t="s">
        <v>150</v>
      </c>
      <c r="E201" s="26">
        <v>41442</v>
      </c>
      <c r="F201" s="86">
        <v>41453</v>
      </c>
      <c r="G201" s="86">
        <v>41712</v>
      </c>
      <c r="H201" s="28">
        <v>225.66</v>
      </c>
      <c r="J201" s="283">
        <v>12</v>
      </c>
    </row>
    <row r="202" spans="1:10" x14ac:dyDescent="0.25">
      <c r="B202" s="21" t="s">
        <v>100</v>
      </c>
      <c r="C202" s="29" t="s">
        <v>51</v>
      </c>
      <c r="D202" s="23" t="s">
        <v>252</v>
      </c>
      <c r="E202" s="30">
        <v>41703</v>
      </c>
      <c r="F202" s="124">
        <v>41712</v>
      </c>
      <c r="G202" s="124">
        <v>41950</v>
      </c>
      <c r="H202" s="31">
        <v>250.55</v>
      </c>
      <c r="J202" s="284"/>
    </row>
    <row r="203" spans="1:10" x14ac:dyDescent="0.25">
      <c r="B203" s="22" t="s">
        <v>100</v>
      </c>
      <c r="C203" s="19" t="s">
        <v>51</v>
      </c>
      <c r="D203" s="25" t="s">
        <v>252</v>
      </c>
      <c r="E203" s="26">
        <v>41703</v>
      </c>
      <c r="F203" s="86">
        <v>41712</v>
      </c>
      <c r="G203" s="86">
        <v>41950</v>
      </c>
      <c r="H203" s="28">
        <v>250.55</v>
      </c>
      <c r="J203" s="284"/>
    </row>
    <row r="204" spans="1:10" x14ac:dyDescent="0.25">
      <c r="A204">
        <v>70</v>
      </c>
      <c r="B204" s="21" t="s">
        <v>100</v>
      </c>
      <c r="C204" s="29" t="s">
        <v>51</v>
      </c>
      <c r="D204" s="23" t="s">
        <v>348</v>
      </c>
      <c r="E204" s="30">
        <v>41939</v>
      </c>
      <c r="F204" s="124">
        <v>41950</v>
      </c>
      <c r="G204" s="124">
        <v>42230</v>
      </c>
      <c r="H204" s="31">
        <v>258.05</v>
      </c>
      <c r="J204" s="284"/>
    </row>
    <row r="205" spans="1:10" x14ac:dyDescent="0.25">
      <c r="A205">
        <v>71</v>
      </c>
      <c r="B205" s="48" t="s">
        <v>203</v>
      </c>
      <c r="C205" s="49" t="s">
        <v>171</v>
      </c>
      <c r="D205" s="50" t="s">
        <v>176</v>
      </c>
      <c r="E205" s="51">
        <v>41515</v>
      </c>
      <c r="F205" s="86">
        <v>41526</v>
      </c>
      <c r="G205" s="86">
        <v>41793</v>
      </c>
      <c r="H205" s="53">
        <v>139.19</v>
      </c>
      <c r="J205" s="136">
        <v>5</v>
      </c>
    </row>
    <row r="206" spans="1:10" x14ac:dyDescent="0.25">
      <c r="A206">
        <v>72</v>
      </c>
      <c r="B206" s="29" t="s">
        <v>158</v>
      </c>
      <c r="C206" s="29" t="s">
        <v>159</v>
      </c>
      <c r="D206" s="23" t="s">
        <v>186</v>
      </c>
      <c r="E206" s="30">
        <v>41526</v>
      </c>
      <c r="F206" s="124">
        <v>41536</v>
      </c>
      <c r="G206" s="124">
        <v>41810</v>
      </c>
      <c r="H206" s="31">
        <v>147.84</v>
      </c>
      <c r="J206" s="136">
        <v>12</v>
      </c>
    </row>
    <row r="207" spans="1:10" x14ac:dyDescent="0.25">
      <c r="A207">
        <v>73</v>
      </c>
      <c r="B207" s="10" t="s">
        <v>158</v>
      </c>
      <c r="C207" s="10" t="s">
        <v>188</v>
      </c>
      <c r="D207" s="11" t="s">
        <v>210</v>
      </c>
      <c r="E207" s="12">
        <v>41591</v>
      </c>
      <c r="F207" s="124">
        <v>41593</v>
      </c>
      <c r="G207" s="124">
        <v>41894</v>
      </c>
      <c r="H207" s="13">
        <v>120.88</v>
      </c>
      <c r="J207" s="283">
        <v>12</v>
      </c>
    </row>
    <row r="208" spans="1:10" x14ac:dyDescent="0.25">
      <c r="B208" s="10" t="s">
        <v>158</v>
      </c>
      <c r="C208" s="10" t="s">
        <v>188</v>
      </c>
      <c r="D208" s="11" t="s">
        <v>318</v>
      </c>
      <c r="E208" s="12">
        <v>41877</v>
      </c>
      <c r="F208" s="124">
        <v>41894</v>
      </c>
      <c r="G208" s="124">
        <v>42153</v>
      </c>
      <c r="H208" s="13">
        <v>156.43</v>
      </c>
      <c r="J208" s="284"/>
    </row>
    <row r="209" spans="1:11" x14ac:dyDescent="0.25">
      <c r="B209" s="29" t="s">
        <v>158</v>
      </c>
      <c r="C209" s="29" t="s">
        <v>159</v>
      </c>
      <c r="D209" s="23" t="s">
        <v>317</v>
      </c>
      <c r="E209" s="30">
        <v>41865</v>
      </c>
      <c r="F209" s="124">
        <v>41880</v>
      </c>
      <c r="G209" s="124">
        <v>42150</v>
      </c>
      <c r="H209" s="31">
        <v>165.89</v>
      </c>
      <c r="J209" s="284"/>
    </row>
    <row r="210" spans="1:11" x14ac:dyDescent="0.25">
      <c r="B210" s="10" t="s">
        <v>26</v>
      </c>
      <c r="C210" s="10" t="s">
        <v>27</v>
      </c>
      <c r="D210" s="11" t="s">
        <v>197</v>
      </c>
      <c r="E210" s="12">
        <v>41561</v>
      </c>
      <c r="F210" s="124">
        <v>41565</v>
      </c>
      <c r="G210" s="124">
        <v>41828</v>
      </c>
      <c r="H210" s="13">
        <v>148.72999999999999</v>
      </c>
      <c r="J210" s="283">
        <v>12</v>
      </c>
    </row>
    <row r="211" spans="1:11" x14ac:dyDescent="0.25">
      <c r="A211">
        <v>74</v>
      </c>
      <c r="B211" s="10" t="s">
        <v>26</v>
      </c>
      <c r="C211" s="10" t="s">
        <v>27</v>
      </c>
      <c r="D211" s="11" t="s">
        <v>296</v>
      </c>
      <c r="E211" s="12">
        <v>41817</v>
      </c>
      <c r="F211" s="124">
        <v>41828</v>
      </c>
      <c r="G211" s="124">
        <v>42069</v>
      </c>
      <c r="H211" s="13">
        <v>204.02</v>
      </c>
      <c r="J211" s="284"/>
    </row>
    <row r="212" spans="1:11" x14ac:dyDescent="0.25">
      <c r="B212" s="29" t="s">
        <v>117</v>
      </c>
      <c r="C212" s="29" t="s">
        <v>118</v>
      </c>
      <c r="D212" s="23" t="s">
        <v>166</v>
      </c>
      <c r="E212" s="30">
        <v>41464</v>
      </c>
      <c r="F212" s="124">
        <v>41481</v>
      </c>
      <c r="G212" s="124">
        <v>41744</v>
      </c>
      <c r="H212" s="31">
        <v>380.14</v>
      </c>
      <c r="J212" s="284">
        <v>12</v>
      </c>
    </row>
    <row r="213" spans="1:11" x14ac:dyDescent="0.25">
      <c r="B213" s="29" t="s">
        <v>117</v>
      </c>
      <c r="C213" s="29" t="s">
        <v>118</v>
      </c>
      <c r="D213" s="23" t="s">
        <v>263</v>
      </c>
      <c r="E213" s="30">
        <v>41732</v>
      </c>
      <c r="F213" s="124">
        <v>41744</v>
      </c>
      <c r="G213" s="124">
        <v>41964</v>
      </c>
      <c r="H213" s="31">
        <v>399.88</v>
      </c>
      <c r="J213" s="284"/>
    </row>
    <row r="214" spans="1:11" x14ac:dyDescent="0.25">
      <c r="B214" s="29" t="s">
        <v>117</v>
      </c>
      <c r="C214" s="29" t="s">
        <v>118</v>
      </c>
      <c r="D214" s="23" t="s">
        <v>263</v>
      </c>
      <c r="E214" s="30">
        <v>41732</v>
      </c>
      <c r="F214" s="124">
        <v>41744</v>
      </c>
      <c r="G214" s="124">
        <v>41964</v>
      </c>
      <c r="H214" s="31">
        <v>399.88</v>
      </c>
      <c r="J214" s="284"/>
    </row>
    <row r="215" spans="1:11" x14ac:dyDescent="0.25">
      <c r="A215">
        <v>75</v>
      </c>
      <c r="B215" s="29" t="s">
        <v>117</v>
      </c>
      <c r="C215" s="29" t="s">
        <v>118</v>
      </c>
      <c r="D215" s="23" t="s">
        <v>350</v>
      </c>
      <c r="E215" s="30">
        <v>41943</v>
      </c>
      <c r="F215" s="124">
        <v>41964</v>
      </c>
      <c r="G215" s="124">
        <v>42220</v>
      </c>
      <c r="H215" s="31">
        <v>405.76</v>
      </c>
      <c r="J215" s="284"/>
    </row>
    <row r="216" spans="1:11" x14ac:dyDescent="0.25">
      <c r="B216" s="56"/>
      <c r="C216" s="56"/>
      <c r="D216" s="56"/>
      <c r="E216" s="56"/>
      <c r="F216" s="132"/>
      <c r="G216" s="132"/>
      <c r="H216" s="56"/>
      <c r="J216" s="134">
        <f>SUM(J4:J215)</f>
        <v>766</v>
      </c>
      <c r="K216" t="s">
        <v>413</v>
      </c>
    </row>
    <row r="218" spans="1:11" x14ac:dyDescent="0.25">
      <c r="I218" t="s">
        <v>414</v>
      </c>
      <c r="J218" s="134">
        <f>J216/81</f>
        <v>9.4567901234567895</v>
      </c>
    </row>
  </sheetData>
  <sortState ref="B4:H216">
    <sortCondition ref="B4:B216"/>
  </sortState>
  <mergeCells count="59">
    <mergeCell ref="J212:J215"/>
    <mergeCell ref="J174:J177"/>
    <mergeCell ref="J178:J180"/>
    <mergeCell ref="J181:J182"/>
    <mergeCell ref="J183:J186"/>
    <mergeCell ref="J189:J191"/>
    <mergeCell ref="J192:J193"/>
    <mergeCell ref="J194:J195"/>
    <mergeCell ref="J197:J200"/>
    <mergeCell ref="J201:J204"/>
    <mergeCell ref="J207:J209"/>
    <mergeCell ref="J210:J211"/>
    <mergeCell ref="J167:J171"/>
    <mergeCell ref="J133:J135"/>
    <mergeCell ref="J137:J139"/>
    <mergeCell ref="J140:J142"/>
    <mergeCell ref="J143:J144"/>
    <mergeCell ref="J145:J147"/>
    <mergeCell ref="J148:J150"/>
    <mergeCell ref="J151:J152"/>
    <mergeCell ref="J154:J156"/>
    <mergeCell ref="J157:J158"/>
    <mergeCell ref="J159:J161"/>
    <mergeCell ref="J162:J165"/>
    <mergeCell ref="J129:J132"/>
    <mergeCell ref="J90:J91"/>
    <mergeCell ref="J92:J93"/>
    <mergeCell ref="J94:J97"/>
    <mergeCell ref="J98:J99"/>
    <mergeCell ref="J100:J103"/>
    <mergeCell ref="J106:J110"/>
    <mergeCell ref="J111:J114"/>
    <mergeCell ref="J115:J118"/>
    <mergeCell ref="J119:J122"/>
    <mergeCell ref="J125:J128"/>
    <mergeCell ref="J88:J89"/>
    <mergeCell ref="J50:J52"/>
    <mergeCell ref="J53:J55"/>
    <mergeCell ref="J56:J58"/>
    <mergeCell ref="J61:J63"/>
    <mergeCell ref="J64:J65"/>
    <mergeCell ref="J66:J68"/>
    <mergeCell ref="J69:J72"/>
    <mergeCell ref="J73:J76"/>
    <mergeCell ref="J77:J79"/>
    <mergeCell ref="J81:J84"/>
    <mergeCell ref="J86:J87"/>
    <mergeCell ref="J46:J49"/>
    <mergeCell ref="J5:J6"/>
    <mergeCell ref="J8:J11"/>
    <mergeCell ref="J12:J14"/>
    <mergeCell ref="J15:J16"/>
    <mergeCell ref="J17:J23"/>
    <mergeCell ref="J24:J25"/>
    <mergeCell ref="J26:J29"/>
    <mergeCell ref="J31:J34"/>
    <mergeCell ref="J35:J38"/>
    <mergeCell ref="J39:J42"/>
    <mergeCell ref="J43:J4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workbookViewId="0">
      <selection activeCell="L13" sqref="L13"/>
    </sheetView>
  </sheetViews>
  <sheetFormatPr baseColWidth="10" defaultRowHeight="15" x14ac:dyDescent="0.25"/>
  <cols>
    <col min="1" max="1" width="5" bestFit="1" customWidth="1"/>
    <col min="2" max="2" width="20.140625" bestFit="1" customWidth="1"/>
    <col min="7" max="7" width="41.5703125" bestFit="1" customWidth="1"/>
    <col min="8" max="8" width="29.7109375" bestFit="1" customWidth="1"/>
  </cols>
  <sheetData>
    <row r="1" spans="1:8" x14ac:dyDescent="0.25">
      <c r="A1" s="197">
        <v>202</v>
      </c>
      <c r="B1" s="160" t="s">
        <v>15</v>
      </c>
      <c r="C1" s="160" t="s">
        <v>16</v>
      </c>
      <c r="D1" s="160" t="s">
        <v>67</v>
      </c>
      <c r="E1" s="160" t="s">
        <v>69</v>
      </c>
      <c r="F1" s="160" t="s">
        <v>64</v>
      </c>
      <c r="G1" s="160" t="s">
        <v>40</v>
      </c>
      <c r="H1" s="160" t="s">
        <v>12</v>
      </c>
    </row>
    <row r="2" spans="1:8" x14ac:dyDescent="0.25">
      <c r="A2" s="197">
        <v>202</v>
      </c>
      <c r="B2" s="160" t="s">
        <v>15</v>
      </c>
      <c r="C2" s="160" t="s">
        <v>16</v>
      </c>
      <c r="D2" s="160" t="s">
        <v>67</v>
      </c>
      <c r="E2" s="160" t="s">
        <v>69</v>
      </c>
      <c r="F2" s="160" t="s">
        <v>64</v>
      </c>
      <c r="G2" s="160" t="s">
        <v>40</v>
      </c>
      <c r="H2" s="160" t="s">
        <v>12</v>
      </c>
    </row>
    <row r="3" spans="1:8" x14ac:dyDescent="0.25">
      <c r="A3" s="193">
        <v>190</v>
      </c>
      <c r="B3" s="192" t="s">
        <v>121</v>
      </c>
      <c r="C3" s="192" t="s">
        <v>122</v>
      </c>
      <c r="D3" s="192" t="s">
        <v>67</v>
      </c>
      <c r="E3" s="192" t="s">
        <v>69</v>
      </c>
      <c r="F3" s="192" t="s">
        <v>64</v>
      </c>
      <c r="G3" s="192" t="s">
        <v>398</v>
      </c>
      <c r="H3" s="192" t="s">
        <v>399</v>
      </c>
    </row>
    <row r="4" spans="1:8" x14ac:dyDescent="0.25">
      <c r="A4" s="193">
        <v>502</v>
      </c>
      <c r="B4" s="150" t="s">
        <v>403</v>
      </c>
      <c r="C4" s="150" t="s">
        <v>404</v>
      </c>
      <c r="D4" s="192" t="s">
        <v>67</v>
      </c>
      <c r="E4" s="192" t="s">
        <v>69</v>
      </c>
      <c r="F4" s="150" t="s">
        <v>65</v>
      </c>
      <c r="G4" s="150" t="s">
        <v>386</v>
      </c>
      <c r="H4" s="150" t="s">
        <v>393</v>
      </c>
    </row>
    <row r="5" spans="1:8" x14ac:dyDescent="0.25">
      <c r="A5" s="193">
        <v>442</v>
      </c>
      <c r="B5" s="150" t="s">
        <v>362</v>
      </c>
      <c r="C5" s="150" t="s">
        <v>60</v>
      </c>
      <c r="D5" s="150" t="s">
        <v>380</v>
      </c>
      <c r="E5" s="150" t="s">
        <v>69</v>
      </c>
      <c r="F5" s="150" t="s">
        <v>65</v>
      </c>
      <c r="G5" s="150" t="s">
        <v>385</v>
      </c>
      <c r="H5" s="150" t="s">
        <v>393</v>
      </c>
    </row>
    <row r="6" spans="1:8" x14ac:dyDescent="0.25">
      <c r="A6" s="197">
        <v>464</v>
      </c>
      <c r="B6" s="160" t="s">
        <v>383</v>
      </c>
      <c r="C6" s="160" t="s">
        <v>384</v>
      </c>
      <c r="D6" s="160" t="s">
        <v>67</v>
      </c>
      <c r="E6" s="160" t="s">
        <v>68</v>
      </c>
      <c r="F6" s="160" t="s">
        <v>65</v>
      </c>
      <c r="G6" s="160" t="s">
        <v>385</v>
      </c>
      <c r="H6" s="160" t="s">
        <v>397</v>
      </c>
    </row>
    <row r="7" spans="1:8" x14ac:dyDescent="0.25">
      <c r="A7" s="149">
        <v>291</v>
      </c>
      <c r="B7" s="150" t="s">
        <v>382</v>
      </c>
      <c r="C7" s="150" t="s">
        <v>228</v>
      </c>
      <c r="D7" s="150" t="s">
        <v>67</v>
      </c>
      <c r="E7" s="150"/>
      <c r="F7" s="150" t="s">
        <v>65</v>
      </c>
      <c r="G7" s="150" t="s">
        <v>421</v>
      </c>
      <c r="H7" s="150" t="s">
        <v>422</v>
      </c>
    </row>
    <row r="8" spans="1:8" x14ac:dyDescent="0.25">
      <c r="A8" s="201">
        <v>328</v>
      </c>
      <c r="B8" s="202" t="s">
        <v>4</v>
      </c>
      <c r="C8" s="202" t="s">
        <v>5</v>
      </c>
      <c r="D8" s="202" t="s">
        <v>67</v>
      </c>
      <c r="E8" s="203" t="s">
        <v>369</v>
      </c>
      <c r="F8" s="202" t="s">
        <v>65</v>
      </c>
      <c r="G8" s="202" t="s">
        <v>361</v>
      </c>
      <c r="H8" s="203" t="s">
        <v>369</v>
      </c>
    </row>
    <row r="9" spans="1:8" x14ac:dyDescent="0.25">
      <c r="A9" s="193">
        <v>353</v>
      </c>
      <c r="B9" s="192" t="s">
        <v>43</v>
      </c>
      <c r="C9" s="192" t="s">
        <v>44</v>
      </c>
      <c r="D9" s="192" t="s">
        <v>67</v>
      </c>
      <c r="E9" s="192" t="s">
        <v>69</v>
      </c>
      <c r="F9" s="192" t="s">
        <v>65</v>
      </c>
      <c r="G9" s="192" t="s">
        <v>24</v>
      </c>
      <c r="H9" s="192" t="s">
        <v>25</v>
      </c>
    </row>
    <row r="10" spans="1:8" x14ac:dyDescent="0.25">
      <c r="A10" s="193">
        <v>570</v>
      </c>
      <c r="B10" s="150" t="s">
        <v>415</v>
      </c>
      <c r="C10" s="192" t="s">
        <v>417</v>
      </c>
      <c r="D10" s="192" t="s">
        <v>67</v>
      </c>
      <c r="E10" s="192" t="s">
        <v>68</v>
      </c>
      <c r="F10" s="150" t="s">
        <v>65</v>
      </c>
      <c r="G10" s="150" t="s">
        <v>245</v>
      </c>
      <c r="H10" s="192" t="s">
        <v>416</v>
      </c>
    </row>
    <row r="11" spans="1:8" x14ac:dyDescent="0.25">
      <c r="A11" s="149">
        <v>530</v>
      </c>
      <c r="B11" s="150" t="s">
        <v>376</v>
      </c>
      <c r="C11" s="150" t="s">
        <v>130</v>
      </c>
      <c r="D11" s="150" t="s">
        <v>67</v>
      </c>
      <c r="E11" s="150" t="s">
        <v>69</v>
      </c>
      <c r="F11" s="150" t="s">
        <v>65</v>
      </c>
      <c r="G11" s="150" t="s">
        <v>386</v>
      </c>
      <c r="H11" s="150" t="s">
        <v>394</v>
      </c>
    </row>
    <row r="12" spans="1:8" x14ac:dyDescent="0.25">
      <c r="A12" s="153">
        <v>266</v>
      </c>
      <c r="B12" s="147" t="s">
        <v>17</v>
      </c>
      <c r="C12" s="147" t="s">
        <v>18</v>
      </c>
      <c r="D12" s="147" t="s">
        <v>67</v>
      </c>
      <c r="E12" s="147" t="s">
        <v>69</v>
      </c>
      <c r="F12" s="147" t="s">
        <v>65</v>
      </c>
      <c r="G12" s="147" t="s">
        <v>47</v>
      </c>
      <c r="H12" s="147" t="s">
        <v>19</v>
      </c>
    </row>
    <row r="13" spans="1:8" x14ac:dyDescent="0.25">
      <c r="A13" s="153"/>
      <c r="B13" s="147" t="s">
        <v>20</v>
      </c>
      <c r="C13" s="147" t="s">
        <v>21</v>
      </c>
      <c r="D13" s="147" t="s">
        <v>67</v>
      </c>
      <c r="E13" s="147" t="s">
        <v>69</v>
      </c>
      <c r="F13" s="147" t="s">
        <v>65</v>
      </c>
      <c r="G13" s="147" t="s">
        <v>47</v>
      </c>
      <c r="H13" s="147" t="s">
        <v>19</v>
      </c>
    </row>
    <row r="14" spans="1:8" x14ac:dyDescent="0.25">
      <c r="A14" s="153">
        <v>362</v>
      </c>
      <c r="B14" s="147" t="s">
        <v>35</v>
      </c>
      <c r="C14" s="147" t="s">
        <v>36</v>
      </c>
      <c r="D14" s="147" t="s">
        <v>67</v>
      </c>
      <c r="E14" s="147" t="s">
        <v>146</v>
      </c>
      <c r="F14" s="147" t="s">
        <v>65</v>
      </c>
      <c r="G14" s="147" t="s">
        <v>37</v>
      </c>
      <c r="H14" s="147" t="s">
        <v>25</v>
      </c>
    </row>
    <row r="15" spans="1:8" x14ac:dyDescent="0.25">
      <c r="A15" s="197">
        <v>338</v>
      </c>
      <c r="B15" s="160" t="s">
        <v>22</v>
      </c>
      <c r="C15" s="160" t="s">
        <v>23</v>
      </c>
      <c r="D15" s="160" t="s">
        <v>67</v>
      </c>
      <c r="E15" s="160" t="s">
        <v>68</v>
      </c>
      <c r="F15" s="160" t="s">
        <v>65</v>
      </c>
      <c r="G15" s="160" t="s">
        <v>24</v>
      </c>
      <c r="H15" s="160" t="s">
        <v>25</v>
      </c>
    </row>
    <row r="16" spans="1:8" x14ac:dyDescent="0.25">
      <c r="A16" s="197">
        <v>534</v>
      </c>
      <c r="B16" s="160" t="s">
        <v>390</v>
      </c>
      <c r="C16" s="160" t="s">
        <v>391</v>
      </c>
      <c r="D16" s="160" t="s">
        <v>248</v>
      </c>
      <c r="E16" s="160" t="s">
        <v>68</v>
      </c>
      <c r="F16" s="160" t="s">
        <v>65</v>
      </c>
      <c r="G16" s="160" t="s">
        <v>392</v>
      </c>
      <c r="H16" s="160" t="s">
        <v>393</v>
      </c>
    </row>
    <row r="17" spans="1:8" x14ac:dyDescent="0.25">
      <c r="A17" s="149">
        <v>248</v>
      </c>
      <c r="B17" s="150" t="s">
        <v>50</v>
      </c>
      <c r="C17" s="150" t="s">
        <v>51</v>
      </c>
      <c r="D17" s="150" t="s">
        <v>67</v>
      </c>
      <c r="E17" s="150" t="s">
        <v>68</v>
      </c>
      <c r="F17" s="150" t="s">
        <v>65</v>
      </c>
      <c r="G17" s="150" t="s">
        <v>395</v>
      </c>
      <c r="H17" s="150" t="s">
        <v>396</v>
      </c>
    </row>
    <row r="18" spans="1:8" x14ac:dyDescent="0.25">
      <c r="A18" s="149">
        <v>248</v>
      </c>
      <c r="B18" s="150" t="s">
        <v>50</v>
      </c>
      <c r="C18" s="150" t="s">
        <v>51</v>
      </c>
      <c r="D18" s="150" t="s">
        <v>67</v>
      </c>
      <c r="E18" s="150" t="s">
        <v>68</v>
      </c>
      <c r="F18" s="150" t="s">
        <v>65</v>
      </c>
      <c r="G18" s="150" t="s">
        <v>410</v>
      </c>
      <c r="H18" s="150" t="s">
        <v>396</v>
      </c>
    </row>
    <row r="19" spans="1:8" x14ac:dyDescent="0.25">
      <c r="A19" s="204">
        <v>1425</v>
      </c>
      <c r="B19" s="219" t="s">
        <v>125</v>
      </c>
      <c r="C19" s="219" t="s">
        <v>126</v>
      </c>
      <c r="D19" s="285" t="s">
        <v>420</v>
      </c>
      <c r="E19" s="285"/>
      <c r="F19" s="219" t="s">
        <v>64</v>
      </c>
      <c r="G19" s="219" t="s">
        <v>406</v>
      </c>
      <c r="H19" s="219" t="s">
        <v>420</v>
      </c>
    </row>
    <row r="20" spans="1:8" x14ac:dyDescent="0.25">
      <c r="A20" s="199">
        <v>1416</v>
      </c>
      <c r="B20" s="161" t="s">
        <v>113</v>
      </c>
      <c r="C20" s="161" t="s">
        <v>114</v>
      </c>
      <c r="D20" s="161" t="s">
        <v>67</v>
      </c>
      <c r="E20" s="161" t="s">
        <v>68</v>
      </c>
      <c r="F20" s="161" t="s">
        <v>65</v>
      </c>
      <c r="G20" s="161" t="s">
        <v>402</v>
      </c>
      <c r="H20" s="161" t="s">
        <v>393</v>
      </c>
    </row>
    <row r="21" spans="1:8" x14ac:dyDescent="0.25">
      <c r="A21" s="204">
        <v>7078</v>
      </c>
      <c r="B21" s="219" t="s">
        <v>432</v>
      </c>
      <c r="C21" s="219" t="s">
        <v>124</v>
      </c>
      <c r="D21" s="219" t="s">
        <v>67</v>
      </c>
      <c r="E21" s="219" t="s">
        <v>68</v>
      </c>
      <c r="F21" s="219" t="s">
        <v>65</v>
      </c>
      <c r="G21" s="219" t="s">
        <v>265</v>
      </c>
      <c r="H21" s="205" t="s">
        <v>266</v>
      </c>
    </row>
    <row r="22" spans="1:8" x14ac:dyDescent="0.25">
      <c r="A22" s="199">
        <v>296</v>
      </c>
      <c r="B22" s="161" t="s">
        <v>52</v>
      </c>
      <c r="C22" s="161" t="s">
        <v>53</v>
      </c>
      <c r="D22" s="161" t="s">
        <v>67</v>
      </c>
      <c r="E22" s="161" t="s">
        <v>69</v>
      </c>
      <c r="F22" s="161" t="s">
        <v>65</v>
      </c>
      <c r="G22" s="161" t="s">
        <v>28</v>
      </c>
      <c r="H22" s="161" t="s">
        <v>54</v>
      </c>
    </row>
    <row r="23" spans="1:8" x14ac:dyDescent="0.25">
      <c r="A23" s="199">
        <v>296</v>
      </c>
      <c r="B23" s="161" t="s">
        <v>52</v>
      </c>
      <c r="C23" s="161" t="s">
        <v>53</v>
      </c>
      <c r="D23" s="161" t="s">
        <v>67</v>
      </c>
      <c r="E23" s="161" t="s">
        <v>68</v>
      </c>
      <c r="F23" s="161" t="s">
        <v>65</v>
      </c>
      <c r="G23" s="161" t="s">
        <v>361</v>
      </c>
      <c r="H23" s="161" t="s">
        <v>408</v>
      </c>
    </row>
  </sheetData>
  <mergeCells count="1">
    <mergeCell ref="D19:E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Suivi Véhicules</vt:lpstr>
      <vt:lpstr>Calcul LC Paie</vt:lpstr>
      <vt:lpstr>Feuil2</vt:lpstr>
      <vt:lpstr>Feuil3</vt:lpstr>
      <vt:lpstr>Feuil1</vt:lpstr>
      <vt:lpstr>'Suivi Véhicules'!Zone_d_impression</vt:lpstr>
    </vt:vector>
  </TitlesOfParts>
  <Company>Alphabet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lolanyer</dc:creator>
  <cp:lastModifiedBy>pcfun1</cp:lastModifiedBy>
  <cp:lastPrinted>2016-10-26T07:51:56Z</cp:lastPrinted>
  <dcterms:created xsi:type="dcterms:W3CDTF">2012-11-19T12:28:01Z</dcterms:created>
  <dcterms:modified xsi:type="dcterms:W3CDTF">2016-10-30T10:24:25Z</dcterms:modified>
</cp:coreProperties>
</file>