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crepair.sharepoint.com/sites/ADMINISTRATIF/Documents partages/-= BILANS ANNUELS_AG_STAT RESEAU =-/Année 2023/"/>
    </mc:Choice>
  </mc:AlternateContent>
  <xr:revisionPtr revIDLastSave="1787" documentId="8_{478B8A80-DBEA-4D7F-915D-70F3D5D07AB7}" xr6:coauthVersionLast="47" xr6:coauthVersionMax="47" xr10:uidLastSave="{6E943C96-3CE7-4957-AC74-175537A153E8}"/>
  <bookViews>
    <workbookView xWindow="28680" yWindow="-120" windowWidth="29040" windowHeight="15720" activeTab="2" xr2:uid="{00000000-000D-0000-FFFF-FFFF00000000}"/>
  </bookViews>
  <sheets>
    <sheet name="Extraction carto QGIS" sheetId="1" r:id="rId1"/>
    <sheet name="Exploitation non cartographiées" sheetId="12" r:id="rId2"/>
    <sheet name="Synthèse globale " sheetId="2" r:id="rId3"/>
    <sheet name="Synthèse globale extraction PS" sheetId="13" r:id="rId4"/>
    <sheet name="Graphiques_V10" sheetId="10" r:id="rId5"/>
    <sheet name="Surfaces moyennes par filières" sheetId="9" r:id="rId6"/>
    <sheet name="SAU des exploitations" sheetId="8" r:id="rId7"/>
    <sheet name="DAVAR_2019 et RGA 2012" sheetId="5" r:id="rId8"/>
  </sheets>
  <definedNames>
    <definedName name="_xlnm._FilterDatabase" localSheetId="1" hidden="1">'Exploitation non cartographiées'!$A$1:$G$16</definedName>
    <definedName name="_xlnm._FilterDatabase" localSheetId="0" hidden="1">'Extraction carto QGIS'!$A$1:$L$1305</definedName>
    <definedName name="_xlnm._FilterDatabase" localSheetId="6" hidden="1">'SAU des exploitations'!$A$1:$E$63</definedName>
    <definedName name="_xlnm._FilterDatabase" localSheetId="5" hidden="1">'Surfaces moyennes par filières'!$A$12:$D$460</definedName>
    <definedName name="Certifcation">OFFSET('Extraction carto QGIS'!$L$2,0,0,COUNTA('Extraction carto QGIS'!$L:$L),1)</definedName>
    <definedName name="HS">OFFSET('Extraction carto QGIS'!$K$2,0,0,COUNTA('Extraction carto QGIS'!$K:$K),1)</definedName>
    <definedName name="Province">OFFSET('Extraction carto QGIS'!$E$2,0,0,COUNTA('Extraction carto QGIS'!$E:$E),1)</definedName>
    <definedName name="Surface">OFFSET('Extraction carto QGIS'!$G$2,0,0,COUNTA('Extraction carto QGIS'!$G:$G),1)</definedName>
    <definedName name="Type_prod">OFFSET('Extraction carto QGIS'!$F$2,0,0,COUNTA('Extraction carto QGIS'!$F:$F),1)</definedName>
    <definedName name="_xlnm.Print_Area" localSheetId="3">'Synthèse globale extraction PS'!$A$1:$I$75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2" l="1" a="1"/>
  <c r="B10" i="2" s="1"/>
  <c r="B6" i="2" a="1"/>
  <c r="B6" i="2" s="1"/>
  <c r="B20" i="2" a="1"/>
  <c r="B20" i="2" s="1"/>
  <c r="B9" i="2" a="1"/>
  <c r="B9" i="2" s="1"/>
  <c r="B7" i="2" a="1"/>
  <c r="B7" i="2" s="1"/>
  <c r="B83" i="2" a="1"/>
  <c r="B83" i="2" s="1"/>
  <c r="B82" i="2" a="1"/>
  <c r="B82" i="2" s="1"/>
  <c r="B81" i="2" a="1"/>
  <c r="B81" i="2" s="1"/>
  <c r="B80" i="2" a="1"/>
  <c r="B80" i="2" s="1"/>
  <c r="B79" i="2" a="1"/>
  <c r="B79" i="2" s="1"/>
  <c r="B78" i="2" a="1"/>
  <c r="B78" i="2" s="1"/>
  <c r="B77" i="2" a="1"/>
  <c r="B77" i="2" s="1"/>
  <c r="B76" i="2" a="1"/>
  <c r="B76" i="2" s="1"/>
  <c r="B70" i="2" a="1"/>
  <c r="B70" i="2" s="1"/>
  <c r="B69" i="2" a="1"/>
  <c r="B69" i="2" s="1"/>
  <c r="B68" i="2" a="1"/>
  <c r="B68" i="2" s="1"/>
  <c r="B67" i="2" a="1"/>
  <c r="B67" i="2" s="1"/>
  <c r="B66" i="2" a="1"/>
  <c r="B66" i="2" s="1"/>
  <c r="B65" i="2" a="1"/>
  <c r="B65" i="2" s="1"/>
  <c r="B64" i="2" a="1"/>
  <c r="B64" i="2" s="1"/>
  <c r="B63" i="2" a="1"/>
  <c r="B63" i="2" s="1"/>
  <c r="B57" i="2" a="1"/>
  <c r="B57" i="2" s="1"/>
  <c r="B56" i="2" a="1"/>
  <c r="B56" i="2" s="1"/>
  <c r="B55" i="2" a="1"/>
  <c r="B55" i="2" s="1"/>
  <c r="B54" i="2" a="1"/>
  <c r="B54" i="2" s="1"/>
  <c r="B53" i="2" a="1"/>
  <c r="B53" i="2" s="1"/>
  <c r="B52" i="2" a="1"/>
  <c r="B52" i="2" s="1"/>
  <c r="B51" i="2" a="1"/>
  <c r="B51" i="2" s="1"/>
  <c r="B50" i="2" a="1"/>
  <c r="B50" i="2" s="1"/>
  <c r="B41" i="2" a="1"/>
  <c r="B41" i="2" s="1"/>
  <c r="B40" i="2" a="1"/>
  <c r="B40" i="2" s="1"/>
  <c r="B39" i="2" a="1"/>
  <c r="B39" i="2" s="1"/>
  <c r="B38" i="2" a="1"/>
  <c r="B38" i="2" s="1"/>
  <c r="B37" i="2" a="1"/>
  <c r="B37" i="2" s="1"/>
  <c r="B36" i="2" a="1"/>
  <c r="B36" i="2" s="1"/>
  <c r="B35" i="2" a="1"/>
  <c r="B35" i="2" s="1"/>
  <c r="B34" i="2" a="1"/>
  <c r="B34" i="2" s="1"/>
  <c r="B27" i="2" a="1"/>
  <c r="B27" i="2" s="1"/>
  <c r="B26" i="2" a="1"/>
  <c r="B26" i="2" s="1"/>
  <c r="B12" i="2" a="1"/>
  <c r="B12" i="2" s="1"/>
  <c r="B25" i="2" a="1"/>
  <c r="B25" i="2" s="1"/>
  <c r="B24" i="2" a="1"/>
  <c r="B24" i="2" s="1"/>
  <c r="B23" i="2" a="1"/>
  <c r="B23" i="2" s="1"/>
  <c r="B22" i="2" a="1"/>
  <c r="B22" i="2" s="1"/>
  <c r="B21" i="2" a="1"/>
  <c r="B21" i="2" s="1"/>
  <c r="B13" i="2" a="1"/>
  <c r="B13" i="2" s="1"/>
  <c r="B11" i="2" a="1"/>
  <c r="B11" i="2" s="1"/>
  <c r="B8" i="2" a="1"/>
  <c r="B8" i="2" s="1"/>
  <c r="M121" i="13"/>
  <c r="H44" i="13"/>
  <c r="E42" i="13"/>
  <c r="B42" i="13"/>
  <c r="E41" i="13"/>
  <c r="B41" i="13"/>
  <c r="E40" i="13"/>
  <c r="B40" i="13"/>
  <c r="E39" i="13"/>
  <c r="B39" i="13"/>
  <c r="E38" i="13"/>
  <c r="B38" i="13"/>
  <c r="E37" i="13"/>
  <c r="B37" i="13"/>
  <c r="E36" i="13"/>
  <c r="B36" i="13"/>
  <c r="E35" i="13"/>
  <c r="B35" i="13"/>
  <c r="H30" i="13"/>
  <c r="E28" i="13"/>
  <c r="B28" i="13"/>
  <c r="E27" i="13"/>
  <c r="B27" i="13"/>
  <c r="H27" i="13" s="1"/>
  <c r="E26" i="13"/>
  <c r="B26" i="13"/>
  <c r="H26" i="13" s="1"/>
  <c r="E25" i="13"/>
  <c r="B25" i="13"/>
  <c r="H25" i="13" s="1"/>
  <c r="E24" i="13"/>
  <c r="B24" i="13"/>
  <c r="E23" i="13"/>
  <c r="B23" i="13"/>
  <c r="E22" i="13"/>
  <c r="B22" i="13"/>
  <c r="E21" i="13"/>
  <c r="B21" i="13"/>
  <c r="H16" i="13"/>
  <c r="E14" i="13"/>
  <c r="B14" i="13"/>
  <c r="E13" i="13"/>
  <c r="B13" i="13"/>
  <c r="E12" i="13"/>
  <c r="B12" i="13"/>
  <c r="E11" i="13"/>
  <c r="B11" i="13"/>
  <c r="E10" i="13"/>
  <c r="B10" i="13"/>
  <c r="E9" i="13"/>
  <c r="B9" i="13"/>
  <c r="E8" i="13"/>
  <c r="B8" i="13"/>
  <c r="E7" i="13"/>
  <c r="B7" i="13"/>
  <c r="H98" i="2"/>
  <c r="M12" i="10"/>
  <c r="B28" i="2" l="1"/>
  <c r="B71" i="2"/>
  <c r="H23" i="13"/>
  <c r="H13" i="13"/>
  <c r="H36" i="13"/>
  <c r="H10" i="13"/>
  <c r="H14" i="13"/>
  <c r="H9" i="13"/>
  <c r="H11" i="13"/>
  <c r="H38" i="13"/>
  <c r="H40" i="13"/>
  <c r="H42" i="13"/>
  <c r="H37" i="13"/>
  <c r="H41" i="13"/>
  <c r="B29" i="13"/>
  <c r="H28" i="13"/>
  <c r="H8" i="13"/>
  <c r="H12" i="13"/>
  <c r="E29" i="13"/>
  <c r="E15" i="13"/>
  <c r="B43" i="13"/>
  <c r="B15" i="13"/>
  <c r="H24" i="13"/>
  <c r="H22" i="13"/>
  <c r="E43" i="13"/>
  <c r="H35" i="13"/>
  <c r="H39" i="13"/>
  <c r="H21" i="13"/>
  <c r="H7" i="13"/>
  <c r="C9" i="10"/>
  <c r="C15" i="10"/>
  <c r="H15" i="13" l="1"/>
  <c r="H43" i="13"/>
  <c r="H29" i="13"/>
  <c r="H118" i="2"/>
  <c r="H112" i="2"/>
  <c r="H103" i="2"/>
  <c r="E78" i="2" l="1"/>
  <c r="K11" i="8" l="1"/>
  <c r="O3" i="8" l="1"/>
  <c r="O2" i="8"/>
  <c r="I24" i="8"/>
  <c r="I23" i="8"/>
  <c r="I22" i="8"/>
  <c r="I21" i="8"/>
  <c r="I20" i="8"/>
  <c r="I19" i="8"/>
  <c r="I18" i="8"/>
  <c r="E20" i="10" l="1"/>
  <c r="C113" i="2"/>
  <c r="B102" i="2"/>
  <c r="H72" i="2"/>
  <c r="E70" i="2"/>
  <c r="E69" i="2"/>
  <c r="E68" i="2"/>
  <c r="E67" i="2"/>
  <c r="E66" i="2"/>
  <c r="E65" i="2"/>
  <c r="E64" i="2"/>
  <c r="E63" i="2"/>
  <c r="E57" i="2"/>
  <c r="E56" i="2"/>
  <c r="E55" i="2"/>
  <c r="E54" i="2"/>
  <c r="E53" i="2"/>
  <c r="E52" i="2"/>
  <c r="E51" i="2"/>
  <c r="E50" i="2"/>
  <c r="H29" i="2"/>
  <c r="E27" i="2"/>
  <c r="E26" i="2"/>
  <c r="E25" i="2"/>
  <c r="E24" i="2"/>
  <c r="E23" i="2"/>
  <c r="E22" i="2"/>
  <c r="E21" i="2"/>
  <c r="E20" i="2"/>
  <c r="E13" i="2"/>
  <c r="E12" i="2"/>
  <c r="E11" i="2"/>
  <c r="E10" i="2"/>
  <c r="E9" i="2"/>
  <c r="E8" i="2"/>
  <c r="E7" i="2"/>
  <c r="E6" i="2"/>
  <c r="J110" i="2"/>
  <c r="J116" i="2"/>
  <c r="J115" i="2"/>
  <c r="J114" i="2"/>
  <c r="I117" i="2"/>
  <c r="H117" i="2"/>
  <c r="H24" i="2" l="1"/>
  <c r="H66" i="2"/>
  <c r="H70" i="2"/>
  <c r="H21" i="2"/>
  <c r="H25" i="2"/>
  <c r="H63" i="2"/>
  <c r="H67" i="2"/>
  <c r="H22" i="2"/>
  <c r="H26" i="2"/>
  <c r="H64" i="2"/>
  <c r="H68" i="2"/>
  <c r="H23" i="2"/>
  <c r="H27" i="2"/>
  <c r="H65" i="2"/>
  <c r="H69" i="2"/>
  <c r="E28" i="2"/>
  <c r="H20" i="2"/>
  <c r="E71" i="2"/>
  <c r="J107" i="2"/>
  <c r="H71" i="2" l="1"/>
  <c r="D29" i="10" s="1"/>
  <c r="H28" i="2"/>
  <c r="C29" i="10" s="1"/>
  <c r="E79" i="2"/>
  <c r="E83" i="2"/>
  <c r="E82" i="2"/>
  <c r="E81" i="2"/>
  <c r="E80" i="2"/>
  <c r="E77" i="2"/>
  <c r="E76" i="2"/>
  <c r="E41" i="2"/>
  <c r="E40" i="2"/>
  <c r="E39" i="2"/>
  <c r="E38" i="2"/>
  <c r="E37" i="2"/>
  <c r="E36" i="2"/>
  <c r="E35" i="2"/>
  <c r="E34" i="2"/>
  <c r="E29" i="10" l="1"/>
  <c r="B56" i="8"/>
  <c r="I25" i="8" l="1"/>
  <c r="B3" i="8"/>
  <c r="B2" i="8"/>
  <c r="B57" i="8"/>
  <c r="B47" i="8"/>
  <c r="B43" i="8"/>
  <c r="B41" i="8"/>
  <c r="B37" i="8"/>
  <c r="B36" i="8"/>
  <c r="B32" i="8"/>
  <c r="B31" i="8"/>
  <c r="B30" i="8"/>
  <c r="B29" i="8"/>
  <c r="B27" i="8"/>
  <c r="B15" i="8"/>
  <c r="B12" i="8"/>
  <c r="B10" i="8"/>
  <c r="B9" i="8"/>
  <c r="B6" i="8"/>
  <c r="B5" i="8"/>
  <c r="B54" i="8"/>
  <c r="B53" i="8"/>
  <c r="B52" i="8"/>
  <c r="B51" i="8"/>
  <c r="B49" i="8"/>
  <c r="B48" i="8"/>
  <c r="B46" i="8"/>
  <c r="B45" i="8"/>
  <c r="B24" i="8"/>
  <c r="B42" i="8"/>
  <c r="B40" i="8"/>
  <c r="B39" i="8"/>
  <c r="B38" i="8"/>
  <c r="B35" i="8"/>
  <c r="B34" i="8"/>
  <c r="B33" i="8"/>
  <c r="B28" i="8"/>
  <c r="B26" i="8"/>
  <c r="B25" i="8"/>
  <c r="B21" i="8"/>
  <c r="B20" i="8"/>
  <c r="B18" i="8"/>
  <c r="B17" i="8"/>
  <c r="B16" i="8"/>
  <c r="B14" i="8"/>
  <c r="B13" i="8"/>
  <c r="B50" i="8"/>
  <c r="B4" i="8"/>
  <c r="H106" i="2"/>
  <c r="J18" i="8" l="1"/>
  <c r="H20" i="8"/>
  <c r="J20" i="8"/>
  <c r="K20" i="8"/>
  <c r="J22" i="8"/>
  <c r="Q3" i="8"/>
  <c r="N3" i="8"/>
  <c r="K22" i="8"/>
  <c r="H22" i="8"/>
  <c r="P3" i="8"/>
  <c r="J24" i="8"/>
  <c r="H24" i="8"/>
  <c r="K24" i="8"/>
  <c r="P2" i="8"/>
  <c r="K19" i="8"/>
  <c r="J7" i="8"/>
  <c r="J10" i="8"/>
  <c r="J6" i="8"/>
  <c r="J2" i="8"/>
  <c r="I10" i="8"/>
  <c r="I6" i="8"/>
  <c r="I2" i="8"/>
  <c r="H7" i="8"/>
  <c r="H3" i="8"/>
  <c r="I4" i="8"/>
  <c r="H5" i="8"/>
  <c r="J3" i="8"/>
  <c r="I7" i="8"/>
  <c r="I3" i="8"/>
  <c r="H19" i="8"/>
  <c r="H4" i="8"/>
  <c r="Q2" i="8"/>
  <c r="N2" i="8"/>
  <c r="J9" i="8"/>
  <c r="J5" i="8"/>
  <c r="I9" i="8"/>
  <c r="I5" i="8"/>
  <c r="H25" i="8"/>
  <c r="H10" i="8"/>
  <c r="H6" i="8"/>
  <c r="H2" i="8"/>
  <c r="I8" i="8"/>
  <c r="H8" i="8"/>
  <c r="J19" i="8"/>
  <c r="J8" i="8"/>
  <c r="J4" i="8"/>
  <c r="H9" i="8"/>
  <c r="K18" i="8"/>
  <c r="H18" i="8"/>
  <c r="J21" i="8"/>
  <c r="H21" i="8"/>
  <c r="K21" i="8"/>
  <c r="K23" i="8"/>
  <c r="H23" i="8"/>
  <c r="J23" i="8"/>
  <c r="H15" i="2"/>
  <c r="I98" i="2" s="1"/>
  <c r="H43" i="2"/>
  <c r="H59" i="2"/>
  <c r="H85" i="2"/>
  <c r="B104" i="2"/>
  <c r="B103" i="2"/>
  <c r="B92" i="2"/>
  <c r="E96" i="2"/>
  <c r="M120" i="2"/>
  <c r="I118" i="2"/>
  <c r="H111" i="2"/>
  <c r="H108" i="2"/>
  <c r="H105" i="2"/>
  <c r="H104" i="2"/>
  <c r="H78" i="2"/>
  <c r="H77" i="2"/>
  <c r="H76" i="2"/>
  <c r="H57" i="2"/>
  <c r="H56" i="2"/>
  <c r="H55" i="2"/>
  <c r="H54" i="2"/>
  <c r="H53" i="2"/>
  <c r="H52" i="2"/>
  <c r="H51" i="2"/>
  <c r="H50" i="2"/>
  <c r="H41" i="2"/>
  <c r="H38" i="2"/>
  <c r="H35" i="2"/>
  <c r="H13" i="2"/>
  <c r="H12" i="2"/>
  <c r="H11" i="2"/>
  <c r="H10" i="2"/>
  <c r="H8" i="2"/>
  <c r="B105" i="2" l="1"/>
  <c r="J89" i="2"/>
  <c r="J98" i="2"/>
  <c r="C114" i="2"/>
  <c r="I96" i="2"/>
  <c r="I93" i="2"/>
  <c r="J90" i="2"/>
  <c r="J91" i="2"/>
  <c r="H79" i="2"/>
  <c r="J92" i="2" s="1"/>
  <c r="H40" i="2"/>
  <c r="I95" i="2" s="1"/>
  <c r="H80" i="2"/>
  <c r="J93" i="2" s="1"/>
  <c r="H34" i="2"/>
  <c r="H39" i="2"/>
  <c r="E42" i="2"/>
  <c r="H36" i="2"/>
  <c r="H37" i="2"/>
  <c r="H58" i="2"/>
  <c r="B42" i="2"/>
  <c r="J108" i="2"/>
  <c r="B14" i="2"/>
  <c r="B58" i="2"/>
  <c r="B84" i="2"/>
  <c r="D28" i="10" l="1"/>
  <c r="B106" i="2"/>
  <c r="H93" i="2"/>
  <c r="H91" i="2"/>
  <c r="I91" i="2"/>
  <c r="I94" i="2"/>
  <c r="H42" i="2"/>
  <c r="C30" i="10" s="1"/>
  <c r="C101" i="9"/>
  <c r="C92" i="9"/>
  <c r="C91" i="9"/>
  <c r="C90" i="9"/>
  <c r="C89" i="9"/>
  <c r="C88" i="9"/>
  <c r="C87" i="9"/>
  <c r="C86" i="9"/>
  <c r="C85" i="9"/>
  <c r="C84" i="9"/>
  <c r="C83" i="9"/>
  <c r="C82" i="9"/>
  <c r="C81" i="9"/>
  <c r="C80" i="9"/>
  <c r="C79" i="9"/>
  <c r="C78" i="9"/>
  <c r="C77" i="9"/>
  <c r="C60" i="9"/>
  <c r="C59" i="9"/>
  <c r="C58" i="9"/>
  <c r="C57" i="9"/>
  <c r="C56" i="9"/>
  <c r="C55" i="9"/>
  <c r="C54" i="9"/>
  <c r="C53" i="9"/>
  <c r="C52" i="9"/>
  <c r="C51" i="9"/>
  <c r="C50" i="9"/>
  <c r="C49" i="9"/>
  <c r="C48" i="9"/>
  <c r="C47" i="9"/>
  <c r="C46" i="9"/>
  <c r="C45" i="9"/>
  <c r="C44" i="9"/>
  <c r="C43" i="9"/>
  <c r="C42" i="9"/>
  <c r="C41" i="9"/>
  <c r="C40" i="9"/>
  <c r="C39" i="9"/>
  <c r="C38" i="9"/>
  <c r="C37" i="9"/>
  <c r="C36" i="9"/>
  <c r="C35" i="9"/>
  <c r="C34" i="9"/>
  <c r="C33" i="9"/>
  <c r="C32" i="9"/>
  <c r="C31" i="9"/>
  <c r="C30" i="9"/>
  <c r="C29" i="9"/>
  <c r="C20" i="9"/>
  <c r="C19" i="9"/>
  <c r="C18" i="9"/>
  <c r="C17" i="9"/>
  <c r="C16" i="9"/>
  <c r="C15" i="9"/>
  <c r="C14" i="9"/>
  <c r="C13" i="9"/>
  <c r="B9" i="9"/>
  <c r="B6" i="9"/>
  <c r="B5" i="9"/>
  <c r="H7" i="2" l="1"/>
  <c r="H6" i="2"/>
  <c r="I89" i="2" l="1"/>
  <c r="H89" i="2"/>
  <c r="I90" i="2"/>
  <c r="H90" i="2"/>
  <c r="C460" i="9"/>
  <c r="C459" i="9"/>
  <c r="C458" i="9"/>
  <c r="C457" i="9"/>
  <c r="C456" i="9"/>
  <c r="C455" i="9"/>
  <c r="C454" i="9"/>
  <c r="C453" i="9"/>
  <c r="C436" i="9"/>
  <c r="C435" i="9"/>
  <c r="C434" i="9"/>
  <c r="C433" i="9"/>
  <c r="C432" i="9"/>
  <c r="C431" i="9"/>
  <c r="C430" i="9"/>
  <c r="C429" i="9"/>
  <c r="C428" i="9"/>
  <c r="C427" i="9"/>
  <c r="C426" i="9"/>
  <c r="C425" i="9"/>
  <c r="C424" i="9"/>
  <c r="C423" i="9"/>
  <c r="C422" i="9"/>
  <c r="C421" i="9"/>
  <c r="C420" i="9"/>
  <c r="C419" i="9"/>
  <c r="C418" i="9"/>
  <c r="C417" i="9"/>
  <c r="C416" i="9"/>
  <c r="C415" i="9"/>
  <c r="C414" i="9"/>
  <c r="C413" i="9"/>
  <c r="C412" i="9"/>
  <c r="C411" i="9"/>
  <c r="C410" i="9"/>
  <c r="C409" i="9"/>
  <c r="C408" i="9"/>
  <c r="C407" i="9"/>
  <c r="C406" i="9"/>
  <c r="C405" i="9"/>
  <c r="C404" i="9"/>
  <c r="C403" i="9"/>
  <c r="C402" i="9"/>
  <c r="C401" i="9"/>
  <c r="C400" i="9"/>
  <c r="C399" i="9"/>
  <c r="C398" i="9"/>
  <c r="C397" i="9"/>
  <c r="C396" i="9"/>
  <c r="C395" i="9"/>
  <c r="C394" i="9"/>
  <c r="C393" i="9"/>
  <c r="C392" i="9"/>
  <c r="C391" i="9"/>
  <c r="C390" i="9"/>
  <c r="C389" i="9"/>
  <c r="C388" i="9"/>
  <c r="C387" i="9"/>
  <c r="C386" i="9"/>
  <c r="C385" i="9"/>
  <c r="C384" i="9"/>
  <c r="C383" i="9"/>
  <c r="C382" i="9"/>
  <c r="C381" i="9"/>
  <c r="C372" i="9"/>
  <c r="C371" i="9"/>
  <c r="C370" i="9"/>
  <c r="C369" i="9"/>
  <c r="C368" i="9"/>
  <c r="C367" i="9"/>
  <c r="C366" i="9"/>
  <c r="C365" i="9"/>
  <c r="C364" i="9"/>
  <c r="C363" i="9"/>
  <c r="C362" i="9"/>
  <c r="C361" i="9"/>
  <c r="C360" i="9"/>
  <c r="C359" i="9"/>
  <c r="C358" i="9"/>
  <c r="C357" i="9"/>
  <c r="C348" i="9"/>
  <c r="C347" i="9"/>
  <c r="C346" i="9"/>
  <c r="C345" i="9"/>
  <c r="C344" i="9"/>
  <c r="C343" i="9"/>
  <c r="C342" i="9"/>
  <c r="C341" i="9"/>
  <c r="C340" i="9"/>
  <c r="C339" i="9"/>
  <c r="C338" i="9"/>
  <c r="C337" i="9"/>
  <c r="C336" i="9"/>
  <c r="C335" i="9"/>
  <c r="C334" i="9"/>
  <c r="C333" i="9"/>
  <c r="C316" i="9"/>
  <c r="C315" i="9"/>
  <c r="C314" i="9"/>
  <c r="C313" i="9"/>
  <c r="C312" i="9"/>
  <c r="C311" i="9"/>
  <c r="C310" i="9"/>
  <c r="C309" i="9"/>
  <c r="C308" i="9"/>
  <c r="C307" i="9"/>
  <c r="C306" i="9"/>
  <c r="C305" i="9"/>
  <c r="C304" i="9"/>
  <c r="C303" i="9"/>
  <c r="C302" i="9"/>
  <c r="C301" i="9"/>
  <c r="C300" i="9"/>
  <c r="C299" i="9"/>
  <c r="C298" i="9"/>
  <c r="C297" i="9"/>
  <c r="C296" i="9"/>
  <c r="C295" i="9"/>
  <c r="C294" i="9"/>
  <c r="C293" i="9"/>
  <c r="C292" i="9"/>
  <c r="C291" i="9"/>
  <c r="C290" i="9"/>
  <c r="C289" i="9"/>
  <c r="C288" i="9"/>
  <c r="C287" i="9"/>
  <c r="C286" i="9"/>
  <c r="C285" i="9"/>
  <c r="C284" i="9"/>
  <c r="C283" i="9"/>
  <c r="C282" i="9"/>
  <c r="C281" i="9"/>
  <c r="C280" i="9"/>
  <c r="C279" i="9"/>
  <c r="C278" i="9"/>
  <c r="C277" i="9"/>
  <c r="C276" i="9"/>
  <c r="C275" i="9"/>
  <c r="C274" i="9"/>
  <c r="C273" i="9"/>
  <c r="C272" i="9"/>
  <c r="C271" i="9"/>
  <c r="C270" i="9"/>
  <c r="C269" i="9"/>
  <c r="C268" i="9"/>
  <c r="C267" i="9"/>
  <c r="C266" i="9"/>
  <c r="C265" i="9"/>
  <c r="C264" i="9"/>
  <c r="C263" i="9"/>
  <c r="C262" i="9"/>
  <c r="C261" i="9"/>
  <c r="C260" i="9"/>
  <c r="C259" i="9"/>
  <c r="C258" i="9"/>
  <c r="C257" i="9"/>
  <c r="C255" i="9"/>
  <c r="C254" i="9"/>
  <c r="C253" i="9"/>
  <c r="C224" i="9"/>
  <c r="C225" i="9"/>
  <c r="C226" i="9"/>
  <c r="C227" i="9"/>
  <c r="C228" i="9"/>
  <c r="C223" i="9"/>
  <c r="C222" i="9"/>
  <c r="C221" i="9"/>
  <c r="C216" i="9"/>
  <c r="C217" i="9"/>
  <c r="C218" i="9"/>
  <c r="C219" i="9"/>
  <c r="C220" i="9"/>
  <c r="C215" i="9"/>
  <c r="C214" i="9"/>
  <c r="C213" i="9"/>
  <c r="C200" i="9"/>
  <c r="C201" i="9"/>
  <c r="C202" i="9"/>
  <c r="C203" i="9"/>
  <c r="C204" i="9"/>
  <c r="C199" i="9"/>
  <c r="C198" i="9"/>
  <c r="C197" i="9"/>
  <c r="C192" i="9"/>
  <c r="C193" i="9"/>
  <c r="C194" i="9"/>
  <c r="C195" i="9"/>
  <c r="C196" i="9"/>
  <c r="C191" i="9"/>
  <c r="C189" i="9"/>
  <c r="C190" i="9"/>
  <c r="C184" i="9"/>
  <c r="C185" i="9"/>
  <c r="C186" i="9"/>
  <c r="C187" i="9"/>
  <c r="C188" i="9"/>
  <c r="C183" i="9"/>
  <c r="C182" i="9"/>
  <c r="C181" i="9"/>
  <c r="C176" i="9"/>
  <c r="C177" i="9"/>
  <c r="C178" i="9"/>
  <c r="C179" i="9"/>
  <c r="C180" i="9"/>
  <c r="C175" i="9"/>
  <c r="C174" i="9"/>
  <c r="C173" i="9"/>
  <c r="C160" i="9"/>
  <c r="C161" i="9"/>
  <c r="C162" i="9"/>
  <c r="C163" i="9"/>
  <c r="C164" i="9"/>
  <c r="C159" i="9"/>
  <c r="C158" i="9"/>
  <c r="C157" i="9"/>
  <c r="C152" i="9"/>
  <c r="C153" i="9"/>
  <c r="C154" i="9"/>
  <c r="C155" i="9"/>
  <c r="C156" i="9"/>
  <c r="C151" i="9"/>
  <c r="C150" i="9"/>
  <c r="C149" i="9"/>
  <c r="C144" i="9"/>
  <c r="C145" i="9"/>
  <c r="C146" i="9"/>
  <c r="C147" i="9"/>
  <c r="C148" i="9"/>
  <c r="C143" i="9"/>
  <c r="C142" i="9"/>
  <c r="C141" i="9"/>
  <c r="C136" i="9"/>
  <c r="C137" i="9"/>
  <c r="C138" i="9"/>
  <c r="C139" i="9"/>
  <c r="C140" i="9"/>
  <c r="C135" i="9"/>
  <c r="C134" i="9"/>
  <c r="C133" i="9"/>
  <c r="C128" i="9"/>
  <c r="C129" i="9"/>
  <c r="C130" i="9"/>
  <c r="C131" i="9"/>
  <c r="C132" i="9"/>
  <c r="C127" i="9"/>
  <c r="C126" i="9"/>
  <c r="C125" i="9"/>
  <c r="C120" i="9"/>
  <c r="C121" i="9"/>
  <c r="C122" i="9"/>
  <c r="C123" i="9"/>
  <c r="C124" i="9"/>
  <c r="C119" i="9"/>
  <c r="C118" i="9"/>
  <c r="C117" i="9"/>
  <c r="C256" i="9"/>
  <c r="C24" i="9"/>
  <c r="C71" i="9"/>
  <c r="C23" i="9"/>
  <c r="C112" i="9"/>
  <c r="C113" i="9"/>
  <c r="C114" i="9"/>
  <c r="C115" i="9"/>
  <c r="C116" i="9"/>
  <c r="C111" i="9"/>
  <c r="C109" i="9"/>
  <c r="C110" i="9"/>
  <c r="C108" i="9"/>
  <c r="C107" i="9"/>
  <c r="C106" i="9"/>
  <c r="C105" i="9"/>
  <c r="C104" i="9"/>
  <c r="C103" i="9"/>
  <c r="C102" i="9"/>
  <c r="C62" i="9"/>
  <c r="C61" i="9"/>
  <c r="C28" i="9"/>
  <c r="C27" i="9"/>
  <c r="C26" i="9"/>
  <c r="C25" i="9"/>
  <c r="C22" i="9"/>
  <c r="C21" i="9"/>
  <c r="H9" i="2"/>
  <c r="I103" i="2" l="1"/>
  <c r="I92" i="2"/>
  <c r="H92" i="2"/>
  <c r="I106" i="2" s="1"/>
  <c r="G7" i="10"/>
  <c r="M7" i="10" s="1"/>
  <c r="H14" i="2"/>
  <c r="G13" i="9"/>
  <c r="G17" i="9"/>
  <c r="G19" i="9"/>
  <c r="C28" i="10" l="1"/>
  <c r="E28" i="10" s="1"/>
  <c r="J57" i="2"/>
  <c r="J5" i="2"/>
  <c r="K5" i="2" s="1"/>
  <c r="I105" i="2"/>
  <c r="C13" i="10"/>
  <c r="C11" i="10"/>
  <c r="E11" i="10" s="1"/>
  <c r="R6" i="10"/>
  <c r="Q6" i="10"/>
  <c r="C8" i="10"/>
  <c r="C7" i="10"/>
  <c r="E7" i="10" s="1"/>
  <c r="L18" i="10" l="1"/>
  <c r="C14" i="10"/>
  <c r="L19" i="10"/>
  <c r="L20" i="10"/>
  <c r="L17" i="10"/>
  <c r="S6" i="10"/>
  <c r="G2" i="10"/>
  <c r="G3" i="10" s="1"/>
  <c r="F12" i="10"/>
  <c r="D13" i="10" l="1"/>
  <c r="E13" i="10" s="1"/>
  <c r="D10" i="10"/>
  <c r="D9" i="10"/>
  <c r="E9" i="10" s="1"/>
  <c r="E10" i="10"/>
  <c r="D8" i="10"/>
  <c r="E8" i="10" s="1"/>
  <c r="E14" i="10" l="1"/>
  <c r="E21" i="10" s="1"/>
  <c r="D14" i="10"/>
  <c r="J10" i="2"/>
  <c r="B10" i="9" l="1"/>
  <c r="B8" i="9"/>
  <c r="B7" i="9"/>
  <c r="B4" i="9"/>
  <c r="B3" i="9"/>
  <c r="G18" i="9" l="1"/>
  <c r="G20" i="9"/>
  <c r="G16" i="9"/>
  <c r="G14" i="9"/>
  <c r="G15" i="9"/>
  <c r="H11" i="8" l="1"/>
  <c r="J11" i="8"/>
  <c r="I11" i="8"/>
  <c r="L116" i="2"/>
  <c r="H109" i="2"/>
  <c r="D41" i="5"/>
  <c r="D40" i="5"/>
  <c r="D39" i="5"/>
  <c r="D38" i="5"/>
  <c r="D37" i="5"/>
  <c r="D42" i="5" s="1"/>
  <c r="J117" i="2" l="1"/>
  <c r="H83" i="2" l="1"/>
  <c r="H82" i="2"/>
  <c r="H81" i="2"/>
  <c r="E84" i="2"/>
  <c r="H84" i="2" s="1"/>
  <c r="D30" i="10" s="1"/>
  <c r="E30" i="10" s="1"/>
  <c r="E31" i="10" s="1"/>
  <c r="E58" i="2"/>
  <c r="J94" i="2" l="1"/>
  <c r="S15" i="10" s="1"/>
  <c r="H94" i="2"/>
  <c r="J95" i="2"/>
  <c r="H95" i="2"/>
  <c r="J96" i="2"/>
  <c r="S16" i="10" s="1"/>
  <c r="H96" i="2"/>
  <c r="S11" i="10"/>
  <c r="S13" i="10"/>
  <c r="S12" i="10"/>
  <c r="S14" i="10"/>
  <c r="I84" i="2"/>
  <c r="H97" i="2" l="1"/>
  <c r="J58" i="2" s="1"/>
  <c r="S10" i="10"/>
  <c r="J97" i="2"/>
  <c r="J6" i="2"/>
  <c r="K6" i="2" s="1"/>
  <c r="R15" i="10" l="1"/>
  <c r="E14" i="2"/>
  <c r="B111" i="2" s="1"/>
  <c r="B112" i="2" s="1"/>
  <c r="I108" i="2" l="1"/>
  <c r="Q15" i="10"/>
  <c r="T15" i="10" s="1"/>
  <c r="G11" i="10"/>
  <c r="M11" i="10" s="1"/>
  <c r="R11" i="10"/>
  <c r="K94" i="2"/>
  <c r="Q10" i="10" l="1"/>
  <c r="F7" i="10"/>
  <c r="L7" i="10"/>
  <c r="F11" i="10"/>
  <c r="L11" i="10"/>
  <c r="R10" i="10"/>
  <c r="S17" i="10" s="1"/>
  <c r="I104" i="2"/>
  <c r="Q11" i="10"/>
  <c r="G8" i="10"/>
  <c r="M8" i="10" s="1"/>
  <c r="R13" i="10"/>
  <c r="K89" i="2"/>
  <c r="R14" i="10"/>
  <c r="K90" i="2"/>
  <c r="K8" i="10" l="1"/>
  <c r="J104" i="2"/>
  <c r="T10" i="10"/>
  <c r="Q13" i="10"/>
  <c r="T13" i="10" s="1"/>
  <c r="T11" i="10"/>
  <c r="I107" i="2"/>
  <c r="Q14" i="10"/>
  <c r="T14" i="10" s="1"/>
  <c r="G10" i="10"/>
  <c r="M10" i="10" s="1"/>
  <c r="F8" i="10"/>
  <c r="K93" i="2"/>
  <c r="K92" i="2"/>
  <c r="J7" i="2"/>
  <c r="K7" i="2"/>
  <c r="J103" i="2"/>
  <c r="K10" i="10" l="1"/>
  <c r="L10" i="10" s="1"/>
  <c r="J106" i="2"/>
  <c r="J105" i="2"/>
  <c r="F10" i="10"/>
  <c r="Q12" i="10"/>
  <c r="R12" i="10"/>
  <c r="L8" i="10"/>
  <c r="K10" i="2"/>
  <c r="K91" i="2"/>
  <c r="G9" i="10"/>
  <c r="M9" i="10" s="1"/>
  <c r="K9" i="10" l="1"/>
  <c r="F9" i="10"/>
  <c r="T12" i="10"/>
  <c r="L9" i="10" l="1"/>
  <c r="J118" i="2"/>
  <c r="B107" i="2"/>
  <c r="K95" i="2"/>
  <c r="I111" i="2"/>
  <c r="J111" i="2" s="1"/>
  <c r="Q16" i="10"/>
  <c r="Q17" i="10" s="1"/>
  <c r="G13" i="10"/>
  <c r="M13" i="10" s="1"/>
  <c r="K13" i="10" l="1"/>
  <c r="L12" i="10" s="1"/>
  <c r="G14" i="10"/>
  <c r="I109" i="2"/>
  <c r="I97" i="2"/>
  <c r="R16" i="10"/>
  <c r="T16" i="10" s="1"/>
  <c r="F13" i="10"/>
  <c r="F14" i="10" s="1"/>
  <c r="K96" i="2"/>
  <c r="G21" i="10" l="1"/>
  <c r="L21" i="10" s="1"/>
  <c r="M14" i="10"/>
  <c r="K14" i="10"/>
  <c r="L13" i="10"/>
  <c r="L14" i="10" s="1"/>
  <c r="J109" i="2"/>
  <c r="I112" i="2"/>
  <c r="J112" i="2" s="1"/>
  <c r="R17" i="10"/>
  <c r="T17" i="10" s="1"/>
  <c r="J9" i="2"/>
  <c r="K9" i="2" s="1"/>
  <c r="L11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tc={36299236-05E3-4D10-8919-EF915F654696}</author>
    <author>tc={B7B4BFB4-466B-4489-974F-B4906DE172D1}</author>
    <author>tc={FC49C596-F56E-4957-9BA5-DE8AE62BDB50}</author>
    <author>tc={2AD0DB84-7B63-4FCD-80C5-77DEF2761863}</author>
  </authors>
  <commentList>
    <comment ref="G103" authorId="0" shapeId="0" xr:uid="{36299236-05E3-4D10-8919-EF915F65469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Vergers+bananes+ananas</t>
      </text>
    </comment>
    <comment ref="G105" authorId="1" shapeId="0" xr:uid="{B7B4BFB4-466B-4489-974F-B4906DE172D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dont fruits PC hors bananes et ananas</t>
      </text>
    </comment>
    <comment ref="G106" authorId="2" shapeId="0" xr:uid="{FC49C596-F56E-4957-9BA5-DE8AE62BDB5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39% des Tomates, concombres, salades, chou de chine - % selon estim enquêtes DAVAR 2019</t>
      </text>
    </comment>
    <comment ref="G111" authorId="3" shapeId="0" xr:uid="{2AD0DB84-7B63-4FCD-80C5-77DEF276186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"Cultures spéciales"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tc={618D40E0-9F98-4B61-9C50-72AB80BE2B39}</author>
    <author>tc={947C4372-021D-48FA-85B5-17166B331EC2}</author>
    <author>tc={3C1D60C0-2570-4C3D-9839-2CD43EE1270E}</author>
    <author>tc={27900362-AF3D-4163-B345-014CAEC616C7}</author>
    <author>tc={85DA575E-BF4C-44F1-A505-22AB8261FB67}</author>
    <author>tc={D26580B6-92B1-4516-B338-D9CAFF049124}</author>
    <author>tc={1DAA7EA2-8EB4-4A52-9560-77436FD327B1}</author>
    <author>tc={AB75BAAA-BDBF-40F5-A86E-B1A25B9ABAA7}</author>
    <author>tc={623D2832-A3C6-4BAD-89FC-6BA58384A674}</author>
  </authors>
  <commentList>
    <comment ref="P3" authorId="0" shapeId="0" xr:uid="{618D40E0-9F98-4B61-9C50-72AB80BE2B3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dont fruits PC hors bananes et ananas</t>
      </text>
    </comment>
    <comment ref="C5" authorId="1" shapeId="0" xr:uid="{947C4372-021D-48FA-85B5-17166B331EC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Surfaces RGA 2012</t>
      </text>
    </comment>
    <comment ref="F5" authorId="2" shapeId="0" xr:uid="{3C1D60C0-2570-4C3D-9839-2CD43EE1270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Les surf REPAIR ont été soustraites des surfaces RGA 2012</t>
      </text>
    </comment>
    <comment ref="L5" authorId="3" shapeId="0" xr:uid="{27900362-AF3D-4163-B345-014CAEC616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Avec extraction des jachères - cf colonne de gauche</t>
      </text>
    </comment>
    <comment ref="P5" authorId="4" shapeId="0" xr:uid="{85DA575E-BF4C-44F1-A505-22AB8261FB6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Calcul pour la NC : 39% des Tomates, concombres, salades, chou de chine - % selon estim enquêtes DAVAR 2019
Réponse :
    Pour REPAIR : surfaces réelles recensées</t>
      </text>
    </comment>
    <comment ref="B7" authorId="5" shapeId="0" xr:uid="{D26580B6-92B1-4516-B338-D9CAFF04912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Vergers+bananes+ananas</t>
      </text>
    </comment>
    <comment ref="B9" authorId="6" shapeId="0" xr:uid="{1DAA7EA2-8EB4-4A52-9560-77436FD327B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dont fruits PC hors bananes et ananas</t>
      </text>
    </comment>
    <comment ref="B12" authorId="7" shapeId="0" xr:uid="{AB75BAAA-BDBF-40F5-A86E-B1A25B9ABAA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REPAIR : les jachères sont intégrées dans les surfaces dédiées à chaque culture. Elles n'ont pas été comptabilisées en tant que tel.</t>
      </text>
    </comment>
    <comment ref="B13" authorId="8" shapeId="0" xr:uid="{623D2832-A3C6-4BAD-89FC-6BA58384A67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"Cultures spéciales"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E1" authorId="0" shapeId="0" xr:uid="{4ECDFD2C-440B-4B9F-A229-63774C26B19E}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Les exploitations ne corrspondent pas entre les annés (sortants/entrants). Juste pour comparer les chiffres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<sst xmlns="http://schemas.openxmlformats.org/spreadsheetml/2006/main" count="10434" uniqueCount="1272">
  <si>
    <t>Nom_Exploi</t>
  </si>
  <si>
    <t>Nom_Parcel</t>
  </si>
  <si>
    <t>Details_cu</t>
  </si>
  <si>
    <t>Commune</t>
  </si>
  <si>
    <t>Type_Produ</t>
  </si>
  <si>
    <t>Surface/ha</t>
  </si>
  <si>
    <t>Longueur</t>
  </si>
  <si>
    <t>Nb lignes</t>
  </si>
  <si>
    <t>Largeur</t>
  </si>
  <si>
    <t>Hors-sol</t>
  </si>
  <si>
    <t>THIRIET</t>
  </si>
  <si>
    <t>S1</t>
  </si>
  <si>
    <t>Maraichage</t>
  </si>
  <si>
    <t>OUI</t>
  </si>
  <si>
    <t>T1</t>
  </si>
  <si>
    <t>P1</t>
  </si>
  <si>
    <t>S2</t>
  </si>
  <si>
    <t>Parcelle 2</t>
  </si>
  <si>
    <t>EYSSERIC</t>
  </si>
  <si>
    <t>6</t>
  </si>
  <si>
    <t>7</t>
  </si>
  <si>
    <t>4</t>
  </si>
  <si>
    <t>5</t>
  </si>
  <si>
    <t>Plaine 1</t>
  </si>
  <si>
    <t>Plaine 2</t>
  </si>
  <si>
    <t>Plaine 3</t>
  </si>
  <si>
    <t>3</t>
  </si>
  <si>
    <t>2</t>
  </si>
  <si>
    <t>1</t>
  </si>
  <si>
    <t>DELATHIERE</t>
  </si>
  <si>
    <t>Plateau 3</t>
  </si>
  <si>
    <t>Riviere 1</t>
  </si>
  <si>
    <t>Riviere 1 bis</t>
  </si>
  <si>
    <t>Banane</t>
  </si>
  <si>
    <t>Riviere 2</t>
  </si>
  <si>
    <t>Riviere 3</t>
  </si>
  <si>
    <t>P2</t>
  </si>
  <si>
    <t>P5</t>
  </si>
  <si>
    <t>P4</t>
  </si>
  <si>
    <t>P3</t>
  </si>
  <si>
    <t>13</t>
  </si>
  <si>
    <t>Horticulture</t>
  </si>
  <si>
    <t>14</t>
  </si>
  <si>
    <t>12</t>
  </si>
  <si>
    <t>8</t>
  </si>
  <si>
    <t>9</t>
  </si>
  <si>
    <t>10</t>
  </si>
  <si>
    <t>11</t>
  </si>
  <si>
    <t>15</t>
  </si>
  <si>
    <t>16</t>
  </si>
  <si>
    <t>17</t>
  </si>
  <si>
    <t>Bananes</t>
  </si>
  <si>
    <t>Sans production</t>
  </si>
  <si>
    <t>Parcelle 1</t>
  </si>
  <si>
    <t>Agrumes</t>
  </si>
  <si>
    <t>VENTRA</t>
  </si>
  <si>
    <t>Petite table 4</t>
  </si>
  <si>
    <t>Petite table 3</t>
  </si>
  <si>
    <t>Petite table 2</t>
  </si>
  <si>
    <t>Petite table 1</t>
  </si>
  <si>
    <t>Petit tunnel 2</t>
  </si>
  <si>
    <t>Petit tunnel 1</t>
  </si>
  <si>
    <t>Petit tunnel 3</t>
  </si>
  <si>
    <t>Petit tunnel 4</t>
  </si>
  <si>
    <t>Petit tunnel 5</t>
  </si>
  <si>
    <t>Petit tunnel 6</t>
  </si>
  <si>
    <t>Petit tunnel 7</t>
  </si>
  <si>
    <t>Petit tunnel 8</t>
  </si>
  <si>
    <t>Petit tunnel 9</t>
  </si>
  <si>
    <t>Petit tunnel 10</t>
  </si>
  <si>
    <t>Gde chapelle 1</t>
  </si>
  <si>
    <t>Gde chapelle 2</t>
  </si>
  <si>
    <t>Gde chapelle 3</t>
  </si>
  <si>
    <t>Gde chapelle 4</t>
  </si>
  <si>
    <t>Grand tunnel</t>
  </si>
  <si>
    <t>Gde table 1</t>
  </si>
  <si>
    <t>Gde table 2</t>
  </si>
  <si>
    <t>Gde table 3</t>
  </si>
  <si>
    <t>Gde table 4</t>
  </si>
  <si>
    <t>Bananeraie</t>
  </si>
  <si>
    <t>BOEUF</t>
  </si>
  <si>
    <t>Mangue</t>
  </si>
  <si>
    <t>Verger 2</t>
  </si>
  <si>
    <t>Bananeraie 1</t>
  </si>
  <si>
    <t>Bananeraie 2</t>
  </si>
  <si>
    <t>Ananas</t>
  </si>
  <si>
    <t>COLOMINA</t>
  </si>
  <si>
    <t>LA BROMELIADE</t>
  </si>
  <si>
    <t>Signal B7</t>
  </si>
  <si>
    <t>Tubercules tropicaux</t>
  </si>
  <si>
    <t>Signal B5</t>
  </si>
  <si>
    <t>Signal B6</t>
  </si>
  <si>
    <t>Signal B8</t>
  </si>
  <si>
    <t>Signal B9</t>
  </si>
  <si>
    <t>Signal B10</t>
  </si>
  <si>
    <t>Signal B11</t>
  </si>
  <si>
    <t>Signal C3</t>
  </si>
  <si>
    <t>Signal C4</t>
  </si>
  <si>
    <t>Signal C5</t>
  </si>
  <si>
    <t>Signal C6</t>
  </si>
  <si>
    <t>Signal D3</t>
  </si>
  <si>
    <t>Signal D4</t>
  </si>
  <si>
    <t>Signal D5</t>
  </si>
  <si>
    <t>Signal D6</t>
  </si>
  <si>
    <t>Signal C7</t>
  </si>
  <si>
    <t>Signal C8</t>
  </si>
  <si>
    <t>Signal C9</t>
  </si>
  <si>
    <t>Signal C10</t>
  </si>
  <si>
    <t>Signal C11</t>
  </si>
  <si>
    <t>Signal D7</t>
  </si>
  <si>
    <t>Signal D8</t>
  </si>
  <si>
    <t>Signal D9</t>
  </si>
  <si>
    <t>Signal D10</t>
  </si>
  <si>
    <t>Signal D11</t>
  </si>
  <si>
    <t>Signal B12</t>
  </si>
  <si>
    <t>Signal C12</t>
  </si>
  <si>
    <t>Signal D12</t>
  </si>
  <si>
    <t>Signal B13</t>
  </si>
  <si>
    <t>Signal C13</t>
  </si>
  <si>
    <t>Signal D13</t>
  </si>
  <si>
    <t>Plateforme 27</t>
  </si>
  <si>
    <t>Petit Verger</t>
  </si>
  <si>
    <t>Jardin 19</t>
  </si>
  <si>
    <t>Maison 28</t>
  </si>
  <si>
    <t>Signal A15</t>
  </si>
  <si>
    <t>Signal A16</t>
  </si>
  <si>
    <t>Signal A17</t>
  </si>
  <si>
    <t>Signal A18</t>
  </si>
  <si>
    <t>Signal A19</t>
  </si>
  <si>
    <t>Signal A20</t>
  </si>
  <si>
    <t>Signal A21</t>
  </si>
  <si>
    <t>Signal C14</t>
  </si>
  <si>
    <t>Signal B14</t>
  </si>
  <si>
    <t>Signal B18</t>
  </si>
  <si>
    <t>Signal B15</t>
  </si>
  <si>
    <t>Signal B16</t>
  </si>
  <si>
    <t>Signal B17</t>
  </si>
  <si>
    <t>Signal D14</t>
  </si>
  <si>
    <t>Cyril</t>
  </si>
  <si>
    <t>Grande Plaine</t>
  </si>
  <si>
    <t>Maison 5</t>
  </si>
  <si>
    <t>Maison 6</t>
  </si>
  <si>
    <t>Maison 7</t>
  </si>
  <si>
    <t>Maison 8</t>
  </si>
  <si>
    <t>Maison 9</t>
  </si>
  <si>
    <t>Maison 10</t>
  </si>
  <si>
    <t>Maison 13</t>
  </si>
  <si>
    <t>Maison 12</t>
  </si>
  <si>
    <t>Maison 11</t>
  </si>
  <si>
    <t>Maison 14</t>
  </si>
  <si>
    <t>Maison 15</t>
  </si>
  <si>
    <t>Maison 16</t>
  </si>
  <si>
    <t>Maison 17</t>
  </si>
  <si>
    <t>Maison 18</t>
  </si>
  <si>
    <t>Maison 19</t>
  </si>
  <si>
    <t>Maison 20</t>
  </si>
  <si>
    <t>Maison 21</t>
  </si>
  <si>
    <t>Maison 22</t>
  </si>
  <si>
    <t>Maison 23</t>
  </si>
  <si>
    <t>Maison 24</t>
  </si>
  <si>
    <t>Maison 25</t>
  </si>
  <si>
    <t>Maison 26</t>
  </si>
  <si>
    <t>Maison 27</t>
  </si>
  <si>
    <t>Citronier</t>
  </si>
  <si>
    <t>Plateforme 19</t>
  </si>
  <si>
    <t>Plateforme 20</t>
  </si>
  <si>
    <t>Plateforme 21</t>
  </si>
  <si>
    <t>Plateforme 22</t>
  </si>
  <si>
    <t>Plateforme 23</t>
  </si>
  <si>
    <t>Plateforme 24</t>
  </si>
  <si>
    <t>Plateforme 25</t>
  </si>
  <si>
    <t>Plateforme 26</t>
  </si>
  <si>
    <t>Plateforme 18</t>
  </si>
  <si>
    <t>Plateforme 17</t>
  </si>
  <si>
    <t>Plateforme 16</t>
  </si>
  <si>
    <t>Plateforme 15</t>
  </si>
  <si>
    <t>Plateforme 14</t>
  </si>
  <si>
    <t>Plateforme 13</t>
  </si>
  <si>
    <t>Plateforme 12</t>
  </si>
  <si>
    <t>Plateforme 11</t>
  </si>
  <si>
    <t>Plateforme 10</t>
  </si>
  <si>
    <t>Plateforme 9</t>
  </si>
  <si>
    <t>Plateforme 8</t>
  </si>
  <si>
    <t>Plateforme 7</t>
  </si>
  <si>
    <t>Plateforme 6</t>
  </si>
  <si>
    <t>Plateforme 5</t>
  </si>
  <si>
    <t>Plateforme 4</t>
  </si>
  <si>
    <t>Plateforme 3</t>
  </si>
  <si>
    <t>Plateforme 2</t>
  </si>
  <si>
    <t>Plateforme 1</t>
  </si>
  <si>
    <t>Jardin 1</t>
  </si>
  <si>
    <t>Jardin 2</t>
  </si>
  <si>
    <t>Jardin 3</t>
  </si>
  <si>
    <t>Jardin 4</t>
  </si>
  <si>
    <t>Jardin 5</t>
  </si>
  <si>
    <t>Jardin 6</t>
  </si>
  <si>
    <t>Jardin 7</t>
  </si>
  <si>
    <t>Jardin 8</t>
  </si>
  <si>
    <t>Jardin 9</t>
  </si>
  <si>
    <t>Jardin 10</t>
  </si>
  <si>
    <t>Jardin 11</t>
  </si>
  <si>
    <t>Jardin 12</t>
  </si>
  <si>
    <t>Jardin 13</t>
  </si>
  <si>
    <t>Jardin 14</t>
  </si>
  <si>
    <t>Jardin 15</t>
  </si>
  <si>
    <t>Jardin 16</t>
  </si>
  <si>
    <t>Jardin 17</t>
  </si>
  <si>
    <t>Jardin 18</t>
  </si>
  <si>
    <t>Forage 1</t>
  </si>
  <si>
    <t>Forage 3</t>
  </si>
  <si>
    <t>Forage 4</t>
  </si>
  <si>
    <t>Forage 5</t>
  </si>
  <si>
    <t>Forage 6</t>
  </si>
  <si>
    <t>Forage 7</t>
  </si>
  <si>
    <t>Forage 8</t>
  </si>
  <si>
    <t>Forage 9</t>
  </si>
  <si>
    <t>Forage 10</t>
  </si>
  <si>
    <t>Forage 11</t>
  </si>
  <si>
    <t>Forage 12</t>
  </si>
  <si>
    <t>Forage 13</t>
  </si>
  <si>
    <t>Forage 14</t>
  </si>
  <si>
    <t>Forage 15</t>
  </si>
  <si>
    <t>Forage 16</t>
  </si>
  <si>
    <t>Forage 17</t>
  </si>
  <si>
    <t>Forage 18</t>
  </si>
  <si>
    <t>Forage 19</t>
  </si>
  <si>
    <t>Terrasse 1</t>
  </si>
  <si>
    <t>Terrasse 2</t>
  </si>
  <si>
    <t>Manguier 2-1</t>
  </si>
  <si>
    <t>Manguier 2-2</t>
  </si>
  <si>
    <t>Manguier 2-3</t>
  </si>
  <si>
    <t>Manguier 2-4</t>
  </si>
  <si>
    <t>Manguier 2-5</t>
  </si>
  <si>
    <t>Manguier 2-6</t>
  </si>
  <si>
    <t>Manguier 2-7</t>
  </si>
  <si>
    <t>Manguier 2-8</t>
  </si>
  <si>
    <t>Manguier 2-9</t>
  </si>
  <si>
    <t>Manguier 2</t>
  </si>
  <si>
    <t>ManguierTerrasse</t>
  </si>
  <si>
    <t>Manguier 1</t>
  </si>
  <si>
    <t>Signal 1</t>
  </si>
  <si>
    <t>Signal 2</t>
  </si>
  <si>
    <t>Signal 3</t>
  </si>
  <si>
    <t>Signal A1</t>
  </si>
  <si>
    <t>Signal A2</t>
  </si>
  <si>
    <t>Signal A3</t>
  </si>
  <si>
    <t>Signal A4</t>
  </si>
  <si>
    <t>Signal A5</t>
  </si>
  <si>
    <t>Signal A6</t>
  </si>
  <si>
    <t>Signal A7</t>
  </si>
  <si>
    <t>Signal A8</t>
  </si>
  <si>
    <t>Signal A9</t>
  </si>
  <si>
    <t>Signal A10</t>
  </si>
  <si>
    <t>Signal A11</t>
  </si>
  <si>
    <t>Signal A12</t>
  </si>
  <si>
    <t>Signal A13</t>
  </si>
  <si>
    <t>Signal A14</t>
  </si>
  <si>
    <t>Signal B31</t>
  </si>
  <si>
    <t>Signal B30</t>
  </si>
  <si>
    <t>Signal B29</t>
  </si>
  <si>
    <t>Signal  B28</t>
  </si>
  <si>
    <t>Signal B27</t>
  </si>
  <si>
    <t>Signal B26</t>
  </si>
  <si>
    <t>Signal B25</t>
  </si>
  <si>
    <t>Signal B24</t>
  </si>
  <si>
    <t>Signal B23</t>
  </si>
  <si>
    <t>Signal B22</t>
  </si>
  <si>
    <t>Signal B21</t>
  </si>
  <si>
    <t>Signal B20</t>
  </si>
  <si>
    <t>Signal B19</t>
  </si>
  <si>
    <t>Signal B1</t>
  </si>
  <si>
    <t>Signal C1</t>
  </si>
  <si>
    <t>Signal D1</t>
  </si>
  <si>
    <t>Signal B2</t>
  </si>
  <si>
    <t>Signal C2</t>
  </si>
  <si>
    <t>Signal D2</t>
  </si>
  <si>
    <t>Signal B3</t>
  </si>
  <si>
    <t>Signal B4</t>
  </si>
  <si>
    <t>CALMELS</t>
  </si>
  <si>
    <t>BOSSY</t>
  </si>
  <si>
    <t>Parcelle 3</t>
  </si>
  <si>
    <t>SERAPHIN</t>
  </si>
  <si>
    <t>Champ 1</t>
  </si>
  <si>
    <t>Champ 2</t>
  </si>
  <si>
    <t>Champ 3</t>
  </si>
  <si>
    <t>Champ 4</t>
  </si>
  <si>
    <t>Champ 5</t>
  </si>
  <si>
    <t>Champ 14</t>
  </si>
  <si>
    <t>Champ 13</t>
  </si>
  <si>
    <t>Champ 6</t>
  </si>
  <si>
    <t>Champ 7</t>
  </si>
  <si>
    <t>Champ 8</t>
  </si>
  <si>
    <t>Champ 9</t>
  </si>
  <si>
    <t>Champ 10</t>
  </si>
  <si>
    <t>Champ 12</t>
  </si>
  <si>
    <t>Champ 11</t>
  </si>
  <si>
    <t>CUGOLA</t>
  </si>
  <si>
    <t>Plaine</t>
  </si>
  <si>
    <t>Loulou2</t>
  </si>
  <si>
    <t>Loulou4</t>
  </si>
  <si>
    <t>Loulou3</t>
  </si>
  <si>
    <t>Loulou1</t>
  </si>
  <si>
    <t>Loulou5</t>
  </si>
  <si>
    <t>Loulou6</t>
  </si>
  <si>
    <t>Loulou7</t>
  </si>
  <si>
    <t>Loulou8</t>
  </si>
  <si>
    <t>Loulou9</t>
  </si>
  <si>
    <t>Loulou10</t>
  </si>
  <si>
    <t>Loulou11</t>
  </si>
  <si>
    <t>Loulou12</t>
  </si>
  <si>
    <t>Butte 3</t>
  </si>
  <si>
    <t>Butte 4</t>
  </si>
  <si>
    <t>Butte 1</t>
  </si>
  <si>
    <t>Butte 2</t>
  </si>
  <si>
    <t>Triangle 3</t>
  </si>
  <si>
    <t>Triangle 2</t>
  </si>
  <si>
    <t>Triangle 1</t>
  </si>
  <si>
    <t>Route 1</t>
  </si>
  <si>
    <t>Route 2</t>
  </si>
  <si>
    <t>Route 4</t>
  </si>
  <si>
    <t>Route 3</t>
  </si>
  <si>
    <t>Maison 1</t>
  </si>
  <si>
    <t>Maison 2</t>
  </si>
  <si>
    <t>Maison 3</t>
  </si>
  <si>
    <t>Maison 4</t>
  </si>
  <si>
    <t>Champ 16</t>
  </si>
  <si>
    <t>Champ 15</t>
  </si>
  <si>
    <t>RICHARD</t>
  </si>
  <si>
    <t>OLLIVIER C</t>
  </si>
  <si>
    <t>Plaine bas</t>
  </si>
  <si>
    <t>Plaine Haut 1</t>
  </si>
  <si>
    <t>Lime Tahiti</t>
  </si>
  <si>
    <t>Plaine Bas Bis</t>
  </si>
  <si>
    <t>Plaine Haut 2</t>
  </si>
  <si>
    <t>Adraf</t>
  </si>
  <si>
    <t>BENARD</t>
  </si>
  <si>
    <t>Hangaroses</t>
  </si>
  <si>
    <t>Papaye1</t>
  </si>
  <si>
    <t>Papaye2</t>
  </si>
  <si>
    <t>Malta1</t>
  </si>
  <si>
    <t>Malta2</t>
  </si>
  <si>
    <t>H1</t>
  </si>
  <si>
    <t>B1</t>
  </si>
  <si>
    <t>B2</t>
  </si>
  <si>
    <t>B5</t>
  </si>
  <si>
    <t>B3</t>
  </si>
  <si>
    <t>B4</t>
  </si>
  <si>
    <t>P6</t>
  </si>
  <si>
    <t>Mandarine1</t>
  </si>
  <si>
    <t>Mandarine2</t>
  </si>
  <si>
    <t>W2</t>
  </si>
  <si>
    <t>W3</t>
  </si>
  <si>
    <t>B6</t>
  </si>
  <si>
    <t>B7</t>
  </si>
  <si>
    <t>B8</t>
  </si>
  <si>
    <t>H2</t>
  </si>
  <si>
    <t>MOURINET</t>
  </si>
  <si>
    <t>Autres</t>
  </si>
  <si>
    <t>ORANGERAIE</t>
  </si>
  <si>
    <t>Cadenera F</t>
  </si>
  <si>
    <t>Orange</t>
  </si>
  <si>
    <t>Fortune F</t>
  </si>
  <si>
    <t>Navel New Hall</t>
  </si>
  <si>
    <t>Valencia Cuve</t>
  </si>
  <si>
    <t>Pomelos</t>
  </si>
  <si>
    <t>Lime G</t>
  </si>
  <si>
    <t>Manguier F</t>
  </si>
  <si>
    <t>Hamlin/PA G</t>
  </si>
  <si>
    <t>Pomelo La Foa</t>
  </si>
  <si>
    <t>Cadenera Thia</t>
  </si>
  <si>
    <t>Manguier La Foa</t>
  </si>
  <si>
    <t>Fortune La Foa</t>
  </si>
  <si>
    <t>Cadenera Village</t>
  </si>
  <si>
    <t>Pepe Noir</t>
  </si>
  <si>
    <t>Triangle L</t>
  </si>
  <si>
    <t>Valencia L</t>
  </si>
  <si>
    <t>Triangle G-P</t>
  </si>
  <si>
    <t>Valencia G-P</t>
  </si>
  <si>
    <t>Pamplemousse G</t>
  </si>
  <si>
    <t>Washington G</t>
  </si>
  <si>
    <t>A definir</t>
  </si>
  <si>
    <t>Carambole La Foa</t>
  </si>
  <si>
    <t>Szicom 2.2</t>
  </si>
  <si>
    <t>Szicom 2.1</t>
  </si>
  <si>
    <t>Ponkan</t>
  </si>
  <si>
    <t>Szicom 1.2</t>
  </si>
  <si>
    <t>Szicom 1.1</t>
  </si>
  <si>
    <t>Banian</t>
  </si>
  <si>
    <t>Navel Forage</t>
  </si>
  <si>
    <t>Navel Triangle</t>
  </si>
  <si>
    <t>Lime 2</t>
  </si>
  <si>
    <t>Lime 1</t>
  </si>
  <si>
    <t>kumquat</t>
  </si>
  <si>
    <t>4 saisons</t>
  </si>
  <si>
    <t>Navel Flying</t>
  </si>
  <si>
    <t>Corossol 1</t>
  </si>
  <si>
    <t>Madagascar</t>
  </si>
  <si>
    <t>Corossol 2</t>
  </si>
  <si>
    <t>Corossol Atelier</t>
  </si>
  <si>
    <t>Navel Atelier</t>
  </si>
  <si>
    <t>Palmier 1</t>
  </si>
  <si>
    <t>MandarineSapin 1</t>
  </si>
  <si>
    <t>Navel Sapin</t>
  </si>
  <si>
    <t>Navel Dubaton</t>
  </si>
  <si>
    <t>Mandarines</t>
  </si>
  <si>
    <t>PASSION POPIDERY</t>
  </si>
  <si>
    <t>E</t>
  </si>
  <si>
    <t>F</t>
  </si>
  <si>
    <t>Triangle</t>
  </si>
  <si>
    <t>AGRIPRO</t>
  </si>
  <si>
    <t>Avocat</t>
  </si>
  <si>
    <t>PEPINIERE TAMOA</t>
  </si>
  <si>
    <t>D4</t>
  </si>
  <si>
    <t>D2</t>
  </si>
  <si>
    <t>D3</t>
  </si>
  <si>
    <t>D1</t>
  </si>
  <si>
    <t>C2</t>
  </si>
  <si>
    <t>C4</t>
  </si>
  <si>
    <t>C6</t>
  </si>
  <si>
    <t>C8</t>
  </si>
  <si>
    <t>C7</t>
  </si>
  <si>
    <t>C5</t>
  </si>
  <si>
    <t>C3</t>
  </si>
  <si>
    <t>C1</t>
  </si>
  <si>
    <t>E10</t>
  </si>
  <si>
    <t>E11</t>
  </si>
  <si>
    <t>E12</t>
  </si>
  <si>
    <t>E13</t>
  </si>
  <si>
    <t>E14</t>
  </si>
  <si>
    <t>E3</t>
  </si>
  <si>
    <t>E2</t>
  </si>
  <si>
    <t>A6</t>
  </si>
  <si>
    <t>A4 - A5</t>
  </si>
  <si>
    <t>A3</t>
  </si>
  <si>
    <t>A2</t>
  </si>
  <si>
    <t>A1</t>
  </si>
  <si>
    <t>PT8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</si>
  <si>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</si>
  <si>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</si>
  <si>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</si>
  <si>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</si>
  <si>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</si>
  <si>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</si>
  <si>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</si>
  <si>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</si>
  <si>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</si>
  <si>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</si>
  <si>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</si>
  <si>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</si>
  <si>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</si>
  <si>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</si>
  <si>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</si>
  <si>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</si>
  <si>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</si>
  <si>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BOUGAULT</t>
  </si>
  <si>
    <t>Gros sujet Zone1</t>
  </si>
  <si>
    <t>H-S Zone 3 et 4</t>
  </si>
  <si>
    <t>H-S Zone 1 et 2</t>
  </si>
  <si>
    <t>Corrossol</t>
  </si>
  <si>
    <t>Goyavier</t>
  </si>
  <si>
    <t>Pomme-liane</t>
  </si>
  <si>
    <t>Verger</t>
  </si>
  <si>
    <t>Manguier 2-10</t>
  </si>
  <si>
    <t>Signal  C16</t>
  </si>
  <si>
    <t>Signal  C17</t>
  </si>
  <si>
    <t>Signal C18</t>
  </si>
  <si>
    <t>Signal  C19</t>
  </si>
  <si>
    <t>Signal C20</t>
  </si>
  <si>
    <t>Signal  C21</t>
  </si>
  <si>
    <t>Signal  C22</t>
  </si>
  <si>
    <t>Signal  C23</t>
  </si>
  <si>
    <t>RIGOT</t>
  </si>
  <si>
    <t>Fin fond</t>
  </si>
  <si>
    <t>VIALLON</t>
  </si>
  <si>
    <t>Niaouli</t>
  </si>
  <si>
    <t>Serpent bas</t>
  </si>
  <si>
    <t>Serpent haut</t>
  </si>
  <si>
    <t>Terminus</t>
  </si>
  <si>
    <t>Plateau</t>
  </si>
  <si>
    <t>Thibault</t>
  </si>
  <si>
    <t>Cerisiers</t>
  </si>
  <si>
    <t>Goutte</t>
  </si>
  <si>
    <t>Belle-vue</t>
  </si>
  <si>
    <t>Chou belle</t>
  </si>
  <si>
    <t>Bois bouchon</t>
  </si>
  <si>
    <t>Elena</t>
  </si>
  <si>
    <t>Milou</t>
  </si>
  <si>
    <t>Maelle</t>
  </si>
  <si>
    <t>Cochon</t>
  </si>
  <si>
    <t>Vieux pont</t>
  </si>
  <si>
    <t>Grand carre</t>
  </si>
  <si>
    <t>Bureau</t>
  </si>
  <si>
    <t>Maison verte</t>
  </si>
  <si>
    <t>Petite maison</t>
  </si>
  <si>
    <t>Rectangle</t>
  </si>
  <si>
    <t>Grand</t>
  </si>
  <si>
    <t>Fond</t>
  </si>
  <si>
    <t>Campement</t>
  </si>
  <si>
    <t>Vieux agrumes</t>
  </si>
  <si>
    <t>Signal C15</t>
  </si>
  <si>
    <t>PT1</t>
  </si>
  <si>
    <t>H3</t>
  </si>
  <si>
    <t>H4</t>
  </si>
  <si>
    <t>H5</t>
  </si>
  <si>
    <t>PT2</t>
  </si>
  <si>
    <t>PT3</t>
  </si>
  <si>
    <t>PT4</t>
  </si>
  <si>
    <t>PT4 Bis</t>
  </si>
  <si>
    <t>PT5</t>
  </si>
  <si>
    <t>PT6</t>
  </si>
  <si>
    <t>PT7</t>
  </si>
  <si>
    <t>PT9</t>
  </si>
  <si>
    <t>PT10</t>
  </si>
  <si>
    <t>A4</t>
  </si>
  <si>
    <t>A5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</si>
  <si>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</si>
  <si>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</si>
  <si>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</si>
  <si>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</si>
  <si>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</si>
  <si>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</si>
  <si>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</si>
  <si>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</si>
  <si>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</si>
  <si>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</si>
  <si>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A0</t>
  </si>
  <si>
    <t>MOISSON</t>
  </si>
  <si>
    <t>Table 3</t>
  </si>
  <si>
    <t>Table 2</t>
  </si>
  <si>
    <t>Table 1</t>
  </si>
  <si>
    <t>Table 6</t>
  </si>
  <si>
    <t>Table 5</t>
  </si>
  <si>
    <t>Table 4</t>
  </si>
  <si>
    <t>FRUITIERS</t>
  </si>
  <si>
    <t>Pieds meres</t>
  </si>
  <si>
    <t>Trou d'eau</t>
  </si>
  <si>
    <t>MOGLIA</t>
  </si>
  <si>
    <t>Table 8</t>
  </si>
  <si>
    <t>Table 17</t>
  </si>
  <si>
    <t>Table 16</t>
  </si>
  <si>
    <t>Table 15</t>
  </si>
  <si>
    <t>Table 14</t>
  </si>
  <si>
    <t>Table 13</t>
  </si>
  <si>
    <t>Table 12</t>
  </si>
  <si>
    <t>Table 11</t>
  </si>
  <si>
    <t>Table 10</t>
  </si>
  <si>
    <t>Table 9</t>
  </si>
  <si>
    <t>Table 7</t>
  </si>
  <si>
    <t>Table 18</t>
  </si>
  <si>
    <t>Table 19</t>
  </si>
  <si>
    <t>Chouchoute</t>
  </si>
  <si>
    <t>BLOMME</t>
  </si>
  <si>
    <t>Planches</t>
  </si>
  <si>
    <t>Butte 6</t>
  </si>
  <si>
    <t>Butte 5</t>
  </si>
  <si>
    <t>Christian</t>
  </si>
  <si>
    <t>Virage</t>
  </si>
  <si>
    <t>Piscine</t>
  </si>
  <si>
    <t>Venise 1</t>
  </si>
  <si>
    <t>Stockyard</t>
  </si>
  <si>
    <t>Francis</t>
  </si>
  <si>
    <t>Venise 2</t>
  </si>
  <si>
    <t>Plaine 4</t>
  </si>
  <si>
    <t>Plaine 5</t>
  </si>
  <si>
    <t>Orcan</t>
  </si>
  <si>
    <t>Hippo 3</t>
  </si>
  <si>
    <t>Hippo 2</t>
  </si>
  <si>
    <t>Hippo 1</t>
  </si>
  <si>
    <t>Radier</t>
  </si>
  <si>
    <t>OLLIVIER</t>
  </si>
  <si>
    <t>Maison</t>
  </si>
  <si>
    <t>LA FOA</t>
  </si>
  <si>
    <t>Corossols</t>
  </si>
  <si>
    <t>RT1</t>
  </si>
  <si>
    <t>Montagne</t>
  </si>
  <si>
    <t>NIAUTOU</t>
  </si>
  <si>
    <t>Serre</t>
  </si>
  <si>
    <t>PV 2</t>
  </si>
  <si>
    <t>PV 3</t>
  </si>
  <si>
    <t>PV 4</t>
  </si>
  <si>
    <t>PV 5</t>
  </si>
  <si>
    <t>PV 6</t>
  </si>
  <si>
    <t>PV 7</t>
  </si>
  <si>
    <t>PV 8</t>
  </si>
  <si>
    <t>PV 12</t>
  </si>
  <si>
    <t>PV 9</t>
  </si>
  <si>
    <t>PV 13</t>
  </si>
  <si>
    <t>PV 10</t>
  </si>
  <si>
    <t>PV 14</t>
  </si>
  <si>
    <t>PV 11</t>
  </si>
  <si>
    <t>PV 15</t>
  </si>
  <si>
    <t>PV 16</t>
  </si>
  <si>
    <t>PC 1</t>
  </si>
  <si>
    <t>PC 2</t>
  </si>
  <si>
    <t>PC 3</t>
  </si>
  <si>
    <t>PC 4</t>
  </si>
  <si>
    <t>PC 5</t>
  </si>
  <si>
    <t>PC 6</t>
  </si>
  <si>
    <t>PC 7</t>
  </si>
  <si>
    <t>PC 8</t>
  </si>
  <si>
    <t>PC 9</t>
  </si>
  <si>
    <t>PC 10</t>
  </si>
  <si>
    <t>PC 11</t>
  </si>
  <si>
    <t>PC 12</t>
  </si>
  <si>
    <t>Rotation poules</t>
  </si>
  <si>
    <t>DUSSIREY</t>
  </si>
  <si>
    <t>4-5</t>
  </si>
  <si>
    <t>15-2</t>
  </si>
  <si>
    <t>BURGUIERE</t>
  </si>
  <si>
    <t>CHATELAIN</t>
  </si>
  <si>
    <t>Vanille</t>
  </si>
  <si>
    <t>Potagers Poules</t>
  </si>
  <si>
    <t>Parcelle 6</t>
  </si>
  <si>
    <t>Parcelle 5</t>
  </si>
  <si>
    <t>Parcelle 4</t>
  </si>
  <si>
    <t>Dragons</t>
  </si>
  <si>
    <t>15-1</t>
  </si>
  <si>
    <t>Serre aquaponie</t>
  </si>
  <si>
    <t>CALMELS Yvann</t>
  </si>
  <si>
    <t>Buttes</t>
  </si>
  <si>
    <t>N1</t>
  </si>
  <si>
    <t>N2</t>
  </si>
  <si>
    <t>PAT2</t>
  </si>
  <si>
    <t>PA1</t>
  </si>
  <si>
    <t>PA2</t>
  </si>
  <si>
    <t>PA3</t>
  </si>
  <si>
    <t>PE1</t>
  </si>
  <si>
    <t>PE2</t>
  </si>
  <si>
    <t>PE3</t>
  </si>
  <si>
    <t>W1</t>
  </si>
  <si>
    <t>J3</t>
  </si>
  <si>
    <t>J2</t>
  </si>
  <si>
    <t>J1</t>
  </si>
  <si>
    <t>M2</t>
  </si>
  <si>
    <t>M1</t>
  </si>
  <si>
    <t>Serre 1</t>
  </si>
  <si>
    <t>Serre 2</t>
  </si>
  <si>
    <t>Salades</t>
  </si>
  <si>
    <t>HATTE</t>
  </si>
  <si>
    <t>SF1</t>
  </si>
  <si>
    <t>SF2</t>
  </si>
  <si>
    <t>SF3</t>
  </si>
  <si>
    <t>SF4</t>
  </si>
  <si>
    <t>F1</t>
  </si>
  <si>
    <t>F2</t>
  </si>
  <si>
    <t>F3</t>
  </si>
  <si>
    <t>T4</t>
  </si>
  <si>
    <t>T5</t>
  </si>
  <si>
    <t>T6</t>
  </si>
  <si>
    <t>NON</t>
  </si>
  <si>
    <t>Type production</t>
  </si>
  <si>
    <t>Certifiés</t>
  </si>
  <si>
    <t>Cultures fruitières</t>
  </si>
  <si>
    <t>Maraichage PC</t>
  </si>
  <si>
    <t>Maraichage HS</t>
  </si>
  <si>
    <t>Surface totale (ha)</t>
  </si>
  <si>
    <t xml:space="preserve">Total </t>
  </si>
  <si>
    <t>Non certifiés</t>
  </si>
  <si>
    <t>Exploitation cartographiées</t>
  </si>
  <si>
    <t>BARO</t>
  </si>
  <si>
    <t>BOSSARD</t>
  </si>
  <si>
    <t>BROSSEAU</t>
  </si>
  <si>
    <t>CHRISTY</t>
  </si>
  <si>
    <t>CRAYSSAC</t>
  </si>
  <si>
    <t>GUILLAUME</t>
  </si>
  <si>
    <t xml:space="preserve">KHAC </t>
  </si>
  <si>
    <t xml:space="preserve">KERLEGUER / COLOMINA </t>
  </si>
  <si>
    <t>VALAIS</t>
  </si>
  <si>
    <t xml:space="preserve">MAGRI </t>
  </si>
  <si>
    <t>MERCIER / FOGLIANI</t>
  </si>
  <si>
    <t>SAINT-LEGER</t>
  </si>
  <si>
    <t>SANSONI</t>
  </si>
  <si>
    <t>VERNIER</t>
  </si>
  <si>
    <t>VILLEGENTE</t>
  </si>
  <si>
    <t>Le jardin calédonien</t>
  </si>
  <si>
    <t>L'ile aux fruits</t>
  </si>
  <si>
    <t>Fraisiers de Païta</t>
  </si>
  <si>
    <t>Micropousses</t>
  </si>
  <si>
    <t>Verdeen</t>
  </si>
  <si>
    <t>RICHARD K.</t>
  </si>
  <si>
    <t>RSMA</t>
  </si>
  <si>
    <t>Calgae</t>
  </si>
  <si>
    <t>Polycultures</t>
  </si>
  <si>
    <t>Nom exploitant</t>
  </si>
  <si>
    <t>Nom exploitation</t>
  </si>
  <si>
    <t>Surface déclarée (ha)</t>
  </si>
  <si>
    <t>Certification AR</t>
  </si>
  <si>
    <t>Cultures fourragères</t>
  </si>
  <si>
    <t>BIO</t>
  </si>
  <si>
    <t>Exploitation cartographiées dans la base de données REPAIR</t>
  </si>
  <si>
    <t>Exploitations non cartographiées dans la base de données REPAIR (déclaration des exploitatants)</t>
  </si>
  <si>
    <t xml:space="preserve">Nombre exploitations </t>
  </si>
  <si>
    <t>Adhérents Polynésie</t>
  </si>
  <si>
    <t>Polynésie française</t>
  </si>
  <si>
    <t>Nombre exploitations</t>
  </si>
  <si>
    <t>Total</t>
  </si>
  <si>
    <t>Totaux</t>
  </si>
  <si>
    <t>Nb d'exploitations</t>
  </si>
  <si>
    <t>Totaux certifiés et non certifiés</t>
  </si>
  <si>
    <t>Total des surface extraction carto</t>
  </si>
  <si>
    <t>VERIFICATION exploit cartographiées</t>
  </si>
  <si>
    <t>Total synthèse</t>
  </si>
  <si>
    <t>Ecart non expliqué</t>
  </si>
  <si>
    <t>Province Sud</t>
  </si>
  <si>
    <t>Province</t>
  </si>
  <si>
    <t>Nord</t>
  </si>
  <si>
    <t>Céréales</t>
  </si>
  <si>
    <t>Prairies et pâturages</t>
  </si>
  <si>
    <t>PELLETIER</t>
  </si>
  <si>
    <t>Sud</t>
  </si>
  <si>
    <t>PEBELLIER</t>
  </si>
  <si>
    <t>Province Nord</t>
  </si>
  <si>
    <t xml:space="preserve">  </t>
  </si>
  <si>
    <t>Parcelles sans production</t>
  </si>
  <si>
    <t>Surfaces (ha)</t>
  </si>
  <si>
    <t>Fruits</t>
  </si>
  <si>
    <t>PASTEQUE</t>
  </si>
  <si>
    <t>MELON</t>
  </si>
  <si>
    <t>Légumes</t>
  </si>
  <si>
    <t>SALADES</t>
  </si>
  <si>
    <t>CHOU CHINE</t>
  </si>
  <si>
    <t>COURGETTE</t>
  </si>
  <si>
    <t>OIGNON</t>
  </si>
  <si>
    <t>CONCOMBRE VERT BLANC</t>
  </si>
  <si>
    <t>CAROTTE</t>
  </si>
  <si>
    <t>TOMATE</t>
  </si>
  <si>
    <t>CHOU VERT</t>
  </si>
  <si>
    <t>CITROUILLE ET COURGE</t>
  </si>
  <si>
    <t>FINES HERBES</t>
  </si>
  <si>
    <t>POIVRONS</t>
  </si>
  <si>
    <t>CONCOMBRE TELEGRAPHE</t>
  </si>
  <si>
    <t>MAIS DOUX</t>
  </si>
  <si>
    <t>CHOU-FLEUR</t>
  </si>
  <si>
    <t>HARICOT VERT</t>
  </si>
  <si>
    <t>POIREAU</t>
  </si>
  <si>
    <t>NAVET</t>
  </si>
  <si>
    <t>AUBERGINE</t>
  </si>
  <si>
    <t>RADIS</t>
  </si>
  <si>
    <t>CHOUCHOUTE</t>
  </si>
  <si>
    <t>BROCOLIS</t>
  </si>
  <si>
    <t>CHOU ROUGE</t>
  </si>
  <si>
    <t>CELERI</t>
  </si>
  <si>
    <t>CRESSON</t>
  </si>
  <si>
    <t>AUTRES</t>
  </si>
  <si>
    <t>PATATE DOUCE</t>
  </si>
  <si>
    <t>IGNAME</t>
  </si>
  <si>
    <t>TARO D'EAU</t>
  </si>
  <si>
    <t>MANIOC</t>
  </si>
  <si>
    <t>TARO BOURBON</t>
  </si>
  <si>
    <t>TARO MONTAGNE</t>
  </si>
  <si>
    <t>TARO WALLIS</t>
  </si>
  <si>
    <t>Part hors sol estimée par rapport aux surfaces totales</t>
  </si>
  <si>
    <t>CONCOMBRES</t>
  </si>
  <si>
    <t>TOMATES</t>
  </si>
  <si>
    <t>TOTAL</t>
  </si>
  <si>
    <r>
      <t xml:space="preserve">NB : surfaces développées </t>
    </r>
    <r>
      <rPr>
        <b/>
        <sz val="11"/>
        <color rgb="FF000000"/>
        <rFont val="Calibri"/>
        <family val="2"/>
        <scheme val="minor"/>
      </rPr>
      <t xml:space="preserve">estimées </t>
    </r>
    <r>
      <rPr>
        <sz val="11"/>
        <color rgb="FF000000"/>
        <rFont val="Calibri"/>
        <family val="2"/>
        <scheme val="minor"/>
      </rPr>
      <t>/ source : enquête mensuelle DAVAR</t>
    </r>
  </si>
  <si>
    <t>CLASSIF REPAIR : "CULTURES MARAICHERES"</t>
  </si>
  <si>
    <t>CLASSIF REPAIR "TUBERCULES TROPICAUX"</t>
  </si>
  <si>
    <t>ESTIMATION DAVAR 2019 (enquêtes mensuelles) - Cf. Mail Caroline Fulchiron pour précisions les estimations</t>
  </si>
  <si>
    <t>Estimation surfaces HS 2019</t>
  </si>
  <si>
    <t xml:space="preserve">Cultures fruitières </t>
  </si>
  <si>
    <t>dont maraichage HS</t>
  </si>
  <si>
    <t>TOTAL NC - CHIFFRES RGA 2012</t>
  </si>
  <si>
    <t>Jachères</t>
  </si>
  <si>
    <t>Pairies, pâturages, cultures fourragères</t>
  </si>
  <si>
    <t>Surf élevage</t>
  </si>
  <si>
    <t>Cocoteraies</t>
  </si>
  <si>
    <t>Jardins familiaux</t>
  </si>
  <si>
    <t>(hors cult fourragères déjà dans élevage)</t>
  </si>
  <si>
    <t>Arbres isolés</t>
  </si>
  <si>
    <t>TOTAL SAU</t>
  </si>
  <si>
    <t>Autres surfaces SAU</t>
  </si>
  <si>
    <t>dont cult fourragères</t>
  </si>
  <si>
    <t>VERIF TOTAL SAU</t>
  </si>
  <si>
    <t>Total autres surfaces</t>
  </si>
  <si>
    <t>%</t>
  </si>
  <si>
    <t>Surfaces NC (ha)</t>
  </si>
  <si>
    <t>Surfaces REPAIR (ha)</t>
  </si>
  <si>
    <t>REPAIR/NC</t>
  </si>
  <si>
    <t>TOTAL NC - CHIFFRES RGA 2012 - Surfaces cultivées</t>
  </si>
  <si>
    <t>TOTAL SAU (hors prairies et pâturages)</t>
  </si>
  <si>
    <t>dont estim jachère (29%)</t>
  </si>
  <si>
    <t>Autres (cultures spéciales)</t>
  </si>
  <si>
    <t>Maraichage plein champ</t>
  </si>
  <si>
    <t>Maraîchage hors-sol</t>
  </si>
  <si>
    <t>Surfaces NC</t>
  </si>
  <si>
    <t>Surfaces REPAIR</t>
  </si>
  <si>
    <t>Hectares</t>
  </si>
  <si>
    <t>Exploitations non cartographiées</t>
  </si>
  <si>
    <t>Ha</t>
  </si>
  <si>
    <t>% total surface</t>
  </si>
  <si>
    <t>Calcul du % jachère NC à reporter sur surfaces REPAIR</t>
  </si>
  <si>
    <t>Surfaces concernées (PC hors vergers)</t>
  </si>
  <si>
    <t>hors surf REPAIR</t>
  </si>
  <si>
    <t>avec ventilation jachères</t>
  </si>
  <si>
    <t>Total des surf pouvant intégrer des jachères</t>
  </si>
  <si>
    <t>% des surf pouvant intégrer des jachères</t>
  </si>
  <si>
    <t>&lt;1ha</t>
  </si>
  <si>
    <t>Ile aux fruits</t>
  </si>
  <si>
    <t>Jardin Calédonien</t>
  </si>
  <si>
    <t>SAU des exploitations</t>
  </si>
  <si>
    <t>Nombre</t>
  </si>
  <si>
    <t>Nbr d'exploitations</t>
  </si>
  <si>
    <t>SAU min</t>
  </si>
  <si>
    <t>SAU max</t>
  </si>
  <si>
    <t>Filière principale</t>
  </si>
  <si>
    <t>SIMONI</t>
  </si>
  <si>
    <t>VERNIER G</t>
  </si>
  <si>
    <t>≥500 ha</t>
  </si>
  <si>
    <t>1ha ≤ SAU &lt; 2ha</t>
  </si>
  <si>
    <t>2ha ≤ SAU &lt; 5ha</t>
  </si>
  <si>
    <t>5ha ≤ SAU &lt; 10ha</t>
  </si>
  <si>
    <t>10ha ≤ SAU &lt; 20ha</t>
  </si>
  <si>
    <t>20ha ≤ SAU &lt; 50ha</t>
  </si>
  <si>
    <t>50ha ≤ SAU &lt; 100ha</t>
  </si>
  <si>
    <t>100ha ≤ SAU &lt; 500ha</t>
  </si>
  <si>
    <t>SAU moyenne par province</t>
  </si>
  <si>
    <t>SUD</t>
  </si>
  <si>
    <t>NORD</t>
  </si>
  <si>
    <t>Filière</t>
  </si>
  <si>
    <t>Cartographiées</t>
  </si>
  <si>
    <t>Prairies et paturages</t>
  </si>
  <si>
    <t>Surface moyenne des parcelles</t>
  </si>
  <si>
    <t>Les pâturages n'ont pas été cartographiés</t>
  </si>
  <si>
    <t>Exploitation</t>
  </si>
  <si>
    <t>Surface moyenne consacrée à chaque filière sur les exploitations</t>
  </si>
  <si>
    <t>Superficie</t>
  </si>
  <si>
    <t>PS</t>
  </si>
  <si>
    <t>PN</t>
  </si>
  <si>
    <t>Total surfaces</t>
  </si>
  <si>
    <t>SURFACES CERTIFIEES</t>
  </si>
  <si>
    <t>Surfaces cultivées (hors prairies et pâturages)</t>
  </si>
  <si>
    <t>TOTAL SURF CULT REPAIR</t>
  </si>
  <si>
    <t>TOTAL SURF CULT NC</t>
  </si>
  <si>
    <t>Vérif</t>
  </si>
  <si>
    <t>POYA</t>
  </si>
  <si>
    <t>PAITA</t>
  </si>
  <si>
    <t>Cultures fruitieres</t>
  </si>
  <si>
    <t>DUMBEA</t>
  </si>
  <si>
    <t>POUEMBOUT</t>
  </si>
  <si>
    <t>BOURAIL</t>
  </si>
  <si>
    <t>Letchi</t>
  </si>
  <si>
    <t>BOULOUPARIS</t>
  </si>
  <si>
    <t>Cereales</t>
  </si>
  <si>
    <t>MONT DORE</t>
  </si>
  <si>
    <t>MOINDOU</t>
  </si>
  <si>
    <t>PITTAYA</t>
  </si>
  <si>
    <t>Agrical</t>
  </si>
  <si>
    <t>F4</t>
  </si>
  <si>
    <t>E6</t>
  </si>
  <si>
    <t>E1</t>
  </si>
  <si>
    <t>E4</t>
  </si>
  <si>
    <t>E5</t>
  </si>
  <si>
    <t>G</t>
  </si>
  <si>
    <t>MANGUE</t>
  </si>
  <si>
    <t>Gde table 5</t>
  </si>
  <si>
    <t>Gde table 6</t>
  </si>
  <si>
    <t>Gde table 7</t>
  </si>
  <si>
    <t>Maison6</t>
  </si>
  <si>
    <t>Maison5</t>
  </si>
  <si>
    <t>Maison2</t>
  </si>
  <si>
    <t>Maison1</t>
  </si>
  <si>
    <t>Boisnoir7</t>
  </si>
  <si>
    <t>Boisnoir6</t>
  </si>
  <si>
    <t>Boisnoir5</t>
  </si>
  <si>
    <t>Boisnoir4</t>
  </si>
  <si>
    <t>Boisnoir3</t>
  </si>
  <si>
    <t>Boisnois2</t>
  </si>
  <si>
    <t>Boisnoir1</t>
  </si>
  <si>
    <t>Dock1</t>
  </si>
  <si>
    <t>Dock2</t>
  </si>
  <si>
    <t>Dock3</t>
  </si>
  <si>
    <t>Dock4</t>
  </si>
  <si>
    <t>Dock5</t>
  </si>
  <si>
    <t>Dock6</t>
  </si>
  <si>
    <t>Poingo1</t>
  </si>
  <si>
    <t>Poingo2</t>
  </si>
  <si>
    <t>Poingo3</t>
  </si>
  <si>
    <t>Poingo4</t>
  </si>
  <si>
    <t>Poingo5</t>
  </si>
  <si>
    <t>Serre1</t>
  </si>
  <si>
    <t>Serre2</t>
  </si>
  <si>
    <t>Serre3</t>
  </si>
  <si>
    <t>WAMYTAN-CHRISTY</t>
  </si>
  <si>
    <t>KOUMAC</t>
  </si>
  <si>
    <t>V1</t>
  </si>
  <si>
    <t>V2</t>
  </si>
  <si>
    <t>V3</t>
  </si>
  <si>
    <t>VERMOTE</t>
  </si>
  <si>
    <t>LEMARREC</t>
  </si>
  <si>
    <t>Exploitations</t>
  </si>
  <si>
    <t>DECLERQ</t>
  </si>
  <si>
    <t>SAU (ha)</t>
  </si>
  <si>
    <t>WAMYTAN</t>
  </si>
  <si>
    <t>Pépinière Rivière bleue</t>
  </si>
  <si>
    <t>Surfaces REPAIR 2019</t>
  </si>
  <si>
    <t>SOURY-LAVERGNE STEPHANE</t>
  </si>
  <si>
    <t>RICHARD C</t>
  </si>
  <si>
    <t>SOURY-LAVERGNE YANN</t>
  </si>
  <si>
    <t>Lime</t>
  </si>
  <si>
    <t>SOURY-LAVERGNE FRANCK</t>
  </si>
  <si>
    <t>VIALLON - FERME DU SUD</t>
  </si>
  <si>
    <t>PV 1</t>
  </si>
  <si>
    <t>PC1  L1-9</t>
  </si>
  <si>
    <t>L1</t>
  </si>
  <si>
    <t>L2</t>
  </si>
  <si>
    <t>L3</t>
  </si>
  <si>
    <t>L4</t>
  </si>
  <si>
    <t>L5</t>
  </si>
  <si>
    <t>L6</t>
  </si>
  <si>
    <t>ORCAN</t>
  </si>
  <si>
    <t>Pittayas</t>
  </si>
  <si>
    <t>Tunnel 1</t>
  </si>
  <si>
    <t>Tunnel 2</t>
  </si>
  <si>
    <t>PC2  L10-20</t>
  </si>
  <si>
    <t>Serre 3</t>
  </si>
  <si>
    <t>Serre 4</t>
  </si>
  <si>
    <t>Bananeraie 3</t>
  </si>
  <si>
    <t>TAIMANANAS</t>
  </si>
  <si>
    <t>VOH</t>
  </si>
  <si>
    <t>F5D</t>
  </si>
  <si>
    <t>F5C</t>
  </si>
  <si>
    <t>F5B</t>
  </si>
  <si>
    <t>CITRONNIERS</t>
  </si>
  <si>
    <t>F5A</t>
  </si>
  <si>
    <t>F6D</t>
  </si>
  <si>
    <t>F6A</t>
  </si>
  <si>
    <t>F6B</t>
  </si>
  <si>
    <t>F6C</t>
  </si>
  <si>
    <t>E7</t>
  </si>
  <si>
    <t>E8</t>
  </si>
  <si>
    <t>MANGUIER1</t>
  </si>
  <si>
    <t>MANGUIERS2</t>
  </si>
  <si>
    <t>W</t>
  </si>
  <si>
    <t>E9</t>
  </si>
  <si>
    <t>Jachère</t>
  </si>
  <si>
    <t>AR</t>
  </si>
  <si>
    <t>WACKENTALER</t>
  </si>
  <si>
    <t>Lot 1</t>
  </si>
  <si>
    <t>Lot 2</t>
  </si>
  <si>
    <t>Route</t>
  </si>
  <si>
    <t>Silo</t>
  </si>
  <si>
    <t>Signal Benoit</t>
  </si>
  <si>
    <t>Clement</t>
  </si>
  <si>
    <t>Baumont</t>
  </si>
  <si>
    <t>Cassis Coco</t>
  </si>
  <si>
    <t>Bas pic Mimosa</t>
  </si>
  <si>
    <t>Parc a cerf</t>
  </si>
  <si>
    <t>Grand-mere</t>
  </si>
  <si>
    <t>Valla</t>
  </si>
  <si>
    <t>Dock</t>
  </si>
  <si>
    <t>Momea</t>
  </si>
  <si>
    <t>Odino 3</t>
  </si>
  <si>
    <t>Odino 2</t>
  </si>
  <si>
    <t>Odino 1</t>
  </si>
  <si>
    <t>Dress</t>
  </si>
  <si>
    <t>Annexe</t>
  </si>
  <si>
    <t>Lot 3</t>
  </si>
  <si>
    <t>Momea 2</t>
  </si>
  <si>
    <t>Momea 3</t>
  </si>
  <si>
    <t>Jean-Yves</t>
  </si>
  <si>
    <t>Poulet</t>
  </si>
  <si>
    <t>HOARAU</t>
  </si>
  <si>
    <t>MAGRI</t>
  </si>
  <si>
    <t xml:space="preserve">Maraichage </t>
  </si>
  <si>
    <t>Nb</t>
  </si>
  <si>
    <t>Nord (n=9)</t>
  </si>
  <si>
    <t>Sud (n=48)</t>
  </si>
  <si>
    <t>Surfaces NC (ha) hors REPAIR</t>
  </si>
  <si>
    <t>BOCAHUT</t>
  </si>
  <si>
    <t>Plein Champ</t>
  </si>
  <si>
    <t>RICHARD K</t>
  </si>
  <si>
    <t>OLLIVIER MD</t>
  </si>
  <si>
    <t>Coco maraichage</t>
  </si>
  <si>
    <t>CocoB Maraichage</t>
  </si>
  <si>
    <t>Coco</t>
  </si>
  <si>
    <t>MaisonPommecanel</t>
  </si>
  <si>
    <t>MaisonMaraichage</t>
  </si>
  <si>
    <t>Langue</t>
  </si>
  <si>
    <t>Margot</t>
  </si>
  <si>
    <t>VIALLON - PRB</t>
  </si>
  <si>
    <t>Crete</t>
  </si>
  <si>
    <t>Depart</t>
  </si>
  <si>
    <t>Pechers du bas</t>
  </si>
  <si>
    <t>Pechers du haut</t>
  </si>
  <si>
    <t>CARNIER BANNY</t>
  </si>
  <si>
    <t>Paturage ameliore</t>
  </si>
  <si>
    <t>Paturage naturel</t>
  </si>
  <si>
    <t>Squash</t>
  </si>
  <si>
    <t>Jachere</t>
  </si>
  <si>
    <t>PERSAN</t>
  </si>
  <si>
    <t>Divers</t>
  </si>
  <si>
    <t>Vieux Verger</t>
  </si>
  <si>
    <t>18</t>
  </si>
  <si>
    <t>19</t>
  </si>
  <si>
    <t>18-bis</t>
  </si>
  <si>
    <t>20</t>
  </si>
  <si>
    <t>20-bis</t>
  </si>
  <si>
    <t>21</t>
  </si>
  <si>
    <t>Verger3</t>
  </si>
  <si>
    <t>Verger 1</t>
  </si>
  <si>
    <t>PEPINIERE ISLAY</t>
  </si>
  <si>
    <t>Chapelle 1</t>
  </si>
  <si>
    <t>T2</t>
  </si>
  <si>
    <t>T3</t>
  </si>
  <si>
    <t>T7</t>
  </si>
  <si>
    <t>T8</t>
  </si>
  <si>
    <t>Serre Portail</t>
  </si>
  <si>
    <t>Serre fougères</t>
  </si>
  <si>
    <t>Serre Bananes</t>
  </si>
  <si>
    <t>Serre bulbes</t>
  </si>
  <si>
    <t>Chapelle 2</t>
  </si>
  <si>
    <t>Serre boutures</t>
  </si>
  <si>
    <t>BUGEON - LOBATO</t>
  </si>
  <si>
    <t>P4 bis</t>
  </si>
  <si>
    <t>Prairie</t>
  </si>
  <si>
    <t>Mono Lignes 1à6</t>
  </si>
  <si>
    <t>Table EXT</t>
  </si>
  <si>
    <t>P2 Maraichage</t>
  </si>
  <si>
    <t>A17</t>
  </si>
  <si>
    <t>A18</t>
  </si>
  <si>
    <t>A19</t>
  </si>
  <si>
    <t>Sans Cultures</t>
  </si>
  <si>
    <t>Avocatier</t>
  </si>
  <si>
    <t>Vanille2</t>
  </si>
  <si>
    <t>Bananeraie 4</t>
  </si>
  <si>
    <t>Rivière 4</t>
  </si>
  <si>
    <t>P4 BIO</t>
  </si>
  <si>
    <t>Plateau 1/2</t>
  </si>
  <si>
    <t>Riviere 1ter BIO</t>
  </si>
  <si>
    <t>Transit</t>
  </si>
  <si>
    <t>Pep du haut</t>
  </si>
  <si>
    <t>Central</t>
  </si>
  <si>
    <t>P à Bois</t>
  </si>
  <si>
    <t>Nouveau Grand</t>
  </si>
  <si>
    <t>Pente</t>
  </si>
  <si>
    <t>WEISS</t>
  </si>
  <si>
    <t>TERRE NOIRE</t>
  </si>
  <si>
    <t>B</t>
  </si>
  <si>
    <t>BUTTE</t>
  </si>
  <si>
    <t>A</t>
  </si>
  <si>
    <t>Pomme Liane</t>
  </si>
  <si>
    <t>Hortiplus H1</t>
  </si>
  <si>
    <t>Serre 8</t>
  </si>
  <si>
    <t>Serre 7</t>
  </si>
  <si>
    <t>Serre 6</t>
  </si>
  <si>
    <t>Serre 5</t>
  </si>
  <si>
    <t>Hortiplus H2</t>
  </si>
  <si>
    <t>Serre G</t>
  </si>
  <si>
    <t>Serre D</t>
  </si>
  <si>
    <t>Serre E</t>
  </si>
  <si>
    <t>Serre F</t>
  </si>
  <si>
    <t>Serre B</t>
  </si>
  <si>
    <t>Serre C</t>
  </si>
  <si>
    <t>Serre A</t>
  </si>
  <si>
    <t>Aromatiques</t>
  </si>
  <si>
    <t>V5 B</t>
  </si>
  <si>
    <t>V5</t>
  </si>
  <si>
    <t>V6 B</t>
  </si>
  <si>
    <t>V7</t>
  </si>
  <si>
    <t>V7 B</t>
  </si>
  <si>
    <t>V9 B</t>
  </si>
  <si>
    <t>V10 B</t>
  </si>
  <si>
    <t>V17 B</t>
  </si>
  <si>
    <t>V18 B</t>
  </si>
  <si>
    <t>V16 B</t>
  </si>
  <si>
    <t>V11 B</t>
  </si>
  <si>
    <t>V15 B</t>
  </si>
  <si>
    <t>V11</t>
  </si>
  <si>
    <t>V13 B</t>
  </si>
  <si>
    <t>V15</t>
  </si>
  <si>
    <t>V16</t>
  </si>
  <si>
    <t>V12</t>
  </si>
  <si>
    <t>V12 B</t>
  </si>
  <si>
    <t>V14 B</t>
  </si>
  <si>
    <t>V14</t>
  </si>
  <si>
    <t>V13</t>
  </si>
  <si>
    <t>V18</t>
  </si>
  <si>
    <t>V10</t>
  </si>
  <si>
    <t>V17</t>
  </si>
  <si>
    <t>V9</t>
  </si>
  <si>
    <t>SANTAL</t>
  </si>
  <si>
    <t>PonkanMaraichage</t>
  </si>
  <si>
    <t>Pitolet</t>
  </si>
  <si>
    <t>Papaye mandarine</t>
  </si>
  <si>
    <t>S27</t>
  </si>
  <si>
    <t>S26</t>
  </si>
  <si>
    <t>S25</t>
  </si>
  <si>
    <t>S24</t>
  </si>
  <si>
    <t>S23</t>
  </si>
  <si>
    <t>S19</t>
  </si>
  <si>
    <t>S20</t>
  </si>
  <si>
    <t>S21</t>
  </si>
  <si>
    <t>S34</t>
  </si>
  <si>
    <t>S18</t>
  </si>
  <si>
    <t>S17</t>
  </si>
  <si>
    <t>S16</t>
  </si>
  <si>
    <t>S15</t>
  </si>
  <si>
    <t>S14</t>
  </si>
  <si>
    <t>S13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</si>
  <si>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</si>
  <si>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</si>
  <si>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</si>
  <si>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</si>
  <si>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</si>
  <si>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</si>
  <si>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</si>
  <si>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</si>
  <si>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</si>
  <si>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</si>
  <si>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</si>
  <si>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</si>
  <si>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</si>
  <si>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</si>
  <si>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</si>
  <si>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</si>
  <si>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</si>
  <si>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</si>
  <si>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</si>
  <si>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S28</t>
  </si>
  <si>
    <t>S29</t>
  </si>
  <si>
    <t>S30</t>
  </si>
  <si>
    <t>S31</t>
  </si>
  <si>
    <t>S22</t>
  </si>
  <si>
    <t>S33</t>
  </si>
  <si>
    <t>S32</t>
  </si>
  <si>
    <t>S35</t>
  </si>
  <si>
    <t>S36</t>
  </si>
  <si>
    <t>S37</t>
  </si>
  <si>
    <t>C9</t>
  </si>
  <si>
    <t>C10</t>
  </si>
  <si>
    <t>C11</t>
  </si>
  <si>
    <t>C12</t>
  </si>
  <si>
    <t>LOZACH</t>
  </si>
  <si>
    <t>Goyave</t>
  </si>
  <si>
    <t>BERTONI Bryan</t>
  </si>
  <si>
    <t>NATUREL</t>
  </si>
  <si>
    <t>Brk 1</t>
  </si>
  <si>
    <t>Brk 2</t>
  </si>
  <si>
    <t>Brk 3</t>
  </si>
  <si>
    <t>Brk 4</t>
  </si>
  <si>
    <t>Brk 5</t>
  </si>
  <si>
    <t>Brk 6</t>
  </si>
  <si>
    <t>Brk 7</t>
  </si>
  <si>
    <t>Brk 8</t>
  </si>
  <si>
    <t>Brk 9</t>
  </si>
  <si>
    <t>V6</t>
  </si>
  <si>
    <t>V4</t>
  </si>
  <si>
    <t>Manioc 4</t>
  </si>
  <si>
    <t>Manioc 3</t>
  </si>
  <si>
    <t>Manioc 2</t>
  </si>
  <si>
    <t>Manioc 1</t>
  </si>
  <si>
    <t>Igname</t>
  </si>
  <si>
    <t>RT1-1</t>
  </si>
  <si>
    <t>RT1-2</t>
  </si>
  <si>
    <t>RT1-3</t>
  </si>
  <si>
    <t>RT1-6</t>
  </si>
  <si>
    <t>RT1-5</t>
  </si>
  <si>
    <t>RT1-4</t>
  </si>
  <si>
    <t>RT1-9</t>
  </si>
  <si>
    <t>RT1-7</t>
  </si>
  <si>
    <t>RT1-8</t>
  </si>
  <si>
    <t>RT1-11</t>
  </si>
  <si>
    <t>RT1-10</t>
  </si>
  <si>
    <t>RT1-12</t>
  </si>
  <si>
    <t>RT1-14</t>
  </si>
  <si>
    <t>RT1-13</t>
  </si>
  <si>
    <t>C</t>
  </si>
  <si>
    <t>D</t>
  </si>
  <si>
    <t>H</t>
  </si>
  <si>
    <t>I</t>
  </si>
  <si>
    <t>J</t>
  </si>
  <si>
    <t>K</t>
  </si>
  <si>
    <t>L</t>
  </si>
  <si>
    <t>M</t>
  </si>
  <si>
    <t>P</t>
  </si>
  <si>
    <t>O</t>
  </si>
  <si>
    <t>N</t>
  </si>
  <si>
    <t>Q</t>
  </si>
  <si>
    <t>R</t>
  </si>
  <si>
    <t>S</t>
  </si>
  <si>
    <t>T</t>
  </si>
  <si>
    <t>PC BIO</t>
  </si>
  <si>
    <t>AF1</t>
  </si>
  <si>
    <t>AF2</t>
  </si>
  <si>
    <t>PC2</t>
  </si>
  <si>
    <t>Ombriere</t>
  </si>
  <si>
    <t>Serre 2 BIO</t>
  </si>
  <si>
    <t>Multi_jplants</t>
  </si>
  <si>
    <t>HAPPY CULTURES</t>
  </si>
  <si>
    <t>Certifiés AR</t>
  </si>
  <si>
    <t>FOSSIER</t>
  </si>
  <si>
    <t>Camille</t>
  </si>
  <si>
    <t>Total réel 2022</t>
  </si>
  <si>
    <t>Parcelles Polynésie Francaise</t>
  </si>
  <si>
    <t>NB : L74+L76+L77+L79= I74+I76</t>
  </si>
  <si>
    <t>NB : erreur dans RGA sur "légumes frais" 546,9 dans le récup et 655,6 dans le rapport détaillé.</t>
  </si>
  <si>
    <t>FOGLIANI</t>
  </si>
  <si>
    <t>SAU 2021 (ha)</t>
  </si>
  <si>
    <t>SAU moyenne 2022</t>
  </si>
  <si>
    <t>SAU moyenne 2021</t>
  </si>
  <si>
    <t>ROBELIN</t>
  </si>
  <si>
    <t>BOITEUX</t>
  </si>
  <si>
    <t>DESQUIENS</t>
  </si>
  <si>
    <t>DUVAL</t>
  </si>
  <si>
    <t>GERARD</t>
  </si>
  <si>
    <t>MANOUKIAN</t>
  </si>
  <si>
    <t>SATYA VALLEY</t>
  </si>
  <si>
    <t>Les jardins suspendus de Bourail</t>
  </si>
  <si>
    <t>BD MC SCA</t>
  </si>
  <si>
    <t>SCA LA MALT</t>
  </si>
  <si>
    <t>SUPAGREEN</t>
  </si>
  <si>
    <t>BIOPASIFIKA</t>
  </si>
  <si>
    <t>Nbre cartographiées</t>
  </si>
  <si>
    <t>Dont 1 exploitation avec double certification (BOTANEA) donc comptée 2 fois</t>
  </si>
  <si>
    <t>Répartition certifications</t>
  </si>
  <si>
    <t>Province sud</t>
  </si>
  <si>
    <t>Province nord</t>
  </si>
  <si>
    <t>En cours de certification</t>
  </si>
  <si>
    <t>ar</t>
  </si>
  <si>
    <t>bio</t>
  </si>
  <si>
    <t>BIO PASIFIKA</t>
  </si>
  <si>
    <t>SUPERFICIES DES PRODUCTIONS DU RESEAU REPAIR PAR FILIERE, EN PROVINCE SUD ANNEE 2022</t>
  </si>
  <si>
    <t>BUTTE DOCK 1C</t>
  </si>
  <si>
    <t>PEDAGOGIE</t>
  </si>
  <si>
    <t>BANANE</t>
  </si>
  <si>
    <t>(Autres)</t>
  </si>
  <si>
    <t>BUTTE 1A</t>
  </si>
  <si>
    <t>BUTTE 2A</t>
  </si>
  <si>
    <t>BUTTE 3A</t>
  </si>
  <si>
    <t>BUTTE 4A</t>
  </si>
  <si>
    <t>BUTTE 5A</t>
  </si>
  <si>
    <t>BUTTE 6A</t>
  </si>
  <si>
    <t>BUTTE 1B</t>
  </si>
  <si>
    <t>BUTTE 2B</t>
  </si>
  <si>
    <t>BUTTE 3B</t>
  </si>
  <si>
    <t>BUTTE 4B</t>
  </si>
  <si>
    <t>BUTTE 5B</t>
  </si>
  <si>
    <t>BUTTE 6B</t>
  </si>
  <si>
    <t>BUTTE 7B</t>
  </si>
  <si>
    <t>BUTTE DOCK 1B</t>
  </si>
  <si>
    <t>BUTTE DOCK 1A</t>
  </si>
  <si>
    <t>BUTTE DOCK 2A</t>
  </si>
  <si>
    <t>BUTTE DOCK 2B</t>
  </si>
  <si>
    <t>BUTTE DOCK 2C</t>
  </si>
  <si>
    <t>BUTTE SERRE A</t>
  </si>
  <si>
    <t>BUTTE SERRE B</t>
  </si>
  <si>
    <t>BUTTE SERRE C</t>
  </si>
  <si>
    <t>BUTTE PERM1</t>
  </si>
  <si>
    <t>BUTTE PERM2</t>
  </si>
  <si>
    <t>BUTTE PERM3</t>
  </si>
  <si>
    <t>BUTTE PERM4</t>
  </si>
  <si>
    <t>BUTTE PERM5</t>
  </si>
  <si>
    <t>BUTTE PERM6</t>
  </si>
  <si>
    <t>POMMELIANE</t>
  </si>
  <si>
    <t>Hors Sol</t>
  </si>
  <si>
    <t>(Prairies et paturages)</t>
  </si>
  <si>
    <t>Voisin</t>
  </si>
  <si>
    <t>MICROPOUSSES - DECLERCQ</t>
  </si>
  <si>
    <t>Parcelle2</t>
  </si>
  <si>
    <t>Katia</t>
  </si>
  <si>
    <t>VERDEEN</t>
  </si>
  <si>
    <t>22</t>
  </si>
  <si>
    <t>23</t>
  </si>
  <si>
    <t>24</t>
  </si>
  <si>
    <t>25</t>
  </si>
  <si>
    <t>26</t>
  </si>
  <si>
    <t>BUTTE 1</t>
  </si>
  <si>
    <t>BUTTE 2</t>
  </si>
  <si>
    <t>BUTTE 3</t>
  </si>
  <si>
    <t>BUTTE 4</t>
  </si>
  <si>
    <t xml:space="preserve">Certif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</si>
</sst>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"/>
    <numFmt numFmtId="165" formatCode="0.000"/>
    <numFmt numFmtId="166" formatCode="0.0%"/>
    <numFmt numFmtId="167" formatCode="0.0000"/>
  </numFmts>
  <fonts count="3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theme="1" tint="0.14996795556505021"/>
      <name val="Century Gothic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  <font>
      <b/>
      <sz val="12"/>
      <color theme="9" tint="-0.249977111117893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FF0000"/>
      <name val="Tahoma"/>
      <family val="2"/>
    </font>
    <font>
      <sz val="8"/>
      <name val="Arial"/>
      <family val="2"/>
    </font>
    <font>
      <i/>
      <sz val="8"/>
      <name val="Arial"/>
      <family val="2"/>
    </font>
    <font>
      <sz val="10"/>
      <color rgb="FFFF0000"/>
      <name val="Tahoma"/>
      <family val="2"/>
    </font>
    <font>
      <i/>
      <sz val="10"/>
      <name val="Arial"/>
      <family val="2"/>
    </font>
    <font>
      <i/>
      <sz val="10"/>
      <color rgb="FFFF0000"/>
      <name val="Arial"/>
      <family val="2"/>
    </font>
    <font>
      <i/>
      <u/>
      <sz val="10"/>
      <name val="Arial"/>
      <family val="2"/>
    </font>
    <font>
      <b/>
      <i/>
      <sz val="10"/>
      <color rgb="FF7030A0"/>
      <name val="Arial"/>
      <family val="2"/>
    </font>
    <font>
      <b/>
      <sz val="10"/>
      <color rgb="FF7030A0"/>
      <name val="Arial"/>
      <family val="2"/>
    </font>
    <font>
      <b/>
      <i/>
      <sz val="10"/>
      <name val="Arial"/>
      <family val="2"/>
    </font>
    <font>
      <sz val="10"/>
      <name val="Tahoma"/>
      <family val="2"/>
    </font>
    <font>
      <b/>
      <sz val="10"/>
      <color rgb="FFFF0000"/>
      <name val="Arial"/>
      <family val="2"/>
    </font>
    <font>
      <sz val="8"/>
      <color theme="5"/>
      <name val="Arial"/>
      <family val="2"/>
    </font>
    <font>
      <b/>
      <sz val="12"/>
      <color rgb="FFC00000"/>
      <name val="Arial"/>
      <family val="2"/>
    </font>
    <font>
      <sz val="12"/>
      <color rgb="FFC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2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0" fontId="5" fillId="0" borderId="0"/>
    <xf numFmtId="0" fontId="9" fillId="0" borderId="0"/>
    <xf numFmtId="0" fontId="8" fillId="2" borderId="0" applyNumberFormat="0" applyProtection="0">
      <alignment horizontal="left" indent="2"/>
    </xf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5">
    <xf numFmtId="0" fontId="0" fillId="0" borderId="0" xfId="0"/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1" fillId="0" borderId="0" xfId="0" applyFont="1"/>
    <xf numFmtId="0" fontId="10" fillId="0" borderId="0" xfId="1" applyFont="1" applyAlignment="1">
      <alignment horizontal="left" vertical="center"/>
    </xf>
    <xf numFmtId="0" fontId="0" fillId="0" borderId="0" xfId="1" applyFont="1" applyAlignment="1">
      <alignment vertical="center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12" fillId="0" borderId="0" xfId="0" applyFont="1"/>
    <xf numFmtId="164" fontId="0" fillId="0" borderId="0" xfId="0" applyNumberFormat="1" applyAlignment="1">
      <alignment horizontal="center"/>
    </xf>
    <xf numFmtId="164" fontId="1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11" fillId="0" borderId="0" xfId="0" applyFont="1" applyAlignment="1">
      <alignment horizontal="left"/>
    </xf>
    <xf numFmtId="2" fontId="0" fillId="0" borderId="0" xfId="0" applyNumberFormat="1" applyAlignment="1">
      <alignment horizontal="center"/>
    </xf>
    <xf numFmtId="2" fontId="11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7" fillId="4" borderId="0" xfId="0" applyFont="1" applyFill="1"/>
    <xf numFmtId="0" fontId="6" fillId="4" borderId="0" xfId="0" applyFont="1" applyFill="1"/>
    <xf numFmtId="2" fontId="0" fillId="0" borderId="0" xfId="0" applyNumberFormat="1"/>
    <xf numFmtId="0" fontId="11" fillId="3" borderId="0" xfId="0" applyFont="1" applyFill="1" applyAlignment="1">
      <alignment horizontal="center" wrapText="1"/>
    </xf>
    <xf numFmtId="0" fontId="12" fillId="5" borderId="0" xfId="0" applyFont="1" applyFill="1"/>
    <xf numFmtId="0" fontId="0" fillId="5" borderId="0" xfId="0" applyFill="1"/>
    <xf numFmtId="0" fontId="11" fillId="3" borderId="0" xfId="0" applyFont="1" applyFill="1" applyAlignment="1">
      <alignment horizontal="left" wrapText="1"/>
    </xf>
    <xf numFmtId="165" fontId="0" fillId="0" borderId="0" xfId="0" applyNumberFormat="1" applyAlignment="1">
      <alignment horizontal="center"/>
    </xf>
    <xf numFmtId="165" fontId="1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3" fillId="0" borderId="0" xfId="0" applyNumberFormat="1" applyFont="1" applyAlignment="1">
      <alignment horizontal="center"/>
    </xf>
    <xf numFmtId="165" fontId="10" fillId="0" borderId="0" xfId="0" applyNumberFormat="1" applyFont="1" applyAlignment="1">
      <alignment horizontal="center"/>
    </xf>
    <xf numFmtId="0" fontId="4" fillId="0" borderId="0" xfId="8"/>
    <xf numFmtId="0" fontId="14" fillId="0" borderId="0" xfId="8" applyFont="1" applyAlignment="1">
      <alignment vertical="center"/>
    </xf>
    <xf numFmtId="0" fontId="15" fillId="0" borderId="1" xfId="8" applyFont="1" applyBorder="1" applyAlignment="1">
      <alignment horizontal="center" vertical="center"/>
    </xf>
    <xf numFmtId="0" fontId="15" fillId="0" borderId="1" xfId="8" applyFont="1" applyBorder="1" applyAlignment="1">
      <alignment vertical="center"/>
    </xf>
    <xf numFmtId="0" fontId="15" fillId="0" borderId="2" xfId="8" applyFont="1" applyBorder="1" applyAlignment="1">
      <alignment horizontal="right" vertical="center"/>
    </xf>
    <xf numFmtId="0" fontId="16" fillId="0" borderId="3" xfId="8" applyFont="1" applyBorder="1" applyAlignment="1">
      <alignment horizontal="left" vertical="center" indent="1"/>
    </xf>
    <xf numFmtId="0" fontId="16" fillId="0" borderId="2" xfId="8" applyFont="1" applyBorder="1" applyAlignment="1">
      <alignment horizontal="right" vertical="center"/>
    </xf>
    <xf numFmtId="0" fontId="15" fillId="0" borderId="3" xfId="8" applyFont="1" applyBorder="1" applyAlignment="1">
      <alignment vertical="center"/>
    </xf>
    <xf numFmtId="0" fontId="17" fillId="0" borderId="0" xfId="8" applyFont="1"/>
    <xf numFmtId="0" fontId="15" fillId="0" borderId="0" xfId="8" applyFont="1" applyAlignment="1">
      <alignment horizontal="center" vertical="center"/>
    </xf>
    <xf numFmtId="0" fontId="16" fillId="0" borderId="5" xfId="8" applyFont="1" applyBorder="1" applyAlignment="1">
      <alignment vertical="center"/>
    </xf>
    <xf numFmtId="0" fontId="16" fillId="0" borderId="6" xfId="8" applyFont="1" applyBorder="1" applyAlignment="1">
      <alignment vertical="center"/>
    </xf>
    <xf numFmtId="0" fontId="14" fillId="0" borderId="0" xfId="8" applyFont="1"/>
    <xf numFmtId="0" fontId="20" fillId="0" borderId="6" xfId="8" applyFont="1" applyBorder="1" applyAlignment="1">
      <alignment vertical="center"/>
    </xf>
    <xf numFmtId="9" fontId="20" fillId="0" borderId="3" xfId="8" applyNumberFormat="1" applyFont="1" applyBorder="1" applyAlignment="1">
      <alignment horizontal="right" vertical="center"/>
    </xf>
    <xf numFmtId="0" fontId="20" fillId="0" borderId="5" xfId="8" applyFont="1" applyBorder="1" applyAlignment="1">
      <alignment vertical="center"/>
    </xf>
    <xf numFmtId="9" fontId="16" fillId="0" borderId="6" xfId="8" applyNumberFormat="1" applyFont="1" applyBorder="1" applyAlignment="1">
      <alignment horizontal="right" vertical="center"/>
    </xf>
    <xf numFmtId="0" fontId="14" fillId="0" borderId="7" xfId="8" applyFont="1" applyBorder="1"/>
    <xf numFmtId="0" fontId="4" fillId="0" borderId="7" xfId="8" applyBorder="1"/>
    <xf numFmtId="0" fontId="22" fillId="0" borderId="0" xfId="0" applyFont="1" applyAlignment="1">
      <alignment horizontal="right"/>
    </xf>
    <xf numFmtId="164" fontId="22" fillId="0" borderId="0" xfId="0" applyNumberFormat="1" applyFont="1" applyAlignment="1">
      <alignment horizontal="right"/>
    </xf>
    <xf numFmtId="3" fontId="7" fillId="0" borderId="0" xfId="0" applyNumberFormat="1" applyFont="1"/>
    <xf numFmtId="164" fontId="13" fillId="0" borderId="0" xfId="0" applyNumberFormat="1" applyFont="1" applyAlignment="1">
      <alignment horizontal="right"/>
    </xf>
    <xf numFmtId="0" fontId="21" fillId="0" borderId="0" xfId="0" applyFont="1"/>
    <xf numFmtId="0" fontId="13" fillId="0" borderId="0" xfId="0" applyFont="1"/>
    <xf numFmtId="0" fontId="23" fillId="0" borderId="0" xfId="8" applyFont="1" applyAlignment="1">
      <alignment horizontal="right" vertical="center"/>
    </xf>
    <xf numFmtId="164" fontId="13" fillId="0" borderId="0" xfId="0" applyNumberFormat="1" applyFont="1"/>
    <xf numFmtId="0" fontId="24" fillId="0" borderId="0" xfId="0" applyFont="1" applyAlignment="1">
      <alignment horizontal="left"/>
    </xf>
    <xf numFmtId="0" fontId="24" fillId="0" borderId="0" xfId="0" applyFont="1"/>
    <xf numFmtId="0" fontId="25" fillId="0" borderId="0" xfId="0" applyFont="1"/>
    <xf numFmtId="0" fontId="26" fillId="0" borderId="0" xfId="0" applyFont="1" applyAlignment="1">
      <alignment horizontal="left"/>
    </xf>
    <xf numFmtId="0" fontId="22" fillId="0" borderId="0" xfId="0" applyFont="1"/>
    <xf numFmtId="164" fontId="22" fillId="0" borderId="0" xfId="0" applyNumberFormat="1" applyFont="1"/>
    <xf numFmtId="0" fontId="27" fillId="0" borderId="0" xfId="0" applyFont="1" applyAlignment="1">
      <alignment horizontal="left"/>
    </xf>
    <xf numFmtId="0" fontId="28" fillId="0" borderId="0" xfId="0" applyFont="1"/>
    <xf numFmtId="3" fontId="28" fillId="0" borderId="0" xfId="0" applyNumberFormat="1" applyFont="1"/>
    <xf numFmtId="0" fontId="2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right"/>
    </xf>
    <xf numFmtId="1" fontId="22" fillId="0" borderId="0" xfId="0" applyNumberFormat="1" applyFont="1" applyAlignment="1">
      <alignment horizontal="right"/>
    </xf>
    <xf numFmtId="9" fontId="0" fillId="0" borderId="0" xfId="0" applyNumberFormat="1"/>
    <xf numFmtId="10" fontId="7" fillId="0" borderId="0" xfId="0" applyNumberFormat="1" applyFont="1"/>
    <xf numFmtId="0" fontId="0" fillId="0" borderId="0" xfId="0" applyAlignment="1">
      <alignment horizontal="right"/>
    </xf>
    <xf numFmtId="10" fontId="28" fillId="0" borderId="0" xfId="0" applyNumberFormat="1" applyFont="1"/>
    <xf numFmtId="0" fontId="7" fillId="0" borderId="0" xfId="0" applyFont="1" applyAlignment="1">
      <alignment horizontal="left"/>
    </xf>
    <xf numFmtId="1" fontId="7" fillId="0" borderId="0" xfId="0" applyNumberFormat="1" applyFont="1"/>
    <xf numFmtId="0" fontId="29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1" fontId="22" fillId="0" borderId="0" xfId="0" applyNumberFormat="1" applyFont="1"/>
    <xf numFmtId="9" fontId="22" fillId="0" borderId="0" xfId="0" applyNumberFormat="1" applyFont="1"/>
    <xf numFmtId="9" fontId="7" fillId="0" borderId="0" xfId="0" applyNumberFormat="1" applyFont="1"/>
    <xf numFmtId="164" fontId="0" fillId="0" borderId="0" xfId="0" applyNumberFormat="1"/>
    <xf numFmtId="165" fontId="0" fillId="0" borderId="0" xfId="0" applyNumberFormat="1"/>
    <xf numFmtId="9" fontId="0" fillId="0" borderId="0" xfId="0" applyNumberFormat="1" applyAlignment="1">
      <alignment horizontal="center"/>
    </xf>
    <xf numFmtId="166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right"/>
    </xf>
    <xf numFmtId="0" fontId="7" fillId="0" borderId="10" xfId="0" applyFont="1" applyBorder="1"/>
    <xf numFmtId="0" fontId="31" fillId="0" borderId="11" xfId="0" applyFont="1" applyBorder="1" applyAlignment="1">
      <alignment horizontal="left"/>
    </xf>
    <xf numFmtId="1" fontId="7" fillId="0" borderId="6" xfId="0" applyNumberFormat="1" applyFont="1" applyBorder="1" applyAlignment="1">
      <alignment horizontal="right"/>
    </xf>
    <xf numFmtId="1" fontId="31" fillId="0" borderId="12" xfId="0" applyNumberFormat="1" applyFont="1" applyBorder="1" applyAlignment="1">
      <alignment horizontal="right"/>
    </xf>
    <xf numFmtId="1" fontId="31" fillId="0" borderId="2" xfId="0" applyNumberFormat="1" applyFont="1" applyBorder="1" applyAlignment="1">
      <alignment horizontal="right"/>
    </xf>
    <xf numFmtId="167" fontId="0" fillId="0" borderId="0" xfId="0" applyNumberForma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7" fillId="3" borderId="13" xfId="0" applyFont="1" applyFill="1" applyBorder="1"/>
    <xf numFmtId="0" fontId="7" fillId="3" borderId="14" xfId="0" applyFont="1" applyFill="1" applyBorder="1"/>
    <xf numFmtId="0" fontId="0" fillId="0" borderId="19" xfId="0" applyBorder="1"/>
    <xf numFmtId="2" fontId="0" fillId="0" borderId="16" xfId="0" applyNumberFormat="1" applyBorder="1"/>
    <xf numFmtId="0" fontId="7" fillId="3" borderId="0" xfId="0" applyFont="1" applyFill="1"/>
    <xf numFmtId="0" fontId="31" fillId="0" borderId="0" xfId="0" applyFont="1"/>
    <xf numFmtId="166" fontId="0" fillId="0" borderId="0" xfId="0" applyNumberFormat="1" applyAlignment="1">
      <alignment horizontal="right"/>
    </xf>
    <xf numFmtId="1" fontId="0" fillId="0" borderId="10" xfId="0" applyNumberFormat="1" applyBorder="1" applyAlignment="1">
      <alignment horizontal="right"/>
    </xf>
    <xf numFmtId="1" fontId="13" fillId="0" borderId="0" xfId="0" applyNumberFormat="1" applyFont="1" applyAlignment="1">
      <alignment horizontal="right"/>
    </xf>
    <xf numFmtId="1" fontId="30" fillId="0" borderId="0" xfId="9" applyNumberFormat="1" applyFont="1" applyAlignment="1">
      <alignment horizontal="right" vertical="center"/>
    </xf>
    <xf numFmtId="1" fontId="30" fillId="0" borderId="10" xfId="9" applyNumberFormat="1" applyFont="1" applyBorder="1" applyAlignment="1">
      <alignment horizontal="right" vertical="center"/>
    </xf>
    <xf numFmtId="0" fontId="29" fillId="0" borderId="0" xfId="0" applyFont="1"/>
    <xf numFmtId="164" fontId="0" fillId="0" borderId="0" xfId="0" applyNumberFormat="1" applyAlignment="1">
      <alignment horizontal="right"/>
    </xf>
    <xf numFmtId="0" fontId="7" fillId="3" borderId="0" xfId="0" applyFont="1" applyFill="1" applyAlignment="1">
      <alignment horizontal="center" wrapText="1"/>
    </xf>
    <xf numFmtId="165" fontId="13" fillId="0" borderId="20" xfId="0" applyNumberFormat="1" applyFont="1" applyBorder="1"/>
    <xf numFmtId="0" fontId="13" fillId="0" borderId="0" xfId="0" applyFont="1" applyAlignment="1">
      <alignment horizontal="right"/>
    </xf>
    <xf numFmtId="2" fontId="13" fillId="0" borderId="0" xfId="0" applyNumberFormat="1" applyFont="1"/>
    <xf numFmtId="165" fontId="13" fillId="0" borderId="0" xfId="0" applyNumberFormat="1" applyFont="1"/>
    <xf numFmtId="0" fontId="31" fillId="0" borderId="0" xfId="0" applyFont="1" applyAlignment="1">
      <alignment horizontal="right"/>
    </xf>
    <xf numFmtId="2" fontId="31" fillId="0" borderId="0" xfId="0" applyNumberFormat="1" applyFont="1"/>
    <xf numFmtId="166" fontId="0" fillId="0" borderId="0" xfId="0" applyNumberFormat="1"/>
    <xf numFmtId="2" fontId="0" fillId="0" borderId="0" xfId="0" applyNumberFormat="1" applyAlignment="1">
      <alignment horizontal="right"/>
    </xf>
    <xf numFmtId="164" fontId="31" fillId="0" borderId="11" xfId="0" applyNumberFormat="1" applyFont="1" applyBorder="1"/>
    <xf numFmtId="164" fontId="7" fillId="0" borderId="0" xfId="0" applyNumberFormat="1" applyFont="1"/>
    <xf numFmtId="165" fontId="0" fillId="0" borderId="0" xfId="0" applyNumberFormat="1" applyAlignment="1">
      <alignment horizontal="right"/>
    </xf>
    <xf numFmtId="165" fontId="7" fillId="0" borderId="0" xfId="0" applyNumberFormat="1" applyFont="1"/>
    <xf numFmtId="1" fontId="7" fillId="0" borderId="10" xfId="0" applyNumberFormat="1" applyFont="1" applyBorder="1"/>
    <xf numFmtId="1" fontId="31" fillId="0" borderId="0" xfId="0" applyNumberFormat="1" applyFont="1" applyAlignment="1">
      <alignment horizontal="right"/>
    </xf>
    <xf numFmtId="0" fontId="32" fillId="0" borderId="0" xfId="0" applyFont="1" applyAlignment="1">
      <alignment horizontal="right"/>
    </xf>
    <xf numFmtId="165" fontId="32" fillId="0" borderId="0" xfId="0" applyNumberFormat="1" applyFont="1" applyAlignment="1">
      <alignment horizontal="right"/>
    </xf>
    <xf numFmtId="164" fontId="32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10" fillId="0" borderId="0" xfId="11" applyFont="1" applyAlignment="1">
      <alignment horizontal="left" vertical="center"/>
    </xf>
    <xf numFmtId="0" fontId="10" fillId="0" borderId="0" xfId="11" applyFont="1" applyAlignment="1">
      <alignment vertical="center" wrapText="1"/>
    </xf>
    <xf numFmtId="0" fontId="10" fillId="0" borderId="0" xfId="11" applyFont="1" applyAlignment="1">
      <alignment vertical="center"/>
    </xf>
    <xf numFmtId="0" fontId="0" fillId="0" borderId="0" xfId="11" applyFont="1" applyAlignment="1">
      <alignment vertical="center" wrapText="1"/>
    </xf>
    <xf numFmtId="0" fontId="31" fillId="0" borderId="0" xfId="0" applyFont="1" applyAlignment="1">
      <alignment horizontal="left"/>
    </xf>
    <xf numFmtId="164" fontId="31" fillId="0" borderId="0" xfId="0" applyNumberFormat="1" applyFont="1"/>
    <xf numFmtId="0" fontId="0" fillId="6" borderId="0" xfId="0" applyFill="1" applyAlignment="1">
      <alignment horizontal="left"/>
    </xf>
    <xf numFmtId="0" fontId="0" fillId="6" borderId="0" xfId="0" applyFill="1" applyAlignment="1">
      <alignment horizontal="center"/>
    </xf>
    <xf numFmtId="0" fontId="0" fillId="6" borderId="0" xfId="0" applyFill="1"/>
    <xf numFmtId="2" fontId="0" fillId="6" borderId="0" xfId="0" applyNumberFormat="1" applyFill="1" applyAlignment="1">
      <alignment horizontal="center"/>
    </xf>
    <xf numFmtId="0" fontId="13" fillId="6" borderId="0" xfId="0" applyFont="1" applyFill="1" applyAlignment="1">
      <alignment horizontal="center"/>
    </xf>
    <xf numFmtId="0" fontId="11" fillId="0" borderId="0" xfId="0" applyFont="1" applyAlignment="1">
      <alignment horizontal="center" wrapText="1"/>
    </xf>
    <xf numFmtId="0" fontId="34" fillId="0" borderId="0" xfId="0" applyFont="1"/>
    <xf numFmtId="0" fontId="33" fillId="4" borderId="0" xfId="0" applyFont="1" applyFill="1" applyAlignment="1">
      <alignment horizontal="center"/>
    </xf>
    <xf numFmtId="1" fontId="13" fillId="0" borderId="11" xfId="0" applyNumberFormat="1" applyFont="1" applyBorder="1"/>
    <xf numFmtId="1" fontId="31" fillId="0" borderId="11" xfId="0" applyNumberFormat="1" applyFont="1" applyBorder="1"/>
    <xf numFmtId="10" fontId="0" fillId="0" borderId="0" xfId="0" applyNumberFormat="1"/>
    <xf numFmtId="0" fontId="31" fillId="0" borderId="4" xfId="0" applyFont="1" applyBorder="1" applyAlignment="1">
      <alignment wrapText="1"/>
    </xf>
    <xf numFmtId="0" fontId="7" fillId="0" borderId="8" xfId="0" applyFont="1" applyBorder="1" applyAlignment="1">
      <alignment wrapText="1"/>
    </xf>
    <xf numFmtId="0" fontId="31" fillId="0" borderId="9" xfId="0" applyFont="1" applyBorder="1" applyAlignment="1">
      <alignment horizontal="left" wrapText="1"/>
    </xf>
    <xf numFmtId="0" fontId="31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1" fontId="13" fillId="0" borderId="0" xfId="0" applyNumberFormat="1" applyFont="1"/>
    <xf numFmtId="1" fontId="31" fillId="0" borderId="0" xfId="0" applyNumberFormat="1" applyFont="1"/>
    <xf numFmtId="0" fontId="7" fillId="0" borderId="17" xfId="0" applyFont="1" applyBorder="1"/>
    <xf numFmtId="167" fontId="7" fillId="0" borderId="20" xfId="0" applyNumberFormat="1" applyFont="1" applyBorder="1"/>
    <xf numFmtId="0" fontId="7" fillId="0" borderId="20" xfId="0" applyFont="1" applyBorder="1"/>
    <xf numFmtId="165" fontId="31" fillId="0" borderId="20" xfId="0" applyNumberFormat="1" applyFont="1" applyBorder="1"/>
    <xf numFmtId="0" fontId="7" fillId="0" borderId="18" xfId="0" applyFont="1" applyBorder="1"/>
    <xf numFmtId="0" fontId="11" fillId="0" borderId="0" xfId="0" applyFont="1" applyAlignment="1">
      <alignment horizontal="left" wrapText="1"/>
    </xf>
    <xf numFmtId="0" fontId="34" fillId="0" borderId="0" xfId="0" applyFont="1" applyAlignment="1">
      <alignment vertical="center"/>
    </xf>
    <xf numFmtId="0" fontId="33" fillId="4" borderId="0" xfId="0" applyFont="1" applyFill="1" applyAlignment="1">
      <alignment horizontal="center" vertical="center"/>
    </xf>
    <xf numFmtId="0" fontId="33" fillId="3" borderId="0" xfId="0" applyFont="1" applyFill="1" applyAlignment="1">
      <alignment horizontal="center" wrapText="1"/>
    </xf>
    <xf numFmtId="0" fontId="12" fillId="5" borderId="0" xfId="0" applyFont="1" applyFill="1" applyAlignment="1">
      <alignment horizontal="left"/>
    </xf>
    <xf numFmtId="0" fontId="12" fillId="0" borderId="0" xfId="0" applyFont="1" applyAlignment="1">
      <alignment horizontal="left"/>
    </xf>
    <xf numFmtId="0" fontId="37" fillId="0" borderId="0" xfId="0" applyFont="1" applyAlignment="1">
      <alignment horizontal="center" vertical="center" wrapText="1"/>
    </xf>
    <xf numFmtId="0" fontId="3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7" fillId="3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7" fillId="3" borderId="13" xfId="0" applyFont="1" applyFill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  <xf numFmtId="0" fontId="18" fillId="0" borderId="4" xfId="8" applyFont="1" applyBorder="1" applyAlignment="1">
      <alignment vertical="center"/>
    </xf>
  </cellXfs>
  <cellStyles count="12">
    <cellStyle name="Normal" xfId="0" builtinId="0"/>
    <cellStyle name="Normal 2" xfId="2" xr:uid="{9D18A095-C41E-41B3-A163-37D2142C1B95}"/>
    <cellStyle name="Normal 3" xfId="5" xr:uid="{45169BFF-56F5-48BC-96FE-1A450C43ADF2}"/>
    <cellStyle name="Normal 3 2" xfId="6" xr:uid="{CAF26DF5-5645-47A9-B01F-9B23A77D120B}"/>
    <cellStyle name="Normal 4" xfId="7" xr:uid="{75582831-BF73-4AAB-A411-393CBC9EB3D2}"/>
    <cellStyle name="Normal 5" xfId="1" xr:uid="{76838DD6-86CB-4343-BE92-25136997D6A7}"/>
    <cellStyle name="Normal 5 2" xfId="10" xr:uid="{47B0BF52-04BD-4530-A086-A96261A3376E}"/>
    <cellStyle name="Normal 5 2 2" xfId="11" xr:uid="{DB2C2341-5626-4602-8687-6A540104C3E9}"/>
    <cellStyle name="Normal 6" xfId="8" xr:uid="{BCC31290-3327-4FDC-AE39-F6B48A1D32C5}"/>
    <cellStyle name="Normal 6 2" xfId="9" xr:uid="{C7649BC6-4107-41CA-804B-87F5A49F6446}"/>
    <cellStyle name="Pourcentage 2" xfId="4" xr:uid="{136B643A-E3F8-4645-ADF7-6F20F4C11D6A}"/>
    <cellStyle name="Titre 1 2" xfId="3" xr:uid="{890CC78D-ADED-4402-9A34-2C6DDDF52372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4CAB1171-5F87-4B5A-8B79-37467C992B16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Place des surfaces ARABLES DU RESEAU REPAIR EN 2021 </a:t>
            </a:r>
          </a:p>
          <a:p>
            <a:pPr>
              <a:defRPr/>
            </a:pPr>
            <a:r>
              <a:rPr lang="fr-FR"/>
              <a:t>SUR L'ENSEMBLE DES SURFACES ARABLES</a:t>
            </a:r>
            <a:r>
              <a:rPr lang="fr-FR" baseline="0"/>
              <a:t> EN NC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67534779319265"/>
          <c:y val="0.17443778647165958"/>
          <c:w val="0.87430094784982471"/>
          <c:h val="0.509529484915014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Graphiques_V10!$F$5</c:f>
              <c:strCache>
                <c:ptCount val="1"/>
                <c:pt idx="0">
                  <c:v>Surfaces NC (ha) hors REPAIR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Graphiques_V10!$F$7:$F$13</c15:sqref>
                  </c15:fullRef>
                </c:ext>
              </c:extLst>
              <c:f>(Graphiques_V10!$F$7:$F$11,Graphiques_V10!$F$13)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92-4602-A6C4-2C8C1CBA8537}"/>
            </c:ext>
          </c:extLst>
        </c:ser>
        <c:ser>
          <c:idx val="1"/>
          <c:order val="1"/>
          <c:tx>
            <c:strRef>
              <c:f>Graphiques_V10!$G$5</c:f>
              <c:strCache>
                <c:ptCount val="1"/>
                <c:pt idx="0">
                  <c:v>Surfaces REPAIR (ha)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Lbl>
              <c:idx val="3"/>
              <c:layout>
                <c:manualLayout>
                  <c:x val="-1.1429180859617013E-16"/>
                  <c:y val="-2.268431001890368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692-4602-A6C4-2C8C1CBA8537}"/>
                </c:ext>
              </c:extLst>
            </c:dLbl>
            <c:dLbl>
              <c:idx val="4"/>
              <c:layout>
                <c:manualLayout>
                  <c:x val="0"/>
                  <c:y val="-2.772526780088226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692-4602-A6C4-2C8C1CBA8537}"/>
                </c:ext>
              </c:extLst>
            </c:dLbl>
            <c:dLbl>
              <c:idx val="5"/>
              <c:layout>
                <c:manualLayout>
                  <c:x val="-1.3852813097300304E-3"/>
                  <c:y val="-2.52047889098928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39A-47F4-BFD4-2EAB6789C7E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Graphiques_V10!$G$7:$G$13</c15:sqref>
                  </c15:fullRef>
                </c:ext>
              </c:extLst>
              <c:f>(Graphiques_V10!$G$7:$G$11,Graphiques_V10!$G$13)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Graphiques_V10!$G$12</c15:sqref>
                  <c15:dLbl>
                    <c:idx val="4"/>
                    <c:layout>
                      <c:manualLayout>
                        <c:x val="1.1429180859617013E-16"/>
                        <c:y val="-3.0245746691871547E-2"/>
                      </c:manualLayout>
                    </c:layout>
                    <c:spPr>
                      <a:noFill/>
                      <a:ln>
                        <a:noFill/>
                      </a:ln>
                      <a:effectLst/>
                    </c:spPr>
                    <c:txPr>
                      <a:bodyPr rot="0" spcFirstLastPara="1" vertOverflow="ellipsis" vert="horz" wrap="square" lIns="38100" tIns="19050" rIns="38100" bIns="19050" anchor="ctr" anchorCtr="1">
                        <a:spAutoFit/>
                      </a:bodyPr>
                      <a:lstStyle/>
                      <a:p>
                        <a:pPr>
                          <a:defRPr sz="900" b="0" i="0" u="none" strike="noStrike" kern="1200" baseline="0">
                            <a:solidFill>
                              <a:sysClr val="windowText" lastClr="000000"/>
                            </a:solidFill>
                            <a:latin typeface="+mn-lt"/>
                            <a:ea typeface="+mn-ea"/>
                            <a:cs typeface="+mn-cs"/>
                          </a:defRPr>
                        </a:pPr>
                        <a:endParaRPr lang="fr-FR"/>
                      </a:p>
                    </c:txPr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  <c:ext xmlns:c16="http://schemas.microsoft.com/office/drawing/2014/chart" uri="{C3380CC4-5D6E-409C-BE32-E72D297353CC}">
                        <c16:uniqueId val="{00000000-5FD2-433A-9870-2CF0917B07A1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4-5692-4602-A6C4-2C8C1CBA853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377623904"/>
        <c:axId val="1296932192"/>
      </c:barChart>
      <c:catAx>
        <c:axId val="137762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932192"/>
        <c:crosses val="autoZero"/>
        <c:auto val="1"/>
        <c:lblAlgn val="ctr"/>
        <c:lblOffset val="100"/>
        <c:noMultiLvlLbl val="0"/>
      </c:catAx>
      <c:valAx>
        <c:axId val="129693219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762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Surfaces arables</a:t>
            </a:r>
            <a:r>
              <a:rPr lang="fr-FR" baseline="0"/>
              <a:t> du réseau REPAIR en 2020 </a:t>
            </a:r>
          </a:p>
          <a:p>
            <a:pPr>
              <a:defRPr/>
            </a:pPr>
            <a:r>
              <a:rPr lang="fr-FR" baseline="0"/>
              <a:t>et surfaces arables de la Nouvelle-Calédonie*</a:t>
            </a:r>
            <a:endParaRPr lang="fr-FR"/>
          </a:p>
        </c:rich>
      </c:tx>
      <c:layout>
        <c:manualLayout>
          <c:xMode val="edge"/>
          <c:yMode val="edge"/>
          <c:x val="0.22218918782262551"/>
          <c:y val="2.33333333333333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Graphiques_V10!$E$5</c:f>
              <c:strCache>
                <c:ptCount val="1"/>
                <c:pt idx="0">
                  <c:v>Surfaces NC (ha)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Graphiques_V10!$E$7:$E$13</c15:sqref>
                  </c15:fullRef>
                </c:ext>
              </c:extLst>
              <c:f>(Graphiques_V10!$E$7:$E$11,Graphiques_V10!$E$13)</c:f>
              <c:numCache>
                <c:formatCode>0</c:formatCode>
                <c:ptCount val="6"/>
                <c:pt idx="0">
                  <c:v>1451.3</c:v>
                </c:pt>
                <c:pt idx="1">
                  <c:v>1649.6165850849411</c:v>
                </c:pt>
                <c:pt idx="2">
                  <c:v>1950.0543190325368</c:v>
                </c:pt>
                <c:pt idx="3">
                  <c:v>760.1238842499281</c:v>
                </c:pt>
                <c:pt idx="4">
                  <c:v>99.7</c:v>
                </c:pt>
                <c:pt idx="5">
                  <c:v>201.60521163259432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60-42C8-AFC7-86EE75FAB7EA}"/>
            </c:ext>
          </c:extLst>
        </c:ser>
        <c:ser>
          <c:idx val="1"/>
          <c:order val="1"/>
          <c:tx>
            <c:strRef>
              <c:f>Graphiques_V10!$G$5</c:f>
              <c:strCache>
                <c:ptCount val="1"/>
                <c:pt idx="0">
                  <c:v>Surfaces REPAIR (ha)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Graphiques_V10!$G$7:$G$13</c15:sqref>
                  </c15:fullRef>
                </c:ext>
              </c:extLst>
              <c:f>(Graphiques_V10!$G$7:$G$11,Graphiques_V10!$G$13)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60-42C8-AFC7-86EE75FAB7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88562016"/>
        <c:axId val="1480752160"/>
      </c:barChart>
      <c:catAx>
        <c:axId val="1288562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52160"/>
        <c:crosses val="autoZero"/>
        <c:auto val="1"/>
        <c:lblAlgn val="ctr"/>
        <c:lblOffset val="100"/>
        <c:noMultiLvlLbl val="0"/>
      </c:catAx>
      <c:valAx>
        <c:axId val="1480752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88562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Place des surfaces arables du réseau REPAIR sur l'ensemble</a:t>
            </a:r>
            <a:r>
              <a:rPr lang="fr-FR" baseline="0"/>
              <a:t> des surfaces de la NC</a:t>
            </a:r>
            <a:r>
              <a:rPr lang="fr-FR"/>
              <a:t> en 2022</a:t>
            </a:r>
          </a:p>
        </c:rich>
      </c:tx>
      <c:layout>
        <c:manualLayout>
          <c:xMode val="edge"/>
          <c:yMode val="edge"/>
          <c:x val="0.1361756213896689"/>
          <c:y val="6.20155094839058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867534779319265"/>
          <c:y val="0.1744377459415018"/>
          <c:w val="0.87430094784982471"/>
          <c:h val="0.68880024133419604"/>
        </c:manualLayout>
      </c:layout>
      <c:barChart>
        <c:barDir val="bar"/>
        <c:grouping val="percentStacked"/>
        <c:varyColors val="0"/>
        <c:ser>
          <c:idx val="1"/>
          <c:order val="0"/>
          <c:tx>
            <c:strRef>
              <c:f>Graphiques_V10!$G$5</c:f>
              <c:strCache>
                <c:ptCount val="1"/>
                <c:pt idx="0">
                  <c:v>Surfaces REPAIR (ha)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Graphiques_V10!$G$7:$G$13</c15:sqref>
                  </c15:fullRef>
                </c:ext>
              </c:extLst>
              <c:f>(Graphiques_V10!$G$7:$G$11,Graphiques_V10!$G$13)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EF-4E57-9D84-8BB7692B0DCB}"/>
            </c:ext>
          </c:extLst>
        </c:ser>
        <c:ser>
          <c:idx val="0"/>
          <c:order val="1"/>
          <c:tx>
            <c:strRef>
              <c:f>Graphiques_V10!$F$5</c:f>
              <c:strCache>
                <c:ptCount val="1"/>
                <c:pt idx="0">
                  <c:v>Surfaces NC (ha) hors REPAIR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Graphiques_V10!$F$7:$F$13</c15:sqref>
                  </c15:fullRef>
                </c:ext>
              </c:extLst>
              <c:f>(Graphiques_V10!$F$7:$F$11,Graphiques_V10!$F$13)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FEF-4E57-9D84-8BB7692B0DC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377623904"/>
        <c:axId val="1296932192"/>
      </c:barChart>
      <c:catAx>
        <c:axId val="137762390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932192"/>
        <c:crosses val="autoZero"/>
        <c:auto val="1"/>
        <c:lblAlgn val="ctr"/>
        <c:lblOffset val="100"/>
        <c:noMultiLvlLbl val="0"/>
      </c:catAx>
      <c:valAx>
        <c:axId val="12969321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7623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235542344920308"/>
          <c:y val="0.91967155833816516"/>
          <c:w val="0.3657530886876062"/>
          <c:h val="7.125200433620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Répartition des surfaces (ha) de terres arables du réseau REPAIR par filière de production en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9478721289871577"/>
          <c:y val="0.18767055877132618"/>
          <c:w val="0.45041833394851827"/>
          <c:h val="0.79294849227446584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0F73-4247-89BF-99A441C3A29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0F73-4247-89BF-99A441C3A29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0F73-4247-89BF-99A441C3A293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0F73-4247-89BF-99A441C3A293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0F73-4247-89BF-99A441C3A293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6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6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1AC2-4565-9DC3-DD33193D684E}"/>
              </c:ext>
            </c:extLst>
          </c:dPt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tx2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Graphiques_V10!$B$7:$B$13</c15:sqref>
                  </c15:fullRef>
                </c:ext>
              </c:extLst>
              <c:f>(Graphiques_V10!$B$7:$B$11,Graphiques_V10!$B$13)</c:f>
              <c:strCache>
                <c:ptCount val="6"/>
                <c:pt idx="0">
                  <c:v>Cultures fruitières </c:v>
                </c:pt>
                <c:pt idx="1">
                  <c:v>Céréales</c:v>
                </c:pt>
                <c:pt idx="2">
                  <c:v>Maraichage</c:v>
                </c:pt>
                <c:pt idx="3">
                  <c:v>Tubercules tropicaux</c:v>
                </c:pt>
                <c:pt idx="4">
                  <c:v>Horticulture</c:v>
                </c:pt>
                <c:pt idx="5">
                  <c:v>Autres (cultures spéciales)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Graphiques_V10!$G$7:$G$13</c15:sqref>
                  </c15:fullRef>
                </c:ext>
              </c:extLst>
              <c:f>(Graphiques_V10!$G$7:$G$11,Graphiques_V10!$G$13)</c:f>
              <c:numCache>
                <c:formatCode>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Graphiques_V10!$G$12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6">
                            <a:satMod val="103000"/>
                            <a:lumMod val="102000"/>
                            <a:tint val="94000"/>
                          </a:schemeClr>
                        </a:gs>
                        <a:gs pos="50000">
                          <a:schemeClr val="accent6">
                            <a:satMod val="110000"/>
                            <a:lumMod val="100000"/>
                            <a:shade val="100000"/>
                          </a:schemeClr>
                        </a:gs>
                        <a:gs pos="100000">
                          <a:schemeClr val="accent6">
                            <a:lumMod val="99000"/>
                            <a:satMod val="120000"/>
                            <a:shade val="78000"/>
                          </a:schemeClr>
                        </a:gs>
                      </a:gsLst>
                      <a:lin ang="5400000" scaled="0"/>
                    </a:gradFill>
                    <a:ln>
                      <a:noFill/>
                    </a:ln>
                    <a:effectLst/>
                  </c15:spPr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0C-0F73-4247-89BF-99A441C3A29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2.6879742304939148E-2"/>
          <c:y val="0.19740513700163217"/>
          <c:w val="0.25956482107907691"/>
          <c:h val="0.8025947986819386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Surfaces des adhérents REPAIR </a:t>
            </a:r>
            <a:r>
              <a:rPr lang="fr-FR" baseline="0"/>
              <a:t>par filière de production et par province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Graphiques_V10!$P$10</c:f>
              <c:strCache>
                <c:ptCount val="1"/>
                <c:pt idx="0">
                  <c:v>Cultures fruitières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t" anchorCtr="0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tx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85DA-4F69-BFA7-4248A15D3E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Graphiques_V10!$R$10:$S$10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0A-4B58-A7F4-440C3B527132}"/>
            </c:ext>
          </c:extLst>
        </c:ser>
        <c:ser>
          <c:idx val="1"/>
          <c:order val="1"/>
          <c:tx>
            <c:strRef>
              <c:f>Graphiques_V10!$P$11</c:f>
              <c:strCache>
                <c:ptCount val="1"/>
                <c:pt idx="0">
                  <c:v>Céréales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Graphiques_V10!$R$11:$S$11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0A-4B58-A7F4-440C3B527132}"/>
            </c:ext>
          </c:extLst>
        </c:ser>
        <c:ser>
          <c:idx val="2"/>
          <c:order val="2"/>
          <c:tx>
            <c:strRef>
              <c:f>Graphiques_V10!$P$12</c:f>
              <c:strCache>
                <c:ptCount val="1"/>
                <c:pt idx="0">
                  <c:v>Maraichage PC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Graphiques_V10!$R$12:$S$12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20A-4B58-A7F4-440C3B527132}"/>
            </c:ext>
          </c:extLst>
        </c:ser>
        <c:ser>
          <c:idx val="3"/>
          <c:order val="3"/>
          <c:tx>
            <c:strRef>
              <c:f>Graphiques_V10!$P$13</c:f>
              <c:strCache>
                <c:ptCount val="1"/>
                <c:pt idx="0">
                  <c:v>Maraichage HS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Graphiques_V10!$R$13:$S$13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20A-4B58-A7F4-440C3B527132}"/>
            </c:ext>
          </c:extLst>
        </c:ser>
        <c:ser>
          <c:idx val="4"/>
          <c:order val="4"/>
          <c:tx>
            <c:strRef>
              <c:f>Graphiques_V10!$P$14</c:f>
              <c:strCache>
                <c:ptCount val="1"/>
                <c:pt idx="0">
                  <c:v>Tubercules tropicaux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Graphiques_V10!$R$14:$S$14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20A-4B58-A7F4-440C3B527132}"/>
            </c:ext>
          </c:extLst>
        </c:ser>
        <c:ser>
          <c:idx val="5"/>
          <c:order val="5"/>
          <c:tx>
            <c:strRef>
              <c:f>Graphiques_V10!$P$15</c:f>
              <c:strCache>
                <c:ptCount val="1"/>
                <c:pt idx="0">
                  <c:v>Horticulture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Graphiques_V10!$R$15:$S$15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20A-4B58-A7F4-440C3B527132}"/>
            </c:ext>
          </c:extLst>
        </c:ser>
        <c:ser>
          <c:idx val="6"/>
          <c:order val="6"/>
          <c:tx>
            <c:strRef>
              <c:f>Graphiques_V10!$P$16</c:f>
              <c:strCache>
                <c:ptCount val="1"/>
                <c:pt idx="0">
                  <c:v>Autres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Graphiques_V10!$R$9:$S$9</c:f>
              <c:strCache>
                <c:ptCount val="2"/>
                <c:pt idx="0">
                  <c:v>PS</c:v>
                </c:pt>
                <c:pt idx="1">
                  <c:v>PN</c:v>
                </c:pt>
              </c:strCache>
            </c:strRef>
          </c:cat>
          <c:val>
            <c:numRef>
              <c:f>Graphiques_V10!$R$16:$S$16</c:f>
              <c:numCache>
                <c:formatCode>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20A-4B58-A7F4-440C3B52713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66166863"/>
        <c:axId val="800113871"/>
        <c:axId val="0"/>
      </c:bar3DChart>
      <c:catAx>
        <c:axId val="466166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00113871"/>
        <c:crosses val="autoZero"/>
        <c:auto val="1"/>
        <c:lblAlgn val="ctr"/>
        <c:lblOffset val="100"/>
        <c:noMultiLvlLbl val="0"/>
      </c:catAx>
      <c:valAx>
        <c:axId val="80011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6166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 la répartition des surfaces par filière au sein de</a:t>
            </a:r>
            <a:r>
              <a:rPr lang="fr-FR" baseline="0"/>
              <a:t> REPAIR (en ha)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9451812555260833E-2"/>
          <c:y val="0.16909892879647134"/>
          <c:w val="0.91871941073678787"/>
          <c:h val="0.71477407479074562"/>
        </c:manualLayout>
      </c:layout>
      <c:barChart>
        <c:barDir val="col"/>
        <c:grouping val="percentStacked"/>
        <c:varyColors val="0"/>
        <c:ser>
          <c:idx val="0"/>
          <c:order val="0"/>
          <c:tx>
            <c:strRef>
              <c:f>Graphiques_V10!$B$7</c:f>
              <c:strCache>
                <c:ptCount val="1"/>
                <c:pt idx="0">
                  <c:v>Cultures fruitières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Graphiques_V10!$G$7:$J$7</c:f>
              <c:numCache>
                <c:formatCode>0</c:formatCode>
                <c:ptCount val="4"/>
                <c:pt idx="0">
                  <c:v>0</c:v>
                </c:pt>
                <c:pt idx="1">
                  <c:v>129.602</c:v>
                </c:pt>
                <c:pt idx="2" formatCode="0.0">
                  <c:v>124.34399999999998</c:v>
                </c:pt>
                <c:pt idx="3" formatCode="0.0">
                  <c:v>127.56900000000005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8C-4F72-83E9-1A3BD2417923}"/>
            </c:ext>
          </c:extLst>
        </c:ser>
        <c:ser>
          <c:idx val="1"/>
          <c:order val="1"/>
          <c:tx>
            <c:strRef>
              <c:f>Graphiques_V10!$B$8</c:f>
              <c:strCache>
                <c:ptCount val="1"/>
                <c:pt idx="0">
                  <c:v>Céréales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Graphiques_V10!$G$8:$J$8</c:f>
              <c:numCache>
                <c:formatCode>0</c:formatCode>
                <c:ptCount val="4"/>
                <c:pt idx="0">
                  <c:v>0</c:v>
                </c:pt>
                <c:pt idx="1">
                  <c:v>123.03299999999999</c:v>
                </c:pt>
                <c:pt idx="2" formatCode="0.0">
                  <c:v>102.63500000000001</c:v>
                </c:pt>
                <c:pt idx="3" formatCode="0.0">
                  <c:v>128.09700000000001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38C-4F72-83E9-1A3BD2417923}"/>
            </c:ext>
          </c:extLst>
        </c:ser>
        <c:ser>
          <c:idx val="2"/>
          <c:order val="2"/>
          <c:tx>
            <c:strRef>
              <c:f>Graphiques_V10!$B$9</c:f>
              <c:strCache>
                <c:ptCount val="1"/>
                <c:pt idx="0">
                  <c:v>Maraichage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Graphiques_V10!$G$9:$J$9</c:f>
              <c:numCache>
                <c:formatCode>0</c:formatCode>
                <c:ptCount val="4"/>
                <c:pt idx="0">
                  <c:v>0</c:v>
                </c:pt>
                <c:pt idx="1">
                  <c:v>143.00700000000001</c:v>
                </c:pt>
                <c:pt idx="2" formatCode="0.0">
                  <c:v>162.42800000000003</c:v>
                </c:pt>
                <c:pt idx="3" formatCode="0.0">
                  <c:v>172.22149999999999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38C-4F72-83E9-1A3BD2417923}"/>
            </c:ext>
          </c:extLst>
        </c:ser>
        <c:ser>
          <c:idx val="3"/>
          <c:order val="3"/>
          <c:tx>
            <c:strRef>
              <c:f>Graphiques_V10!$B$10</c:f>
              <c:strCache>
                <c:ptCount val="1"/>
                <c:pt idx="0">
                  <c:v>Tubercules tropicaux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Graphiques_V10!$G$10:$J$10</c:f>
              <c:numCache>
                <c:formatCode>0</c:formatCode>
                <c:ptCount val="4"/>
                <c:pt idx="0">
                  <c:v>0</c:v>
                </c:pt>
                <c:pt idx="1">
                  <c:v>13.129999999999995</c:v>
                </c:pt>
                <c:pt idx="2" formatCode="0.0">
                  <c:v>13.471999999999996</c:v>
                </c:pt>
                <c:pt idx="3" formatCode="0.0">
                  <c:v>12.698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38C-4F72-83E9-1A3BD2417923}"/>
            </c:ext>
          </c:extLst>
        </c:ser>
        <c:ser>
          <c:idx val="4"/>
          <c:order val="4"/>
          <c:tx>
            <c:strRef>
              <c:f>Graphiques_V10!$B$11</c:f>
              <c:strCache>
                <c:ptCount val="1"/>
                <c:pt idx="0">
                  <c:v>Horticulture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Graphiques_V10!$G$11:$J$11</c:f>
              <c:numCache>
                <c:formatCode>0</c:formatCode>
                <c:ptCount val="4"/>
                <c:pt idx="0">
                  <c:v>0</c:v>
                </c:pt>
                <c:pt idx="1">
                  <c:v>11.98</c:v>
                </c:pt>
                <c:pt idx="2" formatCode="0.0">
                  <c:v>11.307</c:v>
                </c:pt>
                <c:pt idx="3" formatCode="0.0">
                  <c:v>14.034000000000001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38C-4F72-83E9-1A3BD2417923}"/>
            </c:ext>
          </c:extLst>
        </c:ser>
        <c:ser>
          <c:idx val="5"/>
          <c:order val="5"/>
          <c:tx>
            <c:strRef>
              <c:f>Graphiques_V10!$B$13</c:f>
              <c:strCache>
                <c:ptCount val="1"/>
                <c:pt idx="0">
                  <c:v>Autres (cultures spéciales)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3.1830238726790451E-2"/>
                  <c:y val="-2.520478890989287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A38C-4F72-83E9-1A3BD2417923}"/>
                </c:ext>
              </c:extLst>
            </c:dLbl>
            <c:dLbl>
              <c:idx val="1"/>
              <c:layout>
                <c:manualLayout>
                  <c:x val="3.5367210398434976E-2"/>
                  <c:y val="-3.024574669187145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A38C-4F72-83E9-1A3BD24179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Graphiques_V10!$G$6:$J$6</c:f>
              <c:numCache>
                <c:formatCode>General</c:formatCode>
                <c:ptCount val="4"/>
                <c:pt idx="0">
                  <c:v>2022</c:v>
                </c:pt>
                <c:pt idx="1">
                  <c:v>2021</c:v>
                </c:pt>
                <c:pt idx="2">
                  <c:v>2020</c:v>
                </c:pt>
                <c:pt idx="3">
                  <c:v>2019</c:v>
                </c:pt>
              </c:numCache>
            </c:numRef>
          </c:cat>
          <c:val>
            <c:numRef>
              <c:f>Graphiques_V10!$G$13:$J$13</c:f>
              <c:numCache>
                <c:formatCode>0</c:formatCode>
                <c:ptCount val="4"/>
                <c:pt idx="0">
                  <c:v>0</c:v>
                </c:pt>
                <c:pt idx="1">
                  <c:v>7.0330000000000004</c:v>
                </c:pt>
                <c:pt idx="2" formatCode="0.0">
                  <c:v>6.2770000000000001</c:v>
                </c:pt>
                <c:pt idx="3" formatCode="0.0">
                  <c:v>3.6320000000000001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38C-4F72-83E9-1A3BD24179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94165007"/>
        <c:axId val="1194172911"/>
      </c:barChart>
      <c:catAx>
        <c:axId val="1194165007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172911"/>
        <c:crosses val="autoZero"/>
        <c:auto val="1"/>
        <c:lblAlgn val="ctr"/>
        <c:lblOffset val="100"/>
        <c:noMultiLvlLbl val="0"/>
      </c:catAx>
      <c:valAx>
        <c:axId val="119417291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94165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Répartitio</a:t>
            </a:r>
            <a:r>
              <a:rPr lang="fr-FR" baseline="0"/>
              <a:t>n des surfaces selon la certification (en ha)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Graphiques_V10!$B$28</c:f>
              <c:strCache>
                <c:ptCount val="1"/>
                <c:pt idx="0">
                  <c:v>AR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Graphiques_V10!$C$27:$E$27</c:f>
              <c:strCache>
                <c:ptCount val="3"/>
                <c:pt idx="0">
                  <c:v>Province sud</c:v>
                </c:pt>
                <c:pt idx="1">
                  <c:v>Province nord</c:v>
                </c:pt>
                <c:pt idx="2">
                  <c:v>Total</c:v>
                </c:pt>
              </c:strCache>
            </c:strRef>
          </c:cat>
          <c:val>
            <c:numRef>
              <c:f>Graphiques_V10!$C$28:$E$28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78-4BAC-83E8-441CCEEB6BF5}"/>
            </c:ext>
          </c:extLst>
        </c:ser>
        <c:ser>
          <c:idx val="1"/>
          <c:order val="1"/>
          <c:tx>
            <c:strRef>
              <c:f>Graphiques_V10!$B$29</c:f>
              <c:strCache>
                <c:ptCount val="1"/>
                <c:pt idx="0">
                  <c:v>BIO PASIFIKA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Graphiques_V10!$C$27:$E$27</c:f>
              <c:strCache>
                <c:ptCount val="3"/>
                <c:pt idx="0">
                  <c:v>Province sud</c:v>
                </c:pt>
                <c:pt idx="1">
                  <c:v>Province nord</c:v>
                </c:pt>
                <c:pt idx="2">
                  <c:v>Total</c:v>
                </c:pt>
              </c:strCache>
            </c:strRef>
          </c:cat>
          <c:val>
            <c:numRef>
              <c:f>Graphiques_V10!$C$29:$E$29</c:f>
              <c:numCache>
                <c:formatCode>0.0</c:formatCode>
                <c:ptCount val="3"/>
                <c:pt idx="0" formatCode="0.00">
                  <c:v>0</c:v>
                </c:pt>
                <c:pt idx="1">
                  <c:v>0</c:v>
                </c:pt>
                <c:pt idx="2" formatCode="0.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78-4BAC-83E8-441CCEEB6BF5}"/>
            </c:ext>
          </c:extLst>
        </c:ser>
        <c:ser>
          <c:idx val="2"/>
          <c:order val="2"/>
          <c:tx>
            <c:strRef>
              <c:f>Graphiques_V10!$B$30</c:f>
              <c:strCache>
                <c:ptCount val="1"/>
                <c:pt idx="0">
                  <c:v>En cours de certification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Graphiques_V10!$C$27:$E$27</c:f>
              <c:strCache>
                <c:ptCount val="3"/>
                <c:pt idx="0">
                  <c:v>Province sud</c:v>
                </c:pt>
                <c:pt idx="1">
                  <c:v>Province nord</c:v>
                </c:pt>
                <c:pt idx="2">
                  <c:v>Total</c:v>
                </c:pt>
              </c:strCache>
            </c:strRef>
          </c:cat>
          <c:val>
            <c:numRef>
              <c:f>Graphiques_V10!$C$30:$E$30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78-4BAC-83E8-441CCEEB6B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1877968"/>
        <c:axId val="261881712"/>
      </c:barChart>
      <c:catAx>
        <c:axId val="26187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1881712"/>
        <c:crosses val="autoZero"/>
        <c:auto val="1"/>
        <c:lblAlgn val="ctr"/>
        <c:lblOffset val="100"/>
        <c:noMultiLvlLbl val="0"/>
      </c:catAx>
      <c:valAx>
        <c:axId val="26188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1877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Superficie</a:t>
            </a:r>
            <a:r>
              <a:rPr lang="fr-FR" baseline="0"/>
              <a:t> moyenne dédiée à chaque filière </a:t>
            </a:r>
          </a:p>
          <a:p>
            <a:pPr>
              <a:defRPr/>
            </a:pPr>
            <a:r>
              <a:rPr lang="fr-FR" baseline="0"/>
              <a:t>sur les exploitations du réseau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'Surfaces moyennes par filières'!$F$13:$F$19</c:f>
              <c:strCache>
                <c:ptCount val="7"/>
                <c:pt idx="0">
                  <c:v>Autres</c:v>
                </c:pt>
                <c:pt idx="1">
                  <c:v>Maraichage HS</c:v>
                </c:pt>
                <c:pt idx="2">
                  <c:v>Horticulture</c:v>
                </c:pt>
                <c:pt idx="3">
                  <c:v>Tubercules tropicaux</c:v>
                </c:pt>
                <c:pt idx="4">
                  <c:v>Cultures fruitieres</c:v>
                </c:pt>
                <c:pt idx="5">
                  <c:v>Maraichage PC</c:v>
                </c:pt>
                <c:pt idx="6">
                  <c:v>Cereales</c:v>
                </c:pt>
              </c:strCache>
            </c:strRef>
          </c:cat>
          <c:val>
            <c:numRef>
              <c:f>'Surfaces moyennes par filières'!$G$13:$G$19</c:f>
              <c:numCache>
                <c:formatCode>0.00</c:formatCode>
                <c:ptCount val="7"/>
                <c:pt idx="0">
                  <c:v>0</c:v>
                </c:pt>
                <c:pt idx="1">
                  <c:v>0.81023529411764705</c:v>
                </c:pt>
                <c:pt idx="2">
                  <c:v>2.4177999999999984</c:v>
                </c:pt>
                <c:pt idx="3">
                  <c:v>0.95000000000000018</c:v>
                </c:pt>
                <c:pt idx="4">
                  <c:v>1.3602000000000001</c:v>
                </c:pt>
                <c:pt idx="5">
                  <c:v>2.8449999999999998</c:v>
                </c:pt>
                <c:pt idx="6">
                  <c:v>31.28275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A5-478A-A269-8313DFEDF48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38366063"/>
        <c:axId val="236821327"/>
      </c:barChart>
      <c:catAx>
        <c:axId val="23836606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6821327"/>
        <c:crosses val="autoZero"/>
        <c:auto val="1"/>
        <c:lblAlgn val="ctr"/>
        <c:lblOffset val="100"/>
        <c:noMultiLvlLbl val="0"/>
      </c:catAx>
      <c:valAx>
        <c:axId val="23682132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83660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d'exploitations membres</a:t>
            </a:r>
            <a:r>
              <a:rPr lang="fr-FR" baseline="0"/>
              <a:t> de REPAIR </a:t>
            </a:r>
            <a:r>
              <a:rPr lang="fr-FR"/>
              <a:t>par tranche de SAU</a:t>
            </a:r>
          </a:p>
        </c:rich>
      </c:tx>
      <c:layout>
        <c:manualLayout>
          <c:xMode val="edge"/>
          <c:yMode val="edge"/>
          <c:x val="0.25131991919476043"/>
          <c:y val="1.914406532516768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6793906493051168E-2"/>
          <c:y val="0.13187551863502539"/>
          <c:w val="0.93652499942717893"/>
          <c:h val="0.66125083849495347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'SAU des exploitations'!$K$1</c:f>
              <c:strCache>
                <c:ptCount val="1"/>
                <c:pt idx="0">
                  <c:v>2021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'SAU des exploitations'!$K$2:$K$9</c:f>
              <c:numCache>
                <c:formatCode>General</c:formatCode>
                <c:ptCount val="8"/>
                <c:pt idx="0">
                  <c:v>22</c:v>
                </c:pt>
                <c:pt idx="1">
                  <c:v>3</c:v>
                </c:pt>
                <c:pt idx="2">
                  <c:v>12</c:v>
                </c:pt>
                <c:pt idx="3">
                  <c:v>6</c:v>
                </c:pt>
                <c:pt idx="4">
                  <c:v>7</c:v>
                </c:pt>
                <c:pt idx="5">
                  <c:v>1</c:v>
                </c:pt>
                <c:pt idx="6">
                  <c:v>3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69-45BA-97F9-BB8B13842126}"/>
            </c:ext>
          </c:extLst>
        </c:ser>
        <c:ser>
          <c:idx val="0"/>
          <c:order val="1"/>
          <c:tx>
            <c:v>2022</c:v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exploitations'!$G$2:$G$11</c:f>
              <c:strCache>
                <c:ptCount val="9"/>
                <c:pt idx="0">
                  <c:v>&lt;1ha</c:v>
                </c:pt>
                <c:pt idx="1">
                  <c:v>1ha ≤ SAU &lt; 2ha</c:v>
                </c:pt>
                <c:pt idx="2">
                  <c:v>2ha ≤ SAU &lt; 5ha</c:v>
                </c:pt>
                <c:pt idx="3">
                  <c:v>5ha ≤ SAU &lt; 10ha</c:v>
                </c:pt>
                <c:pt idx="4">
                  <c:v>10ha ≤ SAU &lt; 20ha</c:v>
                </c:pt>
                <c:pt idx="5">
                  <c:v>20ha ≤ SAU &lt; 50ha</c:v>
                </c:pt>
                <c:pt idx="6">
                  <c:v>50ha ≤ SAU &lt; 100ha</c:v>
                </c:pt>
                <c:pt idx="7">
                  <c:v>100ha ≤ SAU &lt; 500ha</c:v>
                </c:pt>
                <c:pt idx="8">
                  <c:v>≥500 ha</c:v>
                </c:pt>
              </c:strCache>
            </c:strRef>
          </c:cat>
          <c:val>
            <c:numRef>
              <c:f>'SAU des exploitations'!$H$2:$H$9</c:f>
              <c:numCache>
                <c:formatCode>General</c:formatCode>
                <c:ptCount val="8"/>
                <c:pt idx="0">
                  <c:v>29</c:v>
                </c:pt>
                <c:pt idx="1">
                  <c:v>6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25-4692-9F1D-32C395BE86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505772896"/>
        <c:axId val="1509064640"/>
      </c:barChart>
      <c:catAx>
        <c:axId val="1505772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9064640"/>
        <c:crosses val="autoZero"/>
        <c:auto val="1"/>
        <c:lblAlgn val="ctr"/>
        <c:lblOffset val="100"/>
        <c:noMultiLvlLbl val="0"/>
      </c:catAx>
      <c:valAx>
        <c:axId val="1509064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Effectifs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57728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4344702598364633"/>
          <c:y val="0.87261966672770563"/>
          <c:w val="0.16877632416233959"/>
          <c:h val="0.10465189525727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kumimoji="0" lang="fr-FR" sz="1400" b="0" i="0" u="none" strike="noStrike" kern="1200" cap="none" spc="0" normalizeH="0" baseline="0" noProof="0">
                <a:ln>
                  <a:noFill/>
                </a:ln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uLnTx/>
                <a:uFillTx/>
                <a:latin typeface="Calibri" panose="020F0502020204030204"/>
              </a:rPr>
              <a:t>SAU moyenne des exploitations adhérentes de REPAIR par filière principale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0192845723559293"/>
          <c:y val="0.11038693063060806"/>
          <c:w val="0.87351013586270698"/>
          <c:h val="0.65668603690617666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'SAU des exploitations'!$G$17:$H$17</c:f>
              <c:strCache>
                <c:ptCount val="1"/>
                <c:pt idx="0">
                  <c:v>SAU moyenne 2022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4615951908799345E-2"/>
                  <c:y val="6.4743235368822753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35E-4E08-94DB-D83188109315}"/>
                </c:ext>
              </c:extLst>
            </c:dLbl>
            <c:dLbl>
              <c:idx val="1"/>
              <c:layout>
                <c:manualLayout>
                  <c:x val="-4.6176046176046176E-2"/>
                  <c:y val="7.490636704119713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35E-4E08-94DB-D83188109315}"/>
                </c:ext>
              </c:extLst>
            </c:dLbl>
            <c:dLbl>
              <c:idx val="2"/>
              <c:layout>
                <c:manualLayout>
                  <c:x val="-5.7720057720058423E-3"/>
                  <c:y val="-3.370786516853932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35E-4E08-94DB-D83188109315}"/>
                </c:ext>
              </c:extLst>
            </c:dLbl>
            <c:dLbl>
              <c:idx val="3"/>
              <c:layout>
                <c:manualLayout>
                  <c:x val="-3.4632034632034701E-2"/>
                  <c:y val="-1.1235955056179775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035E-4E08-94DB-D83188109315}"/>
                </c:ext>
              </c:extLst>
            </c:dLbl>
            <c:dLbl>
              <c:idx val="4"/>
              <c:layout>
                <c:manualLayout>
                  <c:x val="-7.054592226089E-17"/>
                  <c:y val="1.1235955056179707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035E-4E08-94DB-D83188109315}"/>
                </c:ext>
              </c:extLst>
            </c:dLbl>
            <c:dLbl>
              <c:idx val="5"/>
              <c:layout>
                <c:manualLayout>
                  <c:x val="-3.8480038480038482E-2"/>
                  <c:y val="1.8726591760299626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35E-4E08-94DB-D83188109315}"/>
                </c:ext>
              </c:extLst>
            </c:dLbl>
            <c:dLbl>
              <c:idx val="6"/>
              <c:layout>
                <c:manualLayout>
                  <c:x val="-3.2708032708032707E-2"/>
                  <c:y val="-3.745318352059925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35E-4E08-94DB-D831881093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exploitations'!$G$18:$G$24</c:f>
              <c:strCache>
                <c:ptCount val="7"/>
                <c:pt idx="0">
                  <c:v>Maraichage</c:v>
                </c:pt>
                <c:pt idx="1">
                  <c:v>Maraichage HS</c:v>
                </c:pt>
                <c:pt idx="2">
                  <c:v>Cultures fruitières</c:v>
                </c:pt>
                <c:pt idx="3">
                  <c:v>Tubercules tropicaux</c:v>
                </c:pt>
                <c:pt idx="4">
                  <c:v>Céréales</c:v>
                </c:pt>
                <c:pt idx="5">
                  <c:v>Horticulture</c:v>
                </c:pt>
                <c:pt idx="6">
                  <c:v>Autres</c:v>
                </c:pt>
              </c:strCache>
            </c:strRef>
          </c:cat>
          <c:val>
            <c:numRef>
              <c:f>'SAU des exploitations'!$H$18:$H$24</c:f>
              <c:numCache>
                <c:formatCode>0.00</c:formatCode>
                <c:ptCount val="7"/>
                <c:pt idx="0">
                  <c:v>31.103166666666663</c:v>
                </c:pt>
                <c:pt idx="1">
                  <c:v>2.0219999999999998</c:v>
                </c:pt>
                <c:pt idx="2">
                  <c:v>16.957857142857133</c:v>
                </c:pt>
                <c:pt idx="3">
                  <c:v>3.7389999999999999</c:v>
                </c:pt>
                <c:pt idx="4">
                  <c:v>167.93099999999984</c:v>
                </c:pt>
                <c:pt idx="5">
                  <c:v>3.1253999999999986</c:v>
                </c:pt>
                <c:pt idx="6">
                  <c:v>0.96899999999999997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5E-4E08-94DB-D8318810931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372137952"/>
        <c:axId val="1509080448"/>
      </c:barChart>
      <c:scatterChart>
        <c:scatterStyle val="lineMarker"/>
        <c:varyColors val="0"/>
        <c:ser>
          <c:idx val="1"/>
          <c:order val="0"/>
          <c:tx>
            <c:strRef>
              <c:f>'SAU des exploitations'!$J$17</c:f>
              <c:strCache>
                <c:ptCount val="1"/>
                <c:pt idx="0">
                  <c:v>SAU min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3.8480038480038304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35E-4E08-94DB-D83188109315}"/>
                </c:ext>
              </c:extLst>
            </c:dLbl>
            <c:dLbl>
              <c:idx val="1"/>
              <c:layout>
                <c:manualLayout>
                  <c:x val="1.7973858521673939E-2"/>
                  <c:y val="-7.59013282732447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154-4662-BB9F-18B1510792D5}"/>
                </c:ext>
              </c:extLst>
            </c:dLbl>
            <c:dLbl>
              <c:idx val="2"/>
              <c:layout>
                <c:manualLayout>
                  <c:x val="1.2597912176150503E-2"/>
                  <c:y val="-1.89255280471345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35E-4E08-94DB-D83188109315}"/>
                </c:ext>
              </c:extLst>
            </c:dLbl>
            <c:dLbl>
              <c:idx val="3"/>
              <c:layout>
                <c:manualLayout>
                  <c:x val="2.9730074330975426E-2"/>
                  <c:y val="-1.64950918137129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035E-4E08-94DB-D83188109315}"/>
                </c:ext>
              </c:extLst>
            </c:dLbl>
            <c:dLbl>
              <c:idx val="4"/>
              <c:layout>
                <c:manualLayout>
                  <c:x val="1.1544011544011544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35E-4E08-94DB-D83188109315}"/>
                </c:ext>
              </c:extLst>
            </c:dLbl>
            <c:dLbl>
              <c:idx val="5"/>
              <c:layout>
                <c:manualLayout>
                  <c:x val="1.6339871383339945E-2"/>
                  <c:y val="-1.51802656546490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154-4662-BB9F-18B1510792D5}"/>
                </c:ext>
              </c:extLst>
            </c:dLbl>
            <c:dLbl>
              <c:idx val="6"/>
              <c:layout>
                <c:manualLayout>
                  <c:x val="8.169935691669853E-3"/>
                  <c:y val="-7.590132827324478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154-4662-BB9F-18B1510792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'SAU des exploitations'!$J$18:$J$24</c:f>
              <c:numCache>
                <c:formatCode>0.000</c:formatCode>
                <c:ptCount val="7"/>
                <c:pt idx="0" formatCode="0.00">
                  <c:v>0</c:v>
                </c:pt>
                <c:pt idx="1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167.93099999999984</c:v>
                </c:pt>
                <c:pt idx="5" formatCode="0.00">
                  <c:v>0</c:v>
                </c:pt>
                <c:pt idx="6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35E-4E08-94DB-D83188109315}"/>
            </c:ext>
          </c:extLst>
        </c:ser>
        <c:ser>
          <c:idx val="2"/>
          <c:order val="2"/>
          <c:tx>
            <c:strRef>
              <c:f>'SAU des exploitations'!$K$17</c:f>
              <c:strCache>
                <c:ptCount val="1"/>
                <c:pt idx="0">
                  <c:v>SAU max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2.94117684900119E-2"/>
                  <c:y val="-3.03605313092979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154-4662-BB9F-18B1510792D5}"/>
                </c:ext>
              </c:extLst>
            </c:dLbl>
            <c:dLbl>
              <c:idx val="1"/>
              <c:layout>
                <c:manualLayout>
                  <c:x val="-2.4509807075009916E-2"/>
                  <c:y val="-3.28905755850728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154-4662-BB9F-18B1510792D5}"/>
                </c:ext>
              </c:extLst>
            </c:dLbl>
            <c:dLbl>
              <c:idx val="2"/>
              <c:layout>
                <c:manualLayout>
                  <c:x val="-2.94117684900119E-2"/>
                  <c:y val="-3.03605313092979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154-4662-BB9F-18B1510792D5}"/>
                </c:ext>
              </c:extLst>
            </c:dLbl>
            <c:dLbl>
              <c:idx val="3"/>
              <c:layout>
                <c:manualLayout>
                  <c:x val="-1.5363724893691245E-2"/>
                  <c:y val="-3.90664734270644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35E-4E08-94DB-D83188109315}"/>
                </c:ext>
              </c:extLst>
            </c:dLbl>
            <c:dLbl>
              <c:idx val="4"/>
              <c:layout>
                <c:manualLayout>
                  <c:x val="-2.94117684900119E-2"/>
                  <c:y val="-2.783048703352310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154-4662-BB9F-18B1510792D5}"/>
                </c:ext>
              </c:extLst>
            </c:dLbl>
            <c:dLbl>
              <c:idx val="5"/>
              <c:layout>
                <c:manualLayout>
                  <c:x val="-3.3627583967318318E-2"/>
                  <c:y val="-4.048070841239721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35E-4E08-94DB-D83188109315}"/>
                </c:ext>
              </c:extLst>
            </c:dLbl>
            <c:dLbl>
              <c:idx val="6"/>
              <c:layout>
                <c:manualLayout>
                  <c:x val="-3.0784030784030924E-2"/>
                  <c:y val="-8.23970037453183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35E-4E08-94DB-D8318810931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'SAU des exploitations'!$K$18:$K$24</c:f>
              <c:numCache>
                <c:formatCode>0.00</c:formatCode>
                <c:ptCount val="7"/>
                <c:pt idx="0">
                  <c:v>311.18999999999994</c:v>
                </c:pt>
                <c:pt idx="1">
                  <c:v>8.9159999999999968</c:v>
                </c:pt>
                <c:pt idx="2">
                  <c:v>111.1659999999999</c:v>
                </c:pt>
                <c:pt idx="3">
                  <c:v>8.745000000000001</c:v>
                </c:pt>
                <c:pt idx="4">
                  <c:v>167.93099999999984</c:v>
                </c:pt>
                <c:pt idx="5">
                  <c:v>14.042999999999994</c:v>
                </c:pt>
                <c:pt idx="6">
                  <c:v>2.407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35E-4E08-94DB-D83188109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2137952"/>
        <c:axId val="1509080448"/>
      </c:scatterChart>
      <c:catAx>
        <c:axId val="13721379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Filière</a:t>
                </a:r>
                <a:r>
                  <a:rPr lang="fr-FR" baseline="0"/>
                  <a:t> principale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0.46109676213520673"/>
              <c:y val="0.868312680050777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9080448"/>
        <c:crosses val="autoZero"/>
        <c:auto val="1"/>
        <c:lblAlgn val="ctr"/>
        <c:lblOffset val="100"/>
        <c:noMultiLvlLbl val="0"/>
      </c:catAx>
      <c:valAx>
        <c:axId val="150908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213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SAU</a:t>
            </a:r>
            <a:r>
              <a:rPr lang="fr-FR" baseline="0"/>
              <a:t> moyenne des exploitations selon leur province d'appartenance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'SAU des exploitations'!$M$1:$N$1</c:f>
              <c:strCache>
                <c:ptCount val="1"/>
                <c:pt idx="0">
                  <c:v>SAU moyenne par province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exploitations'!$M$2:$M$3</c:f>
              <c:strCache>
                <c:ptCount val="2"/>
                <c:pt idx="0">
                  <c:v>Sud (n=48)</c:v>
                </c:pt>
                <c:pt idx="1">
                  <c:v>Nord (n=9)</c:v>
                </c:pt>
              </c:strCache>
            </c:strRef>
          </c:cat>
          <c:val>
            <c:numRef>
              <c:f>'SAU des exploitations'!$N$2:$N$3</c:f>
              <c:numCache>
                <c:formatCode>0.00</c:formatCode>
                <c:ptCount val="2"/>
                <c:pt idx="0" formatCode="0">
                  <c:v>11.164115384615384</c:v>
                </c:pt>
                <c:pt idx="1">
                  <c:v>30.041599999999978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D-4F7A-959D-A10CD629E5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18608256"/>
        <c:axId val="242146464"/>
      </c:barChart>
      <c:scatterChart>
        <c:scatterStyle val="lineMarker"/>
        <c:varyColors val="0"/>
        <c:ser>
          <c:idx val="1"/>
          <c:order val="1"/>
          <c:tx>
            <c:strRef>
              <c:f>'SAU des exploitations'!$P$1</c:f>
              <c:strCache>
                <c:ptCount val="1"/>
                <c:pt idx="0">
                  <c:v>SAU min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2.0671834625322998E-2"/>
                  <c:y val="-4.953560371517028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4C0-4548-B6FE-A7726B74AC5E}"/>
                </c:ext>
              </c:extLst>
            </c:dLbl>
            <c:dLbl>
              <c:idx val="1"/>
              <c:layout>
                <c:manualLayout>
                  <c:x val="0"/>
                  <c:y val="-2.476780185758514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44C0-4548-B6FE-A7726B74AC5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accent2">
                          <a:lumMod val="7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'SAU des exploitations'!$P$2:$P$3</c:f>
              <c:numCache>
                <c:formatCode>0.00</c:formatCode>
                <c:ptCount val="2"/>
                <c:pt idx="0" formatCode="0.000">
                  <c:v>0</c:v>
                </c:pt>
                <c:pt idx="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4C0-4548-B6FE-A7726B74AC5E}"/>
            </c:ext>
          </c:extLst>
        </c:ser>
        <c:ser>
          <c:idx val="2"/>
          <c:order val="2"/>
          <c:tx>
            <c:strRef>
              <c:f>'SAU des exploitations'!$Q$1</c:f>
              <c:strCache>
                <c:ptCount val="1"/>
                <c:pt idx="0">
                  <c:v>SAU max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'SAU des exploitations'!$M$2:$M$3</c:f>
              <c:strCache>
                <c:ptCount val="2"/>
                <c:pt idx="0">
                  <c:v>Sud (n=48)</c:v>
                </c:pt>
                <c:pt idx="1">
                  <c:v>Nord (n=9)</c:v>
                </c:pt>
              </c:strCache>
            </c:strRef>
          </c:xVal>
          <c:yVal>
            <c:numRef>
              <c:f>'SAU des exploitations'!$Q$2:$Q$3</c:f>
              <c:numCache>
                <c:formatCode>0.00</c:formatCode>
                <c:ptCount val="2"/>
                <c:pt idx="0">
                  <c:v>311.18999999999994</c:v>
                </c:pt>
                <c:pt idx="1">
                  <c:v>167.93099999999984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0-4548-B6FE-A7726B74A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608256"/>
        <c:axId val="242146464"/>
      </c:scatterChart>
      <c:catAx>
        <c:axId val="31860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146464"/>
        <c:crosses val="autoZero"/>
        <c:auto val="1"/>
        <c:lblAlgn val="ctr"/>
        <c:lblOffset val="100"/>
        <c:noMultiLvlLbl val="0"/>
      </c:catAx>
      <c:valAx>
        <c:axId val="24214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Hectares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860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 d'exploitations membres de REPAIR par tranche de SAU et par province en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'SAU des exploitations'!$H$1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exploitations'!$G$2:$G$11</c:f>
              <c:strCache>
                <c:ptCount val="9"/>
                <c:pt idx="0">
                  <c:v>&lt;1ha</c:v>
                </c:pt>
                <c:pt idx="1">
                  <c:v>1ha ≤ SAU &lt; 2ha</c:v>
                </c:pt>
                <c:pt idx="2">
                  <c:v>2ha ≤ SAU &lt; 5ha</c:v>
                </c:pt>
                <c:pt idx="3">
                  <c:v>5ha ≤ SAU &lt; 10ha</c:v>
                </c:pt>
                <c:pt idx="4">
                  <c:v>10ha ≤ SAU &lt; 20ha</c:v>
                </c:pt>
                <c:pt idx="5">
                  <c:v>20ha ≤ SAU &lt; 50ha</c:v>
                </c:pt>
                <c:pt idx="6">
                  <c:v>50ha ≤ SAU &lt; 100ha</c:v>
                </c:pt>
                <c:pt idx="7">
                  <c:v>100ha ≤ SAU &lt; 500ha</c:v>
                </c:pt>
                <c:pt idx="8">
                  <c:v>≥500 ha</c:v>
                </c:pt>
              </c:strCache>
            </c:strRef>
          </c:cat>
          <c:val>
            <c:numRef>
              <c:f>'SAU des exploitations'!$H$2:$H$11</c:f>
              <c:numCache>
                <c:formatCode>General</c:formatCode>
                <c:ptCount val="10"/>
                <c:pt idx="0">
                  <c:v>29</c:v>
                </c:pt>
                <c:pt idx="1">
                  <c:v>6</c:v>
                </c:pt>
                <c:pt idx="2">
                  <c:v>7</c:v>
                </c:pt>
                <c:pt idx="3">
                  <c:v>7</c:v>
                </c:pt>
                <c:pt idx="4">
                  <c:v>8</c:v>
                </c:pt>
                <c:pt idx="5">
                  <c:v>1</c:v>
                </c:pt>
                <c:pt idx="6">
                  <c:v>1</c:v>
                </c:pt>
                <c:pt idx="7">
                  <c:v>3</c:v>
                </c:pt>
                <c:pt idx="8">
                  <c:v>0</c:v>
                </c:pt>
                <c:pt idx="9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546-46E5-B6E0-F7064B9034E3}"/>
            </c:ext>
          </c:extLst>
        </c:ser>
        <c:ser>
          <c:idx val="1"/>
          <c:order val="1"/>
          <c:tx>
            <c:strRef>
              <c:f>'SAU des exploitations'!$I$1</c:f>
              <c:strCache>
                <c:ptCount val="1"/>
                <c:pt idx="0">
                  <c:v>PS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exploitations'!$G$2:$G$11</c:f>
              <c:strCache>
                <c:ptCount val="9"/>
                <c:pt idx="0">
                  <c:v>&lt;1ha</c:v>
                </c:pt>
                <c:pt idx="1">
                  <c:v>1ha ≤ SAU &lt; 2ha</c:v>
                </c:pt>
                <c:pt idx="2">
                  <c:v>2ha ≤ SAU &lt; 5ha</c:v>
                </c:pt>
                <c:pt idx="3">
                  <c:v>5ha ≤ SAU &lt; 10ha</c:v>
                </c:pt>
                <c:pt idx="4">
                  <c:v>10ha ≤ SAU &lt; 20ha</c:v>
                </c:pt>
                <c:pt idx="5">
                  <c:v>20ha ≤ SAU &lt; 50ha</c:v>
                </c:pt>
                <c:pt idx="6">
                  <c:v>50ha ≤ SAU &lt; 100ha</c:v>
                </c:pt>
                <c:pt idx="7">
                  <c:v>100ha ≤ SAU &lt; 500ha</c:v>
                </c:pt>
                <c:pt idx="8">
                  <c:v>≥500 ha</c:v>
                </c:pt>
              </c:strCache>
            </c:strRef>
          </c:cat>
          <c:val>
            <c:numRef>
              <c:f>'SAU des exploitations'!$I$2:$I$11</c:f>
              <c:numCache>
                <c:formatCode>General</c:formatCode>
                <c:ptCount val="10"/>
                <c:pt idx="0">
                  <c:v>24</c:v>
                </c:pt>
                <c:pt idx="1">
                  <c:v>6</c:v>
                </c:pt>
                <c:pt idx="2">
                  <c:v>5</c:v>
                </c:pt>
                <c:pt idx="3">
                  <c:v>7</c:v>
                </c:pt>
                <c:pt idx="4">
                  <c:v>7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  <c:pt idx="9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546-46E5-B6E0-F7064B9034E3}"/>
            </c:ext>
          </c:extLst>
        </c:ser>
        <c:ser>
          <c:idx val="2"/>
          <c:order val="2"/>
          <c:tx>
            <c:strRef>
              <c:f>'SAU des exploitations'!$J$1</c:f>
              <c:strCache>
                <c:ptCount val="1"/>
                <c:pt idx="0">
                  <c:v>PN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'SAU des exploitations'!$G$2:$G$11</c:f>
              <c:strCache>
                <c:ptCount val="9"/>
                <c:pt idx="0">
                  <c:v>&lt;1ha</c:v>
                </c:pt>
                <c:pt idx="1">
                  <c:v>1ha ≤ SAU &lt; 2ha</c:v>
                </c:pt>
                <c:pt idx="2">
                  <c:v>2ha ≤ SAU &lt; 5ha</c:v>
                </c:pt>
                <c:pt idx="3">
                  <c:v>5ha ≤ SAU &lt; 10ha</c:v>
                </c:pt>
                <c:pt idx="4">
                  <c:v>10ha ≤ SAU &lt; 20ha</c:v>
                </c:pt>
                <c:pt idx="5">
                  <c:v>20ha ≤ SAU &lt; 50ha</c:v>
                </c:pt>
                <c:pt idx="6">
                  <c:v>50ha ≤ SAU &lt; 100ha</c:v>
                </c:pt>
                <c:pt idx="7">
                  <c:v>100ha ≤ SAU &lt; 500ha</c:v>
                </c:pt>
                <c:pt idx="8">
                  <c:v>≥500 ha</c:v>
                </c:pt>
              </c:strCache>
            </c:strRef>
          </c:cat>
          <c:val>
            <c:numRef>
              <c:f>'SAU des exploitations'!$J$2:$J$11</c:f>
              <c:numCache>
                <c:formatCode>General</c:formatCode>
                <c:ptCount val="10"/>
                <c:pt idx="0">
                  <c:v>5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69-4ED7-87C4-F58DB2B146E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53619520"/>
        <c:axId val="198088848"/>
      </c:barChart>
      <c:catAx>
        <c:axId val="253619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088848"/>
        <c:crosses val="autoZero"/>
        <c:auto val="1"/>
        <c:lblAlgn val="ctr"/>
        <c:lblOffset val="100"/>
        <c:noMultiLvlLbl val="0"/>
      </c:catAx>
      <c:valAx>
        <c:axId val="19808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3619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9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704850</xdr:colOff>
      <xdr:row>101</xdr:row>
      <xdr:rowOff>85054</xdr:rowOff>
    </xdr:from>
    <xdr:to>
      <xdr:col>21</xdr:col>
      <xdr:colOff>283845</xdr:colOff>
      <xdr:row>119</xdr:row>
      <xdr:rowOff>113950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B692716-C857-439D-A0F4-E5D7B3A0C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479125" y="12810454"/>
          <a:ext cx="2638425" cy="3114996"/>
        </a:xfrm>
        <a:prstGeom prst="rect">
          <a:avLst/>
        </a:prstGeom>
      </xdr:spPr>
    </xdr:pic>
    <xdr:clientData/>
  </xdr:twoCellAnchor>
  <xdr:twoCellAnchor editAs="oneCell">
    <xdr:from>
      <xdr:col>13</xdr:col>
      <xdr:colOff>28145</xdr:colOff>
      <xdr:row>87</xdr:row>
      <xdr:rowOff>66675</xdr:rowOff>
    </xdr:from>
    <xdr:to>
      <xdr:col>22</xdr:col>
      <xdr:colOff>151623</xdr:colOff>
      <xdr:row>96</xdr:row>
      <xdr:rowOff>60775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8E520F7-5DD7-40FB-A278-76567CE73A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754420" y="10220325"/>
          <a:ext cx="6981478" cy="16571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2164304</xdr:colOff>
      <xdr:row>47</xdr:row>
      <xdr:rowOff>40182</xdr:rowOff>
    </xdr:from>
    <xdr:to>
      <xdr:col>6</xdr:col>
      <xdr:colOff>1897960</xdr:colOff>
      <xdr:row>74</xdr:row>
      <xdr:rowOff>75390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5EC8CD8-C009-BF1C-6FB4-7B3B43ED30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4304" y="7487000"/>
          <a:ext cx="8411989" cy="43647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57394</xdr:colOff>
      <xdr:row>55</xdr:row>
      <xdr:rowOff>30285</xdr:rowOff>
    </xdr:from>
    <xdr:to>
      <xdr:col>19</xdr:col>
      <xdr:colOff>519601</xdr:colOff>
      <xdr:row>86</xdr:row>
      <xdr:rowOff>46160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B406EAB6-8816-4BF5-9E14-A07BA801E7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485775</xdr:colOff>
      <xdr:row>32</xdr:row>
      <xdr:rowOff>142875</xdr:rowOff>
    </xdr:from>
    <xdr:to>
      <xdr:col>8</xdr:col>
      <xdr:colOff>1038225</xdr:colOff>
      <xdr:row>56</xdr:row>
      <xdr:rowOff>104775</xdr:rowOff>
    </xdr:to>
    <xdr:graphicFrame macro="">
      <xdr:nvGraphicFramePr>
        <xdr:cNvPr id="8" name="Graphique 2">
          <a:extLst>
            <a:ext uri="{FF2B5EF4-FFF2-40B4-BE49-F238E27FC236}">
              <a16:creationId xmlns:a16="http://schemas.microsoft.com/office/drawing/2014/main" id="{81B13A4A-42AE-4C58-BD1E-22C18C7E62A8}"/>
            </a:ext>
            <a:ext uri="{147F2762-F138-4A5C-976F-8EAC2B608ADB}">
              <a16:predDERef xmlns:a16="http://schemas.microsoft.com/office/drawing/2014/main" pred="{B406EAB6-8816-4BF5-9E14-A07BA801E7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1147885</xdr:colOff>
      <xdr:row>46</xdr:row>
      <xdr:rowOff>153074</xdr:rowOff>
    </xdr:from>
    <xdr:to>
      <xdr:col>15</xdr:col>
      <xdr:colOff>67285</xdr:colOff>
      <xdr:row>80</xdr:row>
      <xdr:rowOff>22898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7C277A3-E6F1-4F80-A6F4-BD7F953DF1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474786</xdr:colOff>
      <xdr:row>80</xdr:row>
      <xdr:rowOff>35656</xdr:rowOff>
    </xdr:from>
    <xdr:to>
      <xdr:col>8</xdr:col>
      <xdr:colOff>1233367</xdr:colOff>
      <xdr:row>109</xdr:row>
      <xdr:rowOff>73268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E7F4921-CA9E-4687-9430-1B38BB17E0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14</xdr:col>
      <xdr:colOff>1096597</xdr:colOff>
      <xdr:row>19</xdr:row>
      <xdr:rowOff>97692</xdr:rowOff>
    </xdr:from>
    <xdr:to>
      <xdr:col>20</xdr:col>
      <xdr:colOff>97693</xdr:colOff>
      <xdr:row>48</xdr:row>
      <xdr:rowOff>106608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92657B62-8F99-4913-B0FA-D2A13A850B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1222511</xdr:colOff>
      <xdr:row>32</xdr:row>
      <xdr:rowOff>76199</xdr:rowOff>
    </xdr:from>
    <xdr:to>
      <xdr:col>31</xdr:col>
      <xdr:colOff>327759</xdr:colOff>
      <xdr:row>75</xdr:row>
      <xdr:rowOff>4071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D3E77A19-52C2-4404-AA7D-42D97B66E2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761032</xdr:colOff>
      <xdr:row>38</xdr:row>
      <xdr:rowOff>135386</xdr:rowOff>
    </xdr:from>
    <xdr:to>
      <xdr:col>6</xdr:col>
      <xdr:colOff>446385</xdr:colOff>
      <xdr:row>70</xdr:row>
      <xdr:rowOff>19783</xdr:rowOff>
    </xdr:to>
    <xdr:graphicFrame macro="">
      <xdr:nvGraphicFramePr>
        <xdr:cNvPr id="3" name="Graphique 5">
          <a:extLst>
            <a:ext uri="{FF2B5EF4-FFF2-40B4-BE49-F238E27FC236}">
              <a16:creationId xmlns:a16="http://schemas.microsoft.com/office/drawing/2014/main" id="{78678E7C-13DA-F0D8-00E4-4107EA758EF5}"/>
            </a:ext>
            <a:ext uri="{147F2762-F138-4A5C-976F-8EAC2B608ADB}">
              <a16:predDERef xmlns:a16="http://schemas.microsoft.com/office/drawing/2014/main" pred="{D3E77A19-52C2-4404-AA7D-42D97B66E24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295274</xdr:colOff>
      <xdr:row>1</xdr:row>
      <xdr:rowOff>114299</xdr:rowOff>
    </xdr:from>
    <xdr:to>
      <xdr:col>15</xdr:col>
      <xdr:colOff>628650</xdr:colOff>
      <xdr:row>24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9FEF2193-B31D-429F-8674-CE17214FDA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242888</xdr:colOff>
      <xdr:row>67</xdr:row>
      <xdr:rowOff>139700</xdr:rowOff>
    </xdr:from>
    <xdr:to>
      <xdr:col>10</xdr:col>
      <xdr:colOff>816768</xdr:colOff>
      <xdr:row>92</xdr:row>
      <xdr:rowOff>68263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9D362A6-AE60-450F-8286-78069A7140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736601</xdr:colOff>
      <xdr:row>42</xdr:row>
      <xdr:rowOff>30957</xdr:rowOff>
    </xdr:from>
    <xdr:to>
      <xdr:col>15</xdr:col>
      <xdr:colOff>523875</xdr:colOff>
      <xdr:row>68</xdr:row>
      <xdr:rowOff>30957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C555A725-3462-44DF-90AC-CCF20163C4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390525</xdr:colOff>
      <xdr:row>7</xdr:row>
      <xdr:rowOff>9524</xdr:rowOff>
    </xdr:from>
    <xdr:to>
      <xdr:col>20</xdr:col>
      <xdr:colOff>114300</xdr:colOff>
      <xdr:row>36</xdr:row>
      <xdr:rowOff>9524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66689A1-494C-4045-957C-7B2F5B4C6F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561974</xdr:colOff>
      <xdr:row>38</xdr:row>
      <xdr:rowOff>19048</xdr:rowOff>
    </xdr:from>
    <xdr:to>
      <xdr:col>22</xdr:col>
      <xdr:colOff>723899</xdr:colOff>
      <xdr:row>57</xdr:row>
      <xdr:rowOff>47624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EE30BF0-3294-4065-8EF8-E827D59A6A3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deffieux@repair.nc" id="{4E804783-0365-4F2A-92B6-F1B61A4D47ED}" userId="e7d4d27456d5d8c3" providerId="Windows Live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03" dT="2020-04-14T04:07:36.16" personId="{4E804783-0365-4F2A-92B6-F1B61A4D47ED}" id="{36299236-05E3-4D10-8919-EF915F654696}">
    <text>Vergers+bananes+ananas</text>
  </threadedComment>
  <threadedComment ref="G105" dT="2020-04-14T04:07:16.73" personId="{4E804783-0365-4F2A-92B6-F1B61A4D47ED}" id="{B7B4BFB4-466B-4489-974F-B4906DE172D1}">
    <text>dont fruits PC hors bananes et ananas</text>
  </threadedComment>
  <threadedComment ref="G106" dT="2020-04-14T04:08:22.96" personId="{4E804783-0365-4F2A-92B6-F1B61A4D47ED}" id="{FC49C596-F56E-4957-9BA5-DE8AE62BDB50}">
    <text>39% des Tomates, concombres, salades, chou de chine - % selon estim enquêtes DAVAR 2019</text>
  </threadedComment>
  <threadedComment ref="G111" dT="2020-04-14T04:08:47.59" personId="{4E804783-0365-4F2A-92B6-F1B61A4D47ED}" id="{2AD0DB84-7B63-4FCD-80C5-77DEF2761863}">
    <text>"Cultures spéciales"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P3" dT="2020-04-14T04:07:16.73" personId="{4E804783-0365-4F2A-92B6-F1B61A4D47ED}" id="{618D40E0-9F98-4B61-9C50-72AB80BE2B39}">
    <text>dont fruits PC hors bananes et ananas</text>
  </threadedComment>
  <threadedComment ref="C5" dT="2020-04-14T05:29:34.58" personId="{4E804783-0365-4F2A-92B6-F1B61A4D47ED}" id="{947C4372-021D-48FA-85B5-17166B331EC2}">
    <text>Surfaces RGA 2012</text>
  </threadedComment>
  <threadedComment ref="F5" dT="2020-04-14T05:29:21.96" personId="{4E804783-0365-4F2A-92B6-F1B61A4D47ED}" id="{3C1D60C0-2570-4C3D-9839-2CD43EE1270E}">
    <text>Les surf REPAIR ont été soustraites des surfaces RGA 2012</text>
  </threadedComment>
  <threadedComment ref="L5" dT="2020-04-14T05:09:35.37" personId="{4E804783-0365-4F2A-92B6-F1B61A4D47ED}" id="{27900362-AF3D-4163-B345-014CAEC616C7}">
    <text>Avec extraction des jachères - cf colonne de gauche</text>
  </threadedComment>
  <threadedComment ref="P5" dT="2020-04-14T04:08:22.96" personId="{4E804783-0365-4F2A-92B6-F1B61A4D47ED}" id="{85DA575E-BF4C-44F1-A505-22AB8261FB67}">
    <text>Calcul pour la NC : 39% des Tomates, concombres, salades, chou de chine - % selon estim enquêtes DAVAR 2019</text>
  </threadedComment>
  <threadedComment ref="P5" dT="2020-04-14T04:22:21.77" personId="{4E804783-0365-4F2A-92B6-F1B61A4D47ED}" id="{E184ADD6-0CAA-4085-B960-47ED2DFA578A}" parentId="{85DA575E-BF4C-44F1-A505-22AB8261FB67}">
    <text>Pour REPAIR : surfaces réelles recensées</text>
  </threadedComment>
  <threadedComment ref="B7" dT="2020-04-14T04:07:36.16" personId="{4E804783-0365-4F2A-92B6-F1B61A4D47ED}" id="{D26580B6-92B1-4516-B338-D9CAFF049124}">
    <text>Vergers+bananes+ananas</text>
  </threadedComment>
  <threadedComment ref="B9" dT="2020-04-14T04:07:16.73" personId="{4E804783-0365-4F2A-92B6-F1B61A4D47ED}" id="{1DAA7EA2-8EB4-4A52-9560-77436FD327B1}">
    <text>dont fruits PC hors bananes et ananas</text>
  </threadedComment>
  <threadedComment ref="B12" dT="2020-04-14T04:28:20.03" personId="{4E804783-0365-4F2A-92B6-F1B61A4D47ED}" id="{AB75BAAA-BDBF-40F5-A86E-B1A25B9ABAA7}">
    <text>Pour REPAIR : les jachères sont intégrées dans les surfaces dédiées à chaque culture. Elles n'ont pas été comptabilisées en tant que tel.</text>
  </threadedComment>
  <threadedComment ref="B13" dT="2020-04-14T04:08:47.59" personId="{4E804783-0365-4F2A-92B6-F1B61A4D47ED}" id="{623D2832-A3C6-4BAD-89FC-6BA58384A674}">
    <text>"Cultures spéciales"</text>
  </threadedComment>
</ThreadedComment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5"/>
  <sheetViews>
    <sheetView topLeftCell="A2" workbookViewId="0">
      <selection activeCell="L2" sqref="L2"/>
    </sheetView>
  </sheetViews>
  <sheetFormatPr baseColWidth="10" defaultRowHeight="13.2" x14ac:dyDescent="0.25"/>
  <cols>
    <col min="1" max="1" width="29.21875" bestFit="1" customWidth="1"/>
    <col min="2" max="2" width="15"/>
    <col min="3" max="3" width="19.77734375" hidden="1" customWidth="1"/>
    <col min="4" max="4" width="15"/>
    <col min="6" max="6" width="27.77734375" customWidth="1"/>
    <col min="7" max="1023" width="15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704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1271</v>
      </c>
    </row>
    <row r="2" spans="1:12" x14ac:dyDescent="0.25">
      <c r="A2" t="s">
        <v>335</v>
      </c>
      <c r="B2" t="s">
        <v>336</v>
      </c>
      <c r="D2" t="s">
        <v>844</v>
      </c>
      <c r="E2" t="s">
        <v>709</v>
      </c>
      <c r="F2" t="s">
        <v>41</v>
      </c>
      <c r="G2">
        <v>0.40100000000000002</v>
      </c>
      <c r="K2" t="s">
        <v>13</v>
      </c>
      <c r="L2" t="s">
        <v>936</v>
      </c>
    </row>
    <row r="3" spans="1:12" x14ac:dyDescent="0.25">
      <c r="A3" t="s">
        <v>335</v>
      </c>
      <c r="B3" t="s">
        <v>337</v>
      </c>
      <c r="D3" t="s">
        <v>844</v>
      </c>
      <c r="E3" t="s">
        <v>709</v>
      </c>
      <c r="F3" t="s">
        <v>837</v>
      </c>
      <c r="G3">
        <v>0.33600000000000002</v>
      </c>
      <c r="K3" t="s">
        <v>649</v>
      </c>
      <c r="L3" t="s">
        <v>936</v>
      </c>
    </row>
    <row r="4" spans="1:12" x14ac:dyDescent="0.25">
      <c r="A4" t="s">
        <v>335</v>
      </c>
      <c r="B4" t="s">
        <v>338</v>
      </c>
      <c r="D4" t="s">
        <v>844</v>
      </c>
      <c r="E4" t="s">
        <v>709</v>
      </c>
      <c r="F4" t="s">
        <v>837</v>
      </c>
      <c r="G4">
        <v>0.42399999999999999</v>
      </c>
      <c r="K4" t="s">
        <v>649</v>
      </c>
      <c r="L4" t="s">
        <v>936</v>
      </c>
    </row>
    <row r="5" spans="1:12" x14ac:dyDescent="0.25">
      <c r="A5" t="s">
        <v>335</v>
      </c>
      <c r="B5" t="s">
        <v>339</v>
      </c>
      <c r="D5" t="s">
        <v>844</v>
      </c>
      <c r="E5" t="s">
        <v>709</v>
      </c>
      <c r="F5" t="s">
        <v>12</v>
      </c>
      <c r="G5">
        <v>0.224</v>
      </c>
      <c r="K5" t="s">
        <v>649</v>
      </c>
      <c r="L5" t="s">
        <v>936</v>
      </c>
    </row>
    <row r="6" spans="1:12" x14ac:dyDescent="0.25">
      <c r="A6" t="s">
        <v>335</v>
      </c>
      <c r="B6" t="s">
        <v>340</v>
      </c>
      <c r="D6" t="s">
        <v>844</v>
      </c>
      <c r="E6" t="s">
        <v>709</v>
      </c>
      <c r="F6" t="s">
        <v>12</v>
      </c>
      <c r="G6">
        <v>0.32400000000000001</v>
      </c>
      <c r="K6" t="s">
        <v>649</v>
      </c>
      <c r="L6" t="s">
        <v>936</v>
      </c>
    </row>
    <row r="7" spans="1:12" x14ac:dyDescent="0.25">
      <c r="A7" t="s">
        <v>335</v>
      </c>
      <c r="B7" t="s">
        <v>341</v>
      </c>
      <c r="D7" t="s">
        <v>844</v>
      </c>
      <c r="E7" t="s">
        <v>709</v>
      </c>
      <c r="F7" t="s">
        <v>12</v>
      </c>
      <c r="G7">
        <v>0.42699999999999999</v>
      </c>
      <c r="K7" t="s">
        <v>649</v>
      </c>
      <c r="L7" t="s">
        <v>936</v>
      </c>
    </row>
    <row r="8" spans="1:12" x14ac:dyDescent="0.25">
      <c r="A8" t="s">
        <v>335</v>
      </c>
      <c r="B8" t="s">
        <v>37</v>
      </c>
      <c r="D8" t="s">
        <v>844</v>
      </c>
      <c r="E8" t="s">
        <v>709</v>
      </c>
      <c r="F8" t="s">
        <v>12</v>
      </c>
      <c r="G8">
        <v>0.317</v>
      </c>
      <c r="K8" t="s">
        <v>649</v>
      </c>
      <c r="L8" t="s">
        <v>936</v>
      </c>
    </row>
    <row r="9" spans="1:12" x14ac:dyDescent="0.25">
      <c r="A9" t="s">
        <v>335</v>
      </c>
      <c r="B9" t="s">
        <v>38</v>
      </c>
      <c r="D9" t="s">
        <v>844</v>
      </c>
      <c r="E9" t="s">
        <v>709</v>
      </c>
      <c r="F9" t="s">
        <v>12</v>
      </c>
      <c r="G9">
        <v>0.65300000000000002</v>
      </c>
      <c r="K9" t="s">
        <v>649</v>
      </c>
      <c r="L9" t="s">
        <v>936</v>
      </c>
    </row>
    <row r="10" spans="1:12" x14ac:dyDescent="0.25">
      <c r="A10" t="s">
        <v>335</v>
      </c>
      <c r="B10" t="s">
        <v>342</v>
      </c>
      <c r="D10" t="s">
        <v>844</v>
      </c>
      <c r="E10" t="s">
        <v>709</v>
      </c>
      <c r="F10" t="s">
        <v>12</v>
      </c>
      <c r="G10">
        <v>0.442</v>
      </c>
      <c r="K10" t="s">
        <v>649</v>
      </c>
      <c r="L10" t="s">
        <v>936</v>
      </c>
    </row>
    <row r="11" spans="1:12" x14ac:dyDescent="0.25">
      <c r="A11" t="s">
        <v>335</v>
      </c>
      <c r="B11" t="s">
        <v>343</v>
      </c>
      <c r="D11" t="s">
        <v>844</v>
      </c>
      <c r="E11" t="s">
        <v>709</v>
      </c>
      <c r="F11" t="s">
        <v>12</v>
      </c>
      <c r="G11">
        <v>0.35199999999999998</v>
      </c>
      <c r="K11" t="s">
        <v>649</v>
      </c>
      <c r="L11" t="s">
        <v>936</v>
      </c>
    </row>
    <row r="12" spans="1:12" x14ac:dyDescent="0.25">
      <c r="A12" t="s">
        <v>335</v>
      </c>
      <c r="B12" t="s">
        <v>344</v>
      </c>
      <c r="D12" t="s">
        <v>844</v>
      </c>
      <c r="E12" t="s">
        <v>709</v>
      </c>
      <c r="F12" t="s">
        <v>12</v>
      </c>
      <c r="G12">
        <v>0.247</v>
      </c>
      <c r="K12" t="s">
        <v>649</v>
      </c>
      <c r="L12" t="s">
        <v>936</v>
      </c>
    </row>
    <row r="13" spans="1:12" x14ac:dyDescent="0.25">
      <c r="A13" t="s">
        <v>335</v>
      </c>
      <c r="B13" t="s">
        <v>345</v>
      </c>
      <c r="D13" t="s">
        <v>844</v>
      </c>
      <c r="E13" t="s">
        <v>709</v>
      </c>
      <c r="F13" t="s">
        <v>12</v>
      </c>
      <c r="G13">
        <v>0.46800000000000003</v>
      </c>
      <c r="K13" t="s">
        <v>649</v>
      </c>
      <c r="L13" t="s">
        <v>936</v>
      </c>
    </row>
    <row r="14" spans="1:12" x14ac:dyDescent="0.25">
      <c r="A14" t="s">
        <v>335</v>
      </c>
      <c r="B14" t="s">
        <v>346</v>
      </c>
      <c r="D14" t="s">
        <v>844</v>
      </c>
      <c r="E14" t="s">
        <v>709</v>
      </c>
      <c r="F14" t="s">
        <v>12</v>
      </c>
      <c r="G14">
        <v>0.45600000000000002</v>
      </c>
      <c r="K14" t="s">
        <v>649</v>
      </c>
      <c r="L14" t="s">
        <v>936</v>
      </c>
    </row>
    <row r="15" spans="1:12" x14ac:dyDescent="0.25">
      <c r="A15" t="s">
        <v>335</v>
      </c>
      <c r="B15" t="s">
        <v>347</v>
      </c>
      <c r="D15" t="s">
        <v>844</v>
      </c>
      <c r="E15" t="s">
        <v>709</v>
      </c>
      <c r="F15" t="s">
        <v>12</v>
      </c>
      <c r="G15">
        <v>0.58799999999999997</v>
      </c>
      <c r="K15" t="s">
        <v>649</v>
      </c>
      <c r="L15" t="s">
        <v>936</v>
      </c>
    </row>
    <row r="16" spans="1:12" x14ac:dyDescent="0.25">
      <c r="A16" t="s">
        <v>335</v>
      </c>
      <c r="B16" t="s">
        <v>348</v>
      </c>
      <c r="D16" t="s">
        <v>844</v>
      </c>
      <c r="E16" t="s">
        <v>709</v>
      </c>
      <c r="F16" t="s">
        <v>837</v>
      </c>
      <c r="G16">
        <v>0.39900000000000002</v>
      </c>
      <c r="K16" t="s">
        <v>649</v>
      </c>
      <c r="L16" t="s">
        <v>936</v>
      </c>
    </row>
    <row r="17" spans="1:12" x14ac:dyDescent="0.25">
      <c r="A17" t="s">
        <v>335</v>
      </c>
      <c r="B17" t="s">
        <v>349</v>
      </c>
      <c r="D17" t="s">
        <v>844</v>
      </c>
      <c r="E17" t="s">
        <v>709</v>
      </c>
      <c r="F17" t="s">
        <v>837</v>
      </c>
      <c r="G17">
        <v>0.52300000000000002</v>
      </c>
      <c r="K17" t="s">
        <v>649</v>
      </c>
      <c r="L17" t="s">
        <v>936</v>
      </c>
    </row>
    <row r="18" spans="1:12" x14ac:dyDescent="0.25">
      <c r="A18" t="s">
        <v>335</v>
      </c>
      <c r="B18" t="s">
        <v>350</v>
      </c>
      <c r="D18" t="s">
        <v>844</v>
      </c>
      <c r="E18" t="s">
        <v>709</v>
      </c>
      <c r="F18" t="s">
        <v>12</v>
      </c>
      <c r="G18">
        <v>0.35899999999999999</v>
      </c>
      <c r="K18" t="s">
        <v>649</v>
      </c>
      <c r="L18" t="s">
        <v>936</v>
      </c>
    </row>
    <row r="19" spans="1:12" x14ac:dyDescent="0.25">
      <c r="A19" t="s">
        <v>335</v>
      </c>
      <c r="B19" t="s">
        <v>351</v>
      </c>
      <c r="D19" t="s">
        <v>844</v>
      </c>
      <c r="E19" t="s">
        <v>709</v>
      </c>
      <c r="F19" t="s">
        <v>12</v>
      </c>
      <c r="G19">
        <v>0.245</v>
      </c>
      <c r="K19" t="s">
        <v>649</v>
      </c>
      <c r="L19" t="s">
        <v>936</v>
      </c>
    </row>
    <row r="20" spans="1:12" x14ac:dyDescent="0.25">
      <c r="A20" t="s">
        <v>335</v>
      </c>
      <c r="B20" t="s">
        <v>352</v>
      </c>
      <c r="D20" t="s">
        <v>844</v>
      </c>
      <c r="E20" t="s">
        <v>709</v>
      </c>
      <c r="F20" t="s">
        <v>12</v>
      </c>
      <c r="G20">
        <v>0.104</v>
      </c>
      <c r="K20" t="s">
        <v>649</v>
      </c>
      <c r="L20" t="s">
        <v>936</v>
      </c>
    </row>
    <row r="21" spans="1:12" x14ac:dyDescent="0.25">
      <c r="A21" t="s">
        <v>335</v>
      </c>
      <c r="B21" t="s">
        <v>353</v>
      </c>
      <c r="D21" t="s">
        <v>844</v>
      </c>
      <c r="E21" t="s">
        <v>709</v>
      </c>
      <c r="F21" t="s">
        <v>12</v>
      </c>
      <c r="G21">
        <v>0.19700000000000001</v>
      </c>
      <c r="K21" t="s">
        <v>649</v>
      </c>
      <c r="L21" t="s">
        <v>936</v>
      </c>
    </row>
    <row r="22" spans="1:12" x14ac:dyDescent="0.25">
      <c r="A22" t="s">
        <v>335</v>
      </c>
      <c r="B22" t="s">
        <v>354</v>
      </c>
      <c r="D22" t="s">
        <v>844</v>
      </c>
      <c r="E22" t="s">
        <v>709</v>
      </c>
      <c r="F22" t="s">
        <v>12</v>
      </c>
      <c r="G22">
        <v>0.22600000000000001</v>
      </c>
      <c r="K22" t="s">
        <v>649</v>
      </c>
      <c r="L22" t="s">
        <v>936</v>
      </c>
    </row>
    <row r="23" spans="1:12" x14ac:dyDescent="0.25">
      <c r="A23" t="s">
        <v>335</v>
      </c>
      <c r="B23" t="s">
        <v>355</v>
      </c>
      <c r="D23" t="s">
        <v>844</v>
      </c>
      <c r="E23" t="s">
        <v>709</v>
      </c>
      <c r="F23" t="s">
        <v>12</v>
      </c>
      <c r="G23">
        <v>0.23699999999999999</v>
      </c>
      <c r="K23" t="s">
        <v>649</v>
      </c>
      <c r="L23" t="s">
        <v>936</v>
      </c>
    </row>
    <row r="24" spans="1:12" x14ac:dyDescent="0.25">
      <c r="A24" t="s">
        <v>335</v>
      </c>
      <c r="B24" t="s">
        <v>620</v>
      </c>
      <c r="D24" t="s">
        <v>844</v>
      </c>
      <c r="E24" t="s">
        <v>709</v>
      </c>
      <c r="F24" t="s">
        <v>12</v>
      </c>
      <c r="G24">
        <v>3.4000000000000002E-2</v>
      </c>
      <c r="K24" t="s">
        <v>13</v>
      </c>
      <c r="L24" t="s">
        <v>936</v>
      </c>
    </row>
    <row r="25" spans="1:12" x14ac:dyDescent="0.25">
      <c r="A25" t="s">
        <v>335</v>
      </c>
      <c r="B25" t="s">
        <v>621</v>
      </c>
      <c r="D25" t="s">
        <v>844</v>
      </c>
      <c r="E25" t="s">
        <v>709</v>
      </c>
      <c r="F25" t="s">
        <v>12</v>
      </c>
      <c r="G25">
        <v>4.2999999999999997E-2</v>
      </c>
      <c r="K25" t="s">
        <v>13</v>
      </c>
      <c r="L25" t="s">
        <v>936</v>
      </c>
    </row>
    <row r="26" spans="1:12" x14ac:dyDescent="0.25">
      <c r="A26" t="s">
        <v>335</v>
      </c>
      <c r="B26" t="s">
        <v>11</v>
      </c>
      <c r="D26" t="s">
        <v>844</v>
      </c>
      <c r="E26" t="s">
        <v>709</v>
      </c>
      <c r="F26" t="s">
        <v>12</v>
      </c>
      <c r="G26">
        <v>0.03</v>
      </c>
      <c r="K26" t="s">
        <v>13</v>
      </c>
      <c r="L26" t="s">
        <v>936</v>
      </c>
    </row>
    <row r="27" spans="1:12" x14ac:dyDescent="0.25">
      <c r="A27" t="s">
        <v>335</v>
      </c>
      <c r="B27" t="s">
        <v>622</v>
      </c>
      <c r="D27" t="s">
        <v>844</v>
      </c>
      <c r="E27" t="s">
        <v>709</v>
      </c>
      <c r="F27" t="s">
        <v>12</v>
      </c>
      <c r="G27">
        <v>1.4E-2</v>
      </c>
      <c r="K27" t="s">
        <v>13</v>
      </c>
      <c r="L27" t="s">
        <v>936</v>
      </c>
    </row>
    <row r="28" spans="1:12" x14ac:dyDescent="0.25">
      <c r="A28" t="s">
        <v>335</v>
      </c>
      <c r="B28" t="s">
        <v>36</v>
      </c>
      <c r="D28" t="s">
        <v>844</v>
      </c>
      <c r="E28" t="s">
        <v>709</v>
      </c>
      <c r="F28" t="s">
        <v>12</v>
      </c>
      <c r="G28">
        <v>0.13700000000000001</v>
      </c>
      <c r="K28" t="s">
        <v>13</v>
      </c>
      <c r="L28" t="s">
        <v>936</v>
      </c>
    </row>
    <row r="29" spans="1:12" x14ac:dyDescent="0.25">
      <c r="A29" t="s">
        <v>335</v>
      </c>
      <c r="B29" t="s">
        <v>15</v>
      </c>
      <c r="D29" t="s">
        <v>844</v>
      </c>
      <c r="E29" t="s">
        <v>709</v>
      </c>
      <c r="F29" t="s">
        <v>12</v>
      </c>
      <c r="G29">
        <v>0.14199999999999999</v>
      </c>
      <c r="K29" t="s">
        <v>13</v>
      </c>
      <c r="L29" t="s">
        <v>936</v>
      </c>
    </row>
    <row r="30" spans="1:12" x14ac:dyDescent="0.25">
      <c r="A30" t="s">
        <v>335</v>
      </c>
      <c r="B30" t="s">
        <v>39</v>
      </c>
      <c r="D30" t="s">
        <v>844</v>
      </c>
      <c r="E30" t="s">
        <v>709</v>
      </c>
      <c r="F30" t="s">
        <v>12</v>
      </c>
      <c r="G30">
        <v>0.13</v>
      </c>
      <c r="K30" t="s">
        <v>13</v>
      </c>
      <c r="L30" t="s">
        <v>936</v>
      </c>
    </row>
    <row r="31" spans="1:12" x14ac:dyDescent="0.25">
      <c r="A31" t="s">
        <v>335</v>
      </c>
      <c r="B31" t="s">
        <v>623</v>
      </c>
      <c r="D31" t="s">
        <v>844</v>
      </c>
      <c r="E31" t="s">
        <v>709</v>
      </c>
      <c r="F31" t="s">
        <v>12</v>
      </c>
      <c r="G31">
        <v>2.9000000000000001E-2</v>
      </c>
      <c r="K31" t="s">
        <v>13</v>
      </c>
      <c r="L31" t="s">
        <v>936</v>
      </c>
    </row>
    <row r="32" spans="1:12" x14ac:dyDescent="0.25">
      <c r="A32" t="s">
        <v>335</v>
      </c>
      <c r="B32" t="s">
        <v>624</v>
      </c>
      <c r="D32" t="s">
        <v>844</v>
      </c>
      <c r="E32" t="s">
        <v>709</v>
      </c>
      <c r="F32" t="s">
        <v>12</v>
      </c>
      <c r="G32">
        <v>2.7E-2</v>
      </c>
      <c r="K32" t="s">
        <v>13</v>
      </c>
      <c r="L32" t="s">
        <v>936</v>
      </c>
    </row>
    <row r="33" spans="1:12" x14ac:dyDescent="0.25">
      <c r="A33" t="s">
        <v>335</v>
      </c>
      <c r="B33" t="s">
        <v>625</v>
      </c>
      <c r="D33" t="s">
        <v>844</v>
      </c>
      <c r="E33" t="s">
        <v>709</v>
      </c>
      <c r="F33" t="s">
        <v>12</v>
      </c>
      <c r="G33">
        <v>2.9000000000000001E-2</v>
      </c>
      <c r="K33" t="s">
        <v>13</v>
      </c>
      <c r="L33" t="s">
        <v>936</v>
      </c>
    </row>
    <row r="34" spans="1:12" x14ac:dyDescent="0.25">
      <c r="A34" t="s">
        <v>335</v>
      </c>
      <c r="B34" t="s">
        <v>626</v>
      </c>
      <c r="D34" t="s">
        <v>844</v>
      </c>
      <c r="E34" t="s">
        <v>709</v>
      </c>
      <c r="F34" t="s">
        <v>12</v>
      </c>
      <c r="G34">
        <v>1.6E-2</v>
      </c>
      <c r="K34" t="s">
        <v>13</v>
      </c>
      <c r="L34" t="s">
        <v>936</v>
      </c>
    </row>
    <row r="35" spans="1:12" x14ac:dyDescent="0.25">
      <c r="A35" t="s">
        <v>335</v>
      </c>
      <c r="B35" t="s">
        <v>627</v>
      </c>
      <c r="D35" t="s">
        <v>844</v>
      </c>
      <c r="E35" t="s">
        <v>709</v>
      </c>
      <c r="F35" t="s">
        <v>12</v>
      </c>
      <c r="G35">
        <v>2.8000000000000001E-2</v>
      </c>
      <c r="K35" t="s">
        <v>13</v>
      </c>
      <c r="L35" t="s">
        <v>936</v>
      </c>
    </row>
    <row r="36" spans="1:12" x14ac:dyDescent="0.25">
      <c r="A36" t="s">
        <v>335</v>
      </c>
      <c r="B36" t="s">
        <v>628</v>
      </c>
      <c r="D36" t="s">
        <v>844</v>
      </c>
      <c r="E36" t="s">
        <v>709</v>
      </c>
      <c r="F36" t="s">
        <v>12</v>
      </c>
      <c r="G36">
        <v>2.8000000000000001E-2</v>
      </c>
      <c r="K36" t="s">
        <v>13</v>
      </c>
      <c r="L36" t="s">
        <v>936</v>
      </c>
    </row>
    <row r="37" spans="1:12" x14ac:dyDescent="0.25">
      <c r="A37" t="s">
        <v>335</v>
      </c>
      <c r="B37" t="s">
        <v>16</v>
      </c>
      <c r="D37" t="s">
        <v>844</v>
      </c>
      <c r="E37" t="s">
        <v>709</v>
      </c>
      <c r="F37" t="s">
        <v>12</v>
      </c>
      <c r="G37">
        <v>2.8000000000000001E-2</v>
      </c>
      <c r="K37" t="s">
        <v>13</v>
      </c>
      <c r="L37" t="s">
        <v>936</v>
      </c>
    </row>
    <row r="38" spans="1:12" x14ac:dyDescent="0.25">
      <c r="A38" t="s">
        <v>335</v>
      </c>
      <c r="B38" t="s">
        <v>629</v>
      </c>
      <c r="D38" t="s">
        <v>844</v>
      </c>
      <c r="E38" t="s">
        <v>709</v>
      </c>
      <c r="F38" t="s">
        <v>12</v>
      </c>
      <c r="G38">
        <v>0.03</v>
      </c>
      <c r="K38" t="s">
        <v>13</v>
      </c>
      <c r="L38" t="s">
        <v>936</v>
      </c>
    </row>
    <row r="39" spans="1:12" x14ac:dyDescent="0.25">
      <c r="A39" t="s">
        <v>335</v>
      </c>
      <c r="B39" t="s">
        <v>15</v>
      </c>
      <c r="D39" t="s">
        <v>844</v>
      </c>
      <c r="E39" t="s">
        <v>709</v>
      </c>
      <c r="F39" t="s">
        <v>12</v>
      </c>
      <c r="G39">
        <v>2.7E-2</v>
      </c>
      <c r="K39" t="s">
        <v>13</v>
      </c>
      <c r="L39" t="s">
        <v>936</v>
      </c>
    </row>
    <row r="40" spans="1:12" x14ac:dyDescent="0.25">
      <c r="A40" t="s">
        <v>335</v>
      </c>
      <c r="B40" t="s">
        <v>630</v>
      </c>
      <c r="D40" t="s">
        <v>844</v>
      </c>
      <c r="E40" t="s">
        <v>709</v>
      </c>
      <c r="F40" t="s">
        <v>12</v>
      </c>
      <c r="G40">
        <v>2.5999999999999999E-2</v>
      </c>
      <c r="K40" t="s">
        <v>13</v>
      </c>
      <c r="L40" t="s">
        <v>936</v>
      </c>
    </row>
    <row r="41" spans="1:12" x14ac:dyDescent="0.25">
      <c r="A41" t="s">
        <v>335</v>
      </c>
      <c r="B41" t="s">
        <v>631</v>
      </c>
      <c r="D41" t="s">
        <v>844</v>
      </c>
      <c r="E41" t="s">
        <v>709</v>
      </c>
      <c r="F41" t="s">
        <v>12</v>
      </c>
      <c r="G41">
        <v>2.4E-2</v>
      </c>
      <c r="K41" t="s">
        <v>13</v>
      </c>
      <c r="L41" t="s">
        <v>936</v>
      </c>
    </row>
    <row r="42" spans="1:12" x14ac:dyDescent="0.25">
      <c r="A42" t="s">
        <v>335</v>
      </c>
      <c r="B42" t="s">
        <v>632</v>
      </c>
      <c r="D42" t="s">
        <v>844</v>
      </c>
      <c r="E42" t="s">
        <v>709</v>
      </c>
      <c r="F42" t="s">
        <v>12</v>
      </c>
      <c r="G42">
        <v>3.3000000000000002E-2</v>
      </c>
      <c r="K42" t="s">
        <v>13</v>
      </c>
      <c r="L42" t="s">
        <v>936</v>
      </c>
    </row>
    <row r="43" spans="1:12" x14ac:dyDescent="0.25">
      <c r="A43" t="s">
        <v>335</v>
      </c>
      <c r="B43" t="s">
        <v>414</v>
      </c>
      <c r="D43" t="s">
        <v>844</v>
      </c>
      <c r="E43" t="s">
        <v>709</v>
      </c>
      <c r="F43" t="s">
        <v>12</v>
      </c>
      <c r="G43">
        <v>2.7E-2</v>
      </c>
      <c r="K43" t="s">
        <v>13</v>
      </c>
      <c r="L43" t="s">
        <v>936</v>
      </c>
    </row>
    <row r="44" spans="1:12" x14ac:dyDescent="0.25">
      <c r="A44" t="s">
        <v>335</v>
      </c>
      <c r="B44" t="s">
        <v>413</v>
      </c>
      <c r="D44" t="s">
        <v>844</v>
      </c>
      <c r="E44" t="s">
        <v>709</v>
      </c>
      <c r="F44" t="s">
        <v>12</v>
      </c>
      <c r="G44">
        <v>2.8000000000000001E-2</v>
      </c>
      <c r="K44" t="s">
        <v>13</v>
      </c>
      <c r="L44" t="s">
        <v>936</v>
      </c>
    </row>
    <row r="45" spans="1:12" x14ac:dyDescent="0.25">
      <c r="A45" t="s">
        <v>335</v>
      </c>
      <c r="B45" t="s">
        <v>415</v>
      </c>
      <c r="D45" t="s">
        <v>844</v>
      </c>
      <c r="E45" t="s">
        <v>709</v>
      </c>
      <c r="F45" t="s">
        <v>12</v>
      </c>
      <c r="G45">
        <v>2.5000000000000001E-2</v>
      </c>
      <c r="K45" t="s">
        <v>13</v>
      </c>
      <c r="L45" t="s">
        <v>936</v>
      </c>
    </row>
    <row r="46" spans="1:12" x14ac:dyDescent="0.25">
      <c r="A46" t="s">
        <v>335</v>
      </c>
      <c r="B46" t="s">
        <v>633</v>
      </c>
      <c r="D46" t="s">
        <v>844</v>
      </c>
      <c r="E46" t="s">
        <v>709</v>
      </c>
      <c r="F46" t="s">
        <v>12</v>
      </c>
      <c r="G46">
        <v>1.4E-2</v>
      </c>
      <c r="K46" t="s">
        <v>13</v>
      </c>
      <c r="L46" t="s">
        <v>936</v>
      </c>
    </row>
    <row r="47" spans="1:12" x14ac:dyDescent="0.25">
      <c r="A47" t="s">
        <v>335</v>
      </c>
      <c r="B47" t="s">
        <v>634</v>
      </c>
      <c r="D47" t="s">
        <v>844</v>
      </c>
      <c r="E47" t="s">
        <v>709</v>
      </c>
      <c r="F47" t="s">
        <v>12</v>
      </c>
      <c r="G47">
        <v>1.7999999999999999E-2</v>
      </c>
      <c r="K47" t="s">
        <v>13</v>
      </c>
      <c r="L47" t="s">
        <v>936</v>
      </c>
    </row>
    <row r="48" spans="1:12" x14ac:dyDescent="0.25">
      <c r="A48" t="s">
        <v>1135</v>
      </c>
      <c r="B48" t="s">
        <v>28</v>
      </c>
      <c r="D48" t="s">
        <v>842</v>
      </c>
      <c r="E48" t="s">
        <v>709</v>
      </c>
      <c r="F48" t="s">
        <v>12</v>
      </c>
      <c r="G48">
        <v>1.7000000000000001E-2</v>
      </c>
      <c r="H48">
        <v>20</v>
      </c>
      <c r="I48">
        <v>8</v>
      </c>
      <c r="J48">
        <v>6.2</v>
      </c>
      <c r="K48" t="s">
        <v>13</v>
      </c>
      <c r="L48" t="s">
        <v>649</v>
      </c>
    </row>
    <row r="49" spans="1:12" x14ac:dyDescent="0.25">
      <c r="A49" t="s">
        <v>1135</v>
      </c>
      <c r="B49" t="s">
        <v>27</v>
      </c>
      <c r="D49" t="s">
        <v>842</v>
      </c>
      <c r="E49" t="s">
        <v>709</v>
      </c>
      <c r="F49" t="s">
        <v>12</v>
      </c>
      <c r="G49">
        <v>1.7000000000000001E-2</v>
      </c>
      <c r="H49">
        <v>20</v>
      </c>
      <c r="I49">
        <v>8</v>
      </c>
      <c r="J49">
        <v>6.2</v>
      </c>
      <c r="K49" t="s">
        <v>13</v>
      </c>
      <c r="L49" t="s">
        <v>649</v>
      </c>
    </row>
    <row r="50" spans="1:12" x14ac:dyDescent="0.25">
      <c r="A50" t="s">
        <v>1135</v>
      </c>
      <c r="B50" t="s">
        <v>26</v>
      </c>
      <c r="D50" t="s">
        <v>842</v>
      </c>
      <c r="E50" t="s">
        <v>709</v>
      </c>
      <c r="F50" t="s">
        <v>12</v>
      </c>
      <c r="G50">
        <v>2.3E-2</v>
      </c>
      <c r="H50">
        <v>30</v>
      </c>
      <c r="I50">
        <v>8</v>
      </c>
      <c r="J50">
        <v>6.2</v>
      </c>
      <c r="K50" t="s">
        <v>13</v>
      </c>
      <c r="L50" t="s">
        <v>649</v>
      </c>
    </row>
    <row r="51" spans="1:12" x14ac:dyDescent="0.25">
      <c r="A51" t="s">
        <v>1135</v>
      </c>
      <c r="B51" t="s">
        <v>21</v>
      </c>
      <c r="D51" t="s">
        <v>842</v>
      </c>
      <c r="E51" t="s">
        <v>709</v>
      </c>
      <c r="F51" t="s">
        <v>12</v>
      </c>
      <c r="G51">
        <v>2.3E-2</v>
      </c>
      <c r="H51">
        <v>30</v>
      </c>
      <c r="I51">
        <v>8</v>
      </c>
      <c r="J51">
        <v>6.2</v>
      </c>
      <c r="K51" t="s">
        <v>13</v>
      </c>
      <c r="L51" t="s">
        <v>649</v>
      </c>
    </row>
    <row r="52" spans="1:12" x14ac:dyDescent="0.25">
      <c r="A52" t="s">
        <v>1135</v>
      </c>
      <c r="B52" t="s">
        <v>22</v>
      </c>
      <c r="D52" t="s">
        <v>842</v>
      </c>
      <c r="E52" t="s">
        <v>709</v>
      </c>
      <c r="F52" t="s">
        <v>12</v>
      </c>
      <c r="G52">
        <v>2.3E-2</v>
      </c>
      <c r="H52">
        <v>30</v>
      </c>
      <c r="I52">
        <v>8</v>
      </c>
      <c r="J52">
        <v>6.2</v>
      </c>
      <c r="K52" t="s">
        <v>13</v>
      </c>
      <c r="L52" t="s">
        <v>649</v>
      </c>
    </row>
    <row r="53" spans="1:12" x14ac:dyDescent="0.25">
      <c r="A53" t="s">
        <v>1135</v>
      </c>
      <c r="B53" t="s">
        <v>19</v>
      </c>
      <c r="D53" t="s">
        <v>842</v>
      </c>
      <c r="E53" t="s">
        <v>709</v>
      </c>
      <c r="F53" t="s">
        <v>12</v>
      </c>
      <c r="G53">
        <v>2.3E-2</v>
      </c>
      <c r="H53">
        <v>30</v>
      </c>
      <c r="I53">
        <v>8</v>
      </c>
      <c r="J53">
        <v>6.2</v>
      </c>
      <c r="K53" t="s">
        <v>13</v>
      </c>
      <c r="L53" t="s">
        <v>649</v>
      </c>
    </row>
    <row r="54" spans="1:12" x14ac:dyDescent="0.25">
      <c r="A54" t="s">
        <v>1135</v>
      </c>
      <c r="B54" t="s">
        <v>20</v>
      </c>
      <c r="D54" t="s">
        <v>842</v>
      </c>
      <c r="E54" t="s">
        <v>709</v>
      </c>
      <c r="F54" t="s">
        <v>12</v>
      </c>
      <c r="G54">
        <v>2.3E-2</v>
      </c>
      <c r="H54">
        <v>30</v>
      </c>
      <c r="I54">
        <v>8</v>
      </c>
      <c r="J54">
        <v>6.2</v>
      </c>
      <c r="K54" t="s">
        <v>13</v>
      </c>
      <c r="L54" t="s">
        <v>649</v>
      </c>
    </row>
    <row r="55" spans="1:12" x14ac:dyDescent="0.25">
      <c r="A55" t="s">
        <v>1135</v>
      </c>
      <c r="B55" t="s">
        <v>44</v>
      </c>
      <c r="D55" t="s">
        <v>842</v>
      </c>
      <c r="E55" t="s">
        <v>709</v>
      </c>
      <c r="F55" t="s">
        <v>12</v>
      </c>
      <c r="G55">
        <v>2.3E-2</v>
      </c>
      <c r="H55">
        <v>30</v>
      </c>
      <c r="I55">
        <v>8</v>
      </c>
      <c r="J55">
        <v>6.2</v>
      </c>
      <c r="K55" t="s">
        <v>13</v>
      </c>
      <c r="L55" t="s">
        <v>649</v>
      </c>
    </row>
    <row r="56" spans="1:12" x14ac:dyDescent="0.25">
      <c r="A56" t="s">
        <v>551</v>
      </c>
      <c r="B56" t="s">
        <v>1223</v>
      </c>
      <c r="D56" t="s">
        <v>839</v>
      </c>
      <c r="E56" t="s">
        <v>705</v>
      </c>
      <c r="F56" t="s">
        <v>12</v>
      </c>
      <c r="G56">
        <v>6.0000000000000001E-3</v>
      </c>
      <c r="K56" t="s">
        <v>649</v>
      </c>
      <c r="L56" t="s">
        <v>936</v>
      </c>
    </row>
    <row r="57" spans="1:12" x14ac:dyDescent="0.25">
      <c r="A57" t="s">
        <v>551</v>
      </c>
      <c r="B57" t="s">
        <v>1224</v>
      </c>
      <c r="D57" t="s">
        <v>839</v>
      </c>
      <c r="E57" t="s">
        <v>705</v>
      </c>
      <c r="F57" t="s">
        <v>12</v>
      </c>
      <c r="G57">
        <v>0.11</v>
      </c>
      <c r="K57" t="s">
        <v>649</v>
      </c>
      <c r="L57" t="s">
        <v>936</v>
      </c>
    </row>
    <row r="58" spans="1:12" x14ac:dyDescent="0.25">
      <c r="A58" t="s">
        <v>551</v>
      </c>
      <c r="B58" t="s">
        <v>1225</v>
      </c>
      <c r="D58" t="s">
        <v>839</v>
      </c>
      <c r="E58" t="s">
        <v>705</v>
      </c>
      <c r="F58" t="s">
        <v>837</v>
      </c>
      <c r="G58">
        <v>8.0000000000000002E-3</v>
      </c>
      <c r="K58" t="s">
        <v>649</v>
      </c>
      <c r="L58" t="s">
        <v>936</v>
      </c>
    </row>
    <row r="59" spans="1:12" x14ac:dyDescent="0.25">
      <c r="A59" t="s">
        <v>551</v>
      </c>
      <c r="B59" t="s">
        <v>552</v>
      </c>
      <c r="D59" t="s">
        <v>839</v>
      </c>
      <c r="E59" t="s">
        <v>705</v>
      </c>
      <c r="F59" t="s">
        <v>52</v>
      </c>
      <c r="G59">
        <v>9.8000000000000004E-2</v>
      </c>
      <c r="K59" t="s">
        <v>649</v>
      </c>
      <c r="L59" t="s">
        <v>936</v>
      </c>
    </row>
    <row r="60" spans="1:12" x14ac:dyDescent="0.25">
      <c r="A60" t="s">
        <v>551</v>
      </c>
      <c r="B60" t="s">
        <v>54</v>
      </c>
      <c r="D60" t="s">
        <v>839</v>
      </c>
      <c r="E60" t="s">
        <v>705</v>
      </c>
      <c r="F60" t="s">
        <v>837</v>
      </c>
      <c r="G60">
        <v>1.6E-2</v>
      </c>
      <c r="K60" t="s">
        <v>649</v>
      </c>
      <c r="L60" t="s">
        <v>936</v>
      </c>
    </row>
    <row r="61" spans="1:12" x14ac:dyDescent="0.25">
      <c r="A61" t="s">
        <v>551</v>
      </c>
      <c r="B61" t="s">
        <v>529</v>
      </c>
      <c r="D61" t="s">
        <v>839</v>
      </c>
      <c r="E61" t="s">
        <v>705</v>
      </c>
      <c r="F61" t="s">
        <v>12</v>
      </c>
      <c r="G61">
        <v>2E-3</v>
      </c>
      <c r="I61">
        <v>4</v>
      </c>
      <c r="J61">
        <v>1</v>
      </c>
      <c r="K61" t="s">
        <v>13</v>
      </c>
      <c r="L61" t="s">
        <v>936</v>
      </c>
    </row>
    <row r="62" spans="1:12" x14ac:dyDescent="0.25">
      <c r="A62" t="s">
        <v>551</v>
      </c>
      <c r="B62" t="s">
        <v>528</v>
      </c>
      <c r="D62" t="s">
        <v>839</v>
      </c>
      <c r="E62" t="s">
        <v>705</v>
      </c>
      <c r="F62" t="s">
        <v>12</v>
      </c>
      <c r="G62">
        <v>2E-3</v>
      </c>
      <c r="I62">
        <v>4</v>
      </c>
      <c r="J62">
        <v>1</v>
      </c>
      <c r="K62" t="s">
        <v>13</v>
      </c>
      <c r="L62" t="s">
        <v>936</v>
      </c>
    </row>
    <row r="63" spans="1:12" x14ac:dyDescent="0.25">
      <c r="A63" t="s">
        <v>551</v>
      </c>
      <c r="B63" t="s">
        <v>393</v>
      </c>
      <c r="D63" t="s">
        <v>839</v>
      </c>
      <c r="E63" t="s">
        <v>705</v>
      </c>
      <c r="F63" t="s">
        <v>837</v>
      </c>
      <c r="G63">
        <v>1.0999999999999999E-2</v>
      </c>
      <c r="K63" t="s">
        <v>649</v>
      </c>
      <c r="L63" t="s">
        <v>936</v>
      </c>
    </row>
    <row r="64" spans="1:12" x14ac:dyDescent="0.25">
      <c r="A64" t="s">
        <v>551</v>
      </c>
      <c r="B64" t="s">
        <v>553</v>
      </c>
      <c r="D64" t="s">
        <v>839</v>
      </c>
      <c r="E64" t="s">
        <v>705</v>
      </c>
      <c r="F64" t="s">
        <v>987</v>
      </c>
      <c r="G64">
        <v>7.5940000000000003</v>
      </c>
      <c r="K64" t="s">
        <v>649</v>
      </c>
      <c r="L64" t="s">
        <v>936</v>
      </c>
    </row>
    <row r="65" spans="1:12" x14ac:dyDescent="0.25">
      <c r="A65" t="s">
        <v>551</v>
      </c>
      <c r="B65" t="s">
        <v>554</v>
      </c>
      <c r="D65" t="s">
        <v>839</v>
      </c>
      <c r="E65" t="s">
        <v>705</v>
      </c>
      <c r="F65" t="s">
        <v>987</v>
      </c>
      <c r="G65">
        <v>5.6710000000000003</v>
      </c>
      <c r="K65" t="s">
        <v>649</v>
      </c>
      <c r="L65" t="s">
        <v>936</v>
      </c>
    </row>
    <row r="66" spans="1:12" x14ac:dyDescent="0.25">
      <c r="A66" t="s">
        <v>551</v>
      </c>
      <c r="B66" t="s">
        <v>311</v>
      </c>
      <c r="D66" t="s">
        <v>839</v>
      </c>
      <c r="E66" t="s">
        <v>705</v>
      </c>
      <c r="F66" t="s">
        <v>987</v>
      </c>
      <c r="G66">
        <v>3.9039999999999999</v>
      </c>
      <c r="K66" t="s">
        <v>649</v>
      </c>
      <c r="L66" t="s">
        <v>936</v>
      </c>
    </row>
    <row r="67" spans="1:12" x14ac:dyDescent="0.25">
      <c r="A67" t="s">
        <v>551</v>
      </c>
      <c r="B67" t="s">
        <v>310</v>
      </c>
      <c r="D67" t="s">
        <v>839</v>
      </c>
      <c r="E67" t="s">
        <v>705</v>
      </c>
      <c r="F67" t="s">
        <v>987</v>
      </c>
      <c r="G67">
        <v>5.7649999999999997</v>
      </c>
      <c r="K67" t="s">
        <v>649</v>
      </c>
      <c r="L67" t="s">
        <v>936</v>
      </c>
    </row>
    <row r="68" spans="1:12" x14ac:dyDescent="0.25">
      <c r="A68" t="s">
        <v>551</v>
      </c>
      <c r="B68" t="s">
        <v>313</v>
      </c>
      <c r="D68" t="s">
        <v>839</v>
      </c>
      <c r="E68" t="s">
        <v>705</v>
      </c>
      <c r="F68" t="s">
        <v>987</v>
      </c>
      <c r="G68">
        <v>8.3610000000000007</v>
      </c>
      <c r="K68" t="s">
        <v>649</v>
      </c>
      <c r="L68" t="s">
        <v>936</v>
      </c>
    </row>
    <row r="69" spans="1:12" x14ac:dyDescent="0.25">
      <c r="A69" t="s">
        <v>551</v>
      </c>
      <c r="B69" t="s">
        <v>312</v>
      </c>
      <c r="D69" t="s">
        <v>839</v>
      </c>
      <c r="E69" t="s">
        <v>705</v>
      </c>
      <c r="F69" t="s">
        <v>987</v>
      </c>
      <c r="G69">
        <v>10.007</v>
      </c>
      <c r="K69" t="s">
        <v>649</v>
      </c>
      <c r="L69" t="s">
        <v>936</v>
      </c>
    </row>
    <row r="70" spans="1:12" x14ac:dyDescent="0.25">
      <c r="A70" t="s">
        <v>551</v>
      </c>
      <c r="B70" t="s">
        <v>555</v>
      </c>
      <c r="D70" t="s">
        <v>839</v>
      </c>
      <c r="E70" t="s">
        <v>705</v>
      </c>
      <c r="F70" t="s">
        <v>986</v>
      </c>
      <c r="G70">
        <v>4.5529999999999999</v>
      </c>
      <c r="K70" t="s">
        <v>649</v>
      </c>
      <c r="L70" t="s">
        <v>936</v>
      </c>
    </row>
    <row r="71" spans="1:12" x14ac:dyDescent="0.25">
      <c r="A71" t="s">
        <v>551</v>
      </c>
      <c r="B71" t="s">
        <v>556</v>
      </c>
      <c r="D71" t="s">
        <v>839</v>
      </c>
      <c r="E71" t="s">
        <v>705</v>
      </c>
      <c r="F71" t="s">
        <v>986</v>
      </c>
      <c r="G71">
        <v>3.1989999999999998</v>
      </c>
      <c r="K71" t="s">
        <v>649</v>
      </c>
      <c r="L71" t="s">
        <v>936</v>
      </c>
    </row>
    <row r="72" spans="1:12" x14ac:dyDescent="0.25">
      <c r="A72" t="s">
        <v>551</v>
      </c>
      <c r="B72" t="s">
        <v>557</v>
      </c>
      <c r="D72" t="s">
        <v>839</v>
      </c>
      <c r="E72" t="s">
        <v>705</v>
      </c>
      <c r="F72" t="s">
        <v>986</v>
      </c>
      <c r="G72">
        <v>11.202</v>
      </c>
      <c r="K72" t="s">
        <v>649</v>
      </c>
      <c r="L72" t="s">
        <v>936</v>
      </c>
    </row>
    <row r="73" spans="1:12" x14ac:dyDescent="0.25">
      <c r="A73" t="s">
        <v>551</v>
      </c>
      <c r="B73" t="s">
        <v>558</v>
      </c>
      <c r="D73" t="s">
        <v>839</v>
      </c>
      <c r="E73" t="s">
        <v>705</v>
      </c>
      <c r="F73" t="s">
        <v>987</v>
      </c>
      <c r="G73">
        <v>13.959</v>
      </c>
      <c r="K73" t="s">
        <v>649</v>
      </c>
      <c r="L73" t="s">
        <v>936</v>
      </c>
    </row>
    <row r="74" spans="1:12" x14ac:dyDescent="0.25">
      <c r="A74" t="s">
        <v>551</v>
      </c>
      <c r="B74" t="s">
        <v>559</v>
      </c>
      <c r="D74" t="s">
        <v>839</v>
      </c>
      <c r="E74" t="s">
        <v>705</v>
      </c>
      <c r="F74" t="s">
        <v>986</v>
      </c>
      <c r="G74">
        <v>1.536</v>
      </c>
      <c r="K74" t="s">
        <v>649</v>
      </c>
      <c r="L74" t="s">
        <v>936</v>
      </c>
    </row>
    <row r="75" spans="1:12" x14ac:dyDescent="0.25">
      <c r="A75" t="s">
        <v>551</v>
      </c>
      <c r="B75" t="s">
        <v>560</v>
      </c>
      <c r="D75" t="s">
        <v>839</v>
      </c>
      <c r="E75" t="s">
        <v>705</v>
      </c>
      <c r="F75" t="s">
        <v>986</v>
      </c>
      <c r="G75">
        <v>5.31</v>
      </c>
      <c r="K75" t="s">
        <v>649</v>
      </c>
      <c r="L75" t="s">
        <v>936</v>
      </c>
    </row>
    <row r="76" spans="1:12" x14ac:dyDescent="0.25">
      <c r="A76" t="s">
        <v>551</v>
      </c>
      <c r="B76" t="s">
        <v>561</v>
      </c>
      <c r="D76" t="s">
        <v>839</v>
      </c>
      <c r="E76" t="s">
        <v>705</v>
      </c>
      <c r="F76" t="s">
        <v>987</v>
      </c>
      <c r="G76">
        <v>6.6520000000000001</v>
      </c>
      <c r="K76" t="s">
        <v>649</v>
      </c>
      <c r="L76" t="s">
        <v>936</v>
      </c>
    </row>
    <row r="77" spans="1:12" x14ac:dyDescent="0.25">
      <c r="A77" t="s">
        <v>551</v>
      </c>
      <c r="B77" t="s">
        <v>23</v>
      </c>
      <c r="D77" t="s">
        <v>839</v>
      </c>
      <c r="E77" t="s">
        <v>705</v>
      </c>
      <c r="F77" t="s">
        <v>987</v>
      </c>
      <c r="G77">
        <v>8.0540000000000003</v>
      </c>
      <c r="K77" t="s">
        <v>649</v>
      </c>
      <c r="L77" t="s">
        <v>936</v>
      </c>
    </row>
    <row r="78" spans="1:12" x14ac:dyDescent="0.25">
      <c r="A78" t="s">
        <v>551</v>
      </c>
      <c r="B78" t="s">
        <v>24</v>
      </c>
      <c r="D78" t="s">
        <v>839</v>
      </c>
      <c r="E78" t="s">
        <v>705</v>
      </c>
      <c r="F78" t="s">
        <v>987</v>
      </c>
      <c r="G78">
        <v>7.6269999999999998</v>
      </c>
      <c r="K78" t="s">
        <v>649</v>
      </c>
      <c r="L78" t="s">
        <v>936</v>
      </c>
    </row>
    <row r="79" spans="1:12" x14ac:dyDescent="0.25">
      <c r="A79" t="s">
        <v>551</v>
      </c>
      <c r="B79" t="s">
        <v>25</v>
      </c>
      <c r="D79" t="s">
        <v>839</v>
      </c>
      <c r="E79" t="s">
        <v>705</v>
      </c>
      <c r="F79" t="s">
        <v>987</v>
      </c>
      <c r="G79">
        <v>4.9939999999999998</v>
      </c>
      <c r="K79" t="s">
        <v>649</v>
      </c>
      <c r="L79" t="s">
        <v>936</v>
      </c>
    </row>
    <row r="80" spans="1:12" x14ac:dyDescent="0.25">
      <c r="A80" t="s">
        <v>551</v>
      </c>
      <c r="B80" t="s">
        <v>562</v>
      </c>
      <c r="D80" t="s">
        <v>839</v>
      </c>
      <c r="E80" t="s">
        <v>705</v>
      </c>
      <c r="F80" t="s">
        <v>987</v>
      </c>
      <c r="G80">
        <v>7.0419999999999998</v>
      </c>
      <c r="K80" t="s">
        <v>649</v>
      </c>
      <c r="L80" t="s">
        <v>936</v>
      </c>
    </row>
    <row r="81" spans="1:12" x14ac:dyDescent="0.25">
      <c r="A81" t="s">
        <v>551</v>
      </c>
      <c r="B81" t="s">
        <v>563</v>
      </c>
      <c r="D81" t="s">
        <v>839</v>
      </c>
      <c r="E81" t="s">
        <v>705</v>
      </c>
      <c r="F81" t="s">
        <v>987</v>
      </c>
      <c r="G81">
        <v>9.6630000000000003</v>
      </c>
      <c r="K81" t="s">
        <v>649</v>
      </c>
      <c r="L81" t="s">
        <v>936</v>
      </c>
    </row>
    <row r="82" spans="1:12" x14ac:dyDescent="0.25">
      <c r="A82" t="s">
        <v>551</v>
      </c>
      <c r="B82" t="s">
        <v>564</v>
      </c>
      <c r="D82" t="s">
        <v>839</v>
      </c>
      <c r="E82" t="s">
        <v>705</v>
      </c>
      <c r="F82" t="s">
        <v>843</v>
      </c>
      <c r="G82">
        <v>5.95</v>
      </c>
      <c r="K82" t="s">
        <v>649</v>
      </c>
      <c r="L82" t="s">
        <v>936</v>
      </c>
    </row>
    <row r="83" spans="1:12" x14ac:dyDescent="0.25">
      <c r="A83" t="s">
        <v>551</v>
      </c>
      <c r="B83" t="s">
        <v>565</v>
      </c>
      <c r="D83" t="s">
        <v>839</v>
      </c>
      <c r="E83" t="s">
        <v>705</v>
      </c>
      <c r="F83" t="s">
        <v>987</v>
      </c>
      <c r="G83">
        <v>11.07</v>
      </c>
      <c r="K83" t="s">
        <v>649</v>
      </c>
      <c r="L83" t="s">
        <v>936</v>
      </c>
    </row>
    <row r="84" spans="1:12" x14ac:dyDescent="0.25">
      <c r="A84" t="s">
        <v>551</v>
      </c>
      <c r="B84" t="s">
        <v>566</v>
      </c>
      <c r="D84" t="s">
        <v>839</v>
      </c>
      <c r="E84" t="s">
        <v>705</v>
      </c>
      <c r="F84" t="s">
        <v>987</v>
      </c>
      <c r="G84">
        <v>4.4279999999999999</v>
      </c>
      <c r="K84" t="s">
        <v>649</v>
      </c>
      <c r="L84" t="s">
        <v>936</v>
      </c>
    </row>
    <row r="85" spans="1:12" x14ac:dyDescent="0.25">
      <c r="A85" t="s">
        <v>551</v>
      </c>
      <c r="B85" t="s">
        <v>567</v>
      </c>
      <c r="D85" t="s">
        <v>839</v>
      </c>
      <c r="E85" t="s">
        <v>705</v>
      </c>
      <c r="F85" t="s">
        <v>987</v>
      </c>
      <c r="G85">
        <v>8.4809999999999999</v>
      </c>
      <c r="K85" t="s">
        <v>649</v>
      </c>
      <c r="L85" t="s">
        <v>936</v>
      </c>
    </row>
    <row r="86" spans="1:12" x14ac:dyDescent="0.25">
      <c r="A86" t="s">
        <v>551</v>
      </c>
      <c r="B86" t="s">
        <v>568</v>
      </c>
      <c r="D86" t="s">
        <v>839</v>
      </c>
      <c r="E86" t="s">
        <v>705</v>
      </c>
      <c r="F86" t="s">
        <v>987</v>
      </c>
      <c r="G86">
        <v>11.763</v>
      </c>
      <c r="K86" t="s">
        <v>649</v>
      </c>
      <c r="L86" t="s">
        <v>936</v>
      </c>
    </row>
    <row r="87" spans="1:12" x14ac:dyDescent="0.25">
      <c r="A87" t="s">
        <v>551</v>
      </c>
      <c r="B87" t="s">
        <v>1081</v>
      </c>
      <c r="D87" t="s">
        <v>839</v>
      </c>
      <c r="E87" t="s">
        <v>705</v>
      </c>
      <c r="F87" t="s">
        <v>1226</v>
      </c>
      <c r="G87">
        <v>0.77200000000000002</v>
      </c>
      <c r="K87" t="s">
        <v>649</v>
      </c>
      <c r="L87" t="s">
        <v>936</v>
      </c>
    </row>
    <row r="88" spans="1:12" x14ac:dyDescent="0.25">
      <c r="A88" t="s">
        <v>551</v>
      </c>
      <c r="B88" t="s">
        <v>1227</v>
      </c>
      <c r="D88" t="s">
        <v>839</v>
      </c>
      <c r="E88" t="s">
        <v>705</v>
      </c>
      <c r="F88" t="s">
        <v>12</v>
      </c>
      <c r="G88">
        <v>3.0000000000000001E-3</v>
      </c>
      <c r="K88" t="s">
        <v>649</v>
      </c>
      <c r="L88" t="s">
        <v>936</v>
      </c>
    </row>
    <row r="89" spans="1:12" x14ac:dyDescent="0.25">
      <c r="A89" t="s">
        <v>551</v>
      </c>
      <c r="B89" t="s">
        <v>1228</v>
      </c>
      <c r="D89" t="s">
        <v>839</v>
      </c>
      <c r="E89" t="s">
        <v>705</v>
      </c>
      <c r="F89" t="s">
        <v>12</v>
      </c>
      <c r="G89">
        <v>2E-3</v>
      </c>
      <c r="K89" t="s">
        <v>649</v>
      </c>
      <c r="L89" t="s">
        <v>936</v>
      </c>
    </row>
    <row r="90" spans="1:12" x14ac:dyDescent="0.25">
      <c r="A90" t="s">
        <v>551</v>
      </c>
      <c r="B90" t="s">
        <v>1229</v>
      </c>
      <c r="D90" t="s">
        <v>839</v>
      </c>
      <c r="E90" t="s">
        <v>705</v>
      </c>
      <c r="F90" t="s">
        <v>12</v>
      </c>
      <c r="G90">
        <v>2E-3</v>
      </c>
      <c r="K90" t="s">
        <v>649</v>
      </c>
      <c r="L90" t="s">
        <v>936</v>
      </c>
    </row>
    <row r="91" spans="1:12" x14ac:dyDescent="0.25">
      <c r="A91" t="s">
        <v>551</v>
      </c>
      <c r="B91" t="s">
        <v>1230</v>
      </c>
      <c r="D91" t="s">
        <v>839</v>
      </c>
      <c r="E91" t="s">
        <v>705</v>
      </c>
      <c r="F91" t="s">
        <v>12</v>
      </c>
      <c r="G91">
        <v>2E-3</v>
      </c>
      <c r="K91" t="s">
        <v>649</v>
      </c>
      <c r="L91" t="s">
        <v>936</v>
      </c>
    </row>
    <row r="92" spans="1:12" x14ac:dyDescent="0.25">
      <c r="A92" t="s">
        <v>551</v>
      </c>
      <c r="B92" t="s">
        <v>1231</v>
      </c>
      <c r="D92" t="s">
        <v>839</v>
      </c>
      <c r="E92" t="s">
        <v>705</v>
      </c>
      <c r="F92" t="s">
        <v>12</v>
      </c>
      <c r="G92">
        <v>1E-3</v>
      </c>
      <c r="K92" t="s">
        <v>649</v>
      </c>
      <c r="L92" t="s">
        <v>936</v>
      </c>
    </row>
    <row r="93" spans="1:12" x14ac:dyDescent="0.25">
      <c r="A93" t="s">
        <v>551</v>
      </c>
      <c r="B93" t="s">
        <v>1232</v>
      </c>
      <c r="D93" t="s">
        <v>839</v>
      </c>
      <c r="E93" t="s">
        <v>705</v>
      </c>
      <c r="F93" t="s">
        <v>12</v>
      </c>
      <c r="G93">
        <v>1E-3</v>
      </c>
      <c r="K93" t="s">
        <v>649</v>
      </c>
      <c r="L93" t="s">
        <v>936</v>
      </c>
    </row>
    <row r="94" spans="1:12" x14ac:dyDescent="0.25">
      <c r="A94" t="s">
        <v>551</v>
      </c>
      <c r="B94" t="s">
        <v>1233</v>
      </c>
      <c r="D94" t="s">
        <v>839</v>
      </c>
      <c r="E94" t="s">
        <v>705</v>
      </c>
      <c r="F94" t="s">
        <v>12</v>
      </c>
      <c r="G94">
        <v>4.0000000000000001E-3</v>
      </c>
      <c r="K94" t="s">
        <v>649</v>
      </c>
      <c r="L94" t="s">
        <v>936</v>
      </c>
    </row>
    <row r="95" spans="1:12" x14ac:dyDescent="0.25">
      <c r="A95" t="s">
        <v>551</v>
      </c>
      <c r="B95" t="s">
        <v>1234</v>
      </c>
      <c r="D95" t="s">
        <v>839</v>
      </c>
      <c r="E95" t="s">
        <v>705</v>
      </c>
      <c r="F95" t="s">
        <v>12</v>
      </c>
      <c r="G95">
        <v>4.0000000000000001E-3</v>
      </c>
      <c r="K95" t="s">
        <v>649</v>
      </c>
      <c r="L95" t="s">
        <v>936</v>
      </c>
    </row>
    <row r="96" spans="1:12" x14ac:dyDescent="0.25">
      <c r="A96" t="s">
        <v>551</v>
      </c>
      <c r="B96" t="s">
        <v>1235</v>
      </c>
      <c r="D96" t="s">
        <v>839</v>
      </c>
      <c r="E96" t="s">
        <v>705</v>
      </c>
      <c r="F96" t="s">
        <v>12</v>
      </c>
      <c r="G96">
        <v>4.0000000000000001E-3</v>
      </c>
      <c r="K96" t="s">
        <v>649</v>
      </c>
      <c r="L96" t="s">
        <v>936</v>
      </c>
    </row>
    <row r="97" spans="1:12" x14ac:dyDescent="0.25">
      <c r="A97" t="s">
        <v>551</v>
      </c>
      <c r="B97" t="s">
        <v>1236</v>
      </c>
      <c r="D97" t="s">
        <v>839</v>
      </c>
      <c r="E97" t="s">
        <v>705</v>
      </c>
      <c r="F97" t="s">
        <v>12</v>
      </c>
      <c r="G97">
        <v>4.0000000000000001E-3</v>
      </c>
      <c r="K97" t="s">
        <v>649</v>
      </c>
      <c r="L97" t="s">
        <v>936</v>
      </c>
    </row>
    <row r="98" spans="1:12" x14ac:dyDescent="0.25">
      <c r="A98" t="s">
        <v>551</v>
      </c>
      <c r="B98" t="s">
        <v>1237</v>
      </c>
      <c r="D98" t="s">
        <v>839</v>
      </c>
      <c r="E98" t="s">
        <v>705</v>
      </c>
      <c r="F98" t="s">
        <v>12</v>
      </c>
      <c r="G98">
        <v>3.0000000000000001E-3</v>
      </c>
      <c r="K98" t="s">
        <v>649</v>
      </c>
      <c r="L98" t="s">
        <v>936</v>
      </c>
    </row>
    <row r="99" spans="1:12" x14ac:dyDescent="0.25">
      <c r="A99" t="s">
        <v>551</v>
      </c>
      <c r="B99" t="s">
        <v>1238</v>
      </c>
      <c r="D99" t="s">
        <v>839</v>
      </c>
      <c r="E99" t="s">
        <v>705</v>
      </c>
      <c r="F99" t="s">
        <v>12</v>
      </c>
      <c r="G99">
        <v>3.0000000000000001E-3</v>
      </c>
      <c r="K99" t="s">
        <v>649</v>
      </c>
      <c r="L99" t="s">
        <v>936</v>
      </c>
    </row>
    <row r="100" spans="1:12" x14ac:dyDescent="0.25">
      <c r="A100" t="s">
        <v>551</v>
      </c>
      <c r="B100" t="s">
        <v>1239</v>
      </c>
      <c r="D100" t="s">
        <v>839</v>
      </c>
      <c r="E100" t="s">
        <v>705</v>
      </c>
      <c r="F100" t="s">
        <v>12</v>
      </c>
      <c r="G100">
        <v>3.0000000000000001E-3</v>
      </c>
      <c r="K100" t="s">
        <v>649</v>
      </c>
      <c r="L100" t="s">
        <v>936</v>
      </c>
    </row>
    <row r="101" spans="1:12" x14ac:dyDescent="0.25">
      <c r="A101" t="s">
        <v>551</v>
      </c>
      <c r="B101" t="s">
        <v>1240</v>
      </c>
      <c r="D101" t="s">
        <v>839</v>
      </c>
      <c r="E101" t="s">
        <v>705</v>
      </c>
      <c r="F101" t="s">
        <v>12</v>
      </c>
      <c r="G101">
        <v>6.0000000000000001E-3</v>
      </c>
      <c r="K101" t="s">
        <v>649</v>
      </c>
      <c r="L101" t="s">
        <v>936</v>
      </c>
    </row>
    <row r="102" spans="1:12" x14ac:dyDescent="0.25">
      <c r="A102" t="s">
        <v>551</v>
      </c>
      <c r="B102" t="s">
        <v>1241</v>
      </c>
      <c r="D102" t="s">
        <v>839</v>
      </c>
      <c r="E102" t="s">
        <v>705</v>
      </c>
      <c r="F102" t="s">
        <v>12</v>
      </c>
      <c r="G102">
        <v>6.0000000000000001E-3</v>
      </c>
      <c r="K102" t="s">
        <v>649</v>
      </c>
      <c r="L102" t="s">
        <v>936</v>
      </c>
    </row>
    <row r="103" spans="1:12" x14ac:dyDescent="0.25">
      <c r="A103" t="s">
        <v>551</v>
      </c>
      <c r="B103" t="s">
        <v>1242</v>
      </c>
      <c r="D103" t="s">
        <v>839</v>
      </c>
      <c r="E103" t="s">
        <v>705</v>
      </c>
      <c r="F103" t="s">
        <v>12</v>
      </c>
      <c r="G103">
        <v>7.0000000000000001E-3</v>
      </c>
      <c r="K103" t="s">
        <v>649</v>
      </c>
      <c r="L103" t="s">
        <v>936</v>
      </c>
    </row>
    <row r="104" spans="1:12" x14ac:dyDescent="0.25">
      <c r="A104" t="s">
        <v>551</v>
      </c>
      <c r="B104" t="s">
        <v>1243</v>
      </c>
      <c r="D104" t="s">
        <v>839</v>
      </c>
      <c r="E104" t="s">
        <v>705</v>
      </c>
      <c r="F104" t="s">
        <v>12</v>
      </c>
      <c r="G104">
        <v>8.0000000000000002E-3</v>
      </c>
      <c r="K104" t="s">
        <v>649</v>
      </c>
      <c r="L104" t="s">
        <v>936</v>
      </c>
    </row>
    <row r="105" spans="1:12" x14ac:dyDescent="0.25">
      <c r="A105" t="s">
        <v>551</v>
      </c>
      <c r="B105" t="s">
        <v>1244</v>
      </c>
      <c r="D105" t="s">
        <v>839</v>
      </c>
      <c r="E105" t="s">
        <v>705</v>
      </c>
      <c r="F105" t="s">
        <v>12</v>
      </c>
      <c r="G105">
        <v>8.0000000000000002E-3</v>
      </c>
      <c r="K105" t="s">
        <v>649</v>
      </c>
      <c r="L105" t="s">
        <v>936</v>
      </c>
    </row>
    <row r="106" spans="1:12" x14ac:dyDescent="0.25">
      <c r="A106" t="s">
        <v>551</v>
      </c>
      <c r="B106" t="s">
        <v>1245</v>
      </c>
      <c r="D106" t="s">
        <v>839</v>
      </c>
      <c r="E106" t="s">
        <v>705</v>
      </c>
      <c r="F106" t="s">
        <v>12</v>
      </c>
      <c r="G106">
        <v>0.01</v>
      </c>
      <c r="K106" t="s">
        <v>649</v>
      </c>
      <c r="L106" t="s">
        <v>936</v>
      </c>
    </row>
    <row r="107" spans="1:12" x14ac:dyDescent="0.25">
      <c r="A107" t="s">
        <v>551</v>
      </c>
      <c r="B107" t="s">
        <v>1246</v>
      </c>
      <c r="D107" t="s">
        <v>839</v>
      </c>
      <c r="E107" t="s">
        <v>705</v>
      </c>
      <c r="F107" t="s">
        <v>12</v>
      </c>
      <c r="G107">
        <v>0.01</v>
      </c>
      <c r="K107" t="s">
        <v>649</v>
      </c>
      <c r="L107" t="s">
        <v>936</v>
      </c>
    </row>
    <row r="108" spans="1:12" x14ac:dyDescent="0.25">
      <c r="A108" t="s">
        <v>551</v>
      </c>
      <c r="B108" t="s">
        <v>1247</v>
      </c>
      <c r="D108" t="s">
        <v>839</v>
      </c>
      <c r="E108" t="s">
        <v>705</v>
      </c>
      <c r="F108" t="s">
        <v>12</v>
      </c>
      <c r="G108">
        <v>0.01</v>
      </c>
      <c r="K108" t="s">
        <v>649</v>
      </c>
      <c r="L108" t="s">
        <v>936</v>
      </c>
    </row>
    <row r="109" spans="1:12" x14ac:dyDescent="0.25">
      <c r="A109" t="s">
        <v>551</v>
      </c>
      <c r="B109" t="s">
        <v>1248</v>
      </c>
      <c r="D109" t="s">
        <v>839</v>
      </c>
      <c r="E109" t="s">
        <v>705</v>
      </c>
      <c r="F109" t="s">
        <v>12</v>
      </c>
      <c r="G109">
        <v>3.0000000000000001E-3</v>
      </c>
      <c r="K109" t="s">
        <v>649</v>
      </c>
      <c r="L109" t="s">
        <v>936</v>
      </c>
    </row>
    <row r="110" spans="1:12" x14ac:dyDescent="0.25">
      <c r="A110" t="s">
        <v>551</v>
      </c>
      <c r="B110" t="s">
        <v>1249</v>
      </c>
      <c r="D110" t="s">
        <v>839</v>
      </c>
      <c r="E110" t="s">
        <v>705</v>
      </c>
      <c r="F110" t="s">
        <v>12</v>
      </c>
      <c r="G110">
        <v>3.0000000000000001E-3</v>
      </c>
      <c r="K110" t="s">
        <v>649</v>
      </c>
      <c r="L110" t="s">
        <v>936</v>
      </c>
    </row>
    <row r="111" spans="1:12" x14ac:dyDescent="0.25">
      <c r="A111" t="s">
        <v>551</v>
      </c>
      <c r="B111" t="s">
        <v>1250</v>
      </c>
      <c r="D111" t="s">
        <v>839</v>
      </c>
      <c r="E111" t="s">
        <v>705</v>
      </c>
      <c r="F111" t="s">
        <v>12</v>
      </c>
      <c r="G111">
        <v>3.0000000000000001E-3</v>
      </c>
      <c r="K111" t="s">
        <v>649</v>
      </c>
      <c r="L111" t="s">
        <v>936</v>
      </c>
    </row>
    <row r="112" spans="1:12" x14ac:dyDescent="0.25">
      <c r="A112" t="s">
        <v>551</v>
      </c>
      <c r="B112" t="s">
        <v>1251</v>
      </c>
      <c r="D112" t="s">
        <v>839</v>
      </c>
      <c r="E112" t="s">
        <v>705</v>
      </c>
      <c r="F112" t="s">
        <v>12</v>
      </c>
      <c r="G112">
        <v>3.0000000000000001E-3</v>
      </c>
      <c r="K112" t="s">
        <v>649</v>
      </c>
      <c r="L112" t="s">
        <v>936</v>
      </c>
    </row>
    <row r="113" spans="1:12" x14ac:dyDescent="0.25">
      <c r="A113" t="s">
        <v>551</v>
      </c>
      <c r="B113" t="s">
        <v>1252</v>
      </c>
      <c r="D113" t="s">
        <v>839</v>
      </c>
      <c r="E113" t="s">
        <v>705</v>
      </c>
      <c r="F113" t="s">
        <v>12</v>
      </c>
      <c r="G113">
        <v>3.0000000000000001E-3</v>
      </c>
      <c r="K113" t="s">
        <v>649</v>
      </c>
      <c r="L113" t="s">
        <v>936</v>
      </c>
    </row>
    <row r="114" spans="1:12" x14ac:dyDescent="0.25">
      <c r="A114" t="s">
        <v>551</v>
      </c>
      <c r="B114" t="s">
        <v>1253</v>
      </c>
      <c r="D114" t="s">
        <v>839</v>
      </c>
      <c r="E114" t="s">
        <v>705</v>
      </c>
      <c r="F114" t="s">
        <v>12</v>
      </c>
      <c r="G114">
        <v>3.0000000000000001E-3</v>
      </c>
      <c r="K114" t="s">
        <v>649</v>
      </c>
      <c r="L114" t="s">
        <v>936</v>
      </c>
    </row>
    <row r="115" spans="1:12" x14ac:dyDescent="0.25">
      <c r="A115" t="s">
        <v>551</v>
      </c>
      <c r="B115" t="s">
        <v>1254</v>
      </c>
      <c r="D115" t="s">
        <v>839</v>
      </c>
      <c r="E115" t="s">
        <v>705</v>
      </c>
      <c r="F115" t="s">
        <v>837</v>
      </c>
      <c r="G115">
        <v>2E-3</v>
      </c>
      <c r="K115" t="s">
        <v>649</v>
      </c>
      <c r="L115" t="s">
        <v>936</v>
      </c>
    </row>
    <row r="116" spans="1:12" x14ac:dyDescent="0.25">
      <c r="A116" t="s">
        <v>969</v>
      </c>
      <c r="B116" t="s">
        <v>56</v>
      </c>
      <c r="D116" t="s">
        <v>838</v>
      </c>
      <c r="E116" t="s">
        <v>709</v>
      </c>
      <c r="F116" t="s">
        <v>12</v>
      </c>
      <c r="G116">
        <v>3.0000000000000001E-3</v>
      </c>
      <c r="K116" t="s">
        <v>13</v>
      </c>
      <c r="L116" t="s">
        <v>936</v>
      </c>
    </row>
    <row r="117" spans="1:12" x14ac:dyDescent="0.25">
      <c r="A117" t="s">
        <v>969</v>
      </c>
      <c r="B117" t="s">
        <v>57</v>
      </c>
      <c r="D117" t="s">
        <v>838</v>
      </c>
      <c r="E117" t="s">
        <v>709</v>
      </c>
      <c r="F117" t="s">
        <v>12</v>
      </c>
      <c r="G117">
        <v>3.0000000000000001E-3</v>
      </c>
      <c r="K117" t="s">
        <v>13</v>
      </c>
      <c r="L117" t="s">
        <v>936</v>
      </c>
    </row>
    <row r="118" spans="1:12" x14ac:dyDescent="0.25">
      <c r="A118" t="s">
        <v>969</v>
      </c>
      <c r="B118" t="s">
        <v>58</v>
      </c>
      <c r="D118" t="s">
        <v>838</v>
      </c>
      <c r="E118" t="s">
        <v>709</v>
      </c>
      <c r="F118" t="s">
        <v>12</v>
      </c>
      <c r="G118">
        <v>3.0000000000000001E-3</v>
      </c>
      <c r="K118" t="s">
        <v>13</v>
      </c>
      <c r="L118" t="s">
        <v>936</v>
      </c>
    </row>
    <row r="119" spans="1:12" x14ac:dyDescent="0.25">
      <c r="A119" t="s">
        <v>969</v>
      </c>
      <c r="B119" t="s">
        <v>59</v>
      </c>
      <c r="D119" t="s">
        <v>838</v>
      </c>
      <c r="E119" t="s">
        <v>709</v>
      </c>
      <c r="F119" t="s">
        <v>12</v>
      </c>
      <c r="G119">
        <v>4.0000000000000001E-3</v>
      </c>
      <c r="K119" t="s">
        <v>13</v>
      </c>
      <c r="L119" t="s">
        <v>936</v>
      </c>
    </row>
    <row r="120" spans="1:12" x14ac:dyDescent="0.25">
      <c r="A120" t="s">
        <v>969</v>
      </c>
      <c r="B120" t="s">
        <v>60</v>
      </c>
      <c r="D120" t="s">
        <v>838</v>
      </c>
      <c r="E120" t="s">
        <v>709</v>
      </c>
      <c r="F120" t="s">
        <v>12</v>
      </c>
      <c r="G120">
        <v>8.9999999999999993E-3</v>
      </c>
      <c r="K120" t="s">
        <v>13</v>
      </c>
      <c r="L120" t="s">
        <v>936</v>
      </c>
    </row>
    <row r="121" spans="1:12" x14ac:dyDescent="0.25">
      <c r="A121" t="s">
        <v>969</v>
      </c>
      <c r="B121" t="s">
        <v>61</v>
      </c>
      <c r="D121" t="s">
        <v>838</v>
      </c>
      <c r="E121" t="s">
        <v>709</v>
      </c>
      <c r="F121" t="s">
        <v>12</v>
      </c>
      <c r="G121">
        <v>8.9999999999999993E-3</v>
      </c>
      <c r="K121" t="s">
        <v>13</v>
      </c>
      <c r="L121" t="s">
        <v>936</v>
      </c>
    </row>
    <row r="122" spans="1:12" x14ac:dyDescent="0.25">
      <c r="A122" t="s">
        <v>969</v>
      </c>
      <c r="B122" t="s">
        <v>62</v>
      </c>
      <c r="D122" t="s">
        <v>838</v>
      </c>
      <c r="E122" t="s">
        <v>709</v>
      </c>
      <c r="F122" t="s">
        <v>12</v>
      </c>
      <c r="G122">
        <v>8.9999999999999993E-3</v>
      </c>
      <c r="K122" t="s">
        <v>13</v>
      </c>
      <c r="L122" t="s">
        <v>936</v>
      </c>
    </row>
    <row r="123" spans="1:12" x14ac:dyDescent="0.25">
      <c r="A123" t="s">
        <v>969</v>
      </c>
      <c r="B123" t="s">
        <v>63</v>
      </c>
      <c r="D123" t="s">
        <v>838</v>
      </c>
      <c r="E123" t="s">
        <v>709</v>
      </c>
      <c r="F123" t="s">
        <v>12</v>
      </c>
      <c r="G123">
        <v>8.9999999999999993E-3</v>
      </c>
      <c r="K123" t="s">
        <v>13</v>
      </c>
      <c r="L123" t="s">
        <v>936</v>
      </c>
    </row>
    <row r="124" spans="1:12" x14ac:dyDescent="0.25">
      <c r="A124" t="s">
        <v>969</v>
      </c>
      <c r="B124" t="s">
        <v>64</v>
      </c>
      <c r="D124" t="s">
        <v>838</v>
      </c>
      <c r="E124" t="s">
        <v>709</v>
      </c>
      <c r="F124" t="s">
        <v>12</v>
      </c>
      <c r="G124">
        <v>8.9999999999999993E-3</v>
      </c>
      <c r="K124" t="s">
        <v>13</v>
      </c>
      <c r="L124" t="s">
        <v>936</v>
      </c>
    </row>
    <row r="125" spans="1:12" x14ac:dyDescent="0.25">
      <c r="A125" t="s">
        <v>969</v>
      </c>
      <c r="B125" t="s">
        <v>65</v>
      </c>
      <c r="D125" t="s">
        <v>838</v>
      </c>
      <c r="E125" t="s">
        <v>709</v>
      </c>
      <c r="F125" t="s">
        <v>12</v>
      </c>
      <c r="G125">
        <v>8.9999999999999993E-3</v>
      </c>
      <c r="K125" t="s">
        <v>13</v>
      </c>
      <c r="L125" t="s">
        <v>936</v>
      </c>
    </row>
    <row r="126" spans="1:12" x14ac:dyDescent="0.25">
      <c r="A126" t="s">
        <v>969</v>
      </c>
      <c r="B126" t="s">
        <v>66</v>
      </c>
      <c r="D126" t="s">
        <v>838</v>
      </c>
      <c r="E126" t="s">
        <v>709</v>
      </c>
      <c r="F126" t="s">
        <v>12</v>
      </c>
      <c r="G126">
        <v>8.9999999999999993E-3</v>
      </c>
      <c r="K126" t="s">
        <v>13</v>
      </c>
      <c r="L126" t="s">
        <v>936</v>
      </c>
    </row>
    <row r="127" spans="1:12" x14ac:dyDescent="0.25">
      <c r="A127" t="s">
        <v>969</v>
      </c>
      <c r="B127" t="s">
        <v>67</v>
      </c>
      <c r="D127" t="s">
        <v>838</v>
      </c>
      <c r="E127" t="s">
        <v>709</v>
      </c>
      <c r="F127" t="s">
        <v>12</v>
      </c>
      <c r="G127">
        <v>8.9999999999999993E-3</v>
      </c>
      <c r="K127" t="s">
        <v>13</v>
      </c>
      <c r="L127" t="s">
        <v>936</v>
      </c>
    </row>
    <row r="128" spans="1:12" x14ac:dyDescent="0.25">
      <c r="A128" t="s">
        <v>969</v>
      </c>
      <c r="B128" t="s">
        <v>68</v>
      </c>
      <c r="D128" t="s">
        <v>838</v>
      </c>
      <c r="E128" t="s">
        <v>709</v>
      </c>
      <c r="F128" t="s">
        <v>12</v>
      </c>
      <c r="G128">
        <v>8.9999999999999993E-3</v>
      </c>
      <c r="K128" t="s">
        <v>13</v>
      </c>
      <c r="L128" t="s">
        <v>936</v>
      </c>
    </row>
    <row r="129" spans="1:12" x14ac:dyDescent="0.25">
      <c r="A129" t="s">
        <v>969</v>
      </c>
      <c r="B129" t="s">
        <v>69</v>
      </c>
      <c r="D129" t="s">
        <v>838</v>
      </c>
      <c r="E129" t="s">
        <v>709</v>
      </c>
      <c r="F129" t="s">
        <v>12</v>
      </c>
      <c r="G129">
        <v>8.9999999999999993E-3</v>
      </c>
      <c r="K129" t="s">
        <v>13</v>
      </c>
      <c r="L129" t="s">
        <v>936</v>
      </c>
    </row>
    <row r="130" spans="1:12" x14ac:dyDescent="0.25">
      <c r="A130" t="s">
        <v>969</v>
      </c>
      <c r="B130" t="s">
        <v>70</v>
      </c>
      <c r="D130" t="s">
        <v>838</v>
      </c>
      <c r="E130" t="s">
        <v>709</v>
      </c>
      <c r="F130" t="s">
        <v>12</v>
      </c>
      <c r="G130">
        <v>0.03</v>
      </c>
      <c r="K130" t="s">
        <v>13</v>
      </c>
      <c r="L130" t="s">
        <v>936</v>
      </c>
    </row>
    <row r="131" spans="1:12" x14ac:dyDescent="0.25">
      <c r="A131" t="s">
        <v>969</v>
      </c>
      <c r="B131" t="s">
        <v>71</v>
      </c>
      <c r="D131" t="s">
        <v>838</v>
      </c>
      <c r="E131" t="s">
        <v>709</v>
      </c>
      <c r="F131" t="s">
        <v>12</v>
      </c>
      <c r="G131">
        <v>2.4E-2</v>
      </c>
      <c r="K131" t="s">
        <v>13</v>
      </c>
      <c r="L131" t="s">
        <v>936</v>
      </c>
    </row>
    <row r="132" spans="1:12" x14ac:dyDescent="0.25">
      <c r="A132" t="s">
        <v>969</v>
      </c>
      <c r="B132" t="s">
        <v>72</v>
      </c>
      <c r="D132" t="s">
        <v>838</v>
      </c>
      <c r="E132" t="s">
        <v>709</v>
      </c>
      <c r="F132" t="s">
        <v>12</v>
      </c>
      <c r="G132">
        <v>2.4E-2</v>
      </c>
      <c r="K132" t="s">
        <v>13</v>
      </c>
      <c r="L132" t="s">
        <v>936</v>
      </c>
    </row>
    <row r="133" spans="1:12" x14ac:dyDescent="0.25">
      <c r="A133" t="s">
        <v>969</v>
      </c>
      <c r="B133" t="s">
        <v>73</v>
      </c>
      <c r="D133" t="s">
        <v>838</v>
      </c>
      <c r="E133" t="s">
        <v>709</v>
      </c>
      <c r="F133" t="s">
        <v>12</v>
      </c>
      <c r="G133">
        <v>2.7E-2</v>
      </c>
      <c r="K133" t="s">
        <v>13</v>
      </c>
      <c r="L133" t="s">
        <v>936</v>
      </c>
    </row>
    <row r="134" spans="1:12" x14ac:dyDescent="0.25">
      <c r="A134" t="s">
        <v>969</v>
      </c>
      <c r="B134" t="s">
        <v>74</v>
      </c>
      <c r="D134" t="s">
        <v>838</v>
      </c>
      <c r="E134" t="s">
        <v>709</v>
      </c>
      <c r="F134" t="s">
        <v>12</v>
      </c>
      <c r="G134">
        <v>2.7E-2</v>
      </c>
      <c r="K134" t="s">
        <v>13</v>
      </c>
      <c r="L134" t="s">
        <v>936</v>
      </c>
    </row>
    <row r="135" spans="1:12" x14ac:dyDescent="0.25">
      <c r="A135" t="s">
        <v>969</v>
      </c>
      <c r="B135" t="s">
        <v>78</v>
      </c>
      <c r="D135" t="s">
        <v>838</v>
      </c>
      <c r="E135" t="s">
        <v>709</v>
      </c>
      <c r="F135" t="s">
        <v>12</v>
      </c>
      <c r="G135">
        <v>7.0000000000000001E-3</v>
      </c>
      <c r="K135" t="s">
        <v>13</v>
      </c>
      <c r="L135" t="s">
        <v>936</v>
      </c>
    </row>
    <row r="136" spans="1:12" x14ac:dyDescent="0.25">
      <c r="A136" t="s">
        <v>969</v>
      </c>
      <c r="B136" t="s">
        <v>77</v>
      </c>
      <c r="D136" t="s">
        <v>838</v>
      </c>
      <c r="E136" t="s">
        <v>709</v>
      </c>
      <c r="F136" t="s">
        <v>12</v>
      </c>
      <c r="G136">
        <v>7.0000000000000001E-3</v>
      </c>
      <c r="K136" t="s">
        <v>13</v>
      </c>
      <c r="L136" t="s">
        <v>936</v>
      </c>
    </row>
    <row r="137" spans="1:12" x14ac:dyDescent="0.25">
      <c r="A137" t="s">
        <v>969</v>
      </c>
      <c r="B137" t="s">
        <v>76</v>
      </c>
      <c r="D137" t="s">
        <v>838</v>
      </c>
      <c r="E137" t="s">
        <v>709</v>
      </c>
      <c r="F137" t="s">
        <v>12</v>
      </c>
      <c r="G137">
        <v>8.0000000000000002E-3</v>
      </c>
      <c r="K137" t="s">
        <v>13</v>
      </c>
      <c r="L137" t="s">
        <v>936</v>
      </c>
    </row>
    <row r="138" spans="1:12" x14ac:dyDescent="0.25">
      <c r="A138" t="s">
        <v>969</v>
      </c>
      <c r="B138" t="s">
        <v>75</v>
      </c>
      <c r="D138" t="s">
        <v>838</v>
      </c>
      <c r="E138" t="s">
        <v>709</v>
      </c>
      <c r="F138" t="s">
        <v>12</v>
      </c>
      <c r="G138">
        <v>8.0000000000000002E-3</v>
      </c>
      <c r="K138" t="s">
        <v>13</v>
      </c>
      <c r="L138" t="s">
        <v>936</v>
      </c>
    </row>
    <row r="139" spans="1:12" x14ac:dyDescent="0.25">
      <c r="A139" t="s">
        <v>969</v>
      </c>
      <c r="B139" t="s">
        <v>855</v>
      </c>
      <c r="D139" t="s">
        <v>838</v>
      </c>
      <c r="E139" t="s">
        <v>709</v>
      </c>
      <c r="F139" t="s">
        <v>12</v>
      </c>
      <c r="G139">
        <v>7.0000000000000001E-3</v>
      </c>
      <c r="K139" t="s">
        <v>13</v>
      </c>
      <c r="L139" t="s">
        <v>936</v>
      </c>
    </row>
    <row r="140" spans="1:12" x14ac:dyDescent="0.25">
      <c r="A140" t="s">
        <v>969</v>
      </c>
      <c r="B140" t="s">
        <v>856</v>
      </c>
      <c r="D140" t="s">
        <v>838</v>
      </c>
      <c r="E140" t="s">
        <v>709</v>
      </c>
      <c r="F140" t="s">
        <v>12</v>
      </c>
      <c r="G140">
        <v>7.0000000000000001E-3</v>
      </c>
      <c r="K140" t="s">
        <v>13</v>
      </c>
      <c r="L140" t="s">
        <v>936</v>
      </c>
    </row>
    <row r="141" spans="1:12" x14ac:dyDescent="0.25">
      <c r="A141" t="s">
        <v>969</v>
      </c>
      <c r="B141" t="s">
        <v>857</v>
      </c>
      <c r="D141" t="s">
        <v>838</v>
      </c>
      <c r="E141" t="s">
        <v>709</v>
      </c>
      <c r="F141" t="s">
        <v>12</v>
      </c>
      <c r="G141">
        <v>7.0000000000000001E-3</v>
      </c>
      <c r="K141" t="s">
        <v>13</v>
      </c>
      <c r="L141" t="s">
        <v>936</v>
      </c>
    </row>
    <row r="142" spans="1:12" x14ac:dyDescent="0.25">
      <c r="A142" t="s">
        <v>969</v>
      </c>
      <c r="B142" t="s">
        <v>970</v>
      </c>
      <c r="D142" t="s">
        <v>838</v>
      </c>
      <c r="E142" t="s">
        <v>709</v>
      </c>
      <c r="F142" t="s">
        <v>12</v>
      </c>
      <c r="G142">
        <v>0.152</v>
      </c>
      <c r="K142" t="s">
        <v>649</v>
      </c>
      <c r="L142" t="s">
        <v>936</v>
      </c>
    </row>
    <row r="143" spans="1:12" x14ac:dyDescent="0.25">
      <c r="A143" t="s">
        <v>969</v>
      </c>
      <c r="B143" t="s">
        <v>79</v>
      </c>
      <c r="D143" t="s">
        <v>838</v>
      </c>
      <c r="E143" t="s">
        <v>709</v>
      </c>
      <c r="F143" t="s">
        <v>837</v>
      </c>
      <c r="G143">
        <v>0.19</v>
      </c>
      <c r="K143" t="s">
        <v>649</v>
      </c>
      <c r="L143" t="s">
        <v>936</v>
      </c>
    </row>
    <row r="144" spans="1:12" x14ac:dyDescent="0.25">
      <c r="A144" t="s">
        <v>969</v>
      </c>
      <c r="B144" t="s">
        <v>1255</v>
      </c>
      <c r="D144" t="s">
        <v>838</v>
      </c>
      <c r="E144" t="s">
        <v>709</v>
      </c>
      <c r="F144" t="s">
        <v>12</v>
      </c>
      <c r="G144">
        <v>0.114</v>
      </c>
      <c r="K144" t="s">
        <v>13</v>
      </c>
      <c r="L144" t="s">
        <v>936</v>
      </c>
    </row>
    <row r="145" spans="1:12" x14ac:dyDescent="0.25">
      <c r="A145" t="s">
        <v>279</v>
      </c>
      <c r="B145" t="s">
        <v>53</v>
      </c>
      <c r="D145" t="s">
        <v>839</v>
      </c>
      <c r="E145" t="s">
        <v>705</v>
      </c>
      <c r="F145" t="s">
        <v>12</v>
      </c>
      <c r="G145">
        <v>6.0999999999999999E-2</v>
      </c>
      <c r="K145" t="s">
        <v>649</v>
      </c>
      <c r="L145" t="s">
        <v>936</v>
      </c>
    </row>
    <row r="146" spans="1:12" x14ac:dyDescent="0.25">
      <c r="A146" t="s">
        <v>279</v>
      </c>
      <c r="B146" t="s">
        <v>17</v>
      </c>
      <c r="D146" t="s">
        <v>839</v>
      </c>
      <c r="E146" t="s">
        <v>705</v>
      </c>
      <c r="F146" t="s">
        <v>12</v>
      </c>
      <c r="G146">
        <v>0.159</v>
      </c>
      <c r="K146" t="s">
        <v>649</v>
      </c>
      <c r="L146" t="s">
        <v>936</v>
      </c>
    </row>
    <row r="147" spans="1:12" x14ac:dyDescent="0.25">
      <c r="A147" t="s">
        <v>279</v>
      </c>
      <c r="B147" t="s">
        <v>280</v>
      </c>
      <c r="D147" t="s">
        <v>839</v>
      </c>
      <c r="E147" t="s">
        <v>705</v>
      </c>
      <c r="F147" t="s">
        <v>12</v>
      </c>
      <c r="G147">
        <v>0.191</v>
      </c>
      <c r="K147" t="s">
        <v>649</v>
      </c>
      <c r="L147" t="s">
        <v>936</v>
      </c>
    </row>
    <row r="148" spans="1:12" x14ac:dyDescent="0.25">
      <c r="A148" t="s">
        <v>279</v>
      </c>
      <c r="B148" t="s">
        <v>614</v>
      </c>
      <c r="D148" t="s">
        <v>839</v>
      </c>
      <c r="E148" t="s">
        <v>705</v>
      </c>
      <c r="F148" t="s">
        <v>12</v>
      </c>
      <c r="G148">
        <v>0.28399999999999997</v>
      </c>
      <c r="K148" t="s">
        <v>649</v>
      </c>
      <c r="L148" t="s">
        <v>936</v>
      </c>
    </row>
    <row r="149" spans="1:12" x14ac:dyDescent="0.25">
      <c r="A149" t="s">
        <v>279</v>
      </c>
      <c r="B149" t="s">
        <v>917</v>
      </c>
      <c r="D149" t="s">
        <v>839</v>
      </c>
      <c r="E149" t="s">
        <v>705</v>
      </c>
      <c r="F149" t="s">
        <v>837</v>
      </c>
      <c r="G149">
        <v>0.14000000000000001</v>
      </c>
      <c r="K149" t="s">
        <v>649</v>
      </c>
      <c r="L149" t="s">
        <v>936</v>
      </c>
    </row>
    <row r="150" spans="1:12" x14ac:dyDescent="0.25">
      <c r="A150" t="s">
        <v>279</v>
      </c>
      <c r="B150" t="s">
        <v>83</v>
      </c>
      <c r="D150" t="s">
        <v>839</v>
      </c>
      <c r="E150" t="s">
        <v>705</v>
      </c>
      <c r="F150" t="s">
        <v>837</v>
      </c>
      <c r="G150">
        <v>4.7E-2</v>
      </c>
      <c r="K150" t="s">
        <v>649</v>
      </c>
      <c r="L150" t="s">
        <v>936</v>
      </c>
    </row>
    <row r="151" spans="1:12" x14ac:dyDescent="0.25">
      <c r="A151" t="s">
        <v>279</v>
      </c>
      <c r="B151" t="s">
        <v>84</v>
      </c>
      <c r="D151" t="s">
        <v>839</v>
      </c>
      <c r="E151" t="s">
        <v>705</v>
      </c>
      <c r="F151" t="s">
        <v>837</v>
      </c>
      <c r="G151">
        <v>4.5999999999999999E-2</v>
      </c>
      <c r="K151" t="s">
        <v>649</v>
      </c>
      <c r="L151" t="s">
        <v>936</v>
      </c>
    </row>
    <row r="152" spans="1:12" x14ac:dyDescent="0.25">
      <c r="A152" t="s">
        <v>279</v>
      </c>
      <c r="B152" t="s">
        <v>1025</v>
      </c>
      <c r="D152" t="s">
        <v>839</v>
      </c>
      <c r="E152" t="s">
        <v>705</v>
      </c>
      <c r="F152" t="s">
        <v>837</v>
      </c>
      <c r="G152">
        <v>1.7999999999999999E-2</v>
      </c>
      <c r="K152" t="s">
        <v>649</v>
      </c>
      <c r="L152" t="s">
        <v>936</v>
      </c>
    </row>
    <row r="153" spans="1:12" x14ac:dyDescent="0.25">
      <c r="A153" t="s">
        <v>454</v>
      </c>
      <c r="B153" t="s">
        <v>455</v>
      </c>
      <c r="D153" t="s">
        <v>838</v>
      </c>
      <c r="E153" t="s">
        <v>709</v>
      </c>
      <c r="F153" t="s">
        <v>41</v>
      </c>
      <c r="G153">
        <v>3.1E-2</v>
      </c>
      <c r="K153" t="s">
        <v>13</v>
      </c>
      <c r="L153" t="s">
        <v>936</v>
      </c>
    </row>
    <row r="154" spans="1:12" x14ac:dyDescent="0.25">
      <c r="A154" t="s">
        <v>454</v>
      </c>
      <c r="B154" t="s">
        <v>456</v>
      </c>
      <c r="D154" t="s">
        <v>838</v>
      </c>
      <c r="E154" t="s">
        <v>709</v>
      </c>
      <c r="F154" t="s">
        <v>41</v>
      </c>
      <c r="G154">
        <v>3.3000000000000002E-2</v>
      </c>
      <c r="K154" t="s">
        <v>13</v>
      </c>
      <c r="L154" t="s">
        <v>936</v>
      </c>
    </row>
    <row r="155" spans="1:12" x14ac:dyDescent="0.25">
      <c r="A155" t="s">
        <v>454</v>
      </c>
      <c r="B155" t="s">
        <v>457</v>
      </c>
      <c r="D155" t="s">
        <v>838</v>
      </c>
      <c r="E155" t="s">
        <v>709</v>
      </c>
      <c r="F155" t="s">
        <v>41</v>
      </c>
      <c r="G155">
        <v>3.3000000000000002E-2</v>
      </c>
      <c r="K155" t="s">
        <v>13</v>
      </c>
      <c r="L155" t="s">
        <v>936</v>
      </c>
    </row>
    <row r="156" spans="1:12" x14ac:dyDescent="0.25">
      <c r="A156" t="s">
        <v>454</v>
      </c>
      <c r="B156" t="s">
        <v>533</v>
      </c>
      <c r="D156" t="s">
        <v>838</v>
      </c>
      <c r="E156" t="s">
        <v>709</v>
      </c>
      <c r="F156" t="s">
        <v>837</v>
      </c>
      <c r="G156">
        <v>0.06</v>
      </c>
      <c r="K156" t="s">
        <v>649</v>
      </c>
      <c r="L156" t="s">
        <v>936</v>
      </c>
    </row>
    <row r="157" spans="1:12" x14ac:dyDescent="0.25">
      <c r="A157" t="s">
        <v>454</v>
      </c>
      <c r="B157" t="s">
        <v>534</v>
      </c>
      <c r="D157" t="s">
        <v>838</v>
      </c>
      <c r="E157" t="s">
        <v>709</v>
      </c>
      <c r="F157" t="s">
        <v>41</v>
      </c>
      <c r="G157">
        <v>1.2999999999999999E-2</v>
      </c>
      <c r="K157" t="s">
        <v>649</v>
      </c>
      <c r="L157" t="s">
        <v>936</v>
      </c>
    </row>
    <row r="158" spans="1:12" x14ac:dyDescent="0.25">
      <c r="A158" t="s">
        <v>454</v>
      </c>
      <c r="B158" t="s">
        <v>1186</v>
      </c>
      <c r="D158" t="s">
        <v>838</v>
      </c>
      <c r="E158" t="s">
        <v>709</v>
      </c>
      <c r="F158" t="s">
        <v>41</v>
      </c>
      <c r="G158">
        <v>4.2999999999999997E-2</v>
      </c>
      <c r="K158" t="s">
        <v>13</v>
      </c>
      <c r="L158" t="s">
        <v>936</v>
      </c>
    </row>
    <row r="159" spans="1:12" x14ac:dyDescent="0.25">
      <c r="A159" t="s">
        <v>454</v>
      </c>
      <c r="B159" t="s">
        <v>916</v>
      </c>
      <c r="D159" t="s">
        <v>838</v>
      </c>
      <c r="E159" t="s">
        <v>709</v>
      </c>
      <c r="F159" t="s">
        <v>41</v>
      </c>
      <c r="G159">
        <v>1.7999999999999999E-2</v>
      </c>
      <c r="K159" t="s">
        <v>13</v>
      </c>
      <c r="L159" t="s">
        <v>936</v>
      </c>
    </row>
    <row r="160" spans="1:12" x14ac:dyDescent="0.25">
      <c r="A160" t="s">
        <v>454</v>
      </c>
      <c r="B160" t="s">
        <v>635</v>
      </c>
      <c r="D160" t="s">
        <v>838</v>
      </c>
      <c r="E160" t="s">
        <v>709</v>
      </c>
      <c r="F160" t="s">
        <v>41</v>
      </c>
      <c r="G160">
        <v>1.2E-2</v>
      </c>
      <c r="K160" t="s">
        <v>13</v>
      </c>
      <c r="L160" t="s">
        <v>936</v>
      </c>
    </row>
    <row r="161" spans="1:12" x14ac:dyDescent="0.25">
      <c r="A161" t="s">
        <v>454</v>
      </c>
      <c r="B161" t="s">
        <v>915</v>
      </c>
      <c r="D161" t="s">
        <v>838</v>
      </c>
      <c r="E161" t="s">
        <v>709</v>
      </c>
      <c r="F161" t="s">
        <v>41</v>
      </c>
      <c r="G161">
        <v>1.2E-2</v>
      </c>
      <c r="K161" t="s">
        <v>13</v>
      </c>
      <c r="L161" t="s">
        <v>936</v>
      </c>
    </row>
    <row r="162" spans="1:12" x14ac:dyDescent="0.25">
      <c r="A162" t="s">
        <v>454</v>
      </c>
      <c r="B162" t="s">
        <v>1187</v>
      </c>
      <c r="D162" t="s">
        <v>838</v>
      </c>
      <c r="E162" t="s">
        <v>709</v>
      </c>
      <c r="F162" t="s">
        <v>41</v>
      </c>
      <c r="G162">
        <v>6.0000000000000001E-3</v>
      </c>
      <c r="K162" t="s">
        <v>13</v>
      </c>
      <c r="L162" t="s">
        <v>688</v>
      </c>
    </row>
    <row r="163" spans="1:12" x14ac:dyDescent="0.25">
      <c r="A163" t="s">
        <v>454</v>
      </c>
      <c r="B163" t="s">
        <v>636</v>
      </c>
      <c r="D163" t="s">
        <v>838</v>
      </c>
      <c r="E163" t="s">
        <v>709</v>
      </c>
      <c r="F163" t="s">
        <v>41</v>
      </c>
      <c r="G163">
        <v>6.0000000000000001E-3</v>
      </c>
      <c r="K163" t="s">
        <v>13</v>
      </c>
      <c r="L163" t="s">
        <v>936</v>
      </c>
    </row>
    <row r="164" spans="1:12" x14ac:dyDescent="0.25">
      <c r="A164" t="s">
        <v>454</v>
      </c>
      <c r="B164" t="s">
        <v>1046</v>
      </c>
      <c r="D164" t="s">
        <v>838</v>
      </c>
      <c r="E164" t="s">
        <v>709</v>
      </c>
      <c r="F164" t="s">
        <v>41</v>
      </c>
      <c r="G164">
        <v>0.01</v>
      </c>
      <c r="K164" t="s">
        <v>13</v>
      </c>
      <c r="L164" t="s">
        <v>936</v>
      </c>
    </row>
    <row r="165" spans="1:12" x14ac:dyDescent="0.25">
      <c r="A165" t="s">
        <v>454</v>
      </c>
      <c r="B165" t="s">
        <v>1188</v>
      </c>
      <c r="D165" t="s">
        <v>838</v>
      </c>
      <c r="E165" t="s">
        <v>709</v>
      </c>
      <c r="F165" t="s">
        <v>41</v>
      </c>
      <c r="G165">
        <v>1.2999999999999999E-2</v>
      </c>
      <c r="K165" t="s">
        <v>13</v>
      </c>
      <c r="L165" t="s">
        <v>936</v>
      </c>
    </row>
    <row r="166" spans="1:12" x14ac:dyDescent="0.25">
      <c r="A166" t="s">
        <v>1013</v>
      </c>
      <c r="B166" t="s">
        <v>15</v>
      </c>
      <c r="D166" t="s">
        <v>571</v>
      </c>
      <c r="E166" t="s">
        <v>709</v>
      </c>
      <c r="F166" t="s">
        <v>837</v>
      </c>
      <c r="G166">
        <v>0.42899999999999999</v>
      </c>
      <c r="K166" t="s">
        <v>649</v>
      </c>
      <c r="L166" t="s">
        <v>688</v>
      </c>
    </row>
    <row r="167" spans="1:12" x14ac:dyDescent="0.25">
      <c r="A167" t="s">
        <v>1013</v>
      </c>
      <c r="B167" t="s">
        <v>36</v>
      </c>
      <c r="D167" t="s">
        <v>571</v>
      </c>
      <c r="E167" t="s">
        <v>709</v>
      </c>
      <c r="F167" t="s">
        <v>837</v>
      </c>
      <c r="G167">
        <v>0.16300000000000001</v>
      </c>
      <c r="K167" t="s">
        <v>649</v>
      </c>
      <c r="L167" t="s">
        <v>688</v>
      </c>
    </row>
    <row r="168" spans="1:12" x14ac:dyDescent="0.25">
      <c r="A168" t="s">
        <v>1013</v>
      </c>
      <c r="B168" t="s">
        <v>39</v>
      </c>
      <c r="D168" t="s">
        <v>571</v>
      </c>
      <c r="E168" t="s">
        <v>709</v>
      </c>
      <c r="F168" t="s">
        <v>837</v>
      </c>
      <c r="G168">
        <v>0.67500000000000004</v>
      </c>
      <c r="K168" t="s">
        <v>649</v>
      </c>
      <c r="L168" t="s">
        <v>688</v>
      </c>
    </row>
    <row r="169" spans="1:12" x14ac:dyDescent="0.25">
      <c r="A169" t="s">
        <v>1013</v>
      </c>
      <c r="B169" t="s">
        <v>38</v>
      </c>
      <c r="D169" t="s">
        <v>571</v>
      </c>
      <c r="E169" t="s">
        <v>709</v>
      </c>
      <c r="F169" t="s">
        <v>837</v>
      </c>
      <c r="G169">
        <v>0.55200000000000005</v>
      </c>
      <c r="K169" t="s">
        <v>649</v>
      </c>
      <c r="L169" t="s">
        <v>688</v>
      </c>
    </row>
    <row r="170" spans="1:12" x14ac:dyDescent="0.25">
      <c r="A170" t="s">
        <v>1013</v>
      </c>
      <c r="B170" t="s">
        <v>1014</v>
      </c>
      <c r="D170" t="s">
        <v>571</v>
      </c>
      <c r="E170" t="s">
        <v>709</v>
      </c>
      <c r="F170" t="s">
        <v>12</v>
      </c>
      <c r="G170">
        <v>0.36599999999999999</v>
      </c>
      <c r="K170" t="s">
        <v>649</v>
      </c>
      <c r="L170" t="s">
        <v>688</v>
      </c>
    </row>
    <row r="171" spans="1:12" x14ac:dyDescent="0.25">
      <c r="A171" t="s">
        <v>1013</v>
      </c>
      <c r="B171" t="s">
        <v>1015</v>
      </c>
      <c r="D171" t="s">
        <v>571</v>
      </c>
      <c r="E171" t="s">
        <v>709</v>
      </c>
      <c r="F171" t="s">
        <v>1256</v>
      </c>
      <c r="G171">
        <v>2.9569999999999999</v>
      </c>
      <c r="K171" t="s">
        <v>649</v>
      </c>
      <c r="L171" t="s">
        <v>688</v>
      </c>
    </row>
    <row r="172" spans="1:12" x14ac:dyDescent="0.25">
      <c r="A172" t="s">
        <v>1013</v>
      </c>
      <c r="B172" t="s">
        <v>1018</v>
      </c>
      <c r="D172" t="s">
        <v>571</v>
      </c>
      <c r="E172" t="s">
        <v>709</v>
      </c>
      <c r="F172" t="s">
        <v>12</v>
      </c>
      <c r="G172">
        <v>0.222</v>
      </c>
      <c r="K172" t="s">
        <v>649</v>
      </c>
      <c r="L172" t="s">
        <v>688</v>
      </c>
    </row>
    <row r="173" spans="1:12" x14ac:dyDescent="0.25">
      <c r="A173" t="s">
        <v>608</v>
      </c>
      <c r="B173" t="s">
        <v>343</v>
      </c>
      <c r="D173" t="s">
        <v>840</v>
      </c>
      <c r="E173" t="s">
        <v>709</v>
      </c>
      <c r="F173" t="s">
        <v>12</v>
      </c>
      <c r="G173">
        <v>2E-3</v>
      </c>
      <c r="H173">
        <v>12</v>
      </c>
      <c r="I173">
        <v>8</v>
      </c>
      <c r="J173">
        <v>1.2</v>
      </c>
      <c r="K173" t="s">
        <v>13</v>
      </c>
      <c r="L173" t="s">
        <v>936</v>
      </c>
    </row>
    <row r="174" spans="1:12" x14ac:dyDescent="0.25">
      <c r="A174" t="s">
        <v>608</v>
      </c>
      <c r="B174" t="s">
        <v>434</v>
      </c>
      <c r="D174" t="s">
        <v>840</v>
      </c>
      <c r="E174" t="s">
        <v>709</v>
      </c>
      <c r="F174" t="s">
        <v>12</v>
      </c>
      <c r="G174">
        <v>2E-3</v>
      </c>
      <c r="H174">
        <v>12</v>
      </c>
      <c r="I174">
        <v>8</v>
      </c>
      <c r="J174">
        <v>1.2</v>
      </c>
      <c r="K174" t="s">
        <v>13</v>
      </c>
      <c r="L174" t="s">
        <v>936</v>
      </c>
    </row>
    <row r="175" spans="1:12" x14ac:dyDescent="0.25">
      <c r="A175" t="s">
        <v>608</v>
      </c>
      <c r="B175" t="s">
        <v>435</v>
      </c>
      <c r="D175" t="s">
        <v>840</v>
      </c>
      <c r="E175" t="s">
        <v>709</v>
      </c>
      <c r="F175" t="s">
        <v>12</v>
      </c>
      <c r="G175">
        <v>2E-3</v>
      </c>
      <c r="H175">
        <v>12</v>
      </c>
      <c r="I175">
        <v>8</v>
      </c>
      <c r="J175">
        <v>1.2</v>
      </c>
      <c r="K175" t="s">
        <v>13</v>
      </c>
      <c r="L175" t="s">
        <v>936</v>
      </c>
    </row>
    <row r="176" spans="1:12" x14ac:dyDescent="0.25">
      <c r="A176" t="s">
        <v>608</v>
      </c>
      <c r="B176" t="s">
        <v>644</v>
      </c>
      <c r="D176" t="s">
        <v>840</v>
      </c>
      <c r="E176" t="s">
        <v>709</v>
      </c>
      <c r="F176" t="s">
        <v>12</v>
      </c>
      <c r="G176">
        <v>2E-3</v>
      </c>
      <c r="H176">
        <v>12</v>
      </c>
      <c r="I176">
        <v>8</v>
      </c>
      <c r="J176">
        <v>1.2</v>
      </c>
      <c r="K176" t="s">
        <v>13</v>
      </c>
      <c r="L176" t="s">
        <v>936</v>
      </c>
    </row>
    <row r="177" spans="1:12" x14ac:dyDescent="0.25">
      <c r="A177" t="s">
        <v>608</v>
      </c>
      <c r="B177" t="s">
        <v>423</v>
      </c>
      <c r="D177" t="s">
        <v>840</v>
      </c>
      <c r="E177" t="s">
        <v>709</v>
      </c>
      <c r="F177" t="s">
        <v>12</v>
      </c>
      <c r="G177">
        <v>2E-3</v>
      </c>
      <c r="H177">
        <v>12</v>
      </c>
      <c r="I177">
        <v>8</v>
      </c>
      <c r="J177">
        <v>1.2</v>
      </c>
      <c r="K177" t="s">
        <v>13</v>
      </c>
      <c r="L177" t="s">
        <v>936</v>
      </c>
    </row>
    <row r="178" spans="1:12" x14ac:dyDescent="0.25">
      <c r="A178" t="s">
        <v>608</v>
      </c>
      <c r="B178" t="s">
        <v>342</v>
      </c>
      <c r="D178" t="s">
        <v>840</v>
      </c>
      <c r="E178" t="s">
        <v>709</v>
      </c>
      <c r="F178" t="s">
        <v>12</v>
      </c>
      <c r="G178">
        <v>2E-3</v>
      </c>
      <c r="H178">
        <v>12</v>
      </c>
      <c r="I178">
        <v>8</v>
      </c>
      <c r="J178">
        <v>1.2</v>
      </c>
      <c r="K178" t="s">
        <v>13</v>
      </c>
      <c r="L178" t="s">
        <v>936</v>
      </c>
    </row>
    <row r="179" spans="1:12" x14ac:dyDescent="0.25">
      <c r="A179" t="s">
        <v>608</v>
      </c>
      <c r="B179" t="s">
        <v>416</v>
      </c>
      <c r="D179" t="s">
        <v>840</v>
      </c>
      <c r="E179" t="s">
        <v>709</v>
      </c>
      <c r="F179" t="s">
        <v>12</v>
      </c>
      <c r="G179">
        <v>2E-3</v>
      </c>
      <c r="H179">
        <v>12</v>
      </c>
      <c r="I179">
        <v>8</v>
      </c>
      <c r="J179">
        <v>1.2</v>
      </c>
      <c r="K179" t="s">
        <v>13</v>
      </c>
      <c r="L179" t="s">
        <v>936</v>
      </c>
    </row>
    <row r="180" spans="1:12" x14ac:dyDescent="0.25">
      <c r="A180" t="s">
        <v>608</v>
      </c>
      <c r="B180" t="s">
        <v>643</v>
      </c>
      <c r="D180" t="s">
        <v>840</v>
      </c>
      <c r="E180" t="s">
        <v>709</v>
      </c>
      <c r="F180" t="s">
        <v>12</v>
      </c>
      <c r="G180">
        <v>2E-3</v>
      </c>
      <c r="H180">
        <v>12</v>
      </c>
      <c r="I180">
        <v>8</v>
      </c>
      <c r="J180">
        <v>1.2</v>
      </c>
      <c r="K180" t="s">
        <v>13</v>
      </c>
      <c r="L180" t="s">
        <v>936</v>
      </c>
    </row>
    <row r="181" spans="1:12" x14ac:dyDescent="0.25">
      <c r="A181" t="s">
        <v>608</v>
      </c>
      <c r="B181" t="s">
        <v>430</v>
      </c>
      <c r="D181" t="s">
        <v>840</v>
      </c>
      <c r="E181" t="s">
        <v>709</v>
      </c>
      <c r="F181" t="s">
        <v>12</v>
      </c>
      <c r="G181">
        <v>2E-3</v>
      </c>
      <c r="H181">
        <v>12</v>
      </c>
      <c r="I181">
        <v>8</v>
      </c>
      <c r="J181">
        <v>1.2</v>
      </c>
      <c r="K181" t="s">
        <v>13</v>
      </c>
      <c r="L181" t="s">
        <v>936</v>
      </c>
    </row>
    <row r="182" spans="1:12" x14ac:dyDescent="0.25">
      <c r="A182" t="s">
        <v>608</v>
      </c>
      <c r="B182" t="s">
        <v>850</v>
      </c>
      <c r="D182" t="s">
        <v>840</v>
      </c>
      <c r="E182" t="s">
        <v>709</v>
      </c>
      <c r="F182" t="s">
        <v>12</v>
      </c>
      <c r="G182">
        <v>2E-3</v>
      </c>
      <c r="H182">
        <v>12</v>
      </c>
      <c r="I182">
        <v>8</v>
      </c>
      <c r="J182">
        <v>1.2</v>
      </c>
      <c r="K182" t="s">
        <v>13</v>
      </c>
      <c r="L182" t="s">
        <v>936</v>
      </c>
    </row>
    <row r="183" spans="1:12" x14ac:dyDescent="0.25">
      <c r="A183" t="s">
        <v>608</v>
      </c>
      <c r="B183" t="s">
        <v>413</v>
      </c>
      <c r="D183" t="s">
        <v>840</v>
      </c>
      <c r="E183" t="s">
        <v>709</v>
      </c>
      <c r="F183" t="s">
        <v>12</v>
      </c>
      <c r="G183">
        <v>2E-3</v>
      </c>
      <c r="H183">
        <v>10</v>
      </c>
      <c r="I183">
        <v>6</v>
      </c>
      <c r="J183">
        <v>1.2</v>
      </c>
      <c r="K183" t="s">
        <v>13</v>
      </c>
      <c r="L183" t="s">
        <v>936</v>
      </c>
    </row>
    <row r="184" spans="1:12" x14ac:dyDescent="0.25">
      <c r="A184" t="s">
        <v>608</v>
      </c>
      <c r="B184" t="s">
        <v>415</v>
      </c>
      <c r="D184" t="s">
        <v>840</v>
      </c>
      <c r="E184" t="s">
        <v>709</v>
      </c>
      <c r="F184" t="s">
        <v>12</v>
      </c>
      <c r="G184">
        <v>2E-3</v>
      </c>
      <c r="H184">
        <v>10</v>
      </c>
      <c r="I184">
        <v>6</v>
      </c>
      <c r="J184">
        <v>1.2</v>
      </c>
      <c r="K184" t="s">
        <v>13</v>
      </c>
      <c r="L184" t="s">
        <v>936</v>
      </c>
    </row>
    <row r="185" spans="1:12" x14ac:dyDescent="0.25">
      <c r="A185" t="s">
        <v>608</v>
      </c>
      <c r="B185" t="s">
        <v>438</v>
      </c>
      <c r="D185" t="s">
        <v>840</v>
      </c>
      <c r="E185" t="s">
        <v>709</v>
      </c>
      <c r="F185" t="s">
        <v>12</v>
      </c>
      <c r="G185">
        <v>6.0000000000000001E-3</v>
      </c>
      <c r="H185">
        <v>30</v>
      </c>
      <c r="I185">
        <v>30</v>
      </c>
      <c r="J185">
        <v>1.2</v>
      </c>
      <c r="K185" t="s">
        <v>13</v>
      </c>
      <c r="L185" t="s">
        <v>936</v>
      </c>
    </row>
    <row r="186" spans="1:12" x14ac:dyDescent="0.25">
      <c r="A186" t="s">
        <v>608</v>
      </c>
      <c r="B186" t="s">
        <v>437</v>
      </c>
      <c r="D186" t="s">
        <v>840</v>
      </c>
      <c r="E186" t="s">
        <v>709</v>
      </c>
      <c r="F186" t="s">
        <v>12</v>
      </c>
      <c r="G186">
        <v>6.0000000000000001E-3</v>
      </c>
      <c r="H186">
        <v>30</v>
      </c>
      <c r="I186">
        <v>30</v>
      </c>
      <c r="J186">
        <v>1.2</v>
      </c>
      <c r="K186" t="s">
        <v>13</v>
      </c>
      <c r="L186" t="s">
        <v>936</v>
      </c>
    </row>
    <row r="187" spans="1:12" x14ac:dyDescent="0.25">
      <c r="A187" t="s">
        <v>608</v>
      </c>
      <c r="B187" t="s">
        <v>439</v>
      </c>
      <c r="D187" t="s">
        <v>840</v>
      </c>
      <c r="E187" t="s">
        <v>709</v>
      </c>
      <c r="F187" t="s">
        <v>12</v>
      </c>
      <c r="G187">
        <v>6.0000000000000001E-3</v>
      </c>
      <c r="H187">
        <v>30</v>
      </c>
      <c r="I187">
        <v>30</v>
      </c>
      <c r="J187">
        <v>1.2</v>
      </c>
      <c r="K187" t="s">
        <v>13</v>
      </c>
      <c r="L187" t="s">
        <v>936</v>
      </c>
    </row>
    <row r="188" spans="1:12" x14ac:dyDescent="0.25">
      <c r="A188" t="s">
        <v>608</v>
      </c>
      <c r="B188" t="s">
        <v>440</v>
      </c>
      <c r="D188" t="s">
        <v>840</v>
      </c>
      <c r="E188" t="s">
        <v>709</v>
      </c>
      <c r="F188" t="s">
        <v>12</v>
      </c>
      <c r="G188">
        <v>6.0000000000000001E-3</v>
      </c>
      <c r="H188">
        <v>30</v>
      </c>
      <c r="I188">
        <v>30</v>
      </c>
      <c r="J188">
        <v>1.2</v>
      </c>
      <c r="K188" t="s">
        <v>13</v>
      </c>
      <c r="L188" t="s">
        <v>936</v>
      </c>
    </row>
    <row r="189" spans="1:12" x14ac:dyDescent="0.25">
      <c r="A189" t="s">
        <v>608</v>
      </c>
      <c r="B189" t="s">
        <v>441</v>
      </c>
      <c r="D189" t="s">
        <v>840</v>
      </c>
      <c r="E189" t="s">
        <v>709</v>
      </c>
      <c r="F189" t="s">
        <v>12</v>
      </c>
      <c r="G189">
        <v>6.0000000000000001E-3</v>
      </c>
      <c r="H189">
        <v>30</v>
      </c>
      <c r="I189">
        <v>30</v>
      </c>
      <c r="J189">
        <v>1.2</v>
      </c>
      <c r="K189" t="s">
        <v>13</v>
      </c>
      <c r="L189" t="s">
        <v>936</v>
      </c>
    </row>
    <row r="190" spans="1:12" x14ac:dyDescent="0.25">
      <c r="A190" t="s">
        <v>618</v>
      </c>
      <c r="B190" t="s">
        <v>461</v>
      </c>
      <c r="D190" t="s">
        <v>836</v>
      </c>
      <c r="E190" t="s">
        <v>709</v>
      </c>
      <c r="F190" t="s">
        <v>837</v>
      </c>
      <c r="G190">
        <v>0.18099999999999999</v>
      </c>
      <c r="K190" t="s">
        <v>649</v>
      </c>
      <c r="L190" t="s">
        <v>936</v>
      </c>
    </row>
    <row r="191" spans="1:12" x14ac:dyDescent="0.25">
      <c r="A191" t="s">
        <v>618</v>
      </c>
      <c r="B191" t="s">
        <v>903</v>
      </c>
      <c r="D191" t="s">
        <v>836</v>
      </c>
      <c r="E191" t="s">
        <v>709</v>
      </c>
      <c r="F191" t="s">
        <v>12</v>
      </c>
      <c r="G191">
        <v>6.9000000000000006E-2</v>
      </c>
      <c r="K191" t="s">
        <v>649</v>
      </c>
      <c r="L191" t="s">
        <v>936</v>
      </c>
    </row>
    <row r="192" spans="1:12" x14ac:dyDescent="0.25">
      <c r="A192" t="s">
        <v>618</v>
      </c>
      <c r="B192" t="s">
        <v>619</v>
      </c>
      <c r="D192" t="s">
        <v>836</v>
      </c>
      <c r="E192" t="s">
        <v>709</v>
      </c>
      <c r="F192" t="s">
        <v>12</v>
      </c>
      <c r="G192">
        <v>0.128</v>
      </c>
      <c r="K192" t="s">
        <v>649</v>
      </c>
      <c r="L192" t="s">
        <v>936</v>
      </c>
    </row>
    <row r="193" spans="1:12" x14ac:dyDescent="0.25">
      <c r="A193" t="s">
        <v>618</v>
      </c>
      <c r="B193" t="s">
        <v>635</v>
      </c>
      <c r="D193" t="s">
        <v>836</v>
      </c>
      <c r="E193" t="s">
        <v>709</v>
      </c>
      <c r="F193" t="s">
        <v>12</v>
      </c>
      <c r="G193">
        <v>9.8000000000000004E-2</v>
      </c>
      <c r="K193" t="s">
        <v>13</v>
      </c>
      <c r="L193" t="s">
        <v>936</v>
      </c>
    </row>
    <row r="194" spans="1:12" x14ac:dyDescent="0.25">
      <c r="A194" t="s">
        <v>618</v>
      </c>
      <c r="B194" t="s">
        <v>636</v>
      </c>
      <c r="D194" t="s">
        <v>836</v>
      </c>
      <c r="E194" t="s">
        <v>709</v>
      </c>
      <c r="F194" t="s">
        <v>12</v>
      </c>
      <c r="G194">
        <v>0.111</v>
      </c>
      <c r="K194" t="s">
        <v>13</v>
      </c>
      <c r="L194" t="s">
        <v>936</v>
      </c>
    </row>
    <row r="195" spans="1:12" x14ac:dyDescent="0.25">
      <c r="A195" t="s">
        <v>618</v>
      </c>
      <c r="B195" t="s">
        <v>914</v>
      </c>
      <c r="D195" t="s">
        <v>836</v>
      </c>
      <c r="E195" t="s">
        <v>709</v>
      </c>
      <c r="F195" t="s">
        <v>12</v>
      </c>
      <c r="G195">
        <v>0.13800000000000001</v>
      </c>
      <c r="K195" t="s">
        <v>649</v>
      </c>
      <c r="L195" t="s">
        <v>936</v>
      </c>
    </row>
    <row r="196" spans="1:12" x14ac:dyDescent="0.25">
      <c r="A196" t="s">
        <v>618</v>
      </c>
      <c r="B196" t="s">
        <v>51</v>
      </c>
      <c r="D196" t="s">
        <v>836</v>
      </c>
      <c r="E196" t="s">
        <v>709</v>
      </c>
      <c r="F196" t="s">
        <v>837</v>
      </c>
      <c r="G196">
        <v>4.8000000000000001E-2</v>
      </c>
      <c r="K196" t="s">
        <v>649</v>
      </c>
      <c r="L196" t="s">
        <v>936</v>
      </c>
    </row>
    <row r="197" spans="1:12" x14ac:dyDescent="0.25">
      <c r="A197" t="s">
        <v>618</v>
      </c>
      <c r="B197" t="s">
        <v>51</v>
      </c>
      <c r="D197" t="s">
        <v>836</v>
      </c>
      <c r="E197" t="s">
        <v>709</v>
      </c>
      <c r="F197" t="s">
        <v>837</v>
      </c>
      <c r="G197">
        <v>2.4E-2</v>
      </c>
      <c r="K197" t="s">
        <v>649</v>
      </c>
      <c r="L197" t="s">
        <v>936</v>
      </c>
    </row>
    <row r="198" spans="1:12" x14ac:dyDescent="0.25">
      <c r="A198" t="s">
        <v>618</v>
      </c>
      <c r="B198" t="s">
        <v>51</v>
      </c>
      <c r="D198" t="s">
        <v>836</v>
      </c>
      <c r="E198" t="s">
        <v>709</v>
      </c>
      <c r="F198" t="s">
        <v>837</v>
      </c>
      <c r="G198">
        <v>2.1000000000000001E-2</v>
      </c>
      <c r="K198" t="s">
        <v>649</v>
      </c>
      <c r="L198" t="s">
        <v>936</v>
      </c>
    </row>
    <row r="199" spans="1:12" x14ac:dyDescent="0.25">
      <c r="A199" t="s">
        <v>618</v>
      </c>
      <c r="B199" t="s">
        <v>915</v>
      </c>
      <c r="D199" t="s">
        <v>836</v>
      </c>
      <c r="E199" t="s">
        <v>709</v>
      </c>
      <c r="F199" t="s">
        <v>12</v>
      </c>
      <c r="G199">
        <v>0.126</v>
      </c>
      <c r="K199" t="s">
        <v>13</v>
      </c>
      <c r="L199" t="s">
        <v>936</v>
      </c>
    </row>
    <row r="200" spans="1:12" x14ac:dyDescent="0.25">
      <c r="A200" t="s">
        <v>618</v>
      </c>
      <c r="B200" t="s">
        <v>916</v>
      </c>
      <c r="D200" t="s">
        <v>836</v>
      </c>
      <c r="E200" t="s">
        <v>709</v>
      </c>
      <c r="F200" t="s">
        <v>12</v>
      </c>
      <c r="G200">
        <v>0.126</v>
      </c>
      <c r="K200" t="s">
        <v>13</v>
      </c>
      <c r="L200" t="s">
        <v>936</v>
      </c>
    </row>
    <row r="201" spans="1:12" x14ac:dyDescent="0.25">
      <c r="A201" t="s">
        <v>985</v>
      </c>
      <c r="B201" t="s">
        <v>435</v>
      </c>
      <c r="D201" t="s">
        <v>836</v>
      </c>
      <c r="E201" t="s">
        <v>709</v>
      </c>
      <c r="F201" t="s">
        <v>12</v>
      </c>
      <c r="G201">
        <v>0.433</v>
      </c>
      <c r="K201" t="s">
        <v>649</v>
      </c>
      <c r="L201" t="s">
        <v>936</v>
      </c>
    </row>
    <row r="202" spans="1:12" x14ac:dyDescent="0.25">
      <c r="A202" t="s">
        <v>985</v>
      </c>
      <c r="B202" t="s">
        <v>434</v>
      </c>
      <c r="D202" t="s">
        <v>836</v>
      </c>
      <c r="E202" t="s">
        <v>709</v>
      </c>
      <c r="F202" t="s">
        <v>12</v>
      </c>
      <c r="G202">
        <v>0.1</v>
      </c>
      <c r="K202" t="s">
        <v>649</v>
      </c>
      <c r="L202" t="s">
        <v>936</v>
      </c>
    </row>
    <row r="203" spans="1:12" x14ac:dyDescent="0.25">
      <c r="A203" t="s">
        <v>985</v>
      </c>
      <c r="B203" t="s">
        <v>513</v>
      </c>
      <c r="D203" t="s">
        <v>836</v>
      </c>
      <c r="E203" t="s">
        <v>709</v>
      </c>
      <c r="F203" t="s">
        <v>12</v>
      </c>
      <c r="G203">
        <v>0.11799999999999999</v>
      </c>
      <c r="K203" t="s">
        <v>649</v>
      </c>
      <c r="L203" t="s">
        <v>936</v>
      </c>
    </row>
    <row r="204" spans="1:12" x14ac:dyDescent="0.25">
      <c r="A204" t="s">
        <v>985</v>
      </c>
      <c r="B204" t="s">
        <v>433</v>
      </c>
      <c r="D204" t="s">
        <v>836</v>
      </c>
      <c r="E204" t="s">
        <v>709</v>
      </c>
      <c r="F204" t="s">
        <v>12</v>
      </c>
      <c r="G204">
        <v>0.106</v>
      </c>
      <c r="K204" t="s">
        <v>649</v>
      </c>
      <c r="L204" t="s">
        <v>936</v>
      </c>
    </row>
    <row r="205" spans="1:12" x14ac:dyDescent="0.25">
      <c r="A205" t="s">
        <v>985</v>
      </c>
      <c r="B205" t="s">
        <v>514</v>
      </c>
      <c r="D205" t="s">
        <v>836</v>
      </c>
      <c r="E205" t="s">
        <v>709</v>
      </c>
      <c r="F205" t="s">
        <v>12</v>
      </c>
      <c r="G205">
        <v>0.19800000000000001</v>
      </c>
      <c r="K205" t="s">
        <v>649</v>
      </c>
      <c r="L205" t="s">
        <v>936</v>
      </c>
    </row>
    <row r="206" spans="1:12" x14ac:dyDescent="0.25">
      <c r="A206" t="s">
        <v>985</v>
      </c>
      <c r="B206" t="s">
        <v>431</v>
      </c>
      <c r="D206" t="s">
        <v>836</v>
      </c>
      <c r="E206" t="s">
        <v>709</v>
      </c>
      <c r="F206" t="s">
        <v>12</v>
      </c>
      <c r="G206">
        <v>0.193</v>
      </c>
      <c r="K206" t="s">
        <v>649</v>
      </c>
      <c r="L206" t="s">
        <v>936</v>
      </c>
    </row>
    <row r="207" spans="1:12" x14ac:dyDescent="0.25">
      <c r="A207" t="s">
        <v>985</v>
      </c>
      <c r="B207" t="s">
        <v>515</v>
      </c>
      <c r="D207" t="s">
        <v>836</v>
      </c>
      <c r="E207" t="s">
        <v>709</v>
      </c>
      <c r="F207" t="s">
        <v>12</v>
      </c>
      <c r="G207">
        <v>0.26700000000000002</v>
      </c>
      <c r="K207" t="s">
        <v>649</v>
      </c>
      <c r="L207" t="s">
        <v>936</v>
      </c>
    </row>
    <row r="208" spans="1:12" x14ac:dyDescent="0.25">
      <c r="A208" t="s">
        <v>985</v>
      </c>
      <c r="B208" t="s">
        <v>516</v>
      </c>
      <c r="D208" t="s">
        <v>836</v>
      </c>
      <c r="E208" t="s">
        <v>709</v>
      </c>
      <c r="F208" t="s">
        <v>12</v>
      </c>
      <c r="G208">
        <v>0.58099999999999996</v>
      </c>
      <c r="K208" t="s">
        <v>649</v>
      </c>
      <c r="L208" t="s">
        <v>936</v>
      </c>
    </row>
    <row r="209" spans="1:12" x14ac:dyDescent="0.25">
      <c r="A209" t="s">
        <v>985</v>
      </c>
      <c r="B209" t="s">
        <v>517</v>
      </c>
      <c r="D209" t="s">
        <v>836</v>
      </c>
      <c r="E209" t="s">
        <v>709</v>
      </c>
      <c r="F209" t="s">
        <v>12</v>
      </c>
      <c r="G209">
        <v>0.36499999999999999</v>
      </c>
      <c r="K209" t="s">
        <v>649</v>
      </c>
      <c r="L209" t="s">
        <v>936</v>
      </c>
    </row>
    <row r="210" spans="1:12" x14ac:dyDescent="0.25">
      <c r="A210" t="s">
        <v>985</v>
      </c>
      <c r="B210" t="s">
        <v>518</v>
      </c>
      <c r="D210" t="s">
        <v>836</v>
      </c>
      <c r="E210" t="s">
        <v>709</v>
      </c>
      <c r="F210" t="s">
        <v>12</v>
      </c>
      <c r="G210">
        <v>0.61199999999999999</v>
      </c>
      <c r="K210" t="s">
        <v>649</v>
      </c>
      <c r="L210" t="s">
        <v>936</v>
      </c>
    </row>
    <row r="211" spans="1:12" x14ac:dyDescent="0.25">
      <c r="A211" t="s">
        <v>985</v>
      </c>
      <c r="B211" t="s">
        <v>519</v>
      </c>
      <c r="D211" t="s">
        <v>836</v>
      </c>
      <c r="E211" t="s">
        <v>709</v>
      </c>
      <c r="F211" t="s">
        <v>12</v>
      </c>
      <c r="G211">
        <v>0.17699999999999999</v>
      </c>
      <c r="K211" t="s">
        <v>649</v>
      </c>
      <c r="L211" t="s">
        <v>936</v>
      </c>
    </row>
    <row r="212" spans="1:12" x14ac:dyDescent="0.25">
      <c r="A212" t="s">
        <v>985</v>
      </c>
      <c r="B212" t="s">
        <v>520</v>
      </c>
      <c r="D212" t="s">
        <v>836</v>
      </c>
      <c r="E212" t="s">
        <v>709</v>
      </c>
      <c r="F212" t="s">
        <v>12</v>
      </c>
      <c r="G212">
        <v>0.193</v>
      </c>
      <c r="K212" t="s">
        <v>649</v>
      </c>
      <c r="L212" t="s">
        <v>936</v>
      </c>
    </row>
    <row r="213" spans="1:12" x14ac:dyDescent="0.25">
      <c r="A213" t="s">
        <v>985</v>
      </c>
      <c r="B213" t="s">
        <v>521</v>
      </c>
      <c r="D213" t="s">
        <v>836</v>
      </c>
      <c r="E213" t="s">
        <v>709</v>
      </c>
      <c r="F213" t="s">
        <v>12</v>
      </c>
      <c r="G213">
        <v>0.248</v>
      </c>
      <c r="K213" t="s">
        <v>649</v>
      </c>
      <c r="L213" t="s">
        <v>936</v>
      </c>
    </row>
    <row r="214" spans="1:12" x14ac:dyDescent="0.25">
      <c r="A214" t="s">
        <v>985</v>
      </c>
      <c r="B214" t="s">
        <v>522</v>
      </c>
      <c r="D214" t="s">
        <v>836</v>
      </c>
      <c r="E214" t="s">
        <v>709</v>
      </c>
      <c r="F214" t="s">
        <v>12</v>
      </c>
      <c r="G214">
        <v>0.23799999999999999</v>
      </c>
      <c r="K214" t="s">
        <v>649</v>
      </c>
      <c r="L214" t="s">
        <v>936</v>
      </c>
    </row>
    <row r="215" spans="1:12" x14ac:dyDescent="0.25">
      <c r="A215" t="s">
        <v>985</v>
      </c>
      <c r="B215" t="s">
        <v>523</v>
      </c>
      <c r="D215" t="s">
        <v>836</v>
      </c>
      <c r="E215" t="s">
        <v>709</v>
      </c>
      <c r="F215" t="s">
        <v>12</v>
      </c>
      <c r="G215">
        <v>0.108</v>
      </c>
      <c r="K215" t="s">
        <v>649</v>
      </c>
      <c r="L215" t="s">
        <v>936</v>
      </c>
    </row>
    <row r="216" spans="1:12" x14ac:dyDescent="0.25">
      <c r="A216" t="s">
        <v>985</v>
      </c>
      <c r="B216" t="s">
        <v>524</v>
      </c>
      <c r="D216" t="s">
        <v>836</v>
      </c>
      <c r="E216" t="s">
        <v>709</v>
      </c>
      <c r="F216" t="s">
        <v>12</v>
      </c>
      <c r="G216">
        <v>8.5999999999999993E-2</v>
      </c>
      <c r="K216" t="s">
        <v>649</v>
      </c>
      <c r="L216" t="s">
        <v>936</v>
      </c>
    </row>
    <row r="217" spans="1:12" x14ac:dyDescent="0.25">
      <c r="A217" t="s">
        <v>985</v>
      </c>
      <c r="B217" t="s">
        <v>525</v>
      </c>
      <c r="D217" t="s">
        <v>836</v>
      </c>
      <c r="E217" t="s">
        <v>709</v>
      </c>
      <c r="F217" t="s">
        <v>1226</v>
      </c>
      <c r="G217">
        <v>2.214</v>
      </c>
      <c r="K217" t="s">
        <v>649</v>
      </c>
      <c r="L217" t="s">
        <v>936</v>
      </c>
    </row>
    <row r="218" spans="1:12" x14ac:dyDescent="0.25">
      <c r="A218" t="s">
        <v>985</v>
      </c>
      <c r="B218" t="s">
        <v>51</v>
      </c>
      <c r="D218" t="s">
        <v>836</v>
      </c>
      <c r="E218" t="s">
        <v>709</v>
      </c>
      <c r="F218" t="s">
        <v>837</v>
      </c>
      <c r="G218">
        <v>1.5860000000000001</v>
      </c>
      <c r="K218" t="s">
        <v>649</v>
      </c>
      <c r="L218" t="s">
        <v>936</v>
      </c>
    </row>
    <row r="219" spans="1:12" x14ac:dyDescent="0.25">
      <c r="A219" t="s">
        <v>985</v>
      </c>
      <c r="B219" t="s">
        <v>1019</v>
      </c>
      <c r="D219" t="s">
        <v>836</v>
      </c>
      <c r="E219" t="s">
        <v>709</v>
      </c>
      <c r="F219" t="s">
        <v>12</v>
      </c>
      <c r="G219">
        <v>0.14499999999999999</v>
      </c>
      <c r="K219" t="s">
        <v>649</v>
      </c>
      <c r="L219" t="s">
        <v>936</v>
      </c>
    </row>
    <row r="220" spans="1:12" x14ac:dyDescent="0.25">
      <c r="A220" t="s">
        <v>985</v>
      </c>
      <c r="B220" t="s">
        <v>1020</v>
      </c>
      <c r="D220" t="s">
        <v>836</v>
      </c>
      <c r="E220" t="s">
        <v>709</v>
      </c>
      <c r="F220" t="s">
        <v>12</v>
      </c>
      <c r="G220">
        <v>0.186</v>
      </c>
      <c r="K220" t="s">
        <v>649</v>
      </c>
      <c r="L220" t="s">
        <v>936</v>
      </c>
    </row>
    <row r="221" spans="1:12" x14ac:dyDescent="0.25">
      <c r="A221" t="s">
        <v>985</v>
      </c>
      <c r="B221" t="s">
        <v>1021</v>
      </c>
      <c r="D221" t="s">
        <v>836</v>
      </c>
      <c r="E221" t="s">
        <v>709</v>
      </c>
      <c r="F221" t="s">
        <v>12</v>
      </c>
      <c r="G221">
        <v>0.373</v>
      </c>
      <c r="K221" t="s">
        <v>649</v>
      </c>
      <c r="L221" t="s">
        <v>936</v>
      </c>
    </row>
    <row r="222" spans="1:12" x14ac:dyDescent="0.25">
      <c r="A222" t="s">
        <v>985</v>
      </c>
      <c r="B222" t="s">
        <v>1022</v>
      </c>
      <c r="D222" t="s">
        <v>836</v>
      </c>
      <c r="E222" t="s">
        <v>709</v>
      </c>
      <c r="F222" t="s">
        <v>52</v>
      </c>
      <c r="G222">
        <v>2.5419999999999998</v>
      </c>
      <c r="K222" t="s">
        <v>649</v>
      </c>
      <c r="L222" t="s">
        <v>936</v>
      </c>
    </row>
    <row r="223" spans="1:12" x14ac:dyDescent="0.25">
      <c r="A223" t="s">
        <v>609</v>
      </c>
      <c r="B223" t="s">
        <v>53</v>
      </c>
      <c r="D223" t="s">
        <v>836</v>
      </c>
      <c r="E223" t="s">
        <v>709</v>
      </c>
      <c r="F223" t="s">
        <v>1226</v>
      </c>
      <c r="G223">
        <v>6.5000000000000002E-2</v>
      </c>
      <c r="K223" t="s">
        <v>649</v>
      </c>
      <c r="L223" t="s">
        <v>936</v>
      </c>
    </row>
    <row r="224" spans="1:12" x14ac:dyDescent="0.25">
      <c r="A224" t="s">
        <v>609</v>
      </c>
      <c r="B224" t="s">
        <v>17</v>
      </c>
      <c r="D224" t="s">
        <v>836</v>
      </c>
      <c r="E224" t="s">
        <v>709</v>
      </c>
      <c r="F224" t="s">
        <v>1226</v>
      </c>
      <c r="G224">
        <v>8.5999999999999993E-2</v>
      </c>
      <c r="K224" t="s">
        <v>649</v>
      </c>
      <c r="L224" t="s">
        <v>936</v>
      </c>
    </row>
    <row r="225" spans="1:12" x14ac:dyDescent="0.25">
      <c r="A225" t="s">
        <v>609</v>
      </c>
      <c r="B225" t="s">
        <v>610</v>
      </c>
      <c r="D225" t="s">
        <v>836</v>
      </c>
      <c r="E225" t="s">
        <v>709</v>
      </c>
      <c r="F225" t="s">
        <v>1226</v>
      </c>
      <c r="G225">
        <v>0.26600000000000001</v>
      </c>
      <c r="K225" t="s">
        <v>649</v>
      </c>
      <c r="L225" t="s">
        <v>936</v>
      </c>
    </row>
    <row r="226" spans="1:12" x14ac:dyDescent="0.25">
      <c r="A226" t="s">
        <v>609</v>
      </c>
      <c r="B226" t="s">
        <v>610</v>
      </c>
      <c r="D226" t="s">
        <v>836</v>
      </c>
      <c r="E226" t="s">
        <v>709</v>
      </c>
      <c r="F226" t="s">
        <v>1226</v>
      </c>
      <c r="G226">
        <v>7.3999999999999996E-2</v>
      </c>
      <c r="K226" t="s">
        <v>649</v>
      </c>
      <c r="L226" t="s">
        <v>936</v>
      </c>
    </row>
    <row r="227" spans="1:12" x14ac:dyDescent="0.25">
      <c r="A227" t="s">
        <v>609</v>
      </c>
      <c r="B227" t="s">
        <v>611</v>
      </c>
      <c r="D227" t="s">
        <v>836</v>
      </c>
      <c r="E227" t="s">
        <v>709</v>
      </c>
      <c r="F227" t="s">
        <v>1256</v>
      </c>
      <c r="G227">
        <v>9.7000000000000003E-2</v>
      </c>
      <c r="K227" t="s">
        <v>649</v>
      </c>
      <c r="L227" t="s">
        <v>936</v>
      </c>
    </row>
    <row r="228" spans="1:12" x14ac:dyDescent="0.25">
      <c r="A228" t="s">
        <v>609</v>
      </c>
      <c r="B228" t="s">
        <v>280</v>
      </c>
      <c r="D228" t="s">
        <v>836</v>
      </c>
      <c r="E228" t="s">
        <v>709</v>
      </c>
      <c r="F228" t="s">
        <v>12</v>
      </c>
      <c r="G228">
        <v>0.10100000000000001</v>
      </c>
      <c r="K228" t="s">
        <v>649</v>
      </c>
      <c r="L228" t="s">
        <v>936</v>
      </c>
    </row>
    <row r="229" spans="1:12" x14ac:dyDescent="0.25">
      <c r="A229" t="s">
        <v>609</v>
      </c>
      <c r="B229" t="s">
        <v>612</v>
      </c>
      <c r="D229" t="s">
        <v>836</v>
      </c>
      <c r="E229" t="s">
        <v>709</v>
      </c>
      <c r="F229" t="s">
        <v>12</v>
      </c>
      <c r="G229">
        <v>0.13200000000000001</v>
      </c>
      <c r="K229" t="s">
        <v>649</v>
      </c>
      <c r="L229" t="s">
        <v>936</v>
      </c>
    </row>
    <row r="230" spans="1:12" x14ac:dyDescent="0.25">
      <c r="A230" t="s">
        <v>609</v>
      </c>
      <c r="B230" t="s">
        <v>613</v>
      </c>
      <c r="D230" t="s">
        <v>836</v>
      </c>
      <c r="E230" t="s">
        <v>709</v>
      </c>
      <c r="F230" t="s">
        <v>12</v>
      </c>
      <c r="G230">
        <v>0.113</v>
      </c>
      <c r="K230" t="s">
        <v>649</v>
      </c>
      <c r="L230" t="s">
        <v>936</v>
      </c>
    </row>
    <row r="231" spans="1:12" x14ac:dyDescent="0.25">
      <c r="A231" t="s">
        <v>609</v>
      </c>
      <c r="B231" t="s">
        <v>614</v>
      </c>
      <c r="D231" t="s">
        <v>836</v>
      </c>
      <c r="E231" t="s">
        <v>709</v>
      </c>
      <c r="F231" t="s">
        <v>12</v>
      </c>
      <c r="G231">
        <v>0.10199999999999999</v>
      </c>
      <c r="K231" t="s">
        <v>649</v>
      </c>
      <c r="L231" t="s">
        <v>936</v>
      </c>
    </row>
    <row r="232" spans="1:12" x14ac:dyDescent="0.25">
      <c r="A232" t="s">
        <v>609</v>
      </c>
      <c r="B232" t="s">
        <v>615</v>
      </c>
      <c r="D232" t="s">
        <v>836</v>
      </c>
      <c r="E232" t="s">
        <v>709</v>
      </c>
      <c r="F232" t="s">
        <v>837</v>
      </c>
      <c r="G232">
        <v>0.08</v>
      </c>
      <c r="K232" t="s">
        <v>649</v>
      </c>
      <c r="L232" t="s">
        <v>936</v>
      </c>
    </row>
    <row r="233" spans="1:12" x14ac:dyDescent="0.25">
      <c r="A233" t="s">
        <v>609</v>
      </c>
      <c r="B233" t="s">
        <v>615</v>
      </c>
      <c r="D233" t="s">
        <v>836</v>
      </c>
      <c r="E233" t="s">
        <v>709</v>
      </c>
      <c r="F233" t="s">
        <v>837</v>
      </c>
      <c r="G233">
        <v>6.5000000000000002E-2</v>
      </c>
      <c r="K233" t="s">
        <v>649</v>
      </c>
      <c r="L233" t="s">
        <v>936</v>
      </c>
    </row>
    <row r="234" spans="1:12" x14ac:dyDescent="0.25">
      <c r="A234" t="s">
        <v>609</v>
      </c>
      <c r="B234" t="s">
        <v>615</v>
      </c>
      <c r="D234" t="s">
        <v>836</v>
      </c>
      <c r="E234" t="s">
        <v>709</v>
      </c>
      <c r="F234" t="s">
        <v>837</v>
      </c>
      <c r="G234">
        <v>0.104</v>
      </c>
      <c r="K234" t="s">
        <v>649</v>
      </c>
      <c r="L234" t="s">
        <v>936</v>
      </c>
    </row>
    <row r="235" spans="1:12" x14ac:dyDescent="0.25">
      <c r="A235" t="s">
        <v>609</v>
      </c>
      <c r="B235" t="s">
        <v>615</v>
      </c>
      <c r="D235" t="s">
        <v>836</v>
      </c>
      <c r="E235" t="s">
        <v>709</v>
      </c>
      <c r="F235" t="s">
        <v>837</v>
      </c>
      <c r="G235">
        <v>0.10100000000000001</v>
      </c>
      <c r="K235" t="s">
        <v>649</v>
      </c>
      <c r="L235" t="s">
        <v>936</v>
      </c>
    </row>
    <row r="236" spans="1:12" x14ac:dyDescent="0.25">
      <c r="A236" t="s">
        <v>609</v>
      </c>
      <c r="B236" t="s">
        <v>615</v>
      </c>
      <c r="D236" t="s">
        <v>836</v>
      </c>
      <c r="E236" t="s">
        <v>709</v>
      </c>
      <c r="F236" t="s">
        <v>837</v>
      </c>
      <c r="G236">
        <v>6.3E-2</v>
      </c>
      <c r="K236" t="s">
        <v>649</v>
      </c>
      <c r="L236" t="s">
        <v>936</v>
      </c>
    </row>
    <row r="237" spans="1:12" x14ac:dyDescent="0.25">
      <c r="A237" t="s">
        <v>609</v>
      </c>
      <c r="B237" t="s">
        <v>617</v>
      </c>
      <c r="D237" t="s">
        <v>836</v>
      </c>
      <c r="E237" t="s">
        <v>709</v>
      </c>
      <c r="F237" t="s">
        <v>12</v>
      </c>
      <c r="G237">
        <v>1.2E-2</v>
      </c>
      <c r="K237" t="s">
        <v>13</v>
      </c>
      <c r="L237" t="s">
        <v>936</v>
      </c>
    </row>
    <row r="238" spans="1:12" x14ac:dyDescent="0.25">
      <c r="A238" t="s">
        <v>662</v>
      </c>
      <c r="B238" t="s">
        <v>847</v>
      </c>
      <c r="D238" t="s">
        <v>571</v>
      </c>
      <c r="F238" t="s">
        <v>12</v>
      </c>
      <c r="G238">
        <v>0.192</v>
      </c>
      <c r="K238" t="s">
        <v>649</v>
      </c>
      <c r="L238" t="s">
        <v>936</v>
      </c>
    </row>
    <row r="239" spans="1:12" x14ac:dyDescent="0.25">
      <c r="A239" t="s">
        <v>662</v>
      </c>
      <c r="B239" t="s">
        <v>28</v>
      </c>
      <c r="D239" t="s">
        <v>571</v>
      </c>
      <c r="F239" t="s">
        <v>12</v>
      </c>
      <c r="G239">
        <v>2E-3</v>
      </c>
      <c r="K239" t="s">
        <v>13</v>
      </c>
      <c r="L239" t="s">
        <v>936</v>
      </c>
    </row>
    <row r="240" spans="1:12" x14ac:dyDescent="0.25">
      <c r="A240" t="s">
        <v>662</v>
      </c>
      <c r="B240" t="s">
        <v>27</v>
      </c>
      <c r="D240" t="s">
        <v>571</v>
      </c>
      <c r="F240" t="s">
        <v>12</v>
      </c>
      <c r="G240">
        <v>2E-3</v>
      </c>
      <c r="K240" t="s">
        <v>13</v>
      </c>
      <c r="L240" t="s">
        <v>936</v>
      </c>
    </row>
    <row r="241" spans="1:12" x14ac:dyDescent="0.25">
      <c r="A241" t="s">
        <v>662</v>
      </c>
      <c r="B241" t="s">
        <v>26</v>
      </c>
      <c r="D241" t="s">
        <v>571</v>
      </c>
      <c r="F241" t="s">
        <v>12</v>
      </c>
      <c r="G241">
        <v>2E-3</v>
      </c>
      <c r="K241" t="s">
        <v>13</v>
      </c>
      <c r="L241" t="s">
        <v>936</v>
      </c>
    </row>
    <row r="242" spans="1:12" x14ac:dyDescent="0.25">
      <c r="A242" t="s">
        <v>662</v>
      </c>
      <c r="B242" t="s">
        <v>21</v>
      </c>
      <c r="D242" t="s">
        <v>571</v>
      </c>
      <c r="F242" t="s">
        <v>12</v>
      </c>
      <c r="G242">
        <v>2E-3</v>
      </c>
      <c r="K242" t="s">
        <v>13</v>
      </c>
      <c r="L242" t="s">
        <v>936</v>
      </c>
    </row>
    <row r="243" spans="1:12" x14ac:dyDescent="0.25">
      <c r="A243" t="s">
        <v>662</v>
      </c>
      <c r="B243" t="s">
        <v>22</v>
      </c>
      <c r="D243" t="s">
        <v>571</v>
      </c>
      <c r="F243" t="s">
        <v>12</v>
      </c>
      <c r="G243">
        <v>2E-3</v>
      </c>
      <c r="K243" t="s">
        <v>13</v>
      </c>
      <c r="L243" t="s">
        <v>936</v>
      </c>
    </row>
    <row r="244" spans="1:12" x14ac:dyDescent="0.25">
      <c r="A244" t="s">
        <v>662</v>
      </c>
      <c r="B244" t="s">
        <v>19</v>
      </c>
      <c r="D244" t="s">
        <v>571</v>
      </c>
      <c r="F244" t="s">
        <v>12</v>
      </c>
      <c r="G244">
        <v>2E-3</v>
      </c>
      <c r="K244" t="s">
        <v>13</v>
      </c>
      <c r="L244" t="s">
        <v>936</v>
      </c>
    </row>
    <row r="245" spans="1:12" x14ac:dyDescent="0.25">
      <c r="A245" t="s">
        <v>662</v>
      </c>
      <c r="B245" t="s">
        <v>20</v>
      </c>
      <c r="D245" t="s">
        <v>571</v>
      </c>
      <c r="F245" t="s">
        <v>12</v>
      </c>
      <c r="G245">
        <v>2E-3</v>
      </c>
      <c r="K245" t="s">
        <v>13</v>
      </c>
      <c r="L245" t="s">
        <v>936</v>
      </c>
    </row>
    <row r="246" spans="1:12" x14ac:dyDescent="0.25">
      <c r="A246" t="s">
        <v>662</v>
      </c>
      <c r="B246" t="s">
        <v>44</v>
      </c>
      <c r="D246" t="s">
        <v>571</v>
      </c>
      <c r="F246" t="s">
        <v>12</v>
      </c>
      <c r="G246">
        <v>2E-3</v>
      </c>
      <c r="K246" t="s">
        <v>13</v>
      </c>
      <c r="L246" t="s">
        <v>936</v>
      </c>
    </row>
    <row r="247" spans="1:12" x14ac:dyDescent="0.25">
      <c r="A247" t="s">
        <v>662</v>
      </c>
      <c r="B247" t="s">
        <v>45</v>
      </c>
      <c r="D247" t="s">
        <v>571</v>
      </c>
      <c r="F247" t="s">
        <v>12</v>
      </c>
      <c r="G247">
        <v>2E-3</v>
      </c>
      <c r="K247" t="s">
        <v>13</v>
      </c>
      <c r="L247" t="s">
        <v>936</v>
      </c>
    </row>
    <row r="248" spans="1:12" x14ac:dyDescent="0.25">
      <c r="A248" t="s">
        <v>662</v>
      </c>
      <c r="B248" t="s">
        <v>46</v>
      </c>
      <c r="D248" t="s">
        <v>571</v>
      </c>
      <c r="F248" t="s">
        <v>12</v>
      </c>
      <c r="G248">
        <v>2E-3</v>
      </c>
      <c r="K248" t="s">
        <v>13</v>
      </c>
      <c r="L248" t="s">
        <v>936</v>
      </c>
    </row>
    <row r="249" spans="1:12" x14ac:dyDescent="0.25">
      <c r="A249" t="s">
        <v>662</v>
      </c>
      <c r="B249" t="s">
        <v>47</v>
      </c>
      <c r="D249" t="s">
        <v>571</v>
      </c>
      <c r="F249" t="s">
        <v>12</v>
      </c>
      <c r="G249">
        <v>2E-3</v>
      </c>
      <c r="K249" t="s">
        <v>13</v>
      </c>
      <c r="L249" t="s">
        <v>936</v>
      </c>
    </row>
    <row r="250" spans="1:12" x14ac:dyDescent="0.25">
      <c r="A250" t="s">
        <v>662</v>
      </c>
      <c r="B250" t="s">
        <v>43</v>
      </c>
      <c r="D250" t="s">
        <v>571</v>
      </c>
      <c r="F250" t="s">
        <v>12</v>
      </c>
      <c r="G250">
        <v>2E-3</v>
      </c>
      <c r="K250" t="s">
        <v>13</v>
      </c>
      <c r="L250" t="s">
        <v>936</v>
      </c>
    </row>
    <row r="251" spans="1:12" x14ac:dyDescent="0.25">
      <c r="A251" t="s">
        <v>662</v>
      </c>
      <c r="B251" t="s">
        <v>282</v>
      </c>
      <c r="D251" t="s">
        <v>571</v>
      </c>
      <c r="E251" t="s">
        <v>709</v>
      </c>
      <c r="F251" t="s">
        <v>12</v>
      </c>
      <c r="G251">
        <v>2.3180000000000001</v>
      </c>
      <c r="K251" t="s">
        <v>649</v>
      </c>
      <c r="L251" t="s">
        <v>936</v>
      </c>
    </row>
    <row r="252" spans="1:12" x14ac:dyDescent="0.25">
      <c r="A252" t="s">
        <v>296</v>
      </c>
      <c r="B252" t="s">
        <v>297</v>
      </c>
      <c r="D252" t="s">
        <v>571</v>
      </c>
      <c r="E252" t="s">
        <v>709</v>
      </c>
      <c r="F252" t="s">
        <v>52</v>
      </c>
      <c r="G252">
        <v>7.6449999999999996</v>
      </c>
      <c r="K252" t="s">
        <v>649</v>
      </c>
      <c r="L252" t="s">
        <v>936</v>
      </c>
    </row>
    <row r="253" spans="1:12" x14ac:dyDescent="0.25">
      <c r="A253" t="s">
        <v>296</v>
      </c>
      <c r="B253" t="s">
        <v>298</v>
      </c>
      <c r="D253" t="s">
        <v>571</v>
      </c>
      <c r="E253" t="s">
        <v>709</v>
      </c>
      <c r="F253" t="s">
        <v>12</v>
      </c>
      <c r="G253">
        <v>0.184</v>
      </c>
      <c r="K253" t="s">
        <v>649</v>
      </c>
      <c r="L253" t="s">
        <v>936</v>
      </c>
    </row>
    <row r="254" spans="1:12" x14ac:dyDescent="0.25">
      <c r="A254" t="s">
        <v>296</v>
      </c>
      <c r="B254" t="s">
        <v>299</v>
      </c>
      <c r="D254" t="s">
        <v>571</v>
      </c>
      <c r="E254" t="s">
        <v>709</v>
      </c>
      <c r="F254" t="s">
        <v>12</v>
      </c>
      <c r="G254">
        <v>0.184</v>
      </c>
      <c r="K254" t="s">
        <v>649</v>
      </c>
      <c r="L254" t="s">
        <v>936</v>
      </c>
    </row>
    <row r="255" spans="1:12" x14ac:dyDescent="0.25">
      <c r="A255" t="s">
        <v>296</v>
      </c>
      <c r="B255" t="s">
        <v>300</v>
      </c>
      <c r="D255" t="s">
        <v>571</v>
      </c>
      <c r="E255" t="s">
        <v>709</v>
      </c>
      <c r="F255" t="s">
        <v>12</v>
      </c>
      <c r="G255">
        <v>0.183</v>
      </c>
      <c r="K255" t="s">
        <v>649</v>
      </c>
      <c r="L255" t="s">
        <v>936</v>
      </c>
    </row>
    <row r="256" spans="1:12" x14ac:dyDescent="0.25">
      <c r="A256" t="s">
        <v>296</v>
      </c>
      <c r="B256" t="s">
        <v>301</v>
      </c>
      <c r="D256" t="s">
        <v>571</v>
      </c>
      <c r="E256" t="s">
        <v>709</v>
      </c>
      <c r="F256" t="s">
        <v>12</v>
      </c>
      <c r="G256">
        <v>0.184</v>
      </c>
      <c r="K256" t="s">
        <v>649</v>
      </c>
      <c r="L256" t="s">
        <v>936</v>
      </c>
    </row>
    <row r="257" spans="1:12" x14ac:dyDescent="0.25">
      <c r="A257" t="s">
        <v>296</v>
      </c>
      <c r="B257" t="s">
        <v>302</v>
      </c>
      <c r="D257" t="s">
        <v>571</v>
      </c>
      <c r="E257" t="s">
        <v>709</v>
      </c>
      <c r="F257" t="s">
        <v>837</v>
      </c>
      <c r="G257">
        <v>0.08</v>
      </c>
      <c r="K257" t="s">
        <v>649</v>
      </c>
      <c r="L257" t="s">
        <v>936</v>
      </c>
    </row>
    <row r="258" spans="1:12" x14ac:dyDescent="0.25">
      <c r="A258" t="s">
        <v>296</v>
      </c>
      <c r="B258" t="s">
        <v>303</v>
      </c>
      <c r="D258" t="s">
        <v>571</v>
      </c>
      <c r="E258" t="s">
        <v>709</v>
      </c>
      <c r="F258" t="s">
        <v>837</v>
      </c>
      <c r="G258">
        <v>7.9000000000000001E-2</v>
      </c>
      <c r="K258" t="s">
        <v>649</v>
      </c>
      <c r="L258" t="s">
        <v>936</v>
      </c>
    </row>
    <row r="259" spans="1:12" x14ac:dyDescent="0.25">
      <c r="A259" t="s">
        <v>296</v>
      </c>
      <c r="B259" t="s">
        <v>304</v>
      </c>
      <c r="D259" t="s">
        <v>571</v>
      </c>
      <c r="E259" t="s">
        <v>709</v>
      </c>
      <c r="F259" t="s">
        <v>837</v>
      </c>
      <c r="G259">
        <v>0.08</v>
      </c>
      <c r="K259" t="s">
        <v>649</v>
      </c>
      <c r="L259" t="s">
        <v>936</v>
      </c>
    </row>
    <row r="260" spans="1:12" x14ac:dyDescent="0.25">
      <c r="A260" t="s">
        <v>296</v>
      </c>
      <c r="B260" t="s">
        <v>305</v>
      </c>
      <c r="D260" t="s">
        <v>571</v>
      </c>
      <c r="E260" t="s">
        <v>709</v>
      </c>
      <c r="F260" t="s">
        <v>837</v>
      </c>
      <c r="G260">
        <v>7.8E-2</v>
      </c>
      <c r="K260" t="s">
        <v>649</v>
      </c>
      <c r="L260" t="s">
        <v>936</v>
      </c>
    </row>
    <row r="261" spans="1:12" x14ac:dyDescent="0.25">
      <c r="A261" t="s">
        <v>296</v>
      </c>
      <c r="B261" t="s">
        <v>306</v>
      </c>
      <c r="D261" t="s">
        <v>571</v>
      </c>
      <c r="E261" t="s">
        <v>709</v>
      </c>
      <c r="F261" t="s">
        <v>837</v>
      </c>
      <c r="G261">
        <v>0.08</v>
      </c>
      <c r="K261" t="s">
        <v>649</v>
      </c>
      <c r="L261" t="s">
        <v>936</v>
      </c>
    </row>
    <row r="262" spans="1:12" x14ac:dyDescent="0.25">
      <c r="A262" t="s">
        <v>296</v>
      </c>
      <c r="B262" t="s">
        <v>307</v>
      </c>
      <c r="D262" t="s">
        <v>571</v>
      </c>
      <c r="E262" t="s">
        <v>709</v>
      </c>
      <c r="F262" t="s">
        <v>837</v>
      </c>
      <c r="G262">
        <v>7.4999999999999997E-2</v>
      </c>
      <c r="K262" t="s">
        <v>649</v>
      </c>
      <c r="L262" t="s">
        <v>936</v>
      </c>
    </row>
    <row r="263" spans="1:12" x14ac:dyDescent="0.25">
      <c r="A263" t="s">
        <v>296</v>
      </c>
      <c r="B263" t="s">
        <v>308</v>
      </c>
      <c r="D263" t="s">
        <v>571</v>
      </c>
      <c r="E263" t="s">
        <v>709</v>
      </c>
      <c r="F263" t="s">
        <v>837</v>
      </c>
      <c r="G263">
        <v>7.2999999999999995E-2</v>
      </c>
      <c r="K263" t="s">
        <v>649</v>
      </c>
      <c r="L263" t="s">
        <v>936</v>
      </c>
    </row>
    <row r="264" spans="1:12" x14ac:dyDescent="0.25">
      <c r="A264" t="s">
        <v>296</v>
      </c>
      <c r="B264" t="s">
        <v>309</v>
      </c>
      <c r="D264" t="s">
        <v>571</v>
      </c>
      <c r="E264" t="s">
        <v>709</v>
      </c>
      <c r="F264" t="s">
        <v>837</v>
      </c>
      <c r="G264">
        <v>7.3999999999999996E-2</v>
      </c>
      <c r="K264" t="s">
        <v>649</v>
      </c>
      <c r="L264" t="s">
        <v>936</v>
      </c>
    </row>
    <row r="265" spans="1:12" x14ac:dyDescent="0.25">
      <c r="A265" t="s">
        <v>296</v>
      </c>
      <c r="B265" t="s">
        <v>310</v>
      </c>
      <c r="D265" t="s">
        <v>571</v>
      </c>
      <c r="E265" t="s">
        <v>709</v>
      </c>
      <c r="F265" t="s">
        <v>12</v>
      </c>
      <c r="G265">
        <v>8.7999999999999995E-2</v>
      </c>
      <c r="K265" t="s">
        <v>649</v>
      </c>
      <c r="L265" t="s">
        <v>936</v>
      </c>
    </row>
    <row r="266" spans="1:12" x14ac:dyDescent="0.25">
      <c r="A266" t="s">
        <v>296</v>
      </c>
      <c r="B266" t="s">
        <v>311</v>
      </c>
      <c r="D266" t="s">
        <v>571</v>
      </c>
      <c r="E266" t="s">
        <v>709</v>
      </c>
      <c r="F266" t="s">
        <v>12</v>
      </c>
      <c r="G266">
        <v>0.10299999999999999</v>
      </c>
      <c r="K266" t="s">
        <v>649</v>
      </c>
      <c r="L266" t="s">
        <v>936</v>
      </c>
    </row>
    <row r="267" spans="1:12" x14ac:dyDescent="0.25">
      <c r="A267" t="s">
        <v>296</v>
      </c>
      <c r="B267" t="s">
        <v>312</v>
      </c>
      <c r="D267" t="s">
        <v>571</v>
      </c>
      <c r="E267" t="s">
        <v>709</v>
      </c>
      <c r="F267" t="s">
        <v>12</v>
      </c>
      <c r="G267">
        <v>0.152</v>
      </c>
      <c r="K267" t="s">
        <v>649</v>
      </c>
      <c r="L267" t="s">
        <v>936</v>
      </c>
    </row>
    <row r="268" spans="1:12" x14ac:dyDescent="0.25">
      <c r="A268" t="s">
        <v>296</v>
      </c>
      <c r="B268" t="s">
        <v>313</v>
      </c>
      <c r="D268" t="s">
        <v>571</v>
      </c>
      <c r="E268" t="s">
        <v>709</v>
      </c>
      <c r="F268" t="s">
        <v>12</v>
      </c>
      <c r="G268">
        <v>0.11700000000000001</v>
      </c>
      <c r="K268" t="s">
        <v>649</v>
      </c>
      <c r="L268" t="s">
        <v>936</v>
      </c>
    </row>
    <row r="269" spans="1:12" x14ac:dyDescent="0.25">
      <c r="A269" t="s">
        <v>296</v>
      </c>
      <c r="B269" t="s">
        <v>314</v>
      </c>
      <c r="D269" t="s">
        <v>571</v>
      </c>
      <c r="E269" t="s">
        <v>709</v>
      </c>
      <c r="F269" t="s">
        <v>12</v>
      </c>
      <c r="G269">
        <v>8.5999999999999993E-2</v>
      </c>
      <c r="K269" t="s">
        <v>649</v>
      </c>
      <c r="L269" t="s">
        <v>936</v>
      </c>
    </row>
    <row r="270" spans="1:12" x14ac:dyDescent="0.25">
      <c r="A270" t="s">
        <v>296</v>
      </c>
      <c r="B270" t="s">
        <v>315</v>
      </c>
      <c r="D270" t="s">
        <v>571</v>
      </c>
      <c r="E270" t="s">
        <v>709</v>
      </c>
      <c r="F270" t="s">
        <v>12</v>
      </c>
      <c r="G270">
        <v>0.122</v>
      </c>
      <c r="K270" t="s">
        <v>649</v>
      </c>
      <c r="L270" t="s">
        <v>936</v>
      </c>
    </row>
    <row r="271" spans="1:12" x14ac:dyDescent="0.25">
      <c r="A271" t="s">
        <v>296</v>
      </c>
      <c r="B271" t="s">
        <v>316</v>
      </c>
      <c r="D271" t="s">
        <v>571</v>
      </c>
      <c r="E271" t="s">
        <v>709</v>
      </c>
      <c r="F271" t="s">
        <v>12</v>
      </c>
      <c r="G271">
        <v>0.111</v>
      </c>
      <c r="K271" t="s">
        <v>649</v>
      </c>
      <c r="L271" t="s">
        <v>936</v>
      </c>
    </row>
    <row r="272" spans="1:12" x14ac:dyDescent="0.25">
      <c r="A272" t="s">
        <v>296</v>
      </c>
      <c r="B272" t="s">
        <v>317</v>
      </c>
      <c r="D272" t="s">
        <v>571</v>
      </c>
      <c r="E272" t="s">
        <v>709</v>
      </c>
      <c r="F272" t="s">
        <v>12</v>
      </c>
      <c r="G272">
        <v>0.23100000000000001</v>
      </c>
      <c r="K272" t="s">
        <v>649</v>
      </c>
      <c r="L272" t="s">
        <v>936</v>
      </c>
    </row>
    <row r="273" spans="1:12" x14ac:dyDescent="0.25">
      <c r="A273" t="s">
        <v>296</v>
      </c>
      <c r="B273" t="s">
        <v>318</v>
      </c>
      <c r="D273" t="s">
        <v>571</v>
      </c>
      <c r="E273" t="s">
        <v>709</v>
      </c>
      <c r="F273" t="s">
        <v>12</v>
      </c>
      <c r="G273">
        <v>0.34399999999999997</v>
      </c>
      <c r="K273" t="s">
        <v>649</v>
      </c>
      <c r="L273" t="s">
        <v>936</v>
      </c>
    </row>
    <row r="274" spans="1:12" x14ac:dyDescent="0.25">
      <c r="A274" t="s">
        <v>296</v>
      </c>
      <c r="B274" t="s">
        <v>319</v>
      </c>
      <c r="D274" t="s">
        <v>571</v>
      </c>
      <c r="E274" t="s">
        <v>709</v>
      </c>
      <c r="F274" t="s">
        <v>12</v>
      </c>
      <c r="G274">
        <v>0.14499999999999999</v>
      </c>
      <c r="K274" t="s">
        <v>649</v>
      </c>
      <c r="L274" t="s">
        <v>936</v>
      </c>
    </row>
    <row r="275" spans="1:12" x14ac:dyDescent="0.25">
      <c r="A275" t="s">
        <v>296</v>
      </c>
      <c r="B275" t="s">
        <v>320</v>
      </c>
      <c r="D275" t="s">
        <v>571</v>
      </c>
      <c r="E275" t="s">
        <v>709</v>
      </c>
      <c r="F275" t="s">
        <v>12</v>
      </c>
      <c r="G275">
        <v>0.27400000000000002</v>
      </c>
      <c r="K275" t="s">
        <v>649</v>
      </c>
      <c r="L275" t="s">
        <v>936</v>
      </c>
    </row>
    <row r="276" spans="1:12" x14ac:dyDescent="0.25">
      <c r="A276" t="s">
        <v>296</v>
      </c>
      <c r="B276" t="s">
        <v>31</v>
      </c>
      <c r="D276" t="s">
        <v>571</v>
      </c>
      <c r="E276" t="s">
        <v>709</v>
      </c>
      <c r="F276" t="s">
        <v>837</v>
      </c>
      <c r="G276">
        <v>1.3759999999999999</v>
      </c>
      <c r="K276" t="s">
        <v>649</v>
      </c>
      <c r="L276" t="s">
        <v>936</v>
      </c>
    </row>
    <row r="277" spans="1:12" x14ac:dyDescent="0.25">
      <c r="A277" t="s">
        <v>296</v>
      </c>
      <c r="B277" t="s">
        <v>34</v>
      </c>
      <c r="D277" t="s">
        <v>571</v>
      </c>
      <c r="E277" t="s">
        <v>709</v>
      </c>
      <c r="F277" t="s">
        <v>52</v>
      </c>
      <c r="G277">
        <v>0.97399999999999998</v>
      </c>
      <c r="K277" t="s">
        <v>649</v>
      </c>
      <c r="L277" t="s">
        <v>936</v>
      </c>
    </row>
    <row r="278" spans="1:12" x14ac:dyDescent="0.25">
      <c r="A278" t="s">
        <v>296</v>
      </c>
      <c r="B278" t="s">
        <v>323</v>
      </c>
      <c r="D278" t="s">
        <v>571</v>
      </c>
      <c r="E278" t="s">
        <v>709</v>
      </c>
      <c r="F278" t="s">
        <v>12</v>
      </c>
      <c r="G278">
        <v>0.16700000000000001</v>
      </c>
      <c r="K278" t="s">
        <v>649</v>
      </c>
      <c r="L278" t="s">
        <v>936</v>
      </c>
    </row>
    <row r="279" spans="1:12" x14ac:dyDescent="0.25">
      <c r="A279" t="s">
        <v>296</v>
      </c>
      <c r="B279" t="s">
        <v>858</v>
      </c>
      <c r="D279" t="s">
        <v>571</v>
      </c>
      <c r="E279" t="s">
        <v>709</v>
      </c>
      <c r="F279" t="s">
        <v>12</v>
      </c>
      <c r="G279">
        <v>8.6999999999999994E-2</v>
      </c>
      <c r="K279" t="s">
        <v>649</v>
      </c>
      <c r="L279" t="s">
        <v>936</v>
      </c>
    </row>
    <row r="280" spans="1:12" x14ac:dyDescent="0.25">
      <c r="A280" t="s">
        <v>296</v>
      </c>
      <c r="B280" t="s">
        <v>859</v>
      </c>
      <c r="D280" t="s">
        <v>571</v>
      </c>
      <c r="E280" t="s">
        <v>709</v>
      </c>
      <c r="F280" t="s">
        <v>12</v>
      </c>
      <c r="G280">
        <v>0.106</v>
      </c>
      <c r="K280" t="s">
        <v>649</v>
      </c>
      <c r="L280" t="s">
        <v>936</v>
      </c>
    </row>
    <row r="281" spans="1:12" x14ac:dyDescent="0.25">
      <c r="A281" t="s">
        <v>296</v>
      </c>
      <c r="B281" t="s">
        <v>860</v>
      </c>
      <c r="D281" t="s">
        <v>571</v>
      </c>
      <c r="E281" t="s">
        <v>709</v>
      </c>
      <c r="F281" t="s">
        <v>12</v>
      </c>
      <c r="G281">
        <v>0.38600000000000001</v>
      </c>
      <c r="K281" t="s">
        <v>649</v>
      </c>
      <c r="L281" t="s">
        <v>936</v>
      </c>
    </row>
    <row r="282" spans="1:12" x14ac:dyDescent="0.25">
      <c r="A282" t="s">
        <v>296</v>
      </c>
      <c r="B282" t="s">
        <v>861</v>
      </c>
      <c r="D282" t="s">
        <v>571</v>
      </c>
      <c r="E282" t="s">
        <v>709</v>
      </c>
      <c r="F282" t="s">
        <v>12</v>
      </c>
      <c r="G282">
        <v>0.249</v>
      </c>
      <c r="K282" t="s">
        <v>649</v>
      </c>
      <c r="L282" t="s">
        <v>936</v>
      </c>
    </row>
    <row r="283" spans="1:12" x14ac:dyDescent="0.25">
      <c r="A283" t="s">
        <v>296</v>
      </c>
      <c r="B283" t="s">
        <v>862</v>
      </c>
      <c r="D283" t="s">
        <v>571</v>
      </c>
      <c r="E283" t="s">
        <v>709</v>
      </c>
      <c r="F283" t="s">
        <v>12</v>
      </c>
      <c r="G283">
        <v>6.0999999999999999E-2</v>
      </c>
      <c r="K283" t="s">
        <v>649</v>
      </c>
      <c r="L283" t="s">
        <v>936</v>
      </c>
    </row>
    <row r="284" spans="1:12" x14ac:dyDescent="0.25">
      <c r="A284" t="s">
        <v>296</v>
      </c>
      <c r="B284" t="s">
        <v>863</v>
      </c>
      <c r="D284" t="s">
        <v>571</v>
      </c>
      <c r="E284" t="s">
        <v>709</v>
      </c>
      <c r="F284" t="s">
        <v>12</v>
      </c>
      <c r="G284">
        <v>4.2000000000000003E-2</v>
      </c>
      <c r="K284" t="s">
        <v>649</v>
      </c>
      <c r="L284" t="s">
        <v>936</v>
      </c>
    </row>
    <row r="285" spans="1:12" x14ac:dyDescent="0.25">
      <c r="A285" t="s">
        <v>296</v>
      </c>
      <c r="B285" t="s">
        <v>864</v>
      </c>
      <c r="D285" t="s">
        <v>571</v>
      </c>
      <c r="E285" t="s">
        <v>709</v>
      </c>
      <c r="F285" t="s">
        <v>12</v>
      </c>
      <c r="G285">
        <v>3.6999999999999998E-2</v>
      </c>
      <c r="K285" t="s">
        <v>649</v>
      </c>
      <c r="L285" t="s">
        <v>936</v>
      </c>
    </row>
    <row r="286" spans="1:12" x14ac:dyDescent="0.25">
      <c r="A286" t="s">
        <v>296</v>
      </c>
      <c r="B286" t="s">
        <v>865</v>
      </c>
      <c r="D286" t="s">
        <v>571</v>
      </c>
      <c r="E286" t="s">
        <v>709</v>
      </c>
      <c r="F286" t="s">
        <v>12</v>
      </c>
      <c r="G286">
        <v>3.3000000000000002E-2</v>
      </c>
      <c r="K286" t="s">
        <v>649</v>
      </c>
      <c r="L286" t="s">
        <v>936</v>
      </c>
    </row>
    <row r="287" spans="1:12" x14ac:dyDescent="0.25">
      <c r="A287" t="s">
        <v>296</v>
      </c>
      <c r="B287" t="s">
        <v>866</v>
      </c>
      <c r="D287" t="s">
        <v>571</v>
      </c>
      <c r="E287" t="s">
        <v>709</v>
      </c>
      <c r="F287" t="s">
        <v>12</v>
      </c>
      <c r="G287">
        <v>5.0999999999999997E-2</v>
      </c>
      <c r="K287" t="s">
        <v>649</v>
      </c>
      <c r="L287" t="s">
        <v>936</v>
      </c>
    </row>
    <row r="288" spans="1:12" x14ac:dyDescent="0.25">
      <c r="A288" t="s">
        <v>296</v>
      </c>
      <c r="B288" t="s">
        <v>867</v>
      </c>
      <c r="D288" t="s">
        <v>571</v>
      </c>
      <c r="E288" t="s">
        <v>709</v>
      </c>
      <c r="F288" t="s">
        <v>12</v>
      </c>
      <c r="G288">
        <v>7.3999999999999996E-2</v>
      </c>
      <c r="K288" t="s">
        <v>649</v>
      </c>
      <c r="L288" t="s">
        <v>936</v>
      </c>
    </row>
    <row r="289" spans="1:12" x14ac:dyDescent="0.25">
      <c r="A289" t="s">
        <v>296</v>
      </c>
      <c r="B289" t="s">
        <v>868</v>
      </c>
      <c r="D289" t="s">
        <v>571</v>
      </c>
      <c r="E289" t="s">
        <v>709</v>
      </c>
      <c r="F289" t="s">
        <v>12</v>
      </c>
      <c r="G289">
        <v>6.5000000000000002E-2</v>
      </c>
      <c r="K289" t="s">
        <v>649</v>
      </c>
      <c r="L289" t="s">
        <v>936</v>
      </c>
    </row>
    <row r="290" spans="1:12" x14ac:dyDescent="0.25">
      <c r="A290" t="s">
        <v>296</v>
      </c>
      <c r="B290" t="s">
        <v>869</v>
      </c>
      <c r="D290" t="s">
        <v>571</v>
      </c>
      <c r="E290" t="s">
        <v>709</v>
      </c>
      <c r="F290" t="s">
        <v>12</v>
      </c>
      <c r="G290">
        <v>5.0999999999999997E-2</v>
      </c>
      <c r="K290" t="s">
        <v>649</v>
      </c>
      <c r="L290" t="s">
        <v>936</v>
      </c>
    </row>
    <row r="291" spans="1:12" x14ac:dyDescent="0.25">
      <c r="A291" t="s">
        <v>296</v>
      </c>
      <c r="B291" t="s">
        <v>870</v>
      </c>
      <c r="D291" t="s">
        <v>571</v>
      </c>
      <c r="E291" t="s">
        <v>709</v>
      </c>
      <c r="F291" t="s">
        <v>12</v>
      </c>
      <c r="G291">
        <v>8.6999999999999994E-2</v>
      </c>
      <c r="K291" t="s">
        <v>649</v>
      </c>
      <c r="L291" t="s">
        <v>936</v>
      </c>
    </row>
    <row r="292" spans="1:12" x14ac:dyDescent="0.25">
      <c r="A292" t="s">
        <v>296</v>
      </c>
      <c r="B292" t="s">
        <v>871</v>
      </c>
      <c r="D292" t="s">
        <v>571</v>
      </c>
      <c r="E292" t="s">
        <v>709</v>
      </c>
      <c r="F292" t="s">
        <v>12</v>
      </c>
      <c r="G292">
        <v>2.5999999999999999E-2</v>
      </c>
      <c r="K292" t="s">
        <v>649</v>
      </c>
      <c r="L292" t="s">
        <v>936</v>
      </c>
    </row>
    <row r="293" spans="1:12" x14ac:dyDescent="0.25">
      <c r="A293" t="s">
        <v>296</v>
      </c>
      <c r="B293" t="s">
        <v>872</v>
      </c>
      <c r="D293" t="s">
        <v>571</v>
      </c>
      <c r="E293" t="s">
        <v>709</v>
      </c>
      <c r="F293" t="s">
        <v>12</v>
      </c>
      <c r="G293">
        <v>2.9000000000000001E-2</v>
      </c>
      <c r="K293" t="s">
        <v>649</v>
      </c>
      <c r="L293" t="s">
        <v>936</v>
      </c>
    </row>
    <row r="294" spans="1:12" x14ac:dyDescent="0.25">
      <c r="A294" t="s">
        <v>296</v>
      </c>
      <c r="B294" t="s">
        <v>873</v>
      </c>
      <c r="D294" t="s">
        <v>571</v>
      </c>
      <c r="E294" t="s">
        <v>709</v>
      </c>
      <c r="F294" t="s">
        <v>12</v>
      </c>
      <c r="G294">
        <v>0.03</v>
      </c>
      <c r="K294" t="s">
        <v>649</v>
      </c>
      <c r="L294" t="s">
        <v>936</v>
      </c>
    </row>
    <row r="295" spans="1:12" x14ac:dyDescent="0.25">
      <c r="A295" t="s">
        <v>296</v>
      </c>
      <c r="B295" t="s">
        <v>874</v>
      </c>
      <c r="D295" t="s">
        <v>571</v>
      </c>
      <c r="E295" t="s">
        <v>709</v>
      </c>
      <c r="F295" t="s">
        <v>12</v>
      </c>
      <c r="G295">
        <v>3.3000000000000002E-2</v>
      </c>
      <c r="K295" t="s">
        <v>649</v>
      </c>
      <c r="L295" t="s">
        <v>936</v>
      </c>
    </row>
    <row r="296" spans="1:12" x14ac:dyDescent="0.25">
      <c r="A296" t="s">
        <v>296</v>
      </c>
      <c r="B296" t="s">
        <v>875</v>
      </c>
      <c r="D296" t="s">
        <v>571</v>
      </c>
      <c r="E296" t="s">
        <v>709</v>
      </c>
      <c r="F296" t="s">
        <v>837</v>
      </c>
      <c r="G296">
        <v>0.10199999999999999</v>
      </c>
      <c r="K296" t="s">
        <v>649</v>
      </c>
      <c r="L296" t="s">
        <v>936</v>
      </c>
    </row>
    <row r="297" spans="1:12" x14ac:dyDescent="0.25">
      <c r="A297" t="s">
        <v>296</v>
      </c>
      <c r="B297" t="s">
        <v>876</v>
      </c>
      <c r="D297" t="s">
        <v>571</v>
      </c>
      <c r="E297" t="s">
        <v>709</v>
      </c>
      <c r="F297" t="s">
        <v>837</v>
      </c>
      <c r="G297">
        <v>0.10299999999999999</v>
      </c>
      <c r="K297" t="s">
        <v>649</v>
      </c>
      <c r="L297" t="s">
        <v>936</v>
      </c>
    </row>
    <row r="298" spans="1:12" x14ac:dyDescent="0.25">
      <c r="A298" t="s">
        <v>296</v>
      </c>
      <c r="B298" t="s">
        <v>877</v>
      </c>
      <c r="D298" t="s">
        <v>571</v>
      </c>
      <c r="E298" t="s">
        <v>709</v>
      </c>
      <c r="F298" t="s">
        <v>12</v>
      </c>
      <c r="G298">
        <v>0.114</v>
      </c>
      <c r="K298" t="s">
        <v>649</v>
      </c>
      <c r="L298" t="s">
        <v>936</v>
      </c>
    </row>
    <row r="299" spans="1:12" x14ac:dyDescent="0.25">
      <c r="A299" t="s">
        <v>296</v>
      </c>
      <c r="B299" t="s">
        <v>878</v>
      </c>
      <c r="D299" t="s">
        <v>571</v>
      </c>
      <c r="E299" t="s">
        <v>709</v>
      </c>
      <c r="F299" t="s">
        <v>12</v>
      </c>
      <c r="G299">
        <v>0.1</v>
      </c>
      <c r="K299" t="s">
        <v>649</v>
      </c>
      <c r="L299" t="s">
        <v>936</v>
      </c>
    </row>
    <row r="300" spans="1:12" x14ac:dyDescent="0.25">
      <c r="A300" t="s">
        <v>296</v>
      </c>
      <c r="B300" t="s">
        <v>879</v>
      </c>
      <c r="D300" t="s">
        <v>571</v>
      </c>
      <c r="E300" t="s">
        <v>709</v>
      </c>
      <c r="F300" t="s">
        <v>12</v>
      </c>
      <c r="G300">
        <v>0.108</v>
      </c>
      <c r="K300" t="s">
        <v>649</v>
      </c>
      <c r="L300" t="s">
        <v>936</v>
      </c>
    </row>
    <row r="301" spans="1:12" x14ac:dyDescent="0.25">
      <c r="A301" t="s">
        <v>296</v>
      </c>
      <c r="B301" t="s">
        <v>880</v>
      </c>
      <c r="D301" t="s">
        <v>571</v>
      </c>
      <c r="E301" t="s">
        <v>709</v>
      </c>
      <c r="F301" t="s">
        <v>12</v>
      </c>
      <c r="G301">
        <v>4.1000000000000002E-2</v>
      </c>
      <c r="K301" t="s">
        <v>649</v>
      </c>
      <c r="L301" t="s">
        <v>936</v>
      </c>
    </row>
    <row r="302" spans="1:12" x14ac:dyDescent="0.25">
      <c r="A302" t="s">
        <v>296</v>
      </c>
      <c r="B302" t="s">
        <v>881</v>
      </c>
      <c r="D302" t="s">
        <v>571</v>
      </c>
      <c r="E302" t="s">
        <v>709</v>
      </c>
      <c r="F302" t="s">
        <v>12</v>
      </c>
      <c r="G302">
        <v>0.03</v>
      </c>
      <c r="K302" t="s">
        <v>649</v>
      </c>
      <c r="L302" t="s">
        <v>936</v>
      </c>
    </row>
    <row r="303" spans="1:12" x14ac:dyDescent="0.25">
      <c r="A303" t="s">
        <v>296</v>
      </c>
      <c r="B303" t="s">
        <v>882</v>
      </c>
      <c r="D303" t="s">
        <v>571</v>
      </c>
      <c r="E303" t="s">
        <v>709</v>
      </c>
      <c r="F303" t="s">
        <v>12</v>
      </c>
      <c r="G303">
        <v>7.5999999999999998E-2</v>
      </c>
      <c r="K303" t="s">
        <v>649</v>
      </c>
      <c r="L303" t="s">
        <v>936</v>
      </c>
    </row>
    <row r="304" spans="1:12" x14ac:dyDescent="0.25">
      <c r="A304" t="s">
        <v>296</v>
      </c>
      <c r="B304" t="s">
        <v>1257</v>
      </c>
      <c r="D304" t="s">
        <v>571</v>
      </c>
      <c r="E304" t="s">
        <v>709</v>
      </c>
      <c r="F304" t="s">
        <v>12</v>
      </c>
      <c r="G304">
        <v>1.6259999999999999</v>
      </c>
      <c r="K304" t="s">
        <v>649</v>
      </c>
      <c r="L304" t="s">
        <v>936</v>
      </c>
    </row>
    <row r="305" spans="1:12" x14ac:dyDescent="0.25">
      <c r="A305" t="s">
        <v>29</v>
      </c>
      <c r="B305" t="s">
        <v>34</v>
      </c>
      <c r="D305" t="s">
        <v>571</v>
      </c>
      <c r="E305" t="s">
        <v>709</v>
      </c>
      <c r="F305" t="s">
        <v>1226</v>
      </c>
      <c r="G305">
        <v>1.198</v>
      </c>
      <c r="K305" t="s">
        <v>649</v>
      </c>
      <c r="L305" t="s">
        <v>936</v>
      </c>
    </row>
    <row r="306" spans="1:12" x14ac:dyDescent="0.25">
      <c r="A306" t="s">
        <v>29</v>
      </c>
      <c r="B306" t="s">
        <v>1026</v>
      </c>
      <c r="D306" t="s">
        <v>571</v>
      </c>
      <c r="E306" t="s">
        <v>709</v>
      </c>
      <c r="F306" t="s">
        <v>837</v>
      </c>
      <c r="G306">
        <v>0.26500000000000001</v>
      </c>
      <c r="K306" t="s">
        <v>649</v>
      </c>
      <c r="L306" t="s">
        <v>936</v>
      </c>
    </row>
    <row r="307" spans="1:12" x14ac:dyDescent="0.25">
      <c r="A307" t="s">
        <v>29</v>
      </c>
      <c r="B307" t="s">
        <v>1027</v>
      </c>
      <c r="D307" t="s">
        <v>571</v>
      </c>
      <c r="E307" t="s">
        <v>709</v>
      </c>
      <c r="F307" t="s">
        <v>12</v>
      </c>
      <c r="G307">
        <v>0.39100000000000001</v>
      </c>
      <c r="K307" t="s">
        <v>649</v>
      </c>
      <c r="L307" t="s">
        <v>688</v>
      </c>
    </row>
    <row r="308" spans="1:12" x14ac:dyDescent="0.25">
      <c r="A308" t="s">
        <v>29</v>
      </c>
      <c r="B308" t="s">
        <v>1028</v>
      </c>
      <c r="D308" t="s">
        <v>571</v>
      </c>
      <c r="E308" t="s">
        <v>709</v>
      </c>
      <c r="F308" t="s">
        <v>89</v>
      </c>
      <c r="G308">
        <v>1.046</v>
      </c>
      <c r="K308" t="s">
        <v>649</v>
      </c>
      <c r="L308" t="s">
        <v>936</v>
      </c>
    </row>
    <row r="309" spans="1:12" x14ac:dyDescent="0.25">
      <c r="A309" t="s">
        <v>29</v>
      </c>
      <c r="B309" t="s">
        <v>30</v>
      </c>
      <c r="D309" t="s">
        <v>571</v>
      </c>
      <c r="E309" t="s">
        <v>709</v>
      </c>
      <c r="F309" t="s">
        <v>89</v>
      </c>
      <c r="G309">
        <v>0.52600000000000002</v>
      </c>
      <c r="K309" t="s">
        <v>649</v>
      </c>
      <c r="L309" t="s">
        <v>936</v>
      </c>
    </row>
    <row r="310" spans="1:12" x14ac:dyDescent="0.25">
      <c r="A310" t="s">
        <v>29</v>
      </c>
      <c r="B310" t="s">
        <v>1029</v>
      </c>
      <c r="D310" t="s">
        <v>571</v>
      </c>
      <c r="E310" t="s">
        <v>709</v>
      </c>
      <c r="F310" t="s">
        <v>12</v>
      </c>
      <c r="G310">
        <v>0.14299999999999999</v>
      </c>
      <c r="K310" t="s">
        <v>649</v>
      </c>
      <c r="L310" t="s">
        <v>936</v>
      </c>
    </row>
    <row r="311" spans="1:12" x14ac:dyDescent="0.25">
      <c r="A311" t="s">
        <v>29</v>
      </c>
      <c r="B311" t="s">
        <v>32</v>
      </c>
      <c r="D311" t="s">
        <v>571</v>
      </c>
      <c r="E311" t="s">
        <v>709</v>
      </c>
      <c r="F311" t="s">
        <v>12</v>
      </c>
      <c r="G311">
        <v>0.14399999999999999</v>
      </c>
      <c r="K311" t="s">
        <v>649</v>
      </c>
      <c r="L311" t="s">
        <v>936</v>
      </c>
    </row>
    <row r="312" spans="1:12" x14ac:dyDescent="0.25">
      <c r="A312" t="s">
        <v>29</v>
      </c>
      <c r="B312" t="s">
        <v>32</v>
      </c>
      <c r="D312" t="s">
        <v>571</v>
      </c>
      <c r="E312" t="s">
        <v>709</v>
      </c>
      <c r="F312" t="s">
        <v>837</v>
      </c>
      <c r="G312">
        <v>0.23100000000000001</v>
      </c>
      <c r="K312" t="s">
        <v>649</v>
      </c>
      <c r="L312" t="s">
        <v>936</v>
      </c>
    </row>
    <row r="313" spans="1:12" x14ac:dyDescent="0.25">
      <c r="A313" t="s">
        <v>29</v>
      </c>
      <c r="B313" t="s">
        <v>31</v>
      </c>
      <c r="D313" t="s">
        <v>571</v>
      </c>
      <c r="E313" t="s">
        <v>709</v>
      </c>
      <c r="F313" t="s">
        <v>12</v>
      </c>
      <c r="G313">
        <v>9.2999999999999999E-2</v>
      </c>
      <c r="K313" t="s">
        <v>649</v>
      </c>
      <c r="L313" t="s">
        <v>936</v>
      </c>
    </row>
    <row r="314" spans="1:12" x14ac:dyDescent="0.25">
      <c r="A314" t="s">
        <v>29</v>
      </c>
      <c r="B314" t="s">
        <v>31</v>
      </c>
      <c r="D314" t="s">
        <v>571</v>
      </c>
      <c r="E314" t="s">
        <v>709</v>
      </c>
      <c r="F314" t="s">
        <v>1226</v>
      </c>
      <c r="G314">
        <v>0.69799999999999995</v>
      </c>
      <c r="K314" t="s">
        <v>649</v>
      </c>
      <c r="L314" t="s">
        <v>936</v>
      </c>
    </row>
    <row r="315" spans="1:12" x14ac:dyDescent="0.25">
      <c r="A315" t="s">
        <v>29</v>
      </c>
      <c r="B315" t="s">
        <v>35</v>
      </c>
      <c r="D315" t="s">
        <v>571</v>
      </c>
      <c r="E315" t="s">
        <v>709</v>
      </c>
      <c r="F315" t="s">
        <v>89</v>
      </c>
      <c r="G315">
        <v>1.0780000000000001</v>
      </c>
      <c r="K315" t="s">
        <v>649</v>
      </c>
      <c r="L315" t="s">
        <v>936</v>
      </c>
    </row>
    <row r="316" spans="1:12" x14ac:dyDescent="0.25">
      <c r="A316" t="s">
        <v>29</v>
      </c>
      <c r="B316" t="s">
        <v>935</v>
      </c>
      <c r="D316" t="s">
        <v>571</v>
      </c>
      <c r="E316" t="s">
        <v>709</v>
      </c>
      <c r="F316" t="s">
        <v>1226</v>
      </c>
      <c r="G316">
        <v>0.29799999999999999</v>
      </c>
      <c r="K316" t="s">
        <v>649</v>
      </c>
      <c r="L316" t="s">
        <v>936</v>
      </c>
    </row>
    <row r="317" spans="1:12" x14ac:dyDescent="0.25">
      <c r="A317" t="s">
        <v>605</v>
      </c>
      <c r="B317" t="s">
        <v>28</v>
      </c>
      <c r="D317" t="s">
        <v>571</v>
      </c>
      <c r="E317" t="s">
        <v>709</v>
      </c>
      <c r="F317" t="s">
        <v>12</v>
      </c>
      <c r="G317">
        <v>0.159</v>
      </c>
      <c r="K317" t="s">
        <v>649</v>
      </c>
      <c r="L317" t="s">
        <v>936</v>
      </c>
    </row>
    <row r="318" spans="1:12" x14ac:dyDescent="0.25">
      <c r="A318" t="s">
        <v>605</v>
      </c>
      <c r="B318" t="s">
        <v>27</v>
      </c>
      <c r="D318" t="s">
        <v>571</v>
      </c>
      <c r="E318" t="s">
        <v>709</v>
      </c>
      <c r="F318" t="s">
        <v>12</v>
      </c>
      <c r="G318">
        <v>0.157</v>
      </c>
      <c r="K318" t="s">
        <v>649</v>
      </c>
      <c r="L318" t="s">
        <v>936</v>
      </c>
    </row>
    <row r="319" spans="1:12" x14ac:dyDescent="0.25">
      <c r="A319" t="s">
        <v>605</v>
      </c>
      <c r="B319" t="s">
        <v>26</v>
      </c>
      <c r="D319" t="s">
        <v>571</v>
      </c>
      <c r="E319" t="s">
        <v>709</v>
      </c>
      <c r="F319" t="s">
        <v>12</v>
      </c>
      <c r="G319">
        <v>0.19</v>
      </c>
      <c r="K319" t="s">
        <v>649</v>
      </c>
      <c r="L319" t="s">
        <v>936</v>
      </c>
    </row>
    <row r="320" spans="1:12" x14ac:dyDescent="0.25">
      <c r="A320" t="s">
        <v>605</v>
      </c>
      <c r="B320" t="s">
        <v>19</v>
      </c>
      <c r="D320" t="s">
        <v>571</v>
      </c>
      <c r="E320" t="s">
        <v>709</v>
      </c>
      <c r="F320" t="s">
        <v>837</v>
      </c>
      <c r="G320">
        <v>0.27100000000000002</v>
      </c>
      <c r="K320" t="s">
        <v>649</v>
      </c>
      <c r="L320" t="s">
        <v>936</v>
      </c>
    </row>
    <row r="321" spans="1:12" x14ac:dyDescent="0.25">
      <c r="A321" t="s">
        <v>605</v>
      </c>
      <c r="B321" t="s">
        <v>606</v>
      </c>
      <c r="D321" t="s">
        <v>571</v>
      </c>
      <c r="E321" t="s">
        <v>709</v>
      </c>
      <c r="F321" t="s">
        <v>12</v>
      </c>
      <c r="G321">
        <v>0.14499999999999999</v>
      </c>
      <c r="K321" t="s">
        <v>649</v>
      </c>
      <c r="L321" t="s">
        <v>936</v>
      </c>
    </row>
    <row r="322" spans="1:12" x14ac:dyDescent="0.25">
      <c r="A322" t="s">
        <v>605</v>
      </c>
      <c r="B322" t="s">
        <v>20</v>
      </c>
      <c r="D322" t="s">
        <v>571</v>
      </c>
      <c r="E322" t="s">
        <v>709</v>
      </c>
      <c r="F322" t="s">
        <v>12</v>
      </c>
      <c r="G322">
        <v>0.14799999999999999</v>
      </c>
      <c r="K322" t="s">
        <v>649</v>
      </c>
      <c r="L322" t="s">
        <v>936</v>
      </c>
    </row>
    <row r="323" spans="1:12" x14ac:dyDescent="0.25">
      <c r="A323" t="s">
        <v>605</v>
      </c>
      <c r="B323" t="s">
        <v>44</v>
      </c>
      <c r="D323" t="s">
        <v>571</v>
      </c>
      <c r="E323" t="s">
        <v>709</v>
      </c>
      <c r="F323" t="s">
        <v>12</v>
      </c>
      <c r="G323">
        <v>0.21</v>
      </c>
      <c r="K323" t="s">
        <v>649</v>
      </c>
      <c r="L323" t="s">
        <v>936</v>
      </c>
    </row>
    <row r="324" spans="1:12" x14ac:dyDescent="0.25">
      <c r="A324" t="s">
        <v>605</v>
      </c>
      <c r="B324" t="s">
        <v>45</v>
      </c>
      <c r="D324" t="s">
        <v>571</v>
      </c>
      <c r="E324" t="s">
        <v>709</v>
      </c>
      <c r="F324" t="s">
        <v>12</v>
      </c>
      <c r="G324">
        <v>7.5999999999999998E-2</v>
      </c>
      <c r="K324" t="s">
        <v>649</v>
      </c>
      <c r="L324" t="s">
        <v>936</v>
      </c>
    </row>
    <row r="325" spans="1:12" x14ac:dyDescent="0.25">
      <c r="A325" t="s">
        <v>605</v>
      </c>
      <c r="B325" t="s">
        <v>46</v>
      </c>
      <c r="D325" t="s">
        <v>571</v>
      </c>
      <c r="E325" t="s">
        <v>709</v>
      </c>
      <c r="F325" t="s">
        <v>12</v>
      </c>
      <c r="G325">
        <v>0.13300000000000001</v>
      </c>
      <c r="K325" t="s">
        <v>649</v>
      </c>
      <c r="L325" t="s">
        <v>936</v>
      </c>
    </row>
    <row r="326" spans="1:12" x14ac:dyDescent="0.25">
      <c r="A326" t="s">
        <v>605</v>
      </c>
      <c r="B326" t="s">
        <v>47</v>
      </c>
      <c r="D326" t="s">
        <v>571</v>
      </c>
      <c r="E326" t="s">
        <v>709</v>
      </c>
      <c r="F326" t="s">
        <v>12</v>
      </c>
      <c r="G326">
        <v>0.14299999999999999</v>
      </c>
      <c r="K326" t="s">
        <v>649</v>
      </c>
      <c r="L326" t="s">
        <v>936</v>
      </c>
    </row>
    <row r="327" spans="1:12" x14ac:dyDescent="0.25">
      <c r="A327" t="s">
        <v>605</v>
      </c>
      <c r="B327" t="s">
        <v>43</v>
      </c>
      <c r="D327" t="s">
        <v>571</v>
      </c>
      <c r="E327" t="s">
        <v>709</v>
      </c>
      <c r="F327" t="s">
        <v>12</v>
      </c>
      <c r="G327">
        <v>0.13800000000000001</v>
      </c>
      <c r="K327" t="s">
        <v>649</v>
      </c>
      <c r="L327" t="s">
        <v>936</v>
      </c>
    </row>
    <row r="328" spans="1:12" x14ac:dyDescent="0.25">
      <c r="A328" t="s">
        <v>605</v>
      </c>
      <c r="B328" t="s">
        <v>40</v>
      </c>
      <c r="D328" t="s">
        <v>571</v>
      </c>
      <c r="E328" t="s">
        <v>709</v>
      </c>
      <c r="F328" t="s">
        <v>12</v>
      </c>
      <c r="G328">
        <v>0.16900000000000001</v>
      </c>
      <c r="K328" t="s">
        <v>649</v>
      </c>
      <c r="L328" t="s">
        <v>936</v>
      </c>
    </row>
    <row r="329" spans="1:12" x14ac:dyDescent="0.25">
      <c r="A329" t="s">
        <v>605</v>
      </c>
      <c r="B329" t="s">
        <v>607</v>
      </c>
      <c r="D329" t="s">
        <v>571</v>
      </c>
      <c r="E329" t="s">
        <v>709</v>
      </c>
      <c r="F329" t="s">
        <v>12</v>
      </c>
      <c r="G329">
        <v>0.18</v>
      </c>
      <c r="K329" t="s">
        <v>649</v>
      </c>
      <c r="L329" t="s">
        <v>936</v>
      </c>
    </row>
    <row r="330" spans="1:12" x14ac:dyDescent="0.25">
      <c r="A330" t="s">
        <v>605</v>
      </c>
      <c r="B330" t="s">
        <v>42</v>
      </c>
      <c r="D330" t="s">
        <v>571</v>
      </c>
      <c r="E330" t="s">
        <v>709</v>
      </c>
      <c r="F330" t="s">
        <v>12</v>
      </c>
      <c r="G330">
        <v>0.42399999999999999</v>
      </c>
      <c r="K330" t="s">
        <v>649</v>
      </c>
      <c r="L330" t="s">
        <v>936</v>
      </c>
    </row>
    <row r="331" spans="1:12" x14ac:dyDescent="0.25">
      <c r="A331" t="s">
        <v>605</v>
      </c>
      <c r="B331" t="s">
        <v>616</v>
      </c>
      <c r="D331" t="s">
        <v>571</v>
      </c>
      <c r="E331" t="s">
        <v>709</v>
      </c>
      <c r="F331" t="s">
        <v>12</v>
      </c>
      <c r="G331">
        <v>0.183</v>
      </c>
      <c r="K331" t="s">
        <v>649</v>
      </c>
      <c r="L331" t="s">
        <v>936</v>
      </c>
    </row>
    <row r="332" spans="1:12" x14ac:dyDescent="0.25">
      <c r="A332" t="s">
        <v>1189</v>
      </c>
      <c r="B332" t="s">
        <v>475</v>
      </c>
      <c r="D332" t="s">
        <v>844</v>
      </c>
      <c r="E332" t="s">
        <v>709</v>
      </c>
      <c r="F332" t="s">
        <v>837</v>
      </c>
      <c r="G332">
        <v>0.39200000000000002</v>
      </c>
      <c r="K332" t="s">
        <v>649</v>
      </c>
      <c r="L332" t="s">
        <v>936</v>
      </c>
    </row>
    <row r="333" spans="1:12" x14ac:dyDescent="0.25">
      <c r="A333" t="s">
        <v>1189</v>
      </c>
      <c r="B333" t="s">
        <v>476</v>
      </c>
      <c r="D333" t="s">
        <v>844</v>
      </c>
      <c r="E333" t="s">
        <v>709</v>
      </c>
      <c r="F333" t="s">
        <v>837</v>
      </c>
      <c r="G333">
        <v>0.3</v>
      </c>
      <c r="K333" t="s">
        <v>649</v>
      </c>
      <c r="L333" t="s">
        <v>936</v>
      </c>
    </row>
    <row r="334" spans="1:12" x14ac:dyDescent="0.25">
      <c r="A334" t="s">
        <v>1189</v>
      </c>
      <c r="B334" t="s">
        <v>479</v>
      </c>
      <c r="D334" t="s">
        <v>844</v>
      </c>
      <c r="E334" t="s">
        <v>709</v>
      </c>
      <c r="F334" t="s">
        <v>837</v>
      </c>
      <c r="G334">
        <v>0.35299999999999998</v>
      </c>
      <c r="K334" t="s">
        <v>649</v>
      </c>
      <c r="L334" t="s">
        <v>936</v>
      </c>
    </row>
    <row r="335" spans="1:12" x14ac:dyDescent="0.25">
      <c r="A335" t="s">
        <v>1189</v>
      </c>
      <c r="B335" t="s">
        <v>480</v>
      </c>
      <c r="D335" t="s">
        <v>844</v>
      </c>
      <c r="E335" t="s">
        <v>709</v>
      </c>
      <c r="F335" t="s">
        <v>837</v>
      </c>
      <c r="G335">
        <v>0.12</v>
      </c>
      <c r="K335" t="s">
        <v>649</v>
      </c>
      <c r="L335" t="s">
        <v>936</v>
      </c>
    </row>
    <row r="336" spans="1:12" x14ac:dyDescent="0.25">
      <c r="A336" t="s">
        <v>1189</v>
      </c>
      <c r="B336" t="s">
        <v>481</v>
      </c>
      <c r="D336" t="s">
        <v>844</v>
      </c>
      <c r="E336" t="s">
        <v>709</v>
      </c>
      <c r="F336" t="s">
        <v>837</v>
      </c>
      <c r="G336">
        <v>0.38</v>
      </c>
      <c r="K336" t="s">
        <v>649</v>
      </c>
      <c r="L336" t="s">
        <v>936</v>
      </c>
    </row>
    <row r="337" spans="1:12" x14ac:dyDescent="0.25">
      <c r="A337" t="s">
        <v>1189</v>
      </c>
      <c r="B337" t="s">
        <v>482</v>
      </c>
      <c r="D337" t="s">
        <v>844</v>
      </c>
      <c r="E337" t="s">
        <v>709</v>
      </c>
      <c r="F337" t="s">
        <v>837</v>
      </c>
      <c r="G337">
        <v>0.94699999999999995</v>
      </c>
      <c r="K337" t="s">
        <v>649</v>
      </c>
      <c r="L337" t="s">
        <v>936</v>
      </c>
    </row>
    <row r="338" spans="1:12" x14ac:dyDescent="0.25">
      <c r="A338" t="s">
        <v>1189</v>
      </c>
      <c r="B338" t="s">
        <v>483</v>
      </c>
      <c r="D338" t="s">
        <v>844</v>
      </c>
      <c r="E338" t="s">
        <v>709</v>
      </c>
      <c r="F338" t="s">
        <v>52</v>
      </c>
      <c r="G338">
        <v>0.13200000000000001</v>
      </c>
      <c r="K338" t="s">
        <v>649</v>
      </c>
      <c r="L338" t="s">
        <v>936</v>
      </c>
    </row>
    <row r="339" spans="1:12" x14ac:dyDescent="0.25">
      <c r="A339" t="s">
        <v>1189</v>
      </c>
      <c r="B339" t="s">
        <v>484</v>
      </c>
      <c r="D339" t="s">
        <v>844</v>
      </c>
      <c r="E339" t="s">
        <v>709</v>
      </c>
      <c r="F339" t="s">
        <v>837</v>
      </c>
      <c r="G339">
        <v>0.48099999999999998</v>
      </c>
      <c r="K339" t="s">
        <v>649</v>
      </c>
      <c r="L339" t="s">
        <v>936</v>
      </c>
    </row>
    <row r="340" spans="1:12" x14ac:dyDescent="0.25">
      <c r="A340" t="s">
        <v>1189</v>
      </c>
      <c r="B340" t="s">
        <v>979</v>
      </c>
      <c r="D340" t="s">
        <v>844</v>
      </c>
      <c r="E340" t="s">
        <v>709</v>
      </c>
      <c r="F340" t="s">
        <v>837</v>
      </c>
      <c r="G340">
        <v>0.81299999999999994</v>
      </c>
      <c r="K340" t="s">
        <v>649</v>
      </c>
      <c r="L340" t="s">
        <v>936</v>
      </c>
    </row>
    <row r="341" spans="1:12" x14ac:dyDescent="0.25">
      <c r="A341" t="s">
        <v>1189</v>
      </c>
      <c r="B341" t="s">
        <v>485</v>
      </c>
      <c r="D341" t="s">
        <v>844</v>
      </c>
      <c r="E341" t="s">
        <v>709</v>
      </c>
      <c r="F341" t="s">
        <v>837</v>
      </c>
      <c r="G341">
        <v>0.80800000000000005</v>
      </c>
      <c r="K341" t="s">
        <v>649</v>
      </c>
      <c r="L341" t="s">
        <v>936</v>
      </c>
    </row>
    <row r="342" spans="1:12" x14ac:dyDescent="0.25">
      <c r="A342" t="s">
        <v>1189</v>
      </c>
      <c r="B342" t="s">
        <v>486</v>
      </c>
      <c r="D342" t="s">
        <v>844</v>
      </c>
      <c r="E342" t="s">
        <v>709</v>
      </c>
      <c r="F342" t="s">
        <v>837</v>
      </c>
      <c r="G342">
        <v>0.314</v>
      </c>
      <c r="K342" t="s">
        <v>649</v>
      </c>
      <c r="L342" t="s">
        <v>936</v>
      </c>
    </row>
    <row r="343" spans="1:12" x14ac:dyDescent="0.25">
      <c r="A343" t="s">
        <v>1189</v>
      </c>
      <c r="B343" t="s">
        <v>487</v>
      </c>
      <c r="D343" t="s">
        <v>844</v>
      </c>
      <c r="E343" t="s">
        <v>709</v>
      </c>
      <c r="F343" t="s">
        <v>837</v>
      </c>
      <c r="G343">
        <v>0.28100000000000003</v>
      </c>
      <c r="K343" t="s">
        <v>649</v>
      </c>
      <c r="L343" t="s">
        <v>936</v>
      </c>
    </row>
    <row r="344" spans="1:12" x14ac:dyDescent="0.25">
      <c r="A344" t="s">
        <v>1189</v>
      </c>
      <c r="B344" t="s">
        <v>488</v>
      </c>
      <c r="D344" t="s">
        <v>844</v>
      </c>
      <c r="E344" t="s">
        <v>709</v>
      </c>
      <c r="F344" t="s">
        <v>837</v>
      </c>
      <c r="G344">
        <v>0.90300000000000002</v>
      </c>
      <c r="K344" t="s">
        <v>649</v>
      </c>
      <c r="L344" t="s">
        <v>936</v>
      </c>
    </row>
    <row r="345" spans="1:12" x14ac:dyDescent="0.25">
      <c r="A345" t="s">
        <v>1189</v>
      </c>
      <c r="B345" t="s">
        <v>535</v>
      </c>
      <c r="D345" t="s">
        <v>844</v>
      </c>
      <c r="E345" t="s">
        <v>709</v>
      </c>
      <c r="F345" t="s">
        <v>837</v>
      </c>
      <c r="G345">
        <v>0.64400000000000002</v>
      </c>
      <c r="K345" t="s">
        <v>649</v>
      </c>
      <c r="L345" t="s">
        <v>936</v>
      </c>
    </row>
    <row r="346" spans="1:12" x14ac:dyDescent="0.25">
      <c r="A346" t="s">
        <v>1189</v>
      </c>
      <c r="B346" t="s">
        <v>478</v>
      </c>
      <c r="D346" t="s">
        <v>844</v>
      </c>
      <c r="E346" t="s">
        <v>709</v>
      </c>
      <c r="F346" t="s">
        <v>837</v>
      </c>
      <c r="G346">
        <v>0.627</v>
      </c>
      <c r="K346" t="s">
        <v>649</v>
      </c>
      <c r="L346" t="s">
        <v>936</v>
      </c>
    </row>
    <row r="347" spans="1:12" x14ac:dyDescent="0.25">
      <c r="A347" t="s">
        <v>1189</v>
      </c>
      <c r="B347" t="s">
        <v>477</v>
      </c>
      <c r="D347" t="s">
        <v>844</v>
      </c>
      <c r="E347" t="s">
        <v>709</v>
      </c>
      <c r="F347" t="s">
        <v>837</v>
      </c>
      <c r="G347">
        <v>1.25</v>
      </c>
      <c r="K347" t="s">
        <v>649</v>
      </c>
      <c r="L347" t="s">
        <v>936</v>
      </c>
    </row>
    <row r="348" spans="1:12" x14ac:dyDescent="0.25">
      <c r="A348" t="s">
        <v>638</v>
      </c>
      <c r="B348" t="s">
        <v>639</v>
      </c>
      <c r="D348" t="s">
        <v>836</v>
      </c>
      <c r="E348" t="s">
        <v>709</v>
      </c>
      <c r="F348" t="s">
        <v>12</v>
      </c>
      <c r="G348">
        <v>3.0000000000000001E-3</v>
      </c>
      <c r="K348" t="s">
        <v>13</v>
      </c>
      <c r="L348" t="s">
        <v>936</v>
      </c>
    </row>
    <row r="349" spans="1:12" x14ac:dyDescent="0.25">
      <c r="A349" t="s">
        <v>638</v>
      </c>
      <c r="B349" t="s">
        <v>640</v>
      </c>
      <c r="D349" t="s">
        <v>836</v>
      </c>
      <c r="E349" t="s">
        <v>709</v>
      </c>
      <c r="F349" t="s">
        <v>12</v>
      </c>
      <c r="G349">
        <v>3.0000000000000001E-3</v>
      </c>
      <c r="K349" t="s">
        <v>13</v>
      </c>
      <c r="L349" t="s">
        <v>936</v>
      </c>
    </row>
    <row r="350" spans="1:12" x14ac:dyDescent="0.25">
      <c r="A350" t="s">
        <v>638</v>
      </c>
      <c r="B350" t="s">
        <v>641</v>
      </c>
      <c r="D350" t="s">
        <v>836</v>
      </c>
      <c r="E350" t="s">
        <v>709</v>
      </c>
      <c r="F350" t="s">
        <v>12</v>
      </c>
      <c r="G350">
        <v>3.0000000000000001E-3</v>
      </c>
      <c r="K350" t="s">
        <v>13</v>
      </c>
      <c r="L350" t="s">
        <v>936</v>
      </c>
    </row>
    <row r="351" spans="1:12" x14ac:dyDescent="0.25">
      <c r="A351" t="s">
        <v>638</v>
      </c>
      <c r="B351" t="s">
        <v>642</v>
      </c>
      <c r="D351" t="s">
        <v>836</v>
      </c>
      <c r="E351" t="s">
        <v>709</v>
      </c>
      <c r="F351" t="s">
        <v>12</v>
      </c>
      <c r="G351">
        <v>3.0000000000000001E-3</v>
      </c>
      <c r="K351" t="s">
        <v>13</v>
      </c>
      <c r="L351" t="s">
        <v>936</v>
      </c>
    </row>
    <row r="352" spans="1:12" x14ac:dyDescent="0.25">
      <c r="A352" t="s">
        <v>638</v>
      </c>
      <c r="B352" t="s">
        <v>643</v>
      </c>
      <c r="D352" t="s">
        <v>836</v>
      </c>
      <c r="E352" t="s">
        <v>709</v>
      </c>
      <c r="F352" t="s">
        <v>12</v>
      </c>
      <c r="G352">
        <v>3.0000000000000001E-3</v>
      </c>
      <c r="K352" t="s">
        <v>13</v>
      </c>
      <c r="L352" t="s">
        <v>936</v>
      </c>
    </row>
    <row r="353" spans="1:12" x14ac:dyDescent="0.25">
      <c r="A353" t="s">
        <v>638</v>
      </c>
      <c r="B353" t="s">
        <v>644</v>
      </c>
      <c r="D353" t="s">
        <v>836</v>
      </c>
      <c r="E353" t="s">
        <v>709</v>
      </c>
      <c r="F353" t="s">
        <v>12</v>
      </c>
      <c r="G353">
        <v>3.0000000000000001E-3</v>
      </c>
      <c r="K353" t="s">
        <v>13</v>
      </c>
      <c r="L353" t="s">
        <v>936</v>
      </c>
    </row>
    <row r="354" spans="1:12" x14ac:dyDescent="0.25">
      <c r="A354" t="s">
        <v>638</v>
      </c>
      <c r="B354" t="s">
        <v>645</v>
      </c>
      <c r="D354" t="s">
        <v>836</v>
      </c>
      <c r="E354" t="s">
        <v>709</v>
      </c>
      <c r="F354" t="s">
        <v>12</v>
      </c>
      <c r="G354">
        <v>3.0000000000000001E-3</v>
      </c>
      <c r="K354" t="s">
        <v>13</v>
      </c>
      <c r="L354" t="s">
        <v>936</v>
      </c>
    </row>
    <row r="355" spans="1:12" x14ac:dyDescent="0.25">
      <c r="A355" t="s">
        <v>962</v>
      </c>
      <c r="B355" t="s">
        <v>1182</v>
      </c>
      <c r="D355" t="s">
        <v>839</v>
      </c>
      <c r="E355" t="s">
        <v>705</v>
      </c>
      <c r="F355" t="s">
        <v>89</v>
      </c>
      <c r="G355">
        <v>0.23</v>
      </c>
      <c r="K355" t="s">
        <v>649</v>
      </c>
      <c r="L355" t="s">
        <v>688</v>
      </c>
    </row>
    <row r="356" spans="1:12" x14ac:dyDescent="0.25">
      <c r="A356" t="s">
        <v>962</v>
      </c>
      <c r="B356" t="s">
        <v>1183</v>
      </c>
      <c r="D356" t="s">
        <v>839</v>
      </c>
      <c r="E356" t="s">
        <v>705</v>
      </c>
      <c r="F356" t="s">
        <v>89</v>
      </c>
      <c r="G356">
        <v>6.6000000000000003E-2</v>
      </c>
      <c r="K356" t="s">
        <v>649</v>
      </c>
      <c r="L356" t="s">
        <v>649</v>
      </c>
    </row>
    <row r="357" spans="1:12" x14ac:dyDescent="0.25">
      <c r="A357" t="s">
        <v>962</v>
      </c>
      <c r="B357" t="s">
        <v>1184</v>
      </c>
      <c r="D357" t="s">
        <v>839</v>
      </c>
      <c r="E357" t="s">
        <v>705</v>
      </c>
      <c r="F357" t="s">
        <v>837</v>
      </c>
      <c r="G357">
        <v>4.9000000000000002E-2</v>
      </c>
      <c r="K357" t="s">
        <v>649</v>
      </c>
      <c r="L357" t="s">
        <v>649</v>
      </c>
    </row>
    <row r="358" spans="1:12" x14ac:dyDescent="0.25">
      <c r="A358" t="s">
        <v>962</v>
      </c>
      <c r="B358" t="s">
        <v>1185</v>
      </c>
      <c r="D358" t="s">
        <v>839</v>
      </c>
      <c r="E358" t="s">
        <v>705</v>
      </c>
      <c r="F358" t="s">
        <v>89</v>
      </c>
      <c r="G358">
        <v>3.1E-2</v>
      </c>
      <c r="K358" t="s">
        <v>649</v>
      </c>
      <c r="L358" t="s">
        <v>649</v>
      </c>
    </row>
    <row r="359" spans="1:12" x14ac:dyDescent="0.25">
      <c r="A359" t="s">
        <v>1042</v>
      </c>
      <c r="B359" t="s">
        <v>1043</v>
      </c>
      <c r="F359" t="s">
        <v>12</v>
      </c>
      <c r="G359">
        <v>0.48</v>
      </c>
      <c r="K359" t="s">
        <v>13</v>
      </c>
      <c r="L359" t="s">
        <v>649</v>
      </c>
    </row>
    <row r="360" spans="1:12" x14ac:dyDescent="0.25">
      <c r="A360" t="s">
        <v>1042</v>
      </c>
      <c r="B360" t="s">
        <v>1044</v>
      </c>
      <c r="F360" t="s">
        <v>12</v>
      </c>
      <c r="G360">
        <v>0.18</v>
      </c>
      <c r="K360" t="s">
        <v>13</v>
      </c>
      <c r="L360" t="s">
        <v>649</v>
      </c>
    </row>
    <row r="361" spans="1:12" x14ac:dyDescent="0.25">
      <c r="A361" t="s">
        <v>1042</v>
      </c>
      <c r="B361" t="s">
        <v>1045</v>
      </c>
      <c r="F361" t="s">
        <v>12</v>
      </c>
      <c r="G361">
        <v>0.56100000000000005</v>
      </c>
      <c r="K361" t="s">
        <v>13</v>
      </c>
      <c r="L361" t="s">
        <v>649</v>
      </c>
    </row>
    <row r="362" spans="1:12" x14ac:dyDescent="0.25">
      <c r="A362" t="s">
        <v>1042</v>
      </c>
      <c r="B362" t="s">
        <v>1046</v>
      </c>
      <c r="F362" t="s">
        <v>12</v>
      </c>
      <c r="G362">
        <v>0.57299999999999995</v>
      </c>
      <c r="K362" t="s">
        <v>13</v>
      </c>
      <c r="L362" t="s">
        <v>649</v>
      </c>
    </row>
    <row r="363" spans="1:12" x14ac:dyDescent="0.25">
      <c r="A363" t="s">
        <v>1042</v>
      </c>
      <c r="B363" t="s">
        <v>916</v>
      </c>
      <c r="F363" t="s">
        <v>12</v>
      </c>
      <c r="G363">
        <v>0.45600000000000002</v>
      </c>
      <c r="K363" t="s">
        <v>13</v>
      </c>
      <c r="L363" t="s">
        <v>649</v>
      </c>
    </row>
    <row r="364" spans="1:12" x14ac:dyDescent="0.25">
      <c r="A364" t="s">
        <v>1042</v>
      </c>
      <c r="B364" t="s">
        <v>635</v>
      </c>
      <c r="F364" t="s">
        <v>12</v>
      </c>
      <c r="G364">
        <v>0.10199999999999999</v>
      </c>
      <c r="K364" t="s">
        <v>13</v>
      </c>
      <c r="L364" t="s">
        <v>649</v>
      </c>
    </row>
    <row r="365" spans="1:12" x14ac:dyDescent="0.25">
      <c r="A365" t="s">
        <v>1042</v>
      </c>
      <c r="B365" t="s">
        <v>636</v>
      </c>
      <c r="F365" t="s">
        <v>12</v>
      </c>
      <c r="G365">
        <v>9.4E-2</v>
      </c>
      <c r="K365" t="s">
        <v>13</v>
      </c>
      <c r="L365" t="s">
        <v>649</v>
      </c>
    </row>
    <row r="366" spans="1:12" x14ac:dyDescent="0.25">
      <c r="A366" t="s">
        <v>1042</v>
      </c>
      <c r="B366" t="s">
        <v>915</v>
      </c>
      <c r="F366" t="s">
        <v>12</v>
      </c>
      <c r="G366">
        <v>0.13900000000000001</v>
      </c>
      <c r="K366" t="s">
        <v>13</v>
      </c>
      <c r="L366" t="s">
        <v>649</v>
      </c>
    </row>
    <row r="367" spans="1:12" x14ac:dyDescent="0.25">
      <c r="A367" t="s">
        <v>1047</v>
      </c>
      <c r="B367" t="s">
        <v>1048</v>
      </c>
      <c r="F367" t="s">
        <v>12</v>
      </c>
      <c r="G367">
        <v>0.29599999999999999</v>
      </c>
      <c r="K367" t="s">
        <v>13</v>
      </c>
      <c r="L367" t="s">
        <v>649</v>
      </c>
    </row>
    <row r="368" spans="1:12" x14ac:dyDescent="0.25">
      <c r="A368" t="s">
        <v>1047</v>
      </c>
      <c r="B368" t="s">
        <v>1049</v>
      </c>
      <c r="F368" t="s">
        <v>12</v>
      </c>
      <c r="G368">
        <v>4.7E-2</v>
      </c>
      <c r="K368" t="s">
        <v>13</v>
      </c>
      <c r="L368" t="s">
        <v>649</v>
      </c>
    </row>
    <row r="369" spans="1:12" x14ac:dyDescent="0.25">
      <c r="A369" t="s">
        <v>1047</v>
      </c>
      <c r="B369" t="s">
        <v>1050</v>
      </c>
      <c r="F369" t="s">
        <v>12</v>
      </c>
      <c r="G369">
        <v>4.1000000000000002E-2</v>
      </c>
      <c r="K369" t="s">
        <v>13</v>
      </c>
      <c r="L369" t="s">
        <v>649</v>
      </c>
    </row>
    <row r="370" spans="1:12" x14ac:dyDescent="0.25">
      <c r="A370" t="s">
        <v>1047</v>
      </c>
      <c r="B370" t="s">
        <v>1051</v>
      </c>
      <c r="F370" t="s">
        <v>12</v>
      </c>
      <c r="G370">
        <v>3.9E-2</v>
      </c>
      <c r="K370" t="s">
        <v>13</v>
      </c>
      <c r="L370" t="s">
        <v>649</v>
      </c>
    </row>
    <row r="371" spans="1:12" x14ac:dyDescent="0.25">
      <c r="A371" t="s">
        <v>1047</v>
      </c>
      <c r="B371" t="s">
        <v>1052</v>
      </c>
      <c r="F371" t="s">
        <v>12</v>
      </c>
      <c r="G371">
        <v>4.9000000000000002E-2</v>
      </c>
      <c r="K371" t="s">
        <v>13</v>
      </c>
      <c r="L371" t="s">
        <v>649</v>
      </c>
    </row>
    <row r="372" spans="1:12" x14ac:dyDescent="0.25">
      <c r="A372" t="s">
        <v>1047</v>
      </c>
      <c r="B372" t="s">
        <v>1053</v>
      </c>
      <c r="F372" t="s">
        <v>12</v>
      </c>
      <c r="G372">
        <v>4.9000000000000002E-2</v>
      </c>
      <c r="K372" t="s">
        <v>13</v>
      </c>
      <c r="L372" t="s">
        <v>649</v>
      </c>
    </row>
    <row r="373" spans="1:12" x14ac:dyDescent="0.25">
      <c r="A373" t="s">
        <v>1047</v>
      </c>
      <c r="B373" t="s">
        <v>1054</v>
      </c>
      <c r="F373" t="s">
        <v>12</v>
      </c>
      <c r="G373">
        <v>6.6000000000000003E-2</v>
      </c>
      <c r="K373" t="s">
        <v>13</v>
      </c>
      <c r="L373" t="s">
        <v>649</v>
      </c>
    </row>
    <row r="374" spans="1:12" x14ac:dyDescent="0.25">
      <c r="A374" t="s">
        <v>1047</v>
      </c>
      <c r="B374" t="s">
        <v>1055</v>
      </c>
      <c r="F374" t="s">
        <v>12</v>
      </c>
      <c r="G374">
        <v>1.9E-2</v>
      </c>
      <c r="K374" t="s">
        <v>13</v>
      </c>
      <c r="L374" t="s">
        <v>649</v>
      </c>
    </row>
    <row r="375" spans="1:12" x14ac:dyDescent="0.25">
      <c r="A375" t="s">
        <v>1047</v>
      </c>
      <c r="B375" t="s">
        <v>1055</v>
      </c>
      <c r="F375" t="s">
        <v>12</v>
      </c>
      <c r="G375">
        <v>1.4E-2</v>
      </c>
      <c r="K375" t="s">
        <v>13</v>
      </c>
      <c r="L375" t="s">
        <v>649</v>
      </c>
    </row>
    <row r="376" spans="1:12" x14ac:dyDescent="0.25">
      <c r="A376" t="s">
        <v>1047</v>
      </c>
      <c r="B376" t="s">
        <v>1056</v>
      </c>
      <c r="F376" t="s">
        <v>12</v>
      </c>
      <c r="G376">
        <v>4.1000000000000002E-2</v>
      </c>
      <c r="K376" t="s">
        <v>649</v>
      </c>
      <c r="L376" t="s">
        <v>649</v>
      </c>
    </row>
    <row r="377" spans="1:12" x14ac:dyDescent="0.25">
      <c r="A377" t="s">
        <v>1047</v>
      </c>
      <c r="B377" t="s">
        <v>1057</v>
      </c>
      <c r="F377" t="s">
        <v>12</v>
      </c>
      <c r="G377">
        <v>4.4999999999999998E-2</v>
      </c>
      <c r="K377" t="s">
        <v>649</v>
      </c>
      <c r="L377" t="s">
        <v>649</v>
      </c>
    </row>
    <row r="378" spans="1:12" x14ac:dyDescent="0.25">
      <c r="A378" t="s">
        <v>1047</v>
      </c>
      <c r="B378" t="s">
        <v>1058</v>
      </c>
      <c r="F378" t="s">
        <v>12</v>
      </c>
      <c r="G378">
        <v>5.1999999999999998E-2</v>
      </c>
      <c r="K378" t="s">
        <v>649</v>
      </c>
      <c r="L378" t="s">
        <v>649</v>
      </c>
    </row>
    <row r="379" spans="1:12" x14ac:dyDescent="0.25">
      <c r="A379" t="s">
        <v>1047</v>
      </c>
      <c r="B379" t="s">
        <v>1059</v>
      </c>
      <c r="F379" t="s">
        <v>12</v>
      </c>
      <c r="G379">
        <v>5.1999999999999998E-2</v>
      </c>
      <c r="K379" t="s">
        <v>649</v>
      </c>
      <c r="L379" t="s">
        <v>649</v>
      </c>
    </row>
    <row r="380" spans="1:12" x14ac:dyDescent="0.25">
      <c r="A380" t="s">
        <v>1047</v>
      </c>
      <c r="B380" t="s">
        <v>1060</v>
      </c>
      <c r="F380" t="s">
        <v>12</v>
      </c>
      <c r="G380">
        <v>5.1999999999999998E-2</v>
      </c>
      <c r="K380" t="s">
        <v>649</v>
      </c>
      <c r="L380" t="s">
        <v>649</v>
      </c>
    </row>
    <row r="381" spans="1:12" x14ac:dyDescent="0.25">
      <c r="A381" t="s">
        <v>1047</v>
      </c>
      <c r="B381" t="s">
        <v>1061</v>
      </c>
      <c r="F381" t="s">
        <v>12</v>
      </c>
      <c r="G381">
        <v>5.1999999999999998E-2</v>
      </c>
      <c r="K381" t="s">
        <v>649</v>
      </c>
      <c r="L381" t="s">
        <v>649</v>
      </c>
    </row>
    <row r="382" spans="1:12" x14ac:dyDescent="0.25">
      <c r="A382" t="s">
        <v>1047</v>
      </c>
      <c r="B382" t="s">
        <v>1062</v>
      </c>
      <c r="F382" t="s">
        <v>12</v>
      </c>
      <c r="G382">
        <v>5.1999999999999998E-2</v>
      </c>
      <c r="K382" t="s">
        <v>649</v>
      </c>
      <c r="L382" t="s">
        <v>649</v>
      </c>
    </row>
    <row r="383" spans="1:12" x14ac:dyDescent="0.25">
      <c r="A383" t="s">
        <v>1047</v>
      </c>
      <c r="B383" t="s">
        <v>1063</v>
      </c>
      <c r="F383" t="s">
        <v>12</v>
      </c>
      <c r="G383">
        <v>5.1999999999999998E-2</v>
      </c>
      <c r="K383" t="s">
        <v>649</v>
      </c>
      <c r="L383" t="s">
        <v>649</v>
      </c>
    </row>
    <row r="384" spans="1:12" x14ac:dyDescent="0.25">
      <c r="A384" t="s">
        <v>1047</v>
      </c>
      <c r="B384" t="s">
        <v>1064</v>
      </c>
      <c r="F384" t="s">
        <v>12</v>
      </c>
      <c r="G384">
        <v>5.1999999999999998E-2</v>
      </c>
      <c r="K384" t="s">
        <v>649</v>
      </c>
      <c r="L384" t="s">
        <v>649</v>
      </c>
    </row>
    <row r="385" spans="1:12" x14ac:dyDescent="0.25">
      <c r="A385" t="s">
        <v>1047</v>
      </c>
      <c r="B385" t="s">
        <v>1065</v>
      </c>
      <c r="F385" t="s">
        <v>12</v>
      </c>
      <c r="G385">
        <v>5.1999999999999998E-2</v>
      </c>
      <c r="K385" t="s">
        <v>649</v>
      </c>
      <c r="L385" t="s">
        <v>649</v>
      </c>
    </row>
    <row r="386" spans="1:12" x14ac:dyDescent="0.25">
      <c r="A386" t="s">
        <v>1047</v>
      </c>
      <c r="B386" t="s">
        <v>1066</v>
      </c>
      <c r="F386" t="s">
        <v>12</v>
      </c>
      <c r="G386">
        <v>5.1999999999999998E-2</v>
      </c>
      <c r="K386" t="s">
        <v>649</v>
      </c>
      <c r="L386" t="s">
        <v>649</v>
      </c>
    </row>
    <row r="387" spans="1:12" x14ac:dyDescent="0.25">
      <c r="A387" t="s">
        <v>1047</v>
      </c>
      <c r="B387" t="s">
        <v>1067</v>
      </c>
      <c r="F387" t="s">
        <v>12</v>
      </c>
      <c r="G387">
        <v>5.1999999999999998E-2</v>
      </c>
      <c r="K387" t="s">
        <v>649</v>
      </c>
      <c r="L387" t="s">
        <v>649</v>
      </c>
    </row>
    <row r="388" spans="1:12" x14ac:dyDescent="0.25">
      <c r="A388" t="s">
        <v>1047</v>
      </c>
      <c r="B388" t="s">
        <v>1068</v>
      </c>
      <c r="F388" t="s">
        <v>12</v>
      </c>
      <c r="G388">
        <v>5.1999999999999998E-2</v>
      </c>
      <c r="K388" t="s">
        <v>649</v>
      </c>
      <c r="L388" t="s">
        <v>649</v>
      </c>
    </row>
    <row r="389" spans="1:12" x14ac:dyDescent="0.25">
      <c r="A389" t="s">
        <v>1047</v>
      </c>
      <c r="B389" t="s">
        <v>1069</v>
      </c>
      <c r="F389" t="s">
        <v>12</v>
      </c>
      <c r="G389">
        <v>5.1999999999999998E-2</v>
      </c>
      <c r="K389" t="s">
        <v>649</v>
      </c>
      <c r="L389" t="s">
        <v>649</v>
      </c>
    </row>
    <row r="390" spans="1:12" x14ac:dyDescent="0.25">
      <c r="A390" t="s">
        <v>1047</v>
      </c>
      <c r="B390" t="s">
        <v>1070</v>
      </c>
      <c r="F390" t="s">
        <v>12</v>
      </c>
      <c r="G390">
        <v>5.1999999999999998E-2</v>
      </c>
      <c r="K390" t="s">
        <v>649</v>
      </c>
      <c r="L390" t="s">
        <v>649</v>
      </c>
    </row>
    <row r="391" spans="1:12" x14ac:dyDescent="0.25">
      <c r="A391" t="s">
        <v>1047</v>
      </c>
      <c r="B391" t="s">
        <v>1071</v>
      </c>
      <c r="F391" t="s">
        <v>12</v>
      </c>
      <c r="G391">
        <v>5.1999999999999998E-2</v>
      </c>
      <c r="K391" t="s">
        <v>649</v>
      </c>
      <c r="L391" t="s">
        <v>649</v>
      </c>
    </row>
    <row r="392" spans="1:12" x14ac:dyDescent="0.25">
      <c r="A392" t="s">
        <v>1047</v>
      </c>
      <c r="B392" t="s">
        <v>1072</v>
      </c>
      <c r="F392" t="s">
        <v>12</v>
      </c>
      <c r="G392">
        <v>5.1999999999999998E-2</v>
      </c>
      <c r="K392" t="s">
        <v>649</v>
      </c>
      <c r="L392" t="s">
        <v>649</v>
      </c>
    </row>
    <row r="393" spans="1:12" x14ac:dyDescent="0.25">
      <c r="A393" t="s">
        <v>1047</v>
      </c>
      <c r="B393" t="s">
        <v>1073</v>
      </c>
      <c r="F393" t="s">
        <v>12</v>
      </c>
      <c r="G393">
        <v>5.1999999999999998E-2</v>
      </c>
      <c r="K393" t="s">
        <v>649</v>
      </c>
      <c r="L393" t="s">
        <v>649</v>
      </c>
    </row>
    <row r="394" spans="1:12" x14ac:dyDescent="0.25">
      <c r="A394" t="s">
        <v>1047</v>
      </c>
      <c r="B394" t="s">
        <v>1074</v>
      </c>
      <c r="F394" t="s">
        <v>12</v>
      </c>
      <c r="G394">
        <v>5.1999999999999998E-2</v>
      </c>
      <c r="K394" t="s">
        <v>649</v>
      </c>
      <c r="L394" t="s">
        <v>649</v>
      </c>
    </row>
    <row r="395" spans="1:12" x14ac:dyDescent="0.25">
      <c r="A395" t="s">
        <v>1047</v>
      </c>
      <c r="B395" t="s">
        <v>1075</v>
      </c>
      <c r="F395" t="s">
        <v>12</v>
      </c>
      <c r="G395">
        <v>5.1999999999999998E-2</v>
      </c>
      <c r="K395" t="s">
        <v>649</v>
      </c>
      <c r="L395" t="s">
        <v>649</v>
      </c>
    </row>
    <row r="396" spans="1:12" x14ac:dyDescent="0.25">
      <c r="A396" t="s">
        <v>1047</v>
      </c>
      <c r="B396" t="s">
        <v>1076</v>
      </c>
      <c r="F396" t="s">
        <v>12</v>
      </c>
      <c r="G396">
        <v>5.1999999999999998E-2</v>
      </c>
      <c r="K396" t="s">
        <v>649</v>
      </c>
      <c r="L396" t="s">
        <v>649</v>
      </c>
    </row>
    <row r="397" spans="1:12" x14ac:dyDescent="0.25">
      <c r="A397" t="s">
        <v>1047</v>
      </c>
      <c r="B397" t="s">
        <v>1077</v>
      </c>
      <c r="F397" t="s">
        <v>12</v>
      </c>
      <c r="G397">
        <v>5.1999999999999998E-2</v>
      </c>
      <c r="K397" t="s">
        <v>649</v>
      </c>
      <c r="L397" t="s">
        <v>649</v>
      </c>
    </row>
    <row r="398" spans="1:12" x14ac:dyDescent="0.25">
      <c r="A398" t="s">
        <v>1047</v>
      </c>
      <c r="B398" t="s">
        <v>1078</v>
      </c>
      <c r="F398" t="s">
        <v>12</v>
      </c>
      <c r="G398">
        <v>5.1999999999999998E-2</v>
      </c>
      <c r="K398" t="s">
        <v>649</v>
      </c>
      <c r="L398" t="s">
        <v>649</v>
      </c>
    </row>
    <row r="399" spans="1:12" x14ac:dyDescent="0.25">
      <c r="A399" t="s">
        <v>1047</v>
      </c>
      <c r="B399" t="s">
        <v>1079</v>
      </c>
      <c r="F399" t="s">
        <v>12</v>
      </c>
      <c r="G399">
        <v>5.1999999999999998E-2</v>
      </c>
      <c r="K399" t="s">
        <v>649</v>
      </c>
      <c r="L399" t="s">
        <v>649</v>
      </c>
    </row>
    <row r="400" spans="1:12" x14ac:dyDescent="0.25">
      <c r="A400" t="s">
        <v>1047</v>
      </c>
      <c r="B400" t="s">
        <v>1080</v>
      </c>
      <c r="F400" t="s">
        <v>12</v>
      </c>
      <c r="G400">
        <v>5.1999999999999998E-2</v>
      </c>
      <c r="K400" t="s">
        <v>649</v>
      </c>
      <c r="L400" t="s">
        <v>649</v>
      </c>
    </row>
    <row r="401" spans="1:12" x14ac:dyDescent="0.25">
      <c r="A401" t="s">
        <v>1133</v>
      </c>
      <c r="B401" t="s">
        <v>28</v>
      </c>
      <c r="D401" t="s">
        <v>842</v>
      </c>
      <c r="E401" t="s">
        <v>709</v>
      </c>
      <c r="F401" t="s">
        <v>12</v>
      </c>
      <c r="G401">
        <v>5.0000000000000001E-3</v>
      </c>
      <c r="K401" t="s">
        <v>649</v>
      </c>
      <c r="L401" t="s">
        <v>649</v>
      </c>
    </row>
    <row r="402" spans="1:12" x14ac:dyDescent="0.25">
      <c r="A402" t="s">
        <v>1133</v>
      </c>
      <c r="B402" t="s">
        <v>27</v>
      </c>
      <c r="D402" t="s">
        <v>842</v>
      </c>
      <c r="E402" t="s">
        <v>709</v>
      </c>
      <c r="F402" t="s">
        <v>12</v>
      </c>
      <c r="G402">
        <v>5.0000000000000001E-3</v>
      </c>
      <c r="K402" t="s">
        <v>649</v>
      </c>
      <c r="L402" t="s">
        <v>649</v>
      </c>
    </row>
    <row r="403" spans="1:12" x14ac:dyDescent="0.25">
      <c r="A403" t="s">
        <v>1133</v>
      </c>
      <c r="B403" t="s">
        <v>26</v>
      </c>
      <c r="D403" t="s">
        <v>842</v>
      </c>
      <c r="E403" t="s">
        <v>709</v>
      </c>
      <c r="F403" t="s">
        <v>12</v>
      </c>
      <c r="G403">
        <v>5.0000000000000001E-3</v>
      </c>
      <c r="K403" t="s">
        <v>649</v>
      </c>
      <c r="L403" t="s">
        <v>649</v>
      </c>
    </row>
    <row r="404" spans="1:12" x14ac:dyDescent="0.25">
      <c r="A404" t="s">
        <v>1133</v>
      </c>
      <c r="B404" t="s">
        <v>21</v>
      </c>
      <c r="D404" t="s">
        <v>842</v>
      </c>
      <c r="E404" t="s">
        <v>709</v>
      </c>
      <c r="F404" t="s">
        <v>12</v>
      </c>
      <c r="G404">
        <v>5.0000000000000001E-3</v>
      </c>
      <c r="K404" t="s">
        <v>649</v>
      </c>
      <c r="L404" t="s">
        <v>649</v>
      </c>
    </row>
    <row r="405" spans="1:12" x14ac:dyDescent="0.25">
      <c r="A405" t="s">
        <v>1133</v>
      </c>
      <c r="B405" t="s">
        <v>22</v>
      </c>
      <c r="D405" t="s">
        <v>842</v>
      </c>
      <c r="E405" t="s">
        <v>709</v>
      </c>
      <c r="F405" t="s">
        <v>12</v>
      </c>
      <c r="G405">
        <v>5.0000000000000001E-3</v>
      </c>
      <c r="K405" t="s">
        <v>649</v>
      </c>
      <c r="L405" t="s">
        <v>649</v>
      </c>
    </row>
    <row r="406" spans="1:12" x14ac:dyDescent="0.25">
      <c r="A406" t="s">
        <v>1133</v>
      </c>
      <c r="B406" t="s">
        <v>79</v>
      </c>
      <c r="D406" t="s">
        <v>842</v>
      </c>
      <c r="E406" t="s">
        <v>709</v>
      </c>
      <c r="F406" t="s">
        <v>837</v>
      </c>
      <c r="G406">
        <v>0.84599999999999997</v>
      </c>
      <c r="K406" t="s">
        <v>649</v>
      </c>
      <c r="L406" t="s">
        <v>649</v>
      </c>
    </row>
    <row r="407" spans="1:12" x14ac:dyDescent="0.25">
      <c r="A407" t="s">
        <v>1133</v>
      </c>
      <c r="B407" t="s">
        <v>1134</v>
      </c>
      <c r="D407" t="s">
        <v>842</v>
      </c>
      <c r="E407" t="s">
        <v>709</v>
      </c>
      <c r="F407" t="s">
        <v>837</v>
      </c>
      <c r="G407">
        <v>0.254</v>
      </c>
      <c r="K407" t="s">
        <v>649</v>
      </c>
      <c r="L407" t="s">
        <v>649</v>
      </c>
    </row>
    <row r="408" spans="1:12" x14ac:dyDescent="0.25">
      <c r="A408" t="s">
        <v>1133</v>
      </c>
      <c r="B408" t="s">
        <v>935</v>
      </c>
      <c r="D408" t="s">
        <v>842</v>
      </c>
      <c r="E408" t="s">
        <v>709</v>
      </c>
      <c r="F408" t="s">
        <v>989</v>
      </c>
      <c r="G408">
        <v>0.83099999999999996</v>
      </c>
      <c r="K408" t="s">
        <v>649</v>
      </c>
      <c r="L408" t="s">
        <v>649</v>
      </c>
    </row>
    <row r="409" spans="1:12" x14ac:dyDescent="0.25">
      <c r="A409" t="s">
        <v>963</v>
      </c>
      <c r="B409" t="s">
        <v>637</v>
      </c>
      <c r="D409" t="s">
        <v>838</v>
      </c>
      <c r="E409" t="s">
        <v>709</v>
      </c>
      <c r="F409" t="s">
        <v>12</v>
      </c>
      <c r="G409">
        <v>2E-3</v>
      </c>
      <c r="K409" t="s">
        <v>13</v>
      </c>
      <c r="L409" t="s">
        <v>936</v>
      </c>
    </row>
    <row r="410" spans="1:12" x14ac:dyDescent="0.25">
      <c r="A410" t="s">
        <v>963</v>
      </c>
      <c r="B410" t="s">
        <v>1041</v>
      </c>
      <c r="D410" t="s">
        <v>838</v>
      </c>
      <c r="E410" t="s">
        <v>709</v>
      </c>
      <c r="F410" t="s">
        <v>837</v>
      </c>
      <c r="G410">
        <v>1E-3</v>
      </c>
      <c r="K410" t="s">
        <v>649</v>
      </c>
      <c r="L410" t="s">
        <v>936</v>
      </c>
    </row>
    <row r="411" spans="1:12" x14ac:dyDescent="0.25">
      <c r="A411" t="s">
        <v>963</v>
      </c>
      <c r="B411" t="s">
        <v>51</v>
      </c>
      <c r="D411" t="s">
        <v>838</v>
      </c>
      <c r="E411" t="s">
        <v>709</v>
      </c>
      <c r="F411" t="s">
        <v>837</v>
      </c>
      <c r="G411">
        <v>5.0000000000000001E-3</v>
      </c>
      <c r="K411" t="s">
        <v>649</v>
      </c>
      <c r="L411" t="s">
        <v>936</v>
      </c>
    </row>
    <row r="412" spans="1:12" x14ac:dyDescent="0.25">
      <c r="A412" t="s">
        <v>1258</v>
      </c>
      <c r="B412" t="s">
        <v>53</v>
      </c>
      <c r="D412" t="s">
        <v>836</v>
      </c>
      <c r="E412" t="s">
        <v>709</v>
      </c>
      <c r="F412" t="s">
        <v>12</v>
      </c>
      <c r="G412">
        <v>0.111</v>
      </c>
      <c r="K412" t="s">
        <v>649</v>
      </c>
      <c r="L412" t="s">
        <v>936</v>
      </c>
    </row>
    <row r="413" spans="1:12" x14ac:dyDescent="0.25">
      <c r="A413" t="s">
        <v>1258</v>
      </c>
      <c r="B413" t="s">
        <v>1259</v>
      </c>
      <c r="D413" t="s">
        <v>836</v>
      </c>
      <c r="E413" t="s">
        <v>709</v>
      </c>
      <c r="F413" t="s">
        <v>12</v>
      </c>
      <c r="G413">
        <v>0.249</v>
      </c>
      <c r="K413" t="s">
        <v>649</v>
      </c>
      <c r="L413" t="s">
        <v>936</v>
      </c>
    </row>
    <row r="414" spans="1:12" x14ac:dyDescent="0.25">
      <c r="A414" t="s">
        <v>1258</v>
      </c>
      <c r="B414" t="s">
        <v>280</v>
      </c>
      <c r="D414" t="s">
        <v>836</v>
      </c>
      <c r="E414" t="s">
        <v>709</v>
      </c>
      <c r="F414" t="s">
        <v>837</v>
      </c>
      <c r="G414">
        <v>0.28000000000000003</v>
      </c>
      <c r="K414" t="s">
        <v>649</v>
      </c>
      <c r="L414" t="s">
        <v>936</v>
      </c>
    </row>
    <row r="415" spans="1:12" x14ac:dyDescent="0.25">
      <c r="A415" t="s">
        <v>536</v>
      </c>
      <c r="B415" t="s">
        <v>529</v>
      </c>
      <c r="D415" t="s">
        <v>845</v>
      </c>
      <c r="E415" t="s">
        <v>709</v>
      </c>
      <c r="F415" t="s">
        <v>12</v>
      </c>
      <c r="G415">
        <v>2E-3</v>
      </c>
      <c r="H415">
        <v>16</v>
      </c>
      <c r="J415">
        <v>1</v>
      </c>
      <c r="K415" t="s">
        <v>13</v>
      </c>
      <c r="L415" t="s">
        <v>936</v>
      </c>
    </row>
    <row r="416" spans="1:12" x14ac:dyDescent="0.25">
      <c r="A416" t="s">
        <v>536</v>
      </c>
      <c r="B416" t="s">
        <v>528</v>
      </c>
      <c r="D416" t="s">
        <v>845</v>
      </c>
      <c r="E416" t="s">
        <v>709</v>
      </c>
      <c r="F416" t="s">
        <v>12</v>
      </c>
      <c r="G416">
        <v>2E-3</v>
      </c>
      <c r="H416">
        <v>16</v>
      </c>
      <c r="J416">
        <v>1</v>
      </c>
      <c r="K416" t="s">
        <v>13</v>
      </c>
      <c r="L416" t="s">
        <v>936</v>
      </c>
    </row>
    <row r="417" spans="1:12" x14ac:dyDescent="0.25">
      <c r="A417" t="s">
        <v>536</v>
      </c>
      <c r="B417" t="s">
        <v>527</v>
      </c>
      <c r="D417" t="s">
        <v>845</v>
      </c>
      <c r="E417" t="s">
        <v>709</v>
      </c>
      <c r="F417" t="s">
        <v>12</v>
      </c>
      <c r="G417">
        <v>2E-3</v>
      </c>
      <c r="H417">
        <v>16</v>
      </c>
      <c r="J417">
        <v>1</v>
      </c>
      <c r="K417" t="s">
        <v>13</v>
      </c>
      <c r="L417" t="s">
        <v>936</v>
      </c>
    </row>
    <row r="418" spans="1:12" x14ac:dyDescent="0.25">
      <c r="A418" t="s">
        <v>536</v>
      </c>
      <c r="B418" t="s">
        <v>532</v>
      </c>
      <c r="D418" t="s">
        <v>845</v>
      </c>
      <c r="E418" t="s">
        <v>709</v>
      </c>
      <c r="F418" t="s">
        <v>12</v>
      </c>
      <c r="G418">
        <v>2E-3</v>
      </c>
      <c r="H418">
        <v>16</v>
      </c>
      <c r="J418">
        <v>1</v>
      </c>
      <c r="K418" t="s">
        <v>13</v>
      </c>
      <c r="L418" t="s">
        <v>936</v>
      </c>
    </row>
    <row r="419" spans="1:12" x14ac:dyDescent="0.25">
      <c r="A419" t="s">
        <v>536</v>
      </c>
      <c r="B419" t="s">
        <v>531</v>
      </c>
      <c r="D419" t="s">
        <v>845</v>
      </c>
      <c r="E419" t="s">
        <v>709</v>
      </c>
      <c r="F419" t="s">
        <v>12</v>
      </c>
      <c r="G419">
        <v>2E-3</v>
      </c>
      <c r="H419">
        <v>16</v>
      </c>
      <c r="J419">
        <v>1</v>
      </c>
      <c r="K419" t="s">
        <v>13</v>
      </c>
      <c r="L419" t="s">
        <v>936</v>
      </c>
    </row>
    <row r="420" spans="1:12" x14ac:dyDescent="0.25">
      <c r="A420" t="s">
        <v>536</v>
      </c>
      <c r="B420" t="s">
        <v>537</v>
      </c>
      <c r="D420" t="s">
        <v>845</v>
      </c>
      <c r="E420" t="s">
        <v>709</v>
      </c>
      <c r="F420" t="s">
        <v>12</v>
      </c>
      <c r="G420">
        <v>2E-3</v>
      </c>
      <c r="H420">
        <v>16</v>
      </c>
      <c r="J420">
        <v>1</v>
      </c>
      <c r="K420" t="s">
        <v>13</v>
      </c>
      <c r="L420" t="s">
        <v>936</v>
      </c>
    </row>
    <row r="421" spans="1:12" x14ac:dyDescent="0.25">
      <c r="A421" t="s">
        <v>536</v>
      </c>
      <c r="B421" t="s">
        <v>530</v>
      </c>
      <c r="D421" t="s">
        <v>845</v>
      </c>
      <c r="E421" t="s">
        <v>709</v>
      </c>
      <c r="F421" t="s">
        <v>12</v>
      </c>
      <c r="G421">
        <v>2E-3</v>
      </c>
      <c r="H421">
        <v>16</v>
      </c>
      <c r="J421">
        <v>1</v>
      </c>
      <c r="K421" t="s">
        <v>13</v>
      </c>
      <c r="L421" t="s">
        <v>936</v>
      </c>
    </row>
    <row r="422" spans="1:12" x14ac:dyDescent="0.25">
      <c r="A422" t="s">
        <v>536</v>
      </c>
      <c r="B422" t="s">
        <v>538</v>
      </c>
      <c r="D422" t="s">
        <v>845</v>
      </c>
      <c r="E422" t="s">
        <v>709</v>
      </c>
      <c r="F422" t="s">
        <v>12</v>
      </c>
      <c r="G422">
        <v>2E-3</v>
      </c>
      <c r="H422">
        <v>16</v>
      </c>
      <c r="J422">
        <v>1</v>
      </c>
      <c r="K422" t="s">
        <v>13</v>
      </c>
      <c r="L422" t="s">
        <v>936</v>
      </c>
    </row>
    <row r="423" spans="1:12" x14ac:dyDescent="0.25">
      <c r="A423" t="s">
        <v>536</v>
      </c>
      <c r="B423" t="s">
        <v>539</v>
      </c>
      <c r="D423" t="s">
        <v>845</v>
      </c>
      <c r="E423" t="s">
        <v>709</v>
      </c>
      <c r="F423" t="s">
        <v>12</v>
      </c>
      <c r="G423">
        <v>2E-3</v>
      </c>
      <c r="H423">
        <v>16</v>
      </c>
      <c r="J423">
        <v>1</v>
      </c>
      <c r="K423" t="s">
        <v>13</v>
      </c>
      <c r="L423" t="s">
        <v>936</v>
      </c>
    </row>
    <row r="424" spans="1:12" x14ac:dyDescent="0.25">
      <c r="A424" t="s">
        <v>536</v>
      </c>
      <c r="B424" t="s">
        <v>540</v>
      </c>
      <c r="D424" t="s">
        <v>845</v>
      </c>
      <c r="E424" t="s">
        <v>709</v>
      </c>
      <c r="F424" t="s">
        <v>12</v>
      </c>
      <c r="G424">
        <v>2E-3</v>
      </c>
      <c r="H424">
        <v>16</v>
      </c>
      <c r="J424">
        <v>1</v>
      </c>
      <c r="K424" t="s">
        <v>13</v>
      </c>
      <c r="L424" t="s">
        <v>936</v>
      </c>
    </row>
    <row r="425" spans="1:12" x14ac:dyDescent="0.25">
      <c r="A425" t="s">
        <v>536</v>
      </c>
      <c r="B425" t="s">
        <v>541</v>
      </c>
      <c r="D425" t="s">
        <v>845</v>
      </c>
      <c r="E425" t="s">
        <v>709</v>
      </c>
      <c r="F425" t="s">
        <v>12</v>
      </c>
      <c r="G425">
        <v>2E-3</v>
      </c>
      <c r="H425">
        <v>16</v>
      </c>
      <c r="J425">
        <v>1</v>
      </c>
      <c r="K425" t="s">
        <v>13</v>
      </c>
      <c r="L425" t="s">
        <v>936</v>
      </c>
    </row>
    <row r="426" spans="1:12" x14ac:dyDescent="0.25">
      <c r="A426" t="s">
        <v>536</v>
      </c>
      <c r="B426" t="s">
        <v>542</v>
      </c>
      <c r="D426" t="s">
        <v>845</v>
      </c>
      <c r="E426" t="s">
        <v>709</v>
      </c>
      <c r="F426" t="s">
        <v>12</v>
      </c>
      <c r="G426">
        <v>2E-3</v>
      </c>
      <c r="H426">
        <v>16</v>
      </c>
      <c r="J426">
        <v>1</v>
      </c>
      <c r="K426" t="s">
        <v>13</v>
      </c>
      <c r="L426" t="s">
        <v>936</v>
      </c>
    </row>
    <row r="427" spans="1:12" x14ac:dyDescent="0.25">
      <c r="A427" t="s">
        <v>536</v>
      </c>
      <c r="B427" t="s">
        <v>543</v>
      </c>
      <c r="D427" t="s">
        <v>845</v>
      </c>
      <c r="E427" t="s">
        <v>709</v>
      </c>
      <c r="F427" t="s">
        <v>12</v>
      </c>
      <c r="G427">
        <v>2E-3</v>
      </c>
      <c r="H427">
        <v>16</v>
      </c>
      <c r="J427">
        <v>1</v>
      </c>
      <c r="K427" t="s">
        <v>13</v>
      </c>
      <c r="L427" t="s">
        <v>936</v>
      </c>
    </row>
    <row r="428" spans="1:12" x14ac:dyDescent="0.25">
      <c r="A428" t="s">
        <v>536</v>
      </c>
      <c r="B428" t="s">
        <v>544</v>
      </c>
      <c r="D428" t="s">
        <v>845</v>
      </c>
      <c r="E428" t="s">
        <v>709</v>
      </c>
      <c r="F428" t="s">
        <v>12</v>
      </c>
      <c r="G428">
        <v>2E-3</v>
      </c>
      <c r="H428">
        <v>16</v>
      </c>
      <c r="J428">
        <v>1</v>
      </c>
      <c r="K428" t="s">
        <v>13</v>
      </c>
      <c r="L428" t="s">
        <v>936</v>
      </c>
    </row>
    <row r="429" spans="1:12" x14ac:dyDescent="0.25">
      <c r="A429" t="s">
        <v>536</v>
      </c>
      <c r="B429" t="s">
        <v>545</v>
      </c>
      <c r="D429" t="s">
        <v>845</v>
      </c>
      <c r="E429" t="s">
        <v>709</v>
      </c>
      <c r="F429" t="s">
        <v>12</v>
      </c>
      <c r="G429">
        <v>2E-3</v>
      </c>
      <c r="H429">
        <v>16</v>
      </c>
      <c r="J429">
        <v>1</v>
      </c>
      <c r="K429" t="s">
        <v>13</v>
      </c>
      <c r="L429" t="s">
        <v>936</v>
      </c>
    </row>
    <row r="430" spans="1:12" x14ac:dyDescent="0.25">
      <c r="A430" t="s">
        <v>536</v>
      </c>
      <c r="B430" t="s">
        <v>546</v>
      </c>
      <c r="D430" t="s">
        <v>845</v>
      </c>
      <c r="E430" t="s">
        <v>709</v>
      </c>
      <c r="F430" t="s">
        <v>12</v>
      </c>
      <c r="G430">
        <v>2E-3</v>
      </c>
      <c r="H430">
        <v>16</v>
      </c>
      <c r="J430">
        <v>1</v>
      </c>
      <c r="K430" t="s">
        <v>13</v>
      </c>
      <c r="L430" t="s">
        <v>936</v>
      </c>
    </row>
    <row r="431" spans="1:12" x14ac:dyDescent="0.25">
      <c r="A431" t="s">
        <v>536</v>
      </c>
      <c r="B431" t="s">
        <v>547</v>
      </c>
      <c r="D431" t="s">
        <v>845</v>
      </c>
      <c r="E431" t="s">
        <v>709</v>
      </c>
      <c r="F431" t="s">
        <v>12</v>
      </c>
      <c r="G431">
        <v>2E-3</v>
      </c>
      <c r="H431">
        <v>16</v>
      </c>
      <c r="J431">
        <v>1</v>
      </c>
      <c r="K431" t="s">
        <v>13</v>
      </c>
      <c r="L431" t="s">
        <v>936</v>
      </c>
    </row>
    <row r="432" spans="1:12" x14ac:dyDescent="0.25">
      <c r="A432" t="s">
        <v>536</v>
      </c>
      <c r="B432" t="s">
        <v>548</v>
      </c>
      <c r="D432" t="s">
        <v>845</v>
      </c>
      <c r="E432" t="s">
        <v>709</v>
      </c>
      <c r="F432" t="s">
        <v>12</v>
      </c>
      <c r="G432">
        <v>2E-3</v>
      </c>
      <c r="H432">
        <v>16</v>
      </c>
      <c r="J432">
        <v>1</v>
      </c>
      <c r="K432" t="s">
        <v>13</v>
      </c>
      <c r="L432" t="s">
        <v>936</v>
      </c>
    </row>
    <row r="433" spans="1:12" x14ac:dyDescent="0.25">
      <c r="A433" t="s">
        <v>536</v>
      </c>
      <c r="B433" t="s">
        <v>549</v>
      </c>
      <c r="D433" t="s">
        <v>845</v>
      </c>
      <c r="E433" t="s">
        <v>709</v>
      </c>
      <c r="F433" t="s">
        <v>12</v>
      </c>
      <c r="G433">
        <v>2E-3</v>
      </c>
      <c r="H433">
        <v>16</v>
      </c>
      <c r="J433">
        <v>1</v>
      </c>
      <c r="K433" t="s">
        <v>13</v>
      </c>
      <c r="L433" t="s">
        <v>936</v>
      </c>
    </row>
    <row r="434" spans="1:12" x14ac:dyDescent="0.25">
      <c r="A434" t="s">
        <v>536</v>
      </c>
      <c r="B434" t="s">
        <v>550</v>
      </c>
      <c r="D434" t="s">
        <v>845</v>
      </c>
      <c r="E434" t="s">
        <v>709</v>
      </c>
      <c r="F434" t="s">
        <v>12</v>
      </c>
      <c r="G434">
        <v>6.5000000000000002E-2</v>
      </c>
      <c r="K434" t="s">
        <v>649</v>
      </c>
      <c r="L434" t="s">
        <v>936</v>
      </c>
    </row>
    <row r="435" spans="1:12" x14ac:dyDescent="0.25">
      <c r="A435" t="s">
        <v>536</v>
      </c>
      <c r="B435" t="s">
        <v>28</v>
      </c>
      <c r="D435" t="s">
        <v>845</v>
      </c>
      <c r="E435" t="s">
        <v>709</v>
      </c>
      <c r="F435" t="s">
        <v>12</v>
      </c>
      <c r="G435">
        <v>0.55500000000000005</v>
      </c>
      <c r="K435" t="s">
        <v>649</v>
      </c>
      <c r="L435" t="s">
        <v>936</v>
      </c>
    </row>
    <row r="436" spans="1:12" x14ac:dyDescent="0.25">
      <c r="A436" t="s">
        <v>536</v>
      </c>
      <c r="B436" t="s">
        <v>27</v>
      </c>
      <c r="D436" t="s">
        <v>845</v>
      </c>
      <c r="E436" t="s">
        <v>709</v>
      </c>
      <c r="F436" t="s">
        <v>12</v>
      </c>
      <c r="G436">
        <v>0.21299999999999999</v>
      </c>
      <c r="K436" t="s">
        <v>649</v>
      </c>
      <c r="L436" t="s">
        <v>936</v>
      </c>
    </row>
    <row r="437" spans="1:12" x14ac:dyDescent="0.25">
      <c r="A437" t="s">
        <v>536</v>
      </c>
      <c r="B437" t="s">
        <v>26</v>
      </c>
      <c r="D437" t="s">
        <v>845</v>
      </c>
      <c r="E437" t="s">
        <v>709</v>
      </c>
      <c r="F437" t="s">
        <v>12</v>
      </c>
      <c r="G437">
        <v>0.16300000000000001</v>
      </c>
      <c r="K437" t="s">
        <v>649</v>
      </c>
      <c r="L437" t="s">
        <v>936</v>
      </c>
    </row>
    <row r="438" spans="1:12" x14ac:dyDescent="0.25">
      <c r="A438" t="s">
        <v>536</v>
      </c>
      <c r="B438" t="s">
        <v>21</v>
      </c>
      <c r="D438" t="s">
        <v>845</v>
      </c>
      <c r="E438" t="s">
        <v>709</v>
      </c>
      <c r="F438" t="s">
        <v>12</v>
      </c>
      <c r="G438">
        <v>0.245</v>
      </c>
      <c r="K438" t="s">
        <v>649</v>
      </c>
      <c r="L438" t="s">
        <v>936</v>
      </c>
    </row>
    <row r="439" spans="1:12" x14ac:dyDescent="0.25">
      <c r="A439" t="s">
        <v>536</v>
      </c>
      <c r="B439" t="s">
        <v>22</v>
      </c>
      <c r="D439" t="s">
        <v>845</v>
      </c>
      <c r="E439" t="s">
        <v>709</v>
      </c>
      <c r="F439" t="s">
        <v>12</v>
      </c>
      <c r="G439">
        <v>0.20499999999999999</v>
      </c>
      <c r="K439" t="s">
        <v>649</v>
      </c>
      <c r="L439" t="s">
        <v>936</v>
      </c>
    </row>
    <row r="440" spans="1:12" x14ac:dyDescent="0.25">
      <c r="A440" t="s">
        <v>536</v>
      </c>
      <c r="B440" t="s">
        <v>19</v>
      </c>
      <c r="D440" t="s">
        <v>845</v>
      </c>
      <c r="E440" t="s">
        <v>709</v>
      </c>
      <c r="F440" t="s">
        <v>12</v>
      </c>
      <c r="G440">
        <v>0.13700000000000001</v>
      </c>
      <c r="K440" t="s">
        <v>649</v>
      </c>
      <c r="L440" t="s">
        <v>936</v>
      </c>
    </row>
    <row r="441" spans="1:12" x14ac:dyDescent="0.25">
      <c r="A441" t="s">
        <v>536</v>
      </c>
      <c r="B441" t="s">
        <v>20</v>
      </c>
      <c r="D441" t="s">
        <v>845</v>
      </c>
      <c r="E441" t="s">
        <v>709</v>
      </c>
      <c r="F441" t="s">
        <v>12</v>
      </c>
      <c r="G441">
        <v>0.24299999999999999</v>
      </c>
      <c r="K441" t="s">
        <v>649</v>
      </c>
      <c r="L441" t="s">
        <v>936</v>
      </c>
    </row>
    <row r="442" spans="1:12" x14ac:dyDescent="0.25">
      <c r="A442" t="s">
        <v>536</v>
      </c>
      <c r="B442" t="s">
        <v>44</v>
      </c>
      <c r="D442" t="s">
        <v>845</v>
      </c>
      <c r="E442" t="s">
        <v>709</v>
      </c>
      <c r="F442" t="s">
        <v>12</v>
      </c>
      <c r="G442">
        <v>0.23499999999999999</v>
      </c>
      <c r="K442" t="s">
        <v>649</v>
      </c>
      <c r="L442" t="s">
        <v>936</v>
      </c>
    </row>
    <row r="443" spans="1:12" x14ac:dyDescent="0.25">
      <c r="A443" t="s">
        <v>536</v>
      </c>
      <c r="B443" t="s">
        <v>45</v>
      </c>
      <c r="D443" t="s">
        <v>845</v>
      </c>
      <c r="E443" t="s">
        <v>709</v>
      </c>
      <c r="F443" t="s">
        <v>12</v>
      </c>
      <c r="G443">
        <v>0.26700000000000002</v>
      </c>
      <c r="K443" t="s">
        <v>649</v>
      </c>
      <c r="L443" t="s">
        <v>936</v>
      </c>
    </row>
    <row r="444" spans="1:12" x14ac:dyDescent="0.25">
      <c r="A444" t="s">
        <v>536</v>
      </c>
      <c r="B444" t="s">
        <v>46</v>
      </c>
      <c r="D444" t="s">
        <v>845</v>
      </c>
      <c r="E444" t="s">
        <v>709</v>
      </c>
      <c r="F444" t="s">
        <v>12</v>
      </c>
      <c r="G444">
        <v>0.14000000000000001</v>
      </c>
      <c r="K444" t="s">
        <v>649</v>
      </c>
      <c r="L444" t="s">
        <v>936</v>
      </c>
    </row>
    <row r="445" spans="1:12" x14ac:dyDescent="0.25">
      <c r="A445" t="s">
        <v>536</v>
      </c>
      <c r="B445" t="s">
        <v>47</v>
      </c>
      <c r="D445" t="s">
        <v>845</v>
      </c>
      <c r="E445" t="s">
        <v>709</v>
      </c>
      <c r="F445" t="s">
        <v>12</v>
      </c>
      <c r="G445">
        <v>0.19</v>
      </c>
      <c r="K445" t="s">
        <v>649</v>
      </c>
      <c r="L445" t="s">
        <v>936</v>
      </c>
    </row>
    <row r="446" spans="1:12" x14ac:dyDescent="0.25">
      <c r="A446" t="s">
        <v>536</v>
      </c>
      <c r="B446" t="s">
        <v>43</v>
      </c>
      <c r="D446" t="s">
        <v>845</v>
      </c>
      <c r="E446" t="s">
        <v>709</v>
      </c>
      <c r="F446" t="s">
        <v>12</v>
      </c>
      <c r="G446">
        <v>0.13600000000000001</v>
      </c>
      <c r="K446" t="s">
        <v>649</v>
      </c>
      <c r="L446" t="s">
        <v>936</v>
      </c>
    </row>
    <row r="447" spans="1:12" x14ac:dyDescent="0.25">
      <c r="A447" t="s">
        <v>536</v>
      </c>
      <c r="B447" t="s">
        <v>40</v>
      </c>
      <c r="D447" t="s">
        <v>845</v>
      </c>
      <c r="E447" t="s">
        <v>709</v>
      </c>
      <c r="F447" t="s">
        <v>12</v>
      </c>
      <c r="G447">
        <v>0.16900000000000001</v>
      </c>
      <c r="K447" t="s">
        <v>649</v>
      </c>
      <c r="L447" t="s">
        <v>936</v>
      </c>
    </row>
    <row r="448" spans="1:12" x14ac:dyDescent="0.25">
      <c r="A448" t="s">
        <v>536</v>
      </c>
      <c r="B448" t="s">
        <v>42</v>
      </c>
      <c r="D448" t="s">
        <v>845</v>
      </c>
      <c r="E448" t="s">
        <v>709</v>
      </c>
      <c r="F448" t="s">
        <v>12</v>
      </c>
      <c r="G448">
        <v>0.28699999999999998</v>
      </c>
      <c r="K448" t="s">
        <v>649</v>
      </c>
      <c r="L448" t="s">
        <v>936</v>
      </c>
    </row>
    <row r="449" spans="1:12" x14ac:dyDescent="0.25">
      <c r="A449" t="s">
        <v>536</v>
      </c>
      <c r="B449" t="s">
        <v>48</v>
      </c>
      <c r="D449" t="s">
        <v>845</v>
      </c>
      <c r="E449" t="s">
        <v>709</v>
      </c>
      <c r="F449" t="s">
        <v>12</v>
      </c>
      <c r="G449">
        <v>0.28799999999999998</v>
      </c>
      <c r="K449" t="s">
        <v>649</v>
      </c>
      <c r="L449" t="s">
        <v>936</v>
      </c>
    </row>
    <row r="450" spans="1:12" x14ac:dyDescent="0.25">
      <c r="A450" t="s">
        <v>536</v>
      </c>
      <c r="B450" t="s">
        <v>49</v>
      </c>
      <c r="D450" t="s">
        <v>845</v>
      </c>
      <c r="E450" t="s">
        <v>709</v>
      </c>
      <c r="F450" t="s">
        <v>12</v>
      </c>
      <c r="G450">
        <v>0.315</v>
      </c>
      <c r="K450" t="s">
        <v>649</v>
      </c>
      <c r="L450" t="s">
        <v>936</v>
      </c>
    </row>
    <row r="451" spans="1:12" x14ac:dyDescent="0.25">
      <c r="A451" t="s">
        <v>536</v>
      </c>
      <c r="B451" t="s">
        <v>50</v>
      </c>
      <c r="D451" t="s">
        <v>845</v>
      </c>
      <c r="E451" t="s">
        <v>709</v>
      </c>
      <c r="F451" t="s">
        <v>12</v>
      </c>
      <c r="G451">
        <v>2.3010000000000002</v>
      </c>
      <c r="K451" t="s">
        <v>649</v>
      </c>
      <c r="L451" t="s">
        <v>936</v>
      </c>
    </row>
    <row r="452" spans="1:12" x14ac:dyDescent="0.25">
      <c r="A452" t="s">
        <v>536</v>
      </c>
      <c r="B452" t="s">
        <v>938</v>
      </c>
      <c r="D452" t="s">
        <v>845</v>
      </c>
      <c r="E452" t="s">
        <v>709</v>
      </c>
      <c r="F452" t="s">
        <v>1256</v>
      </c>
      <c r="G452">
        <v>0.27300000000000002</v>
      </c>
      <c r="K452" t="s">
        <v>649</v>
      </c>
      <c r="L452" t="s">
        <v>936</v>
      </c>
    </row>
    <row r="453" spans="1:12" x14ac:dyDescent="0.25">
      <c r="A453" t="s">
        <v>536</v>
      </c>
      <c r="B453" t="s">
        <v>939</v>
      </c>
      <c r="D453" t="s">
        <v>845</v>
      </c>
      <c r="E453" t="s">
        <v>709</v>
      </c>
      <c r="F453" t="s">
        <v>1256</v>
      </c>
      <c r="G453">
        <v>9.6000000000000002E-2</v>
      </c>
      <c r="K453" t="s">
        <v>649</v>
      </c>
      <c r="L453" t="s">
        <v>936</v>
      </c>
    </row>
    <row r="454" spans="1:12" x14ac:dyDescent="0.25">
      <c r="A454" t="s">
        <v>536</v>
      </c>
      <c r="B454" t="s">
        <v>940</v>
      </c>
      <c r="D454" t="s">
        <v>845</v>
      </c>
      <c r="E454" t="s">
        <v>709</v>
      </c>
      <c r="F454" t="s">
        <v>1256</v>
      </c>
      <c r="G454">
        <v>1.61</v>
      </c>
      <c r="K454" t="s">
        <v>649</v>
      </c>
      <c r="L454" t="s">
        <v>936</v>
      </c>
    </row>
    <row r="455" spans="1:12" x14ac:dyDescent="0.25">
      <c r="A455" t="s">
        <v>536</v>
      </c>
      <c r="B455" t="s">
        <v>941</v>
      </c>
      <c r="D455" t="s">
        <v>845</v>
      </c>
      <c r="E455" t="s">
        <v>709</v>
      </c>
      <c r="F455" t="s">
        <v>1256</v>
      </c>
      <c r="G455">
        <v>4.085</v>
      </c>
      <c r="K455" t="s">
        <v>649</v>
      </c>
      <c r="L455" t="s">
        <v>936</v>
      </c>
    </row>
    <row r="456" spans="1:12" x14ac:dyDescent="0.25">
      <c r="A456" t="s">
        <v>536</v>
      </c>
      <c r="B456" t="s">
        <v>942</v>
      </c>
      <c r="D456" t="s">
        <v>845</v>
      </c>
      <c r="E456" t="s">
        <v>709</v>
      </c>
      <c r="F456" t="s">
        <v>1256</v>
      </c>
      <c r="G456">
        <v>4.9880000000000004</v>
      </c>
      <c r="K456" t="s">
        <v>649</v>
      </c>
      <c r="L456" t="s">
        <v>936</v>
      </c>
    </row>
    <row r="457" spans="1:12" x14ac:dyDescent="0.25">
      <c r="A457" t="s">
        <v>536</v>
      </c>
      <c r="B457" t="s">
        <v>943</v>
      </c>
      <c r="D457" t="s">
        <v>845</v>
      </c>
      <c r="E457" t="s">
        <v>709</v>
      </c>
      <c r="F457" t="s">
        <v>1256</v>
      </c>
      <c r="G457">
        <v>12.808</v>
      </c>
      <c r="K457" t="s">
        <v>649</v>
      </c>
      <c r="L457" t="s">
        <v>936</v>
      </c>
    </row>
    <row r="458" spans="1:12" x14ac:dyDescent="0.25">
      <c r="A458" t="s">
        <v>536</v>
      </c>
      <c r="B458" t="s">
        <v>944</v>
      </c>
      <c r="D458" t="s">
        <v>845</v>
      </c>
      <c r="E458" t="s">
        <v>709</v>
      </c>
      <c r="F458" t="s">
        <v>1256</v>
      </c>
      <c r="G458">
        <v>13.375999999999999</v>
      </c>
      <c r="K458" t="s">
        <v>649</v>
      </c>
      <c r="L458" t="s">
        <v>936</v>
      </c>
    </row>
    <row r="459" spans="1:12" x14ac:dyDescent="0.25">
      <c r="A459" t="s">
        <v>536</v>
      </c>
      <c r="B459" t="s">
        <v>945</v>
      </c>
      <c r="D459" t="s">
        <v>845</v>
      </c>
      <c r="E459" t="s">
        <v>709</v>
      </c>
      <c r="F459" t="s">
        <v>1256</v>
      </c>
      <c r="G459">
        <v>23.908999999999999</v>
      </c>
      <c r="K459" t="s">
        <v>649</v>
      </c>
      <c r="L459" t="s">
        <v>936</v>
      </c>
    </row>
    <row r="460" spans="1:12" x14ac:dyDescent="0.25">
      <c r="A460" t="s">
        <v>536</v>
      </c>
      <c r="B460" t="s">
        <v>946</v>
      </c>
      <c r="D460" t="s">
        <v>845</v>
      </c>
      <c r="E460" t="s">
        <v>709</v>
      </c>
      <c r="F460" t="s">
        <v>1256</v>
      </c>
      <c r="G460">
        <v>15.161</v>
      </c>
      <c r="K460" t="s">
        <v>649</v>
      </c>
      <c r="L460" t="s">
        <v>936</v>
      </c>
    </row>
    <row r="461" spans="1:12" x14ac:dyDescent="0.25">
      <c r="A461" t="s">
        <v>536</v>
      </c>
      <c r="B461" t="s">
        <v>557</v>
      </c>
      <c r="D461" t="s">
        <v>845</v>
      </c>
      <c r="E461" t="s">
        <v>709</v>
      </c>
      <c r="F461" t="s">
        <v>1256</v>
      </c>
      <c r="G461">
        <v>4.1790000000000003</v>
      </c>
      <c r="K461" t="s">
        <v>649</v>
      </c>
      <c r="L461" t="s">
        <v>936</v>
      </c>
    </row>
    <row r="462" spans="1:12" x14ac:dyDescent="0.25">
      <c r="A462" t="s">
        <v>536</v>
      </c>
      <c r="B462" t="s">
        <v>947</v>
      </c>
      <c r="D462" t="s">
        <v>845</v>
      </c>
      <c r="E462" t="s">
        <v>709</v>
      </c>
      <c r="F462" t="s">
        <v>1256</v>
      </c>
      <c r="G462">
        <v>9.2620000000000005</v>
      </c>
      <c r="K462" t="s">
        <v>649</v>
      </c>
      <c r="L462" t="s">
        <v>936</v>
      </c>
    </row>
    <row r="463" spans="1:12" x14ac:dyDescent="0.25">
      <c r="A463" t="s">
        <v>536</v>
      </c>
      <c r="B463" t="s">
        <v>948</v>
      </c>
      <c r="D463" t="s">
        <v>845</v>
      </c>
      <c r="E463" t="s">
        <v>709</v>
      </c>
      <c r="F463" t="s">
        <v>1256</v>
      </c>
      <c r="G463">
        <v>7.7750000000000004</v>
      </c>
      <c r="K463" t="s">
        <v>649</v>
      </c>
      <c r="L463" t="s">
        <v>936</v>
      </c>
    </row>
    <row r="464" spans="1:12" x14ac:dyDescent="0.25">
      <c r="A464" t="s">
        <v>536</v>
      </c>
      <c r="B464" t="s">
        <v>949</v>
      </c>
      <c r="D464" t="s">
        <v>845</v>
      </c>
      <c r="E464" t="s">
        <v>709</v>
      </c>
      <c r="F464" t="s">
        <v>1256</v>
      </c>
      <c r="G464">
        <v>42.472000000000001</v>
      </c>
      <c r="K464" t="s">
        <v>649</v>
      </c>
      <c r="L464" t="s">
        <v>936</v>
      </c>
    </row>
    <row r="465" spans="1:12" x14ac:dyDescent="0.25">
      <c r="A465" t="s">
        <v>536</v>
      </c>
      <c r="B465" t="s">
        <v>950</v>
      </c>
      <c r="D465" t="s">
        <v>845</v>
      </c>
      <c r="E465" t="s">
        <v>709</v>
      </c>
      <c r="F465" t="s">
        <v>1256</v>
      </c>
      <c r="G465">
        <v>3.0840000000000001</v>
      </c>
      <c r="K465" t="s">
        <v>649</v>
      </c>
      <c r="L465" t="s">
        <v>936</v>
      </c>
    </row>
    <row r="466" spans="1:12" x14ac:dyDescent="0.25">
      <c r="A466" t="s">
        <v>536</v>
      </c>
      <c r="B466" t="s">
        <v>951</v>
      </c>
      <c r="D466" t="s">
        <v>845</v>
      </c>
      <c r="E466" t="s">
        <v>709</v>
      </c>
      <c r="F466" t="s">
        <v>1256</v>
      </c>
      <c r="G466">
        <v>44.526000000000003</v>
      </c>
      <c r="K466" t="s">
        <v>649</v>
      </c>
      <c r="L466" t="s">
        <v>936</v>
      </c>
    </row>
    <row r="467" spans="1:12" x14ac:dyDescent="0.25">
      <c r="A467" t="s">
        <v>536</v>
      </c>
      <c r="B467" t="s">
        <v>952</v>
      </c>
      <c r="D467" t="s">
        <v>845</v>
      </c>
      <c r="E467" t="s">
        <v>709</v>
      </c>
      <c r="F467" t="s">
        <v>1256</v>
      </c>
      <c r="G467">
        <v>9.6809999999999992</v>
      </c>
      <c r="K467" t="s">
        <v>649</v>
      </c>
      <c r="L467" t="s">
        <v>936</v>
      </c>
    </row>
    <row r="468" spans="1:12" x14ac:dyDescent="0.25">
      <c r="A468" t="s">
        <v>536</v>
      </c>
      <c r="B468" t="s">
        <v>953</v>
      </c>
      <c r="D468" t="s">
        <v>845</v>
      </c>
      <c r="E468" t="s">
        <v>709</v>
      </c>
      <c r="F468" t="s">
        <v>1256</v>
      </c>
      <c r="G468">
        <v>8.3089999999999993</v>
      </c>
      <c r="K468" t="s">
        <v>649</v>
      </c>
      <c r="L468" t="s">
        <v>936</v>
      </c>
    </row>
    <row r="469" spans="1:12" x14ac:dyDescent="0.25">
      <c r="A469" t="s">
        <v>536</v>
      </c>
      <c r="B469" t="s">
        <v>954</v>
      </c>
      <c r="D469" t="s">
        <v>845</v>
      </c>
      <c r="E469" t="s">
        <v>709</v>
      </c>
      <c r="F469" t="s">
        <v>1256</v>
      </c>
      <c r="G469">
        <v>17.117000000000001</v>
      </c>
      <c r="K469" t="s">
        <v>649</v>
      </c>
      <c r="L469" t="s">
        <v>936</v>
      </c>
    </row>
    <row r="470" spans="1:12" x14ac:dyDescent="0.25">
      <c r="A470" t="s">
        <v>536</v>
      </c>
      <c r="B470" t="s">
        <v>955</v>
      </c>
      <c r="D470" t="s">
        <v>845</v>
      </c>
      <c r="E470" t="s">
        <v>709</v>
      </c>
      <c r="F470" t="s">
        <v>1256</v>
      </c>
      <c r="G470">
        <v>8.8689999999999998</v>
      </c>
      <c r="K470" t="s">
        <v>649</v>
      </c>
      <c r="L470" t="s">
        <v>936</v>
      </c>
    </row>
    <row r="471" spans="1:12" x14ac:dyDescent="0.25">
      <c r="A471" t="s">
        <v>536</v>
      </c>
      <c r="B471" t="s">
        <v>956</v>
      </c>
      <c r="D471" t="s">
        <v>845</v>
      </c>
      <c r="E471" t="s">
        <v>709</v>
      </c>
      <c r="F471" t="s">
        <v>1256</v>
      </c>
      <c r="G471">
        <v>0.58899999999999997</v>
      </c>
      <c r="K471" t="s">
        <v>649</v>
      </c>
      <c r="L471" t="s">
        <v>936</v>
      </c>
    </row>
    <row r="472" spans="1:12" x14ac:dyDescent="0.25">
      <c r="A472" t="s">
        <v>536</v>
      </c>
      <c r="B472" t="s">
        <v>957</v>
      </c>
      <c r="D472" t="s">
        <v>845</v>
      </c>
      <c r="E472" t="s">
        <v>709</v>
      </c>
      <c r="F472" t="s">
        <v>1256</v>
      </c>
      <c r="G472">
        <v>0.74</v>
      </c>
      <c r="K472" t="s">
        <v>649</v>
      </c>
      <c r="L472" t="s">
        <v>936</v>
      </c>
    </row>
    <row r="473" spans="1:12" x14ac:dyDescent="0.25">
      <c r="A473" t="s">
        <v>536</v>
      </c>
      <c r="B473" t="s">
        <v>958</v>
      </c>
      <c r="D473" t="s">
        <v>845</v>
      </c>
      <c r="E473" t="s">
        <v>709</v>
      </c>
      <c r="F473" t="s">
        <v>1256</v>
      </c>
      <c r="G473">
        <v>38.274000000000001</v>
      </c>
      <c r="K473" t="s">
        <v>649</v>
      </c>
      <c r="L473" t="s">
        <v>936</v>
      </c>
    </row>
    <row r="474" spans="1:12" x14ac:dyDescent="0.25">
      <c r="A474" t="s">
        <v>536</v>
      </c>
      <c r="B474" t="s">
        <v>959</v>
      </c>
      <c r="D474" t="s">
        <v>845</v>
      </c>
      <c r="E474" t="s">
        <v>709</v>
      </c>
      <c r="F474" t="s">
        <v>1256</v>
      </c>
      <c r="G474">
        <v>17.681000000000001</v>
      </c>
      <c r="K474" t="s">
        <v>649</v>
      </c>
      <c r="L474" t="s">
        <v>936</v>
      </c>
    </row>
    <row r="475" spans="1:12" x14ac:dyDescent="0.25">
      <c r="A475" t="s">
        <v>536</v>
      </c>
      <c r="B475" t="s">
        <v>960</v>
      </c>
      <c r="D475" t="s">
        <v>845</v>
      </c>
      <c r="E475" t="s">
        <v>709</v>
      </c>
      <c r="F475" t="s">
        <v>1256</v>
      </c>
      <c r="G475">
        <v>3.32</v>
      </c>
      <c r="K475" t="s">
        <v>649</v>
      </c>
      <c r="L475" t="s">
        <v>936</v>
      </c>
    </row>
    <row r="476" spans="1:12" x14ac:dyDescent="0.25">
      <c r="A476" t="s">
        <v>536</v>
      </c>
      <c r="B476" t="s">
        <v>576</v>
      </c>
      <c r="D476" t="s">
        <v>845</v>
      </c>
      <c r="E476" t="s">
        <v>709</v>
      </c>
      <c r="F476" t="s">
        <v>1256</v>
      </c>
      <c r="G476">
        <v>5.5350000000000001</v>
      </c>
      <c r="K476" t="s">
        <v>649</v>
      </c>
      <c r="L476" t="s">
        <v>936</v>
      </c>
    </row>
    <row r="477" spans="1:12" x14ac:dyDescent="0.25">
      <c r="A477" t="s">
        <v>536</v>
      </c>
      <c r="B477" t="s">
        <v>961</v>
      </c>
      <c r="D477" t="s">
        <v>845</v>
      </c>
      <c r="E477" t="s">
        <v>709</v>
      </c>
      <c r="F477" t="s">
        <v>1256</v>
      </c>
      <c r="G477">
        <v>6.4290000000000003</v>
      </c>
      <c r="K477" t="s">
        <v>649</v>
      </c>
      <c r="L477" t="s">
        <v>936</v>
      </c>
    </row>
    <row r="478" spans="1:12" x14ac:dyDescent="0.25">
      <c r="A478" t="s">
        <v>536</v>
      </c>
      <c r="B478" t="s">
        <v>993</v>
      </c>
      <c r="D478" t="s">
        <v>845</v>
      </c>
      <c r="E478" t="s">
        <v>709</v>
      </c>
      <c r="F478" t="s">
        <v>12</v>
      </c>
      <c r="G478">
        <v>0.189</v>
      </c>
      <c r="K478" t="s">
        <v>649</v>
      </c>
      <c r="L478" t="s">
        <v>936</v>
      </c>
    </row>
    <row r="479" spans="1:12" x14ac:dyDescent="0.25">
      <c r="A479" t="s">
        <v>536</v>
      </c>
      <c r="B479" t="s">
        <v>994</v>
      </c>
      <c r="D479" t="s">
        <v>845</v>
      </c>
      <c r="E479" t="s">
        <v>709</v>
      </c>
      <c r="F479" t="s">
        <v>12</v>
      </c>
      <c r="G479">
        <v>0.09</v>
      </c>
      <c r="K479" t="s">
        <v>649</v>
      </c>
      <c r="L479" t="s">
        <v>936</v>
      </c>
    </row>
    <row r="480" spans="1:12" x14ac:dyDescent="0.25">
      <c r="A480" t="s">
        <v>536</v>
      </c>
      <c r="B480" t="s">
        <v>995</v>
      </c>
      <c r="D480" t="s">
        <v>845</v>
      </c>
      <c r="E480" t="s">
        <v>709</v>
      </c>
      <c r="F480" t="s">
        <v>12</v>
      </c>
      <c r="G480">
        <v>8.4000000000000005E-2</v>
      </c>
      <c r="K480" t="s">
        <v>649</v>
      </c>
      <c r="L480" t="s">
        <v>936</v>
      </c>
    </row>
    <row r="481" spans="1:12" x14ac:dyDescent="0.25">
      <c r="A481" t="s">
        <v>536</v>
      </c>
      <c r="B481" t="s">
        <v>996</v>
      </c>
      <c r="D481" t="s">
        <v>845</v>
      </c>
      <c r="E481" t="s">
        <v>709</v>
      </c>
      <c r="F481" t="s">
        <v>12</v>
      </c>
      <c r="G481">
        <v>0.16400000000000001</v>
      </c>
      <c r="K481" t="s">
        <v>649</v>
      </c>
      <c r="L481" t="s">
        <v>936</v>
      </c>
    </row>
    <row r="482" spans="1:12" x14ac:dyDescent="0.25">
      <c r="A482" t="s">
        <v>536</v>
      </c>
      <c r="B482" t="s">
        <v>997</v>
      </c>
      <c r="D482" t="s">
        <v>845</v>
      </c>
      <c r="E482" t="s">
        <v>709</v>
      </c>
      <c r="F482" t="s">
        <v>12</v>
      </c>
      <c r="G482">
        <v>0.16400000000000001</v>
      </c>
      <c r="K482" t="s">
        <v>649</v>
      </c>
      <c r="L482" t="s">
        <v>936</v>
      </c>
    </row>
    <row r="483" spans="1:12" x14ac:dyDescent="0.25">
      <c r="A483" t="s">
        <v>536</v>
      </c>
      <c r="B483" t="s">
        <v>998</v>
      </c>
      <c r="D483" t="s">
        <v>845</v>
      </c>
      <c r="E483" t="s">
        <v>709</v>
      </c>
      <c r="F483" t="s">
        <v>12</v>
      </c>
      <c r="G483">
        <v>0.159</v>
      </c>
      <c r="K483" t="s">
        <v>649</v>
      </c>
      <c r="L483" t="s">
        <v>936</v>
      </c>
    </row>
    <row r="484" spans="1:12" x14ac:dyDescent="0.25">
      <c r="A484" t="s">
        <v>526</v>
      </c>
      <c r="B484" t="s">
        <v>28</v>
      </c>
      <c r="D484" t="s">
        <v>571</v>
      </c>
      <c r="E484" t="s">
        <v>709</v>
      </c>
      <c r="F484" t="s">
        <v>12</v>
      </c>
      <c r="G484">
        <v>5.0000000000000001E-3</v>
      </c>
      <c r="H484">
        <v>30</v>
      </c>
      <c r="I484">
        <v>6</v>
      </c>
      <c r="J484">
        <v>1.5</v>
      </c>
      <c r="K484" t="s">
        <v>13</v>
      </c>
      <c r="L484" t="s">
        <v>936</v>
      </c>
    </row>
    <row r="485" spans="1:12" x14ac:dyDescent="0.25">
      <c r="A485" t="s">
        <v>526</v>
      </c>
      <c r="B485" t="s">
        <v>27</v>
      </c>
      <c r="D485" t="s">
        <v>571</v>
      </c>
      <c r="E485" t="s">
        <v>709</v>
      </c>
      <c r="F485" t="s">
        <v>12</v>
      </c>
      <c r="G485">
        <v>5.0000000000000001E-3</v>
      </c>
      <c r="H485">
        <v>30</v>
      </c>
      <c r="I485">
        <v>6</v>
      </c>
      <c r="J485">
        <v>1.5</v>
      </c>
      <c r="K485" t="s">
        <v>13</v>
      </c>
      <c r="L485" t="s">
        <v>936</v>
      </c>
    </row>
    <row r="486" spans="1:12" x14ac:dyDescent="0.25">
      <c r="A486" t="s">
        <v>526</v>
      </c>
      <c r="B486" t="s">
        <v>26</v>
      </c>
      <c r="D486" t="s">
        <v>571</v>
      </c>
      <c r="E486" t="s">
        <v>709</v>
      </c>
      <c r="F486" t="s">
        <v>12</v>
      </c>
      <c r="G486">
        <v>5.0000000000000001E-3</v>
      </c>
      <c r="H486">
        <v>30</v>
      </c>
      <c r="I486">
        <v>6</v>
      </c>
      <c r="J486">
        <v>1.5</v>
      </c>
      <c r="K486" t="s">
        <v>13</v>
      </c>
      <c r="L486" t="s">
        <v>936</v>
      </c>
    </row>
    <row r="487" spans="1:12" x14ac:dyDescent="0.25">
      <c r="A487" t="s">
        <v>526</v>
      </c>
      <c r="B487" t="s">
        <v>19</v>
      </c>
      <c r="D487" t="s">
        <v>571</v>
      </c>
      <c r="E487" t="s">
        <v>709</v>
      </c>
      <c r="F487" t="s">
        <v>12</v>
      </c>
      <c r="G487">
        <v>5.0000000000000001E-3</v>
      </c>
      <c r="H487">
        <v>30</v>
      </c>
      <c r="I487">
        <v>6</v>
      </c>
      <c r="J487">
        <v>1.5</v>
      </c>
      <c r="K487" t="s">
        <v>13</v>
      </c>
      <c r="L487" t="s">
        <v>936</v>
      </c>
    </row>
    <row r="488" spans="1:12" x14ac:dyDescent="0.25">
      <c r="A488" t="s">
        <v>526</v>
      </c>
      <c r="B488" t="s">
        <v>22</v>
      </c>
      <c r="D488" t="s">
        <v>571</v>
      </c>
      <c r="E488" t="s">
        <v>709</v>
      </c>
      <c r="F488" t="s">
        <v>12</v>
      </c>
      <c r="G488">
        <v>5.0000000000000001E-3</v>
      </c>
      <c r="H488">
        <v>30</v>
      </c>
      <c r="I488">
        <v>6</v>
      </c>
      <c r="J488">
        <v>1.5</v>
      </c>
      <c r="K488" t="s">
        <v>13</v>
      </c>
      <c r="L488" t="s">
        <v>936</v>
      </c>
    </row>
    <row r="489" spans="1:12" x14ac:dyDescent="0.25">
      <c r="A489" t="s">
        <v>526</v>
      </c>
      <c r="B489" t="s">
        <v>21</v>
      </c>
      <c r="D489" t="s">
        <v>571</v>
      </c>
      <c r="E489" t="s">
        <v>709</v>
      </c>
      <c r="F489" t="s">
        <v>12</v>
      </c>
      <c r="G489">
        <v>5.0000000000000001E-3</v>
      </c>
      <c r="H489">
        <v>30</v>
      </c>
      <c r="I489">
        <v>6</v>
      </c>
      <c r="J489">
        <v>1.5</v>
      </c>
      <c r="K489" t="s">
        <v>13</v>
      </c>
      <c r="L489" t="s">
        <v>936</v>
      </c>
    </row>
    <row r="490" spans="1:12" x14ac:dyDescent="0.25">
      <c r="A490" t="s">
        <v>526</v>
      </c>
      <c r="B490" t="s">
        <v>28</v>
      </c>
      <c r="D490" t="s">
        <v>571</v>
      </c>
      <c r="E490" t="s">
        <v>709</v>
      </c>
      <c r="F490" t="s">
        <v>12</v>
      </c>
      <c r="G490">
        <v>5.0000000000000001E-3</v>
      </c>
      <c r="H490">
        <v>30</v>
      </c>
      <c r="I490">
        <v>6</v>
      </c>
      <c r="J490">
        <v>1.5</v>
      </c>
      <c r="K490" t="s">
        <v>13</v>
      </c>
      <c r="L490" t="s">
        <v>936</v>
      </c>
    </row>
    <row r="491" spans="1:12" x14ac:dyDescent="0.25">
      <c r="A491" t="s">
        <v>526</v>
      </c>
      <c r="B491" t="s">
        <v>27</v>
      </c>
      <c r="D491" t="s">
        <v>571</v>
      </c>
      <c r="E491" t="s">
        <v>709</v>
      </c>
      <c r="F491" t="s">
        <v>12</v>
      </c>
      <c r="G491">
        <v>5.0000000000000001E-3</v>
      </c>
      <c r="H491">
        <v>30</v>
      </c>
      <c r="I491">
        <v>6</v>
      </c>
      <c r="J491">
        <v>1.5</v>
      </c>
      <c r="K491" t="s">
        <v>13</v>
      </c>
      <c r="L491" t="s">
        <v>936</v>
      </c>
    </row>
    <row r="492" spans="1:12" x14ac:dyDescent="0.25">
      <c r="A492" t="s">
        <v>526</v>
      </c>
      <c r="B492" t="s">
        <v>26</v>
      </c>
      <c r="D492" t="s">
        <v>571</v>
      </c>
      <c r="E492" t="s">
        <v>709</v>
      </c>
      <c r="F492" t="s">
        <v>12</v>
      </c>
      <c r="G492">
        <v>5.0000000000000001E-3</v>
      </c>
      <c r="H492">
        <v>30</v>
      </c>
      <c r="I492">
        <v>6</v>
      </c>
      <c r="J492">
        <v>1.5</v>
      </c>
      <c r="K492" t="s">
        <v>13</v>
      </c>
      <c r="L492" t="s">
        <v>936</v>
      </c>
    </row>
    <row r="493" spans="1:12" x14ac:dyDescent="0.25">
      <c r="A493" t="s">
        <v>526</v>
      </c>
      <c r="B493" t="s">
        <v>423</v>
      </c>
      <c r="D493" t="s">
        <v>571</v>
      </c>
      <c r="E493" t="s">
        <v>709</v>
      </c>
      <c r="F493" t="s">
        <v>12</v>
      </c>
      <c r="G493">
        <v>0.03</v>
      </c>
      <c r="K493" t="s">
        <v>13</v>
      </c>
      <c r="L493" t="s">
        <v>936</v>
      </c>
    </row>
    <row r="494" spans="1:12" x14ac:dyDescent="0.25">
      <c r="A494" t="s">
        <v>526</v>
      </c>
      <c r="B494" t="s">
        <v>416</v>
      </c>
      <c r="D494" t="s">
        <v>571</v>
      </c>
      <c r="E494" t="s">
        <v>709</v>
      </c>
      <c r="F494" t="s">
        <v>12</v>
      </c>
      <c r="G494">
        <v>2.8000000000000001E-2</v>
      </c>
      <c r="K494" t="s">
        <v>13</v>
      </c>
      <c r="L494" t="s">
        <v>936</v>
      </c>
    </row>
    <row r="495" spans="1:12" x14ac:dyDescent="0.25">
      <c r="A495" t="s">
        <v>356</v>
      </c>
      <c r="B495" t="s">
        <v>28</v>
      </c>
      <c r="D495" t="s">
        <v>844</v>
      </c>
      <c r="E495" t="s">
        <v>709</v>
      </c>
      <c r="F495" t="s">
        <v>1226</v>
      </c>
      <c r="G495">
        <v>0.13300000000000001</v>
      </c>
      <c r="K495" t="s">
        <v>649</v>
      </c>
      <c r="L495" t="s">
        <v>688</v>
      </c>
    </row>
    <row r="496" spans="1:12" x14ac:dyDescent="0.25">
      <c r="A496" t="s">
        <v>356</v>
      </c>
      <c r="B496" t="s">
        <v>27</v>
      </c>
      <c r="D496" t="s">
        <v>844</v>
      </c>
      <c r="E496" t="s">
        <v>709</v>
      </c>
      <c r="F496" t="s">
        <v>12</v>
      </c>
      <c r="G496">
        <v>0.28399999999999997</v>
      </c>
      <c r="K496" t="s">
        <v>649</v>
      </c>
      <c r="L496" t="s">
        <v>688</v>
      </c>
    </row>
    <row r="497" spans="1:12" x14ac:dyDescent="0.25">
      <c r="A497" t="s">
        <v>356</v>
      </c>
      <c r="B497" t="s">
        <v>26</v>
      </c>
      <c r="D497" t="s">
        <v>844</v>
      </c>
      <c r="E497" t="s">
        <v>709</v>
      </c>
      <c r="F497" t="s">
        <v>12</v>
      </c>
      <c r="G497">
        <v>0.11600000000000001</v>
      </c>
      <c r="K497" t="s">
        <v>649</v>
      </c>
      <c r="L497" t="s">
        <v>688</v>
      </c>
    </row>
    <row r="498" spans="1:12" x14ac:dyDescent="0.25">
      <c r="A498" t="s">
        <v>356</v>
      </c>
      <c r="B498" t="s">
        <v>21</v>
      </c>
      <c r="D498" t="s">
        <v>844</v>
      </c>
      <c r="E498" t="s">
        <v>709</v>
      </c>
      <c r="F498" t="s">
        <v>12</v>
      </c>
      <c r="G498">
        <v>0.153</v>
      </c>
      <c r="K498" t="s">
        <v>649</v>
      </c>
      <c r="L498" t="s">
        <v>688</v>
      </c>
    </row>
    <row r="499" spans="1:12" x14ac:dyDescent="0.25">
      <c r="A499" t="s">
        <v>356</v>
      </c>
      <c r="B499" t="s">
        <v>22</v>
      </c>
      <c r="D499" t="s">
        <v>844</v>
      </c>
      <c r="E499" t="s">
        <v>709</v>
      </c>
      <c r="F499" t="s">
        <v>12</v>
      </c>
      <c r="G499">
        <v>0.192</v>
      </c>
      <c r="K499" t="s">
        <v>649</v>
      </c>
      <c r="L499" t="s">
        <v>688</v>
      </c>
    </row>
    <row r="500" spans="1:12" x14ac:dyDescent="0.25">
      <c r="A500" t="s">
        <v>356</v>
      </c>
      <c r="B500" t="s">
        <v>19</v>
      </c>
      <c r="D500" t="s">
        <v>844</v>
      </c>
      <c r="E500" t="s">
        <v>709</v>
      </c>
      <c r="F500" t="s">
        <v>837</v>
      </c>
      <c r="G500">
        <v>0.14000000000000001</v>
      </c>
      <c r="K500" t="s">
        <v>649</v>
      </c>
      <c r="L500" t="s">
        <v>688</v>
      </c>
    </row>
    <row r="501" spans="1:12" x14ac:dyDescent="0.25">
      <c r="A501" t="s">
        <v>356</v>
      </c>
      <c r="B501" t="s">
        <v>20</v>
      </c>
      <c r="D501" t="s">
        <v>844</v>
      </c>
      <c r="E501" t="s">
        <v>709</v>
      </c>
      <c r="F501" t="s">
        <v>12</v>
      </c>
      <c r="G501">
        <v>0.22</v>
      </c>
      <c r="K501" t="s">
        <v>649</v>
      </c>
      <c r="L501" t="s">
        <v>688</v>
      </c>
    </row>
    <row r="502" spans="1:12" x14ac:dyDescent="0.25">
      <c r="A502" t="s">
        <v>356</v>
      </c>
      <c r="B502" t="s">
        <v>44</v>
      </c>
      <c r="D502" t="s">
        <v>844</v>
      </c>
      <c r="E502" t="s">
        <v>709</v>
      </c>
      <c r="F502" t="s">
        <v>837</v>
      </c>
      <c r="G502">
        <v>0.129</v>
      </c>
      <c r="K502" t="s">
        <v>649</v>
      </c>
      <c r="L502" t="s">
        <v>688</v>
      </c>
    </row>
    <row r="503" spans="1:12" x14ac:dyDescent="0.25">
      <c r="A503" t="s">
        <v>356</v>
      </c>
      <c r="B503" t="s">
        <v>45</v>
      </c>
      <c r="D503" t="s">
        <v>844</v>
      </c>
      <c r="E503" t="s">
        <v>709</v>
      </c>
      <c r="F503" t="s">
        <v>837</v>
      </c>
      <c r="G503">
        <v>0.17899999999999999</v>
      </c>
      <c r="K503" t="s">
        <v>649</v>
      </c>
      <c r="L503" t="s">
        <v>688</v>
      </c>
    </row>
    <row r="504" spans="1:12" x14ac:dyDescent="0.25">
      <c r="A504" t="s">
        <v>356</v>
      </c>
      <c r="B504" t="s">
        <v>46</v>
      </c>
      <c r="D504" t="s">
        <v>844</v>
      </c>
      <c r="E504" t="s">
        <v>709</v>
      </c>
      <c r="F504" t="s">
        <v>837</v>
      </c>
      <c r="G504">
        <v>0.16900000000000001</v>
      </c>
      <c r="K504" t="s">
        <v>649</v>
      </c>
      <c r="L504" t="s">
        <v>688</v>
      </c>
    </row>
    <row r="505" spans="1:12" x14ac:dyDescent="0.25">
      <c r="A505" t="s">
        <v>356</v>
      </c>
      <c r="B505" t="s">
        <v>47</v>
      </c>
      <c r="D505" t="s">
        <v>844</v>
      </c>
      <c r="E505" t="s">
        <v>709</v>
      </c>
      <c r="F505" t="s">
        <v>12</v>
      </c>
      <c r="G505">
        <v>0.111</v>
      </c>
      <c r="K505" t="s">
        <v>649</v>
      </c>
      <c r="L505" t="s">
        <v>688</v>
      </c>
    </row>
    <row r="506" spans="1:12" x14ac:dyDescent="0.25">
      <c r="A506" t="s">
        <v>356</v>
      </c>
      <c r="B506" t="s">
        <v>43</v>
      </c>
      <c r="D506" t="s">
        <v>844</v>
      </c>
      <c r="E506" t="s">
        <v>709</v>
      </c>
      <c r="F506" t="s">
        <v>837</v>
      </c>
      <c r="G506">
        <v>0.13300000000000001</v>
      </c>
      <c r="K506" t="s">
        <v>649</v>
      </c>
      <c r="L506" t="s">
        <v>688</v>
      </c>
    </row>
    <row r="507" spans="1:12" x14ac:dyDescent="0.25">
      <c r="A507" t="s">
        <v>356</v>
      </c>
      <c r="B507" t="s">
        <v>40</v>
      </c>
      <c r="D507" t="s">
        <v>844</v>
      </c>
      <c r="E507" t="s">
        <v>709</v>
      </c>
      <c r="F507" t="s">
        <v>837</v>
      </c>
      <c r="G507">
        <v>0.317</v>
      </c>
      <c r="K507" t="s">
        <v>649</v>
      </c>
      <c r="L507" t="s">
        <v>688</v>
      </c>
    </row>
    <row r="508" spans="1:12" x14ac:dyDescent="0.25">
      <c r="A508" t="s">
        <v>356</v>
      </c>
      <c r="B508" t="s">
        <v>42</v>
      </c>
      <c r="D508" t="s">
        <v>844</v>
      </c>
      <c r="E508" t="s">
        <v>709</v>
      </c>
      <c r="F508" t="s">
        <v>837</v>
      </c>
      <c r="G508">
        <v>7.0000000000000007E-2</v>
      </c>
      <c r="K508" t="s">
        <v>649</v>
      </c>
      <c r="L508" t="s">
        <v>688</v>
      </c>
    </row>
    <row r="509" spans="1:12" x14ac:dyDescent="0.25">
      <c r="A509" t="s">
        <v>356</v>
      </c>
      <c r="B509" t="s">
        <v>48</v>
      </c>
      <c r="D509" t="s">
        <v>844</v>
      </c>
      <c r="E509" t="s">
        <v>709</v>
      </c>
      <c r="F509" t="s">
        <v>837</v>
      </c>
      <c r="G509">
        <v>3.1E-2</v>
      </c>
      <c r="K509" t="s">
        <v>649</v>
      </c>
      <c r="L509" t="s">
        <v>688</v>
      </c>
    </row>
    <row r="510" spans="1:12" x14ac:dyDescent="0.25">
      <c r="A510" t="s">
        <v>356</v>
      </c>
      <c r="B510" t="s">
        <v>49</v>
      </c>
      <c r="D510" t="s">
        <v>844</v>
      </c>
      <c r="E510" t="s">
        <v>709</v>
      </c>
      <c r="F510" t="s">
        <v>12</v>
      </c>
      <c r="G510">
        <v>0.03</v>
      </c>
      <c r="K510" t="s">
        <v>649</v>
      </c>
      <c r="L510" t="s">
        <v>688</v>
      </c>
    </row>
    <row r="511" spans="1:12" x14ac:dyDescent="0.25">
      <c r="A511" t="s">
        <v>1136</v>
      </c>
      <c r="B511" t="s">
        <v>1137</v>
      </c>
      <c r="D511" t="s">
        <v>842</v>
      </c>
      <c r="E511" t="s">
        <v>709</v>
      </c>
      <c r="F511" t="s">
        <v>12</v>
      </c>
      <c r="G511">
        <v>3.9E-2</v>
      </c>
      <c r="K511" t="s">
        <v>649</v>
      </c>
      <c r="L511" t="s">
        <v>649</v>
      </c>
    </row>
    <row r="512" spans="1:12" x14ac:dyDescent="0.25">
      <c r="A512" t="s">
        <v>1136</v>
      </c>
      <c r="B512" t="s">
        <v>1138</v>
      </c>
      <c r="D512" t="s">
        <v>842</v>
      </c>
      <c r="E512" t="s">
        <v>709</v>
      </c>
      <c r="F512" t="s">
        <v>12</v>
      </c>
      <c r="G512">
        <v>3.9E-2</v>
      </c>
      <c r="K512" t="s">
        <v>649</v>
      </c>
      <c r="L512" t="s">
        <v>649</v>
      </c>
    </row>
    <row r="513" spans="1:12" x14ac:dyDescent="0.25">
      <c r="A513" t="s">
        <v>1136</v>
      </c>
      <c r="B513" t="s">
        <v>1139</v>
      </c>
      <c r="D513" t="s">
        <v>842</v>
      </c>
      <c r="E513" t="s">
        <v>709</v>
      </c>
      <c r="F513" t="s">
        <v>12</v>
      </c>
      <c r="G513">
        <v>3.9E-2</v>
      </c>
      <c r="K513" t="s">
        <v>649</v>
      </c>
      <c r="L513" t="s">
        <v>649</v>
      </c>
    </row>
    <row r="514" spans="1:12" x14ac:dyDescent="0.25">
      <c r="A514" t="s">
        <v>1136</v>
      </c>
      <c r="B514" t="s">
        <v>1140</v>
      </c>
      <c r="D514" t="s">
        <v>842</v>
      </c>
      <c r="E514" t="s">
        <v>709</v>
      </c>
      <c r="F514" t="s">
        <v>12</v>
      </c>
      <c r="G514">
        <v>3.9E-2</v>
      </c>
      <c r="K514" t="s">
        <v>649</v>
      </c>
      <c r="L514" t="s">
        <v>649</v>
      </c>
    </row>
    <row r="515" spans="1:12" x14ac:dyDescent="0.25">
      <c r="A515" t="s">
        <v>1136</v>
      </c>
      <c r="B515" t="s">
        <v>1141</v>
      </c>
      <c r="D515" t="s">
        <v>842</v>
      </c>
      <c r="E515" t="s">
        <v>709</v>
      </c>
      <c r="F515" t="s">
        <v>12</v>
      </c>
      <c r="G515">
        <v>3.9E-2</v>
      </c>
      <c r="K515" t="s">
        <v>649</v>
      </c>
      <c r="L515" t="s">
        <v>649</v>
      </c>
    </row>
    <row r="516" spans="1:12" x14ac:dyDescent="0.25">
      <c r="A516" t="s">
        <v>1136</v>
      </c>
      <c r="B516" t="s">
        <v>1142</v>
      </c>
      <c r="D516" t="s">
        <v>842</v>
      </c>
      <c r="E516" t="s">
        <v>709</v>
      </c>
      <c r="F516" t="s">
        <v>12</v>
      </c>
      <c r="G516">
        <v>3.9E-2</v>
      </c>
      <c r="K516" t="s">
        <v>649</v>
      </c>
      <c r="L516" t="s">
        <v>649</v>
      </c>
    </row>
    <row r="517" spans="1:12" x14ac:dyDescent="0.25">
      <c r="A517" t="s">
        <v>1136</v>
      </c>
      <c r="B517" t="s">
        <v>1143</v>
      </c>
      <c r="D517" t="s">
        <v>842</v>
      </c>
      <c r="E517" t="s">
        <v>709</v>
      </c>
      <c r="F517" t="s">
        <v>12</v>
      </c>
      <c r="G517">
        <v>3.9E-2</v>
      </c>
      <c r="K517" t="s">
        <v>649</v>
      </c>
      <c r="L517" t="s">
        <v>649</v>
      </c>
    </row>
    <row r="518" spans="1:12" x14ac:dyDescent="0.25">
      <c r="A518" t="s">
        <v>1136</v>
      </c>
      <c r="B518" t="s">
        <v>1144</v>
      </c>
      <c r="D518" t="s">
        <v>842</v>
      </c>
      <c r="E518" t="s">
        <v>709</v>
      </c>
      <c r="F518" t="s">
        <v>12</v>
      </c>
      <c r="G518">
        <v>3.9E-2</v>
      </c>
      <c r="K518" t="s">
        <v>649</v>
      </c>
      <c r="L518" t="s">
        <v>649</v>
      </c>
    </row>
    <row r="519" spans="1:12" x14ac:dyDescent="0.25">
      <c r="A519" t="s">
        <v>1136</v>
      </c>
      <c r="B519" t="s">
        <v>1145</v>
      </c>
      <c r="D519" t="s">
        <v>842</v>
      </c>
      <c r="E519" t="s">
        <v>709</v>
      </c>
      <c r="F519" t="s">
        <v>12</v>
      </c>
      <c r="G519">
        <v>3.9E-2</v>
      </c>
      <c r="K519" t="s">
        <v>649</v>
      </c>
      <c r="L519" t="s">
        <v>649</v>
      </c>
    </row>
    <row r="520" spans="1:12" x14ac:dyDescent="0.25">
      <c r="A520" t="s">
        <v>1136</v>
      </c>
      <c r="B520" t="s">
        <v>1145</v>
      </c>
      <c r="D520" t="s">
        <v>842</v>
      </c>
      <c r="E520" t="s">
        <v>709</v>
      </c>
      <c r="F520" t="s">
        <v>12</v>
      </c>
      <c r="G520">
        <v>3.9E-2</v>
      </c>
      <c r="K520" t="s">
        <v>649</v>
      </c>
      <c r="L520" t="s">
        <v>649</v>
      </c>
    </row>
    <row r="521" spans="1:12" x14ac:dyDescent="0.25">
      <c r="A521" t="s">
        <v>1136</v>
      </c>
      <c r="B521" t="s">
        <v>887</v>
      </c>
      <c r="D521" t="s">
        <v>842</v>
      </c>
      <c r="E521" t="s">
        <v>709</v>
      </c>
      <c r="F521" t="s">
        <v>12</v>
      </c>
      <c r="G521">
        <v>2.4E-2</v>
      </c>
      <c r="K521" t="s">
        <v>649</v>
      </c>
      <c r="L521" t="s">
        <v>649</v>
      </c>
    </row>
    <row r="522" spans="1:12" x14ac:dyDescent="0.25">
      <c r="A522" t="s">
        <v>1136</v>
      </c>
      <c r="B522" t="s">
        <v>1146</v>
      </c>
      <c r="D522" t="s">
        <v>842</v>
      </c>
      <c r="E522" t="s">
        <v>709</v>
      </c>
      <c r="F522" t="s">
        <v>12</v>
      </c>
      <c r="G522">
        <v>0.03</v>
      </c>
      <c r="K522" t="s">
        <v>649</v>
      </c>
      <c r="L522" t="s">
        <v>649</v>
      </c>
    </row>
    <row r="523" spans="1:12" x14ac:dyDescent="0.25">
      <c r="A523" t="s">
        <v>1136</v>
      </c>
      <c r="B523" t="s">
        <v>1057</v>
      </c>
      <c r="D523" t="s">
        <v>842</v>
      </c>
      <c r="E523" t="s">
        <v>709</v>
      </c>
      <c r="F523" t="s">
        <v>12</v>
      </c>
      <c r="G523">
        <v>0.03</v>
      </c>
      <c r="K523" t="s">
        <v>649</v>
      </c>
      <c r="L523" t="s">
        <v>649</v>
      </c>
    </row>
    <row r="524" spans="1:12" x14ac:dyDescent="0.25">
      <c r="A524" t="s">
        <v>1136</v>
      </c>
      <c r="B524" t="s">
        <v>1147</v>
      </c>
      <c r="D524" t="s">
        <v>842</v>
      </c>
      <c r="E524" t="s">
        <v>709</v>
      </c>
      <c r="F524" t="s">
        <v>12</v>
      </c>
      <c r="G524">
        <v>0.03</v>
      </c>
      <c r="K524" t="s">
        <v>649</v>
      </c>
      <c r="L524" t="s">
        <v>649</v>
      </c>
    </row>
    <row r="525" spans="1:12" x14ac:dyDescent="0.25">
      <c r="A525" t="s">
        <v>1136</v>
      </c>
      <c r="B525" t="s">
        <v>886</v>
      </c>
      <c r="D525" t="s">
        <v>842</v>
      </c>
      <c r="E525" t="s">
        <v>709</v>
      </c>
      <c r="F525" t="s">
        <v>12</v>
      </c>
      <c r="G525">
        <v>2.4E-2</v>
      </c>
      <c r="K525" t="s">
        <v>649</v>
      </c>
      <c r="L525" t="s">
        <v>649</v>
      </c>
    </row>
    <row r="526" spans="1:12" x14ac:dyDescent="0.25">
      <c r="A526" t="s">
        <v>1136</v>
      </c>
      <c r="B526" t="s">
        <v>885</v>
      </c>
      <c r="D526" t="s">
        <v>842</v>
      </c>
      <c r="E526" t="s">
        <v>709</v>
      </c>
      <c r="F526" t="s">
        <v>12</v>
      </c>
      <c r="G526">
        <v>2.4E-2</v>
      </c>
      <c r="K526" t="s">
        <v>649</v>
      </c>
      <c r="L526" t="s">
        <v>649</v>
      </c>
    </row>
    <row r="527" spans="1:12" x14ac:dyDescent="0.25">
      <c r="A527" t="s">
        <v>1136</v>
      </c>
      <c r="B527" t="s">
        <v>1148</v>
      </c>
      <c r="D527" t="s">
        <v>842</v>
      </c>
      <c r="E527" t="s">
        <v>709</v>
      </c>
      <c r="F527" t="s">
        <v>89</v>
      </c>
      <c r="G527">
        <v>3.9E-2</v>
      </c>
      <c r="K527" t="s">
        <v>649</v>
      </c>
      <c r="L527" t="s">
        <v>649</v>
      </c>
    </row>
    <row r="528" spans="1:12" x14ac:dyDescent="0.25">
      <c r="A528" t="s">
        <v>1136</v>
      </c>
      <c r="B528" t="s">
        <v>1149</v>
      </c>
      <c r="D528" t="s">
        <v>842</v>
      </c>
      <c r="E528" t="s">
        <v>709</v>
      </c>
      <c r="F528" t="s">
        <v>89</v>
      </c>
      <c r="G528">
        <v>3.9E-2</v>
      </c>
      <c r="K528" t="s">
        <v>649</v>
      </c>
      <c r="L528" t="s">
        <v>649</v>
      </c>
    </row>
    <row r="529" spans="1:12" x14ac:dyDescent="0.25">
      <c r="A529" t="s">
        <v>1136</v>
      </c>
      <c r="B529" t="s">
        <v>1150</v>
      </c>
      <c r="D529" t="s">
        <v>842</v>
      </c>
      <c r="E529" t="s">
        <v>709</v>
      </c>
      <c r="F529" t="s">
        <v>89</v>
      </c>
      <c r="G529">
        <v>3.9E-2</v>
      </c>
      <c r="K529" t="s">
        <v>649</v>
      </c>
      <c r="L529" t="s">
        <v>649</v>
      </c>
    </row>
    <row r="530" spans="1:12" x14ac:dyDescent="0.25">
      <c r="A530" t="s">
        <v>1136</v>
      </c>
      <c r="B530" t="s">
        <v>1151</v>
      </c>
      <c r="D530" t="s">
        <v>842</v>
      </c>
      <c r="E530" t="s">
        <v>709</v>
      </c>
      <c r="F530" t="s">
        <v>89</v>
      </c>
      <c r="G530">
        <v>3.9E-2</v>
      </c>
      <c r="K530" t="s">
        <v>649</v>
      </c>
      <c r="L530" t="s">
        <v>649</v>
      </c>
    </row>
    <row r="531" spans="1:12" x14ac:dyDescent="0.25">
      <c r="A531" t="s">
        <v>1136</v>
      </c>
      <c r="B531" t="s">
        <v>1152</v>
      </c>
      <c r="D531" t="s">
        <v>842</v>
      </c>
      <c r="E531" t="s">
        <v>709</v>
      </c>
      <c r="F531" t="s">
        <v>89</v>
      </c>
      <c r="G531">
        <v>5.8999999999999997E-2</v>
      </c>
      <c r="K531" t="s">
        <v>649</v>
      </c>
      <c r="L531" t="s">
        <v>649</v>
      </c>
    </row>
    <row r="532" spans="1:12" x14ac:dyDescent="0.25">
      <c r="A532" t="s">
        <v>1136</v>
      </c>
      <c r="B532" t="s">
        <v>1153</v>
      </c>
      <c r="D532" t="s">
        <v>842</v>
      </c>
      <c r="E532" t="s">
        <v>709</v>
      </c>
      <c r="F532" t="s">
        <v>12</v>
      </c>
      <c r="G532">
        <v>3.9E-2</v>
      </c>
      <c r="K532" t="s">
        <v>649</v>
      </c>
      <c r="L532" t="s">
        <v>649</v>
      </c>
    </row>
    <row r="533" spans="1:12" x14ac:dyDescent="0.25">
      <c r="A533" t="s">
        <v>1136</v>
      </c>
      <c r="B533" t="s">
        <v>1154</v>
      </c>
      <c r="D533" t="s">
        <v>842</v>
      </c>
      <c r="E533" t="s">
        <v>709</v>
      </c>
      <c r="F533" t="s">
        <v>12</v>
      </c>
      <c r="G533">
        <v>3.9E-2</v>
      </c>
      <c r="K533" t="s">
        <v>649</v>
      </c>
      <c r="L533" t="s">
        <v>649</v>
      </c>
    </row>
    <row r="534" spans="1:12" x14ac:dyDescent="0.25">
      <c r="A534" t="s">
        <v>1136</v>
      </c>
      <c r="B534" t="s">
        <v>1155</v>
      </c>
      <c r="D534" t="s">
        <v>842</v>
      </c>
      <c r="E534" t="s">
        <v>709</v>
      </c>
      <c r="F534" t="s">
        <v>12</v>
      </c>
      <c r="G534">
        <v>3.9E-2</v>
      </c>
      <c r="K534" t="s">
        <v>649</v>
      </c>
      <c r="L534" t="s">
        <v>649</v>
      </c>
    </row>
    <row r="535" spans="1:12" x14ac:dyDescent="0.25">
      <c r="A535" t="s">
        <v>1136</v>
      </c>
      <c r="B535" t="s">
        <v>1156</v>
      </c>
      <c r="D535" t="s">
        <v>842</v>
      </c>
      <c r="E535" t="s">
        <v>709</v>
      </c>
      <c r="F535" t="s">
        <v>12</v>
      </c>
      <c r="G535">
        <v>3.9E-2</v>
      </c>
      <c r="K535" t="s">
        <v>649</v>
      </c>
      <c r="L535" t="s">
        <v>649</v>
      </c>
    </row>
    <row r="536" spans="1:12" x14ac:dyDescent="0.25">
      <c r="A536" t="s">
        <v>1136</v>
      </c>
      <c r="B536" t="s">
        <v>1157</v>
      </c>
      <c r="D536" t="s">
        <v>842</v>
      </c>
      <c r="E536" t="s">
        <v>709</v>
      </c>
      <c r="F536" t="s">
        <v>12</v>
      </c>
      <c r="G536">
        <v>3.9E-2</v>
      </c>
      <c r="K536" t="s">
        <v>649</v>
      </c>
      <c r="L536" t="s">
        <v>649</v>
      </c>
    </row>
    <row r="537" spans="1:12" x14ac:dyDescent="0.25">
      <c r="A537" t="s">
        <v>1136</v>
      </c>
      <c r="B537" t="s">
        <v>1158</v>
      </c>
      <c r="D537" t="s">
        <v>842</v>
      </c>
      <c r="E537" t="s">
        <v>709</v>
      </c>
      <c r="F537" t="s">
        <v>12</v>
      </c>
      <c r="G537">
        <v>3.9E-2</v>
      </c>
      <c r="K537" t="s">
        <v>649</v>
      </c>
      <c r="L537" t="s">
        <v>649</v>
      </c>
    </row>
    <row r="538" spans="1:12" x14ac:dyDescent="0.25">
      <c r="A538" t="s">
        <v>1136</v>
      </c>
      <c r="B538" t="s">
        <v>1159</v>
      </c>
      <c r="D538" t="s">
        <v>842</v>
      </c>
      <c r="E538" t="s">
        <v>709</v>
      </c>
      <c r="F538" t="s">
        <v>12</v>
      </c>
      <c r="G538">
        <v>3.9E-2</v>
      </c>
      <c r="K538" t="s">
        <v>649</v>
      </c>
      <c r="L538" t="s">
        <v>649</v>
      </c>
    </row>
    <row r="539" spans="1:12" x14ac:dyDescent="0.25">
      <c r="A539" t="s">
        <v>1136</v>
      </c>
      <c r="B539" t="s">
        <v>1160</v>
      </c>
      <c r="D539" t="s">
        <v>842</v>
      </c>
      <c r="E539" t="s">
        <v>709</v>
      </c>
      <c r="F539" t="s">
        <v>12</v>
      </c>
      <c r="G539">
        <v>3.9E-2</v>
      </c>
      <c r="K539" t="s">
        <v>649</v>
      </c>
      <c r="L539" t="s">
        <v>649</v>
      </c>
    </row>
    <row r="540" spans="1:12" x14ac:dyDescent="0.25">
      <c r="A540" t="s">
        <v>1136</v>
      </c>
      <c r="B540" t="s">
        <v>1161</v>
      </c>
      <c r="D540" t="s">
        <v>842</v>
      </c>
      <c r="E540" t="s">
        <v>709</v>
      </c>
      <c r="F540" t="s">
        <v>12</v>
      </c>
      <c r="G540">
        <v>3.9E-2</v>
      </c>
      <c r="K540" t="s">
        <v>649</v>
      </c>
      <c r="L540" t="s">
        <v>649</v>
      </c>
    </row>
    <row r="541" spans="1:12" x14ac:dyDescent="0.25">
      <c r="A541" t="s">
        <v>1136</v>
      </c>
      <c r="B541" t="s">
        <v>1162</v>
      </c>
      <c r="D541" t="s">
        <v>842</v>
      </c>
      <c r="E541" t="s">
        <v>709</v>
      </c>
      <c r="F541" t="s">
        <v>12</v>
      </c>
      <c r="G541">
        <v>3.9E-2</v>
      </c>
      <c r="K541" t="s">
        <v>649</v>
      </c>
      <c r="L541" t="s">
        <v>649</v>
      </c>
    </row>
    <row r="542" spans="1:12" x14ac:dyDescent="0.25">
      <c r="A542" t="s">
        <v>1136</v>
      </c>
      <c r="B542" t="s">
        <v>1163</v>
      </c>
      <c r="D542" t="s">
        <v>842</v>
      </c>
      <c r="E542" t="s">
        <v>709</v>
      </c>
      <c r="F542" t="s">
        <v>12</v>
      </c>
      <c r="G542">
        <v>3.9E-2</v>
      </c>
      <c r="K542" t="s">
        <v>649</v>
      </c>
      <c r="L542" t="s">
        <v>649</v>
      </c>
    </row>
    <row r="543" spans="1:12" x14ac:dyDescent="0.25">
      <c r="A543" t="s">
        <v>1136</v>
      </c>
      <c r="B543" t="s">
        <v>1164</v>
      </c>
      <c r="D543" t="s">
        <v>842</v>
      </c>
      <c r="E543" t="s">
        <v>709</v>
      </c>
      <c r="F543" t="s">
        <v>12</v>
      </c>
      <c r="G543">
        <v>3.9E-2</v>
      </c>
      <c r="K543" t="s">
        <v>649</v>
      </c>
      <c r="L543" t="s">
        <v>649</v>
      </c>
    </row>
    <row r="544" spans="1:12" x14ac:dyDescent="0.25">
      <c r="A544" t="s">
        <v>1136</v>
      </c>
      <c r="B544" t="s">
        <v>1165</v>
      </c>
      <c r="D544" t="s">
        <v>842</v>
      </c>
      <c r="E544" t="s">
        <v>709</v>
      </c>
      <c r="F544" t="s">
        <v>12</v>
      </c>
      <c r="G544">
        <v>3.9E-2</v>
      </c>
      <c r="K544" t="s">
        <v>649</v>
      </c>
      <c r="L544" t="s">
        <v>649</v>
      </c>
    </row>
    <row r="545" spans="1:12" x14ac:dyDescent="0.25">
      <c r="A545" t="s">
        <v>1136</v>
      </c>
      <c r="B545" t="s">
        <v>1166</v>
      </c>
      <c r="D545" t="s">
        <v>842</v>
      </c>
      <c r="E545" t="s">
        <v>709</v>
      </c>
      <c r="F545" t="s">
        <v>12</v>
      </c>
      <c r="G545">
        <v>3.9E-2</v>
      </c>
      <c r="K545" t="s">
        <v>649</v>
      </c>
      <c r="L545" t="s">
        <v>649</v>
      </c>
    </row>
    <row r="546" spans="1:12" x14ac:dyDescent="0.25">
      <c r="A546" t="s">
        <v>575</v>
      </c>
      <c r="B546" t="s">
        <v>902</v>
      </c>
      <c r="D546" t="s">
        <v>571</v>
      </c>
      <c r="E546" t="s">
        <v>709</v>
      </c>
      <c r="F546" t="s">
        <v>52</v>
      </c>
      <c r="G546">
        <v>9.9000000000000005E-2</v>
      </c>
      <c r="K546" t="s">
        <v>649</v>
      </c>
      <c r="L546" t="s">
        <v>936</v>
      </c>
    </row>
    <row r="547" spans="1:12" x14ac:dyDescent="0.25">
      <c r="A547" t="s">
        <v>575</v>
      </c>
      <c r="B547" t="s">
        <v>577</v>
      </c>
      <c r="D547" t="s">
        <v>571</v>
      </c>
      <c r="E547" t="s">
        <v>709</v>
      </c>
      <c r="F547" t="s">
        <v>12</v>
      </c>
      <c r="G547">
        <v>0.127</v>
      </c>
      <c r="K547" t="s">
        <v>649</v>
      </c>
      <c r="L547" t="s">
        <v>936</v>
      </c>
    </row>
    <row r="548" spans="1:12" x14ac:dyDescent="0.25">
      <c r="A548" t="s">
        <v>575</v>
      </c>
      <c r="B548" t="s">
        <v>578</v>
      </c>
      <c r="D548" t="s">
        <v>571</v>
      </c>
      <c r="E548" t="s">
        <v>709</v>
      </c>
      <c r="F548" t="s">
        <v>12</v>
      </c>
      <c r="G548">
        <v>0.13</v>
      </c>
      <c r="K548" t="s">
        <v>649</v>
      </c>
      <c r="L548" t="s">
        <v>936</v>
      </c>
    </row>
    <row r="549" spans="1:12" x14ac:dyDescent="0.25">
      <c r="A549" t="s">
        <v>575</v>
      </c>
      <c r="B549" t="s">
        <v>579</v>
      </c>
      <c r="D549" t="s">
        <v>571</v>
      </c>
      <c r="E549" t="s">
        <v>709</v>
      </c>
      <c r="F549" t="s">
        <v>12</v>
      </c>
      <c r="G549">
        <v>0.161</v>
      </c>
      <c r="K549" t="s">
        <v>649</v>
      </c>
      <c r="L549" t="s">
        <v>936</v>
      </c>
    </row>
    <row r="550" spans="1:12" x14ac:dyDescent="0.25">
      <c r="A550" t="s">
        <v>575</v>
      </c>
      <c r="B550" t="s">
        <v>580</v>
      </c>
      <c r="D550" t="s">
        <v>571</v>
      </c>
      <c r="E550" t="s">
        <v>709</v>
      </c>
      <c r="F550" t="s">
        <v>12</v>
      </c>
      <c r="G550">
        <v>0.23699999999999999</v>
      </c>
      <c r="K550" t="s">
        <v>649</v>
      </c>
      <c r="L550" t="s">
        <v>936</v>
      </c>
    </row>
    <row r="551" spans="1:12" x14ac:dyDescent="0.25">
      <c r="A551" t="s">
        <v>575</v>
      </c>
      <c r="B551" t="s">
        <v>581</v>
      </c>
      <c r="D551" t="s">
        <v>571</v>
      </c>
      <c r="E551" t="s">
        <v>709</v>
      </c>
      <c r="F551" t="s">
        <v>12</v>
      </c>
      <c r="G551">
        <v>0.13200000000000001</v>
      </c>
      <c r="K551" t="s">
        <v>649</v>
      </c>
      <c r="L551" t="s">
        <v>936</v>
      </c>
    </row>
    <row r="552" spans="1:12" x14ac:dyDescent="0.25">
      <c r="A552" t="s">
        <v>575</v>
      </c>
      <c r="B552" t="s">
        <v>582</v>
      </c>
      <c r="D552" t="s">
        <v>571</v>
      </c>
      <c r="E552" t="s">
        <v>709</v>
      </c>
      <c r="F552" t="s">
        <v>12</v>
      </c>
      <c r="G552">
        <v>9.2999999999999999E-2</v>
      </c>
      <c r="K552" t="s">
        <v>649</v>
      </c>
      <c r="L552" t="s">
        <v>936</v>
      </c>
    </row>
    <row r="553" spans="1:12" x14ac:dyDescent="0.25">
      <c r="A553" t="s">
        <v>575</v>
      </c>
      <c r="B553" t="s">
        <v>583</v>
      </c>
      <c r="D553" t="s">
        <v>571</v>
      </c>
      <c r="E553" t="s">
        <v>709</v>
      </c>
      <c r="F553" t="s">
        <v>12</v>
      </c>
      <c r="G553">
        <v>0.14299999999999999</v>
      </c>
      <c r="K553" t="s">
        <v>649</v>
      </c>
      <c r="L553" t="s">
        <v>936</v>
      </c>
    </row>
    <row r="554" spans="1:12" x14ac:dyDescent="0.25">
      <c r="A554" t="s">
        <v>575</v>
      </c>
      <c r="B554" t="s">
        <v>584</v>
      </c>
      <c r="D554" t="s">
        <v>571</v>
      </c>
      <c r="E554" t="s">
        <v>709</v>
      </c>
      <c r="F554" t="s">
        <v>12</v>
      </c>
      <c r="G554">
        <v>0.11700000000000001</v>
      </c>
      <c r="K554" t="s">
        <v>13</v>
      </c>
      <c r="L554" t="s">
        <v>936</v>
      </c>
    </row>
    <row r="555" spans="1:12" x14ac:dyDescent="0.25">
      <c r="A555" t="s">
        <v>575</v>
      </c>
      <c r="B555" t="s">
        <v>585</v>
      </c>
      <c r="D555" t="s">
        <v>571</v>
      </c>
      <c r="E555" t="s">
        <v>709</v>
      </c>
      <c r="F555" t="s">
        <v>12</v>
      </c>
      <c r="G555">
        <v>0.154</v>
      </c>
      <c r="K555" t="s">
        <v>649</v>
      </c>
      <c r="L555" t="s">
        <v>936</v>
      </c>
    </row>
    <row r="556" spans="1:12" x14ac:dyDescent="0.25">
      <c r="A556" t="s">
        <v>575</v>
      </c>
      <c r="B556" t="s">
        <v>586</v>
      </c>
      <c r="D556" t="s">
        <v>571</v>
      </c>
      <c r="E556" t="s">
        <v>709</v>
      </c>
      <c r="F556" t="s">
        <v>12</v>
      </c>
      <c r="G556">
        <v>0.12</v>
      </c>
      <c r="K556" t="s">
        <v>13</v>
      </c>
      <c r="L556" t="s">
        <v>936</v>
      </c>
    </row>
    <row r="557" spans="1:12" x14ac:dyDescent="0.25">
      <c r="A557" t="s">
        <v>575</v>
      </c>
      <c r="B557" t="s">
        <v>587</v>
      </c>
      <c r="D557" t="s">
        <v>571</v>
      </c>
      <c r="E557" t="s">
        <v>709</v>
      </c>
      <c r="F557" t="s">
        <v>12</v>
      </c>
      <c r="G557">
        <v>0.14299999999999999</v>
      </c>
      <c r="K557" t="s">
        <v>649</v>
      </c>
      <c r="L557" t="s">
        <v>936</v>
      </c>
    </row>
    <row r="558" spans="1:12" x14ac:dyDescent="0.25">
      <c r="A558" t="s">
        <v>575</v>
      </c>
      <c r="B558" t="s">
        <v>588</v>
      </c>
      <c r="D558" t="s">
        <v>571</v>
      </c>
      <c r="E558" t="s">
        <v>709</v>
      </c>
      <c r="F558" t="s">
        <v>12</v>
      </c>
      <c r="G558">
        <v>0.12</v>
      </c>
      <c r="K558" t="s">
        <v>13</v>
      </c>
      <c r="L558" t="s">
        <v>936</v>
      </c>
    </row>
    <row r="559" spans="1:12" x14ac:dyDescent="0.25">
      <c r="A559" t="s">
        <v>575</v>
      </c>
      <c r="B559" t="s">
        <v>589</v>
      </c>
      <c r="D559" t="s">
        <v>571</v>
      </c>
      <c r="E559" t="s">
        <v>709</v>
      </c>
      <c r="F559" t="s">
        <v>12</v>
      </c>
      <c r="G559">
        <v>0.125</v>
      </c>
      <c r="K559" t="s">
        <v>13</v>
      </c>
      <c r="L559" t="s">
        <v>936</v>
      </c>
    </row>
    <row r="560" spans="1:12" x14ac:dyDescent="0.25">
      <c r="A560" t="s">
        <v>575</v>
      </c>
      <c r="B560" t="s">
        <v>590</v>
      </c>
      <c r="D560" t="s">
        <v>571</v>
      </c>
      <c r="E560" t="s">
        <v>709</v>
      </c>
      <c r="F560" t="s">
        <v>12</v>
      </c>
      <c r="G560">
        <v>0.12</v>
      </c>
      <c r="K560" t="s">
        <v>13</v>
      </c>
      <c r="L560" t="s">
        <v>936</v>
      </c>
    </row>
    <row r="561" spans="1:12" x14ac:dyDescent="0.25">
      <c r="A561" t="s">
        <v>575</v>
      </c>
      <c r="B561" t="s">
        <v>591</v>
      </c>
      <c r="D561" t="s">
        <v>571</v>
      </c>
      <c r="E561" t="s">
        <v>709</v>
      </c>
      <c r="F561" t="s">
        <v>12</v>
      </c>
      <c r="G561">
        <v>0.36899999999999999</v>
      </c>
      <c r="K561" t="s">
        <v>13</v>
      </c>
      <c r="L561" t="s">
        <v>936</v>
      </c>
    </row>
    <row r="562" spans="1:12" x14ac:dyDescent="0.25">
      <c r="A562" t="s">
        <v>575</v>
      </c>
      <c r="B562" t="s">
        <v>47</v>
      </c>
      <c r="D562" t="s">
        <v>571</v>
      </c>
      <c r="E562" t="s">
        <v>709</v>
      </c>
      <c r="F562" t="s">
        <v>12</v>
      </c>
      <c r="G562">
        <v>0.03</v>
      </c>
      <c r="K562" t="s">
        <v>13</v>
      </c>
      <c r="L562" t="s">
        <v>936</v>
      </c>
    </row>
    <row r="563" spans="1:12" x14ac:dyDescent="0.25">
      <c r="A563" t="s">
        <v>575</v>
      </c>
      <c r="B563" t="s">
        <v>461</v>
      </c>
      <c r="D563" t="s">
        <v>571</v>
      </c>
      <c r="E563" t="s">
        <v>709</v>
      </c>
      <c r="F563" t="s">
        <v>12</v>
      </c>
      <c r="G563">
        <v>0.187</v>
      </c>
      <c r="K563" t="s">
        <v>13</v>
      </c>
      <c r="L563" t="s">
        <v>936</v>
      </c>
    </row>
    <row r="564" spans="1:12" x14ac:dyDescent="0.25">
      <c r="A564" t="s">
        <v>575</v>
      </c>
      <c r="B564" t="s">
        <v>46</v>
      </c>
      <c r="D564" t="s">
        <v>571</v>
      </c>
      <c r="E564" t="s">
        <v>709</v>
      </c>
      <c r="F564" t="s">
        <v>12</v>
      </c>
      <c r="G564">
        <v>0.03</v>
      </c>
      <c r="K564" t="s">
        <v>13</v>
      </c>
      <c r="L564" t="s">
        <v>936</v>
      </c>
    </row>
    <row r="565" spans="1:12" x14ac:dyDescent="0.25">
      <c r="A565" t="s">
        <v>575</v>
      </c>
      <c r="B565" t="s">
        <v>45</v>
      </c>
      <c r="D565" t="s">
        <v>571</v>
      </c>
      <c r="E565" t="s">
        <v>709</v>
      </c>
      <c r="F565" t="s">
        <v>12</v>
      </c>
      <c r="G565">
        <v>0.03</v>
      </c>
      <c r="K565" t="s">
        <v>13</v>
      </c>
      <c r="L565" t="s">
        <v>936</v>
      </c>
    </row>
    <row r="566" spans="1:12" x14ac:dyDescent="0.25">
      <c r="A566" t="s">
        <v>575</v>
      </c>
      <c r="B566" t="s">
        <v>44</v>
      </c>
      <c r="D566" t="s">
        <v>571</v>
      </c>
      <c r="E566" t="s">
        <v>709</v>
      </c>
      <c r="F566" t="s">
        <v>12</v>
      </c>
      <c r="G566">
        <v>0.03</v>
      </c>
      <c r="K566" t="s">
        <v>13</v>
      </c>
      <c r="L566" t="s">
        <v>936</v>
      </c>
    </row>
    <row r="567" spans="1:12" x14ac:dyDescent="0.25">
      <c r="A567" t="s">
        <v>575</v>
      </c>
      <c r="B567" t="s">
        <v>20</v>
      </c>
      <c r="D567" t="s">
        <v>571</v>
      </c>
      <c r="E567" t="s">
        <v>709</v>
      </c>
      <c r="F567" t="s">
        <v>12</v>
      </c>
      <c r="G567">
        <v>2.3E-2</v>
      </c>
      <c r="K567" t="s">
        <v>13</v>
      </c>
      <c r="L567" t="s">
        <v>936</v>
      </c>
    </row>
    <row r="568" spans="1:12" x14ac:dyDescent="0.25">
      <c r="A568" t="s">
        <v>575</v>
      </c>
      <c r="B568" t="s">
        <v>19</v>
      </c>
      <c r="D568" t="s">
        <v>571</v>
      </c>
      <c r="E568" t="s">
        <v>709</v>
      </c>
      <c r="F568" t="s">
        <v>12</v>
      </c>
      <c r="G568">
        <v>2.7E-2</v>
      </c>
      <c r="K568" t="s">
        <v>13</v>
      </c>
      <c r="L568" t="s">
        <v>936</v>
      </c>
    </row>
    <row r="569" spans="1:12" x14ac:dyDescent="0.25">
      <c r="A569" t="s">
        <v>575</v>
      </c>
      <c r="B569" t="s">
        <v>22</v>
      </c>
      <c r="D569" t="s">
        <v>571</v>
      </c>
      <c r="E569" t="s">
        <v>709</v>
      </c>
      <c r="F569" t="s">
        <v>12</v>
      </c>
      <c r="G569">
        <v>2.8000000000000001E-2</v>
      </c>
      <c r="K569" t="s">
        <v>13</v>
      </c>
      <c r="L569" t="s">
        <v>936</v>
      </c>
    </row>
    <row r="570" spans="1:12" x14ac:dyDescent="0.25">
      <c r="A570" t="s">
        <v>575</v>
      </c>
      <c r="B570" t="s">
        <v>21</v>
      </c>
      <c r="D570" t="s">
        <v>571</v>
      </c>
      <c r="E570" t="s">
        <v>709</v>
      </c>
      <c r="F570" t="s">
        <v>12</v>
      </c>
      <c r="G570">
        <v>2.5000000000000001E-2</v>
      </c>
      <c r="K570" t="s">
        <v>13</v>
      </c>
      <c r="L570" t="s">
        <v>936</v>
      </c>
    </row>
    <row r="571" spans="1:12" x14ac:dyDescent="0.25">
      <c r="A571" t="s">
        <v>575</v>
      </c>
      <c r="B571" t="s">
        <v>26</v>
      </c>
      <c r="D571" t="s">
        <v>571</v>
      </c>
      <c r="E571" t="s">
        <v>709</v>
      </c>
      <c r="F571" t="s">
        <v>12</v>
      </c>
      <c r="G571">
        <v>0.03</v>
      </c>
      <c r="K571" t="s">
        <v>13</v>
      </c>
      <c r="L571" t="s">
        <v>936</v>
      </c>
    </row>
    <row r="572" spans="1:12" x14ac:dyDescent="0.25">
      <c r="A572" t="s">
        <v>575</v>
      </c>
      <c r="B572" t="s">
        <v>27</v>
      </c>
      <c r="D572" t="s">
        <v>571</v>
      </c>
      <c r="E572" t="s">
        <v>709</v>
      </c>
      <c r="F572" t="s">
        <v>12</v>
      </c>
      <c r="G572">
        <v>2.5999999999999999E-2</v>
      </c>
      <c r="K572" t="s">
        <v>13</v>
      </c>
      <c r="L572" t="s">
        <v>936</v>
      </c>
    </row>
    <row r="573" spans="1:12" x14ac:dyDescent="0.25">
      <c r="A573" t="s">
        <v>575</v>
      </c>
      <c r="B573" t="s">
        <v>28</v>
      </c>
      <c r="D573" t="s">
        <v>571</v>
      </c>
      <c r="E573" t="s">
        <v>709</v>
      </c>
      <c r="F573" t="s">
        <v>12</v>
      </c>
      <c r="G573">
        <v>2.5999999999999999E-2</v>
      </c>
      <c r="K573" t="s">
        <v>13</v>
      </c>
      <c r="L573" t="s">
        <v>936</v>
      </c>
    </row>
    <row r="574" spans="1:12" x14ac:dyDescent="0.25">
      <c r="A574" t="s">
        <v>575</v>
      </c>
      <c r="B574" t="s">
        <v>592</v>
      </c>
      <c r="D574" t="s">
        <v>571</v>
      </c>
      <c r="E574" t="s">
        <v>709</v>
      </c>
      <c r="F574" t="s">
        <v>12</v>
      </c>
      <c r="G574">
        <v>0.08</v>
      </c>
      <c r="K574" t="s">
        <v>649</v>
      </c>
      <c r="L574" t="s">
        <v>936</v>
      </c>
    </row>
    <row r="575" spans="1:12" x14ac:dyDescent="0.25">
      <c r="A575" t="s">
        <v>575</v>
      </c>
      <c r="B575" t="s">
        <v>593</v>
      </c>
      <c r="D575" t="s">
        <v>571</v>
      </c>
      <c r="E575" t="s">
        <v>709</v>
      </c>
      <c r="F575" t="s">
        <v>12</v>
      </c>
      <c r="G575">
        <v>0.08</v>
      </c>
      <c r="K575" t="s">
        <v>649</v>
      </c>
      <c r="L575" t="s">
        <v>936</v>
      </c>
    </row>
    <row r="576" spans="1:12" x14ac:dyDescent="0.25">
      <c r="A576" t="s">
        <v>575</v>
      </c>
      <c r="B576" t="s">
        <v>594</v>
      </c>
      <c r="D576" t="s">
        <v>571</v>
      </c>
      <c r="E576" t="s">
        <v>709</v>
      </c>
      <c r="F576" t="s">
        <v>12</v>
      </c>
      <c r="G576">
        <v>0.08</v>
      </c>
      <c r="K576" t="s">
        <v>649</v>
      </c>
      <c r="L576" t="s">
        <v>936</v>
      </c>
    </row>
    <row r="577" spans="1:12" x14ac:dyDescent="0.25">
      <c r="A577" t="s">
        <v>575</v>
      </c>
      <c r="B577" t="s">
        <v>595</v>
      </c>
      <c r="D577" t="s">
        <v>571</v>
      </c>
      <c r="E577" t="s">
        <v>709</v>
      </c>
      <c r="F577" t="s">
        <v>12</v>
      </c>
      <c r="G577">
        <v>0.08</v>
      </c>
      <c r="K577" t="s">
        <v>649</v>
      </c>
      <c r="L577" t="s">
        <v>936</v>
      </c>
    </row>
    <row r="578" spans="1:12" x14ac:dyDescent="0.25">
      <c r="A578" t="s">
        <v>575</v>
      </c>
      <c r="B578" t="s">
        <v>596</v>
      </c>
      <c r="D578" t="s">
        <v>571</v>
      </c>
      <c r="E578" t="s">
        <v>709</v>
      </c>
      <c r="F578" t="s">
        <v>12</v>
      </c>
      <c r="G578">
        <v>0.08</v>
      </c>
      <c r="K578" t="s">
        <v>649</v>
      </c>
      <c r="L578" t="s">
        <v>936</v>
      </c>
    </row>
    <row r="579" spans="1:12" x14ac:dyDescent="0.25">
      <c r="A579" t="s">
        <v>575</v>
      </c>
      <c r="B579" t="s">
        <v>597</v>
      </c>
      <c r="D579" t="s">
        <v>571</v>
      </c>
      <c r="E579" t="s">
        <v>709</v>
      </c>
      <c r="F579" t="s">
        <v>12</v>
      </c>
      <c r="G579">
        <v>0.08</v>
      </c>
      <c r="K579" t="s">
        <v>649</v>
      </c>
      <c r="L579" t="s">
        <v>936</v>
      </c>
    </row>
    <row r="580" spans="1:12" x14ac:dyDescent="0.25">
      <c r="A580" t="s">
        <v>575</v>
      </c>
      <c r="B580" t="s">
        <v>598</v>
      </c>
      <c r="D580" t="s">
        <v>571</v>
      </c>
      <c r="E580" t="s">
        <v>709</v>
      </c>
      <c r="F580" t="s">
        <v>12</v>
      </c>
      <c r="G580">
        <v>0.08</v>
      </c>
      <c r="K580" t="s">
        <v>649</v>
      </c>
      <c r="L580" t="s">
        <v>936</v>
      </c>
    </row>
    <row r="581" spans="1:12" x14ac:dyDescent="0.25">
      <c r="A581" t="s">
        <v>575</v>
      </c>
      <c r="B581" t="s">
        <v>599</v>
      </c>
      <c r="D581" t="s">
        <v>571</v>
      </c>
      <c r="E581" t="s">
        <v>709</v>
      </c>
      <c r="F581" t="s">
        <v>12</v>
      </c>
      <c r="G581">
        <v>0.08</v>
      </c>
      <c r="K581" t="s">
        <v>649</v>
      </c>
      <c r="L581" t="s">
        <v>936</v>
      </c>
    </row>
    <row r="582" spans="1:12" x14ac:dyDescent="0.25">
      <c r="A582" t="s">
        <v>575</v>
      </c>
      <c r="B582" t="s">
        <v>600</v>
      </c>
      <c r="D582" t="s">
        <v>571</v>
      </c>
      <c r="E582" t="s">
        <v>709</v>
      </c>
      <c r="F582" t="s">
        <v>12</v>
      </c>
      <c r="G582">
        <v>0.08</v>
      </c>
      <c r="K582" t="s">
        <v>649</v>
      </c>
      <c r="L582" t="s">
        <v>936</v>
      </c>
    </row>
    <row r="583" spans="1:12" x14ac:dyDescent="0.25">
      <c r="A583" t="s">
        <v>575</v>
      </c>
      <c r="B583" t="s">
        <v>601</v>
      </c>
      <c r="D583" t="s">
        <v>571</v>
      </c>
      <c r="E583" t="s">
        <v>709</v>
      </c>
      <c r="F583" t="s">
        <v>12</v>
      </c>
      <c r="G583">
        <v>0.08</v>
      </c>
      <c r="K583" t="s">
        <v>649</v>
      </c>
      <c r="L583" t="s">
        <v>936</v>
      </c>
    </row>
    <row r="584" spans="1:12" x14ac:dyDescent="0.25">
      <c r="A584" t="s">
        <v>575</v>
      </c>
      <c r="B584" t="s">
        <v>602</v>
      </c>
      <c r="D584" t="s">
        <v>571</v>
      </c>
      <c r="E584" t="s">
        <v>709</v>
      </c>
      <c r="F584" t="s">
        <v>12</v>
      </c>
      <c r="G584">
        <v>0.08</v>
      </c>
      <c r="K584" t="s">
        <v>649</v>
      </c>
      <c r="L584" t="s">
        <v>936</v>
      </c>
    </row>
    <row r="585" spans="1:12" x14ac:dyDescent="0.25">
      <c r="A585" t="s">
        <v>575</v>
      </c>
      <c r="B585" t="s">
        <v>603</v>
      </c>
      <c r="D585" t="s">
        <v>571</v>
      </c>
      <c r="E585" t="s">
        <v>709</v>
      </c>
      <c r="F585" t="s">
        <v>12</v>
      </c>
      <c r="G585">
        <v>0.08</v>
      </c>
      <c r="K585" t="s">
        <v>649</v>
      </c>
      <c r="L585" t="s">
        <v>936</v>
      </c>
    </row>
    <row r="586" spans="1:12" x14ac:dyDescent="0.25">
      <c r="A586" t="s">
        <v>575</v>
      </c>
      <c r="B586" t="s">
        <v>33</v>
      </c>
      <c r="D586" t="s">
        <v>571</v>
      </c>
      <c r="E586" t="s">
        <v>709</v>
      </c>
      <c r="F586" t="s">
        <v>837</v>
      </c>
      <c r="G586">
        <v>0.34799999999999998</v>
      </c>
      <c r="K586" t="s">
        <v>649</v>
      </c>
      <c r="L586" t="s">
        <v>936</v>
      </c>
    </row>
    <row r="587" spans="1:12" x14ac:dyDescent="0.25">
      <c r="A587" t="s">
        <v>575</v>
      </c>
      <c r="B587" t="s">
        <v>604</v>
      </c>
      <c r="D587" t="s">
        <v>571</v>
      </c>
      <c r="E587" t="s">
        <v>709</v>
      </c>
      <c r="F587" t="s">
        <v>1256</v>
      </c>
      <c r="G587">
        <v>1.744</v>
      </c>
      <c r="K587" t="s">
        <v>649</v>
      </c>
      <c r="L587" t="s">
        <v>936</v>
      </c>
    </row>
    <row r="588" spans="1:12" x14ac:dyDescent="0.25">
      <c r="A588" t="s">
        <v>569</v>
      </c>
      <c r="B588" t="s">
        <v>570</v>
      </c>
      <c r="D588" t="s">
        <v>571</v>
      </c>
      <c r="E588" t="s">
        <v>709</v>
      </c>
      <c r="F588" t="s">
        <v>12</v>
      </c>
      <c r="G588">
        <v>1.4159999999999999</v>
      </c>
      <c r="K588" t="s">
        <v>649</v>
      </c>
      <c r="L588" t="s">
        <v>936</v>
      </c>
    </row>
    <row r="589" spans="1:12" x14ac:dyDescent="0.25">
      <c r="A589" t="s">
        <v>569</v>
      </c>
      <c r="B589" t="s">
        <v>572</v>
      </c>
      <c r="D589" t="s">
        <v>571</v>
      </c>
      <c r="E589" t="s">
        <v>709</v>
      </c>
      <c r="F589" t="s">
        <v>837</v>
      </c>
      <c r="G589">
        <v>0.42699999999999999</v>
      </c>
      <c r="K589" t="s">
        <v>649</v>
      </c>
      <c r="L589" t="s">
        <v>936</v>
      </c>
    </row>
    <row r="590" spans="1:12" x14ac:dyDescent="0.25">
      <c r="A590" t="s">
        <v>569</v>
      </c>
      <c r="B590" t="s">
        <v>573</v>
      </c>
      <c r="D590" t="s">
        <v>571</v>
      </c>
      <c r="E590" t="s">
        <v>709</v>
      </c>
      <c r="F590" t="s">
        <v>843</v>
      </c>
      <c r="G590">
        <v>2</v>
      </c>
      <c r="K590" t="s">
        <v>649</v>
      </c>
      <c r="L590" t="s">
        <v>936</v>
      </c>
    </row>
    <row r="591" spans="1:12" x14ac:dyDescent="0.25">
      <c r="A591" t="s">
        <v>569</v>
      </c>
      <c r="B591" t="s">
        <v>574</v>
      </c>
      <c r="D591" t="s">
        <v>571</v>
      </c>
      <c r="E591" t="s">
        <v>709</v>
      </c>
      <c r="F591" t="s">
        <v>12</v>
      </c>
      <c r="G591">
        <v>4.6399999999999997</v>
      </c>
      <c r="K591" t="s">
        <v>649</v>
      </c>
      <c r="L591" t="s">
        <v>936</v>
      </c>
    </row>
    <row r="592" spans="1:12" x14ac:dyDescent="0.25">
      <c r="A592" t="s">
        <v>569</v>
      </c>
      <c r="B592" t="s">
        <v>912</v>
      </c>
      <c r="D592" t="s">
        <v>571</v>
      </c>
      <c r="E592" t="s">
        <v>709</v>
      </c>
      <c r="F592" t="s">
        <v>12</v>
      </c>
      <c r="G592">
        <v>5.0999999999999997E-2</v>
      </c>
      <c r="K592" t="s">
        <v>649</v>
      </c>
      <c r="L592" t="s">
        <v>936</v>
      </c>
    </row>
    <row r="593" spans="1:12" x14ac:dyDescent="0.25">
      <c r="A593" t="s">
        <v>569</v>
      </c>
      <c r="B593" t="s">
        <v>913</v>
      </c>
      <c r="D593" t="s">
        <v>571</v>
      </c>
      <c r="E593" t="s">
        <v>709</v>
      </c>
      <c r="F593" t="s">
        <v>12</v>
      </c>
      <c r="G593">
        <v>7.1999999999999995E-2</v>
      </c>
      <c r="K593" t="s">
        <v>649</v>
      </c>
      <c r="L593" t="s">
        <v>936</v>
      </c>
    </row>
    <row r="594" spans="1:12" x14ac:dyDescent="0.25">
      <c r="A594" t="s">
        <v>328</v>
      </c>
      <c r="B594" t="s">
        <v>329</v>
      </c>
      <c r="D594" t="s">
        <v>571</v>
      </c>
      <c r="E594" t="s">
        <v>709</v>
      </c>
      <c r="F594" t="s">
        <v>843</v>
      </c>
      <c r="G594">
        <v>8.8520000000000003</v>
      </c>
      <c r="K594" t="s">
        <v>649</v>
      </c>
      <c r="L594" t="s">
        <v>936</v>
      </c>
    </row>
    <row r="595" spans="1:12" x14ac:dyDescent="0.25">
      <c r="A595" t="s">
        <v>328</v>
      </c>
      <c r="B595" t="s">
        <v>331</v>
      </c>
      <c r="D595" t="s">
        <v>571</v>
      </c>
      <c r="E595" t="s">
        <v>709</v>
      </c>
      <c r="F595" t="s">
        <v>837</v>
      </c>
      <c r="G595">
        <v>0.65</v>
      </c>
      <c r="K595" t="s">
        <v>649</v>
      </c>
      <c r="L595" t="s">
        <v>936</v>
      </c>
    </row>
    <row r="596" spans="1:12" x14ac:dyDescent="0.25">
      <c r="A596" t="s">
        <v>328</v>
      </c>
      <c r="B596" t="s">
        <v>332</v>
      </c>
      <c r="D596" t="s">
        <v>571</v>
      </c>
      <c r="E596" t="s">
        <v>709</v>
      </c>
      <c r="F596" t="s">
        <v>843</v>
      </c>
      <c r="G596">
        <v>5.13</v>
      </c>
      <c r="K596" t="s">
        <v>649</v>
      </c>
      <c r="L596" t="s">
        <v>936</v>
      </c>
    </row>
    <row r="597" spans="1:12" x14ac:dyDescent="0.25">
      <c r="A597" t="s">
        <v>328</v>
      </c>
      <c r="B597" t="s">
        <v>334</v>
      </c>
      <c r="D597" t="s">
        <v>571</v>
      </c>
      <c r="E597" t="s">
        <v>709</v>
      </c>
      <c r="F597" t="s">
        <v>843</v>
      </c>
      <c r="G597">
        <v>11.335000000000001</v>
      </c>
      <c r="K597" t="s">
        <v>649</v>
      </c>
      <c r="L597" t="s">
        <v>936</v>
      </c>
    </row>
    <row r="598" spans="1:12" x14ac:dyDescent="0.25">
      <c r="A598" t="s">
        <v>328</v>
      </c>
      <c r="B598" t="s">
        <v>404</v>
      </c>
      <c r="D598" t="s">
        <v>571</v>
      </c>
      <c r="E598" t="s">
        <v>709</v>
      </c>
      <c r="F598" t="s">
        <v>837</v>
      </c>
      <c r="G598">
        <v>0.28599999999999998</v>
      </c>
      <c r="K598" t="s">
        <v>649</v>
      </c>
      <c r="L598" t="s">
        <v>936</v>
      </c>
    </row>
    <row r="599" spans="1:12" x14ac:dyDescent="0.25">
      <c r="A599" t="s">
        <v>328</v>
      </c>
      <c r="B599" t="s">
        <v>899</v>
      </c>
      <c r="D599" t="s">
        <v>571</v>
      </c>
      <c r="E599" t="s">
        <v>709</v>
      </c>
      <c r="F599" t="s">
        <v>837</v>
      </c>
      <c r="G599">
        <v>0.252</v>
      </c>
      <c r="K599" t="s">
        <v>649</v>
      </c>
      <c r="L599" t="s">
        <v>936</v>
      </c>
    </row>
    <row r="600" spans="1:12" x14ac:dyDescent="0.25">
      <c r="A600" t="s">
        <v>328</v>
      </c>
      <c r="B600" t="s">
        <v>51</v>
      </c>
      <c r="D600" t="s">
        <v>571</v>
      </c>
      <c r="E600" t="s">
        <v>709</v>
      </c>
      <c r="F600" t="s">
        <v>837</v>
      </c>
      <c r="G600">
        <v>0.38800000000000001</v>
      </c>
      <c r="K600" t="s">
        <v>649</v>
      </c>
      <c r="L600" t="s">
        <v>936</v>
      </c>
    </row>
    <row r="601" spans="1:12" x14ac:dyDescent="0.25">
      <c r="A601" t="s">
        <v>328</v>
      </c>
      <c r="B601" t="s">
        <v>391</v>
      </c>
      <c r="D601" t="s">
        <v>571</v>
      </c>
      <c r="E601" t="s">
        <v>709</v>
      </c>
      <c r="F601" t="s">
        <v>837</v>
      </c>
      <c r="G601">
        <v>0.13400000000000001</v>
      </c>
      <c r="K601" t="s">
        <v>649</v>
      </c>
      <c r="L601" t="s">
        <v>936</v>
      </c>
    </row>
    <row r="602" spans="1:12" x14ac:dyDescent="0.25">
      <c r="A602" t="s">
        <v>328</v>
      </c>
      <c r="B602" t="s">
        <v>390</v>
      </c>
      <c r="D602" t="s">
        <v>571</v>
      </c>
      <c r="E602" t="s">
        <v>709</v>
      </c>
      <c r="F602" t="s">
        <v>837</v>
      </c>
      <c r="G602">
        <v>7.0000000000000007E-2</v>
      </c>
      <c r="K602" t="s">
        <v>649</v>
      </c>
      <c r="L602" t="s">
        <v>936</v>
      </c>
    </row>
    <row r="603" spans="1:12" x14ac:dyDescent="0.25">
      <c r="A603" t="s">
        <v>328</v>
      </c>
      <c r="B603" t="s">
        <v>85</v>
      </c>
      <c r="D603" t="s">
        <v>571</v>
      </c>
      <c r="E603" t="s">
        <v>709</v>
      </c>
      <c r="F603" t="s">
        <v>837</v>
      </c>
      <c r="G603">
        <v>0.255</v>
      </c>
      <c r="K603" t="s">
        <v>649</v>
      </c>
      <c r="L603" t="s">
        <v>936</v>
      </c>
    </row>
    <row r="604" spans="1:12" x14ac:dyDescent="0.25">
      <c r="A604" t="s">
        <v>328</v>
      </c>
      <c r="B604" t="s">
        <v>911</v>
      </c>
      <c r="D604" t="s">
        <v>571</v>
      </c>
      <c r="E604" t="s">
        <v>709</v>
      </c>
      <c r="F604" t="s">
        <v>837</v>
      </c>
      <c r="G604">
        <v>0.26700000000000002</v>
      </c>
      <c r="K604" t="s">
        <v>649</v>
      </c>
      <c r="L604" t="s">
        <v>936</v>
      </c>
    </row>
    <row r="605" spans="1:12" x14ac:dyDescent="0.25">
      <c r="A605" t="s">
        <v>328</v>
      </c>
      <c r="B605" t="s">
        <v>333</v>
      </c>
      <c r="D605" t="s">
        <v>571</v>
      </c>
      <c r="E605" t="s">
        <v>709</v>
      </c>
      <c r="F605" t="s">
        <v>843</v>
      </c>
      <c r="G605">
        <v>0.97899999999999998</v>
      </c>
      <c r="K605" t="s">
        <v>649</v>
      </c>
      <c r="L605" t="s">
        <v>936</v>
      </c>
    </row>
    <row r="606" spans="1:12" x14ac:dyDescent="0.25">
      <c r="A606" t="s">
        <v>328</v>
      </c>
      <c r="B606" t="s">
        <v>330</v>
      </c>
      <c r="D606" t="s">
        <v>571</v>
      </c>
      <c r="E606" t="s">
        <v>709</v>
      </c>
      <c r="F606" t="s">
        <v>843</v>
      </c>
      <c r="G606">
        <v>10.885</v>
      </c>
      <c r="K606" t="s">
        <v>649</v>
      </c>
      <c r="L606" t="s">
        <v>936</v>
      </c>
    </row>
    <row r="607" spans="1:12" x14ac:dyDescent="0.25">
      <c r="A607" t="s">
        <v>328</v>
      </c>
      <c r="B607" t="s">
        <v>360</v>
      </c>
      <c r="D607" t="s">
        <v>571</v>
      </c>
      <c r="E607" t="s">
        <v>709</v>
      </c>
      <c r="F607" t="s">
        <v>837</v>
      </c>
      <c r="G607">
        <v>1.365</v>
      </c>
      <c r="K607" t="s">
        <v>649</v>
      </c>
      <c r="L607" t="s">
        <v>936</v>
      </c>
    </row>
    <row r="608" spans="1:12" x14ac:dyDescent="0.25">
      <c r="A608" t="s">
        <v>972</v>
      </c>
      <c r="B608" t="s">
        <v>322</v>
      </c>
      <c r="D608" t="s">
        <v>571</v>
      </c>
      <c r="E608" t="s">
        <v>709</v>
      </c>
      <c r="F608" t="s">
        <v>12</v>
      </c>
      <c r="G608">
        <v>5.835</v>
      </c>
      <c r="K608" t="s">
        <v>649</v>
      </c>
      <c r="L608" t="s">
        <v>936</v>
      </c>
    </row>
    <row r="609" spans="1:12" x14ac:dyDescent="0.25">
      <c r="A609" t="s">
        <v>972</v>
      </c>
      <c r="B609" t="s">
        <v>321</v>
      </c>
      <c r="D609" t="s">
        <v>571</v>
      </c>
      <c r="E609" t="s">
        <v>709</v>
      </c>
      <c r="F609" t="s">
        <v>12</v>
      </c>
      <c r="G609">
        <v>4.141</v>
      </c>
      <c r="K609" t="s">
        <v>649</v>
      </c>
      <c r="L609" t="s">
        <v>936</v>
      </c>
    </row>
    <row r="610" spans="1:12" x14ac:dyDescent="0.25">
      <c r="A610" t="s">
        <v>972</v>
      </c>
      <c r="B610" t="s">
        <v>323</v>
      </c>
      <c r="D610" t="s">
        <v>571</v>
      </c>
      <c r="E610" t="s">
        <v>709</v>
      </c>
      <c r="F610" t="s">
        <v>12</v>
      </c>
      <c r="G610">
        <v>5.8609999999999998</v>
      </c>
      <c r="K610" t="s">
        <v>649</v>
      </c>
      <c r="L610" t="s">
        <v>936</v>
      </c>
    </row>
    <row r="611" spans="1:12" x14ac:dyDescent="0.25">
      <c r="A611" t="s">
        <v>972</v>
      </c>
      <c r="B611" t="s">
        <v>51</v>
      </c>
      <c r="D611" t="s">
        <v>571</v>
      </c>
      <c r="E611" t="s">
        <v>709</v>
      </c>
      <c r="F611" t="s">
        <v>837</v>
      </c>
      <c r="G611">
        <v>0.29199999999999998</v>
      </c>
      <c r="K611" t="s">
        <v>649</v>
      </c>
      <c r="L611" t="s">
        <v>936</v>
      </c>
    </row>
    <row r="612" spans="1:12" x14ac:dyDescent="0.25">
      <c r="A612" t="s">
        <v>972</v>
      </c>
      <c r="B612" t="s">
        <v>988</v>
      </c>
      <c r="D612" t="s">
        <v>571</v>
      </c>
      <c r="E612" t="s">
        <v>709</v>
      </c>
      <c r="F612" t="s">
        <v>12</v>
      </c>
      <c r="G612">
        <v>3.1930000000000001</v>
      </c>
      <c r="K612" t="s">
        <v>649</v>
      </c>
      <c r="L612" t="s">
        <v>936</v>
      </c>
    </row>
    <row r="613" spans="1:12" x14ac:dyDescent="0.25">
      <c r="A613" t="s">
        <v>1001</v>
      </c>
      <c r="B613" t="s">
        <v>1002</v>
      </c>
      <c r="D613" t="s">
        <v>842</v>
      </c>
      <c r="E613" t="s">
        <v>709</v>
      </c>
      <c r="F613" t="s">
        <v>41</v>
      </c>
      <c r="G613">
        <v>5.8000000000000003E-2</v>
      </c>
      <c r="K613" t="s">
        <v>13</v>
      </c>
      <c r="L613" t="s">
        <v>936</v>
      </c>
    </row>
    <row r="614" spans="1:12" x14ac:dyDescent="0.25">
      <c r="A614" t="s">
        <v>1001</v>
      </c>
      <c r="B614" t="s">
        <v>14</v>
      </c>
      <c r="D614" t="s">
        <v>842</v>
      </c>
      <c r="E614" t="s">
        <v>709</v>
      </c>
      <c r="F614" t="s">
        <v>41</v>
      </c>
      <c r="G614">
        <v>1.2999999999999999E-2</v>
      </c>
      <c r="K614" t="s">
        <v>13</v>
      </c>
      <c r="L614" t="s">
        <v>936</v>
      </c>
    </row>
    <row r="615" spans="1:12" x14ac:dyDescent="0.25">
      <c r="A615" t="s">
        <v>1001</v>
      </c>
      <c r="B615" t="s">
        <v>1003</v>
      </c>
      <c r="D615" t="s">
        <v>842</v>
      </c>
      <c r="E615" t="s">
        <v>709</v>
      </c>
      <c r="F615" t="s">
        <v>41</v>
      </c>
      <c r="G615">
        <v>1.4E-2</v>
      </c>
      <c r="K615" t="s">
        <v>13</v>
      </c>
      <c r="L615" t="s">
        <v>936</v>
      </c>
    </row>
    <row r="616" spans="1:12" x14ac:dyDescent="0.25">
      <c r="A616" t="s">
        <v>1001</v>
      </c>
      <c r="B616" t="s">
        <v>1004</v>
      </c>
      <c r="D616" t="s">
        <v>842</v>
      </c>
      <c r="E616" t="s">
        <v>709</v>
      </c>
      <c r="F616" t="s">
        <v>41</v>
      </c>
      <c r="G616">
        <v>1.2999999999999999E-2</v>
      </c>
      <c r="K616" t="s">
        <v>13</v>
      </c>
      <c r="L616" t="s">
        <v>936</v>
      </c>
    </row>
    <row r="617" spans="1:12" x14ac:dyDescent="0.25">
      <c r="A617" t="s">
        <v>1001</v>
      </c>
      <c r="B617" t="s">
        <v>646</v>
      </c>
      <c r="D617" t="s">
        <v>842</v>
      </c>
      <c r="E617" t="s">
        <v>709</v>
      </c>
      <c r="F617" t="s">
        <v>41</v>
      </c>
      <c r="G617">
        <v>1.4E-2</v>
      </c>
      <c r="K617" t="s">
        <v>13</v>
      </c>
      <c r="L617" t="s">
        <v>936</v>
      </c>
    </row>
    <row r="618" spans="1:12" x14ac:dyDescent="0.25">
      <c r="A618" t="s">
        <v>1001</v>
      </c>
      <c r="B618" t="s">
        <v>647</v>
      </c>
      <c r="D618" t="s">
        <v>842</v>
      </c>
      <c r="E618" t="s">
        <v>709</v>
      </c>
      <c r="F618" t="s">
        <v>41</v>
      </c>
      <c r="G618">
        <v>1.2E-2</v>
      </c>
      <c r="K618" t="s">
        <v>13</v>
      </c>
      <c r="L618" t="s">
        <v>936</v>
      </c>
    </row>
    <row r="619" spans="1:12" x14ac:dyDescent="0.25">
      <c r="A619" t="s">
        <v>1001</v>
      </c>
      <c r="B619" t="s">
        <v>648</v>
      </c>
      <c r="D619" t="s">
        <v>842</v>
      </c>
      <c r="E619" t="s">
        <v>709</v>
      </c>
      <c r="F619" t="s">
        <v>41</v>
      </c>
      <c r="G619">
        <v>1.4E-2</v>
      </c>
      <c r="K619" t="s">
        <v>13</v>
      </c>
      <c r="L619" t="s">
        <v>936</v>
      </c>
    </row>
    <row r="620" spans="1:12" x14ac:dyDescent="0.25">
      <c r="A620" t="s">
        <v>1001</v>
      </c>
      <c r="B620" t="s">
        <v>1005</v>
      </c>
      <c r="D620" t="s">
        <v>842</v>
      </c>
      <c r="E620" t="s">
        <v>709</v>
      </c>
      <c r="F620" t="s">
        <v>41</v>
      </c>
      <c r="G620">
        <v>1.2999999999999999E-2</v>
      </c>
      <c r="K620" t="s">
        <v>13</v>
      </c>
      <c r="L620" t="s">
        <v>936</v>
      </c>
    </row>
    <row r="621" spans="1:12" x14ac:dyDescent="0.25">
      <c r="A621" t="s">
        <v>1001</v>
      </c>
      <c r="B621" t="s">
        <v>1006</v>
      </c>
      <c r="D621" t="s">
        <v>842</v>
      </c>
      <c r="E621" t="s">
        <v>709</v>
      </c>
      <c r="F621" t="s">
        <v>41</v>
      </c>
      <c r="G621">
        <v>1.4E-2</v>
      </c>
      <c r="K621" t="s">
        <v>13</v>
      </c>
      <c r="L621" t="s">
        <v>936</v>
      </c>
    </row>
    <row r="622" spans="1:12" x14ac:dyDescent="0.25">
      <c r="A622" t="s">
        <v>1001</v>
      </c>
      <c r="B622" t="s">
        <v>1007</v>
      </c>
      <c r="D622" t="s">
        <v>842</v>
      </c>
      <c r="E622" t="s">
        <v>709</v>
      </c>
      <c r="F622" t="s">
        <v>41</v>
      </c>
      <c r="G622">
        <v>2.1999999999999999E-2</v>
      </c>
      <c r="K622" t="s">
        <v>13</v>
      </c>
      <c r="L622" t="s">
        <v>936</v>
      </c>
    </row>
    <row r="623" spans="1:12" x14ac:dyDescent="0.25">
      <c r="A623" t="s">
        <v>1001</v>
      </c>
      <c r="B623" t="s">
        <v>1008</v>
      </c>
      <c r="D623" t="s">
        <v>842</v>
      </c>
      <c r="E623" t="s">
        <v>709</v>
      </c>
      <c r="F623" t="s">
        <v>41</v>
      </c>
      <c r="G623">
        <v>1.7999999999999999E-2</v>
      </c>
      <c r="K623" t="s">
        <v>13</v>
      </c>
      <c r="L623" t="s">
        <v>936</v>
      </c>
    </row>
    <row r="624" spans="1:12" x14ac:dyDescent="0.25">
      <c r="A624" t="s">
        <v>1001</v>
      </c>
      <c r="B624" t="s">
        <v>1009</v>
      </c>
      <c r="D624" t="s">
        <v>842</v>
      </c>
      <c r="E624" t="s">
        <v>709</v>
      </c>
      <c r="F624" t="s">
        <v>41</v>
      </c>
      <c r="G624">
        <v>1.4999999999999999E-2</v>
      </c>
      <c r="K624" t="s">
        <v>13</v>
      </c>
      <c r="L624" t="s">
        <v>936</v>
      </c>
    </row>
    <row r="625" spans="1:12" x14ac:dyDescent="0.25">
      <c r="A625" t="s">
        <v>1001</v>
      </c>
      <c r="B625" t="s">
        <v>1010</v>
      </c>
      <c r="D625" t="s">
        <v>842</v>
      </c>
      <c r="E625" t="s">
        <v>709</v>
      </c>
      <c r="F625" t="s">
        <v>41</v>
      </c>
      <c r="G625">
        <v>2.1000000000000001E-2</v>
      </c>
      <c r="K625" t="s">
        <v>13</v>
      </c>
      <c r="L625" t="s">
        <v>936</v>
      </c>
    </row>
    <row r="626" spans="1:12" x14ac:dyDescent="0.25">
      <c r="A626" t="s">
        <v>1001</v>
      </c>
      <c r="B626" t="s">
        <v>1011</v>
      </c>
      <c r="D626" t="s">
        <v>842</v>
      </c>
      <c r="E626" t="s">
        <v>709</v>
      </c>
      <c r="F626" t="s">
        <v>41</v>
      </c>
      <c r="G626">
        <v>4.5999999999999999E-2</v>
      </c>
      <c r="K626" t="s">
        <v>13</v>
      </c>
      <c r="L626" t="s">
        <v>936</v>
      </c>
    </row>
    <row r="627" spans="1:12" x14ac:dyDescent="0.25">
      <c r="A627" t="s">
        <v>1001</v>
      </c>
      <c r="B627" t="s">
        <v>1012</v>
      </c>
      <c r="D627" t="s">
        <v>842</v>
      </c>
      <c r="E627" t="s">
        <v>709</v>
      </c>
      <c r="F627" t="s">
        <v>41</v>
      </c>
      <c r="G627">
        <v>7.0000000000000001E-3</v>
      </c>
      <c r="K627" t="s">
        <v>13</v>
      </c>
      <c r="L627" t="s">
        <v>936</v>
      </c>
    </row>
    <row r="628" spans="1:12" x14ac:dyDescent="0.25">
      <c r="A628" t="s">
        <v>411</v>
      </c>
      <c r="B628" t="s">
        <v>412</v>
      </c>
      <c r="D628" t="s">
        <v>836</v>
      </c>
      <c r="E628" t="s">
        <v>709</v>
      </c>
      <c r="F628" t="s">
        <v>41</v>
      </c>
      <c r="G628">
        <v>3.2000000000000001E-2</v>
      </c>
      <c r="K628" t="s">
        <v>13</v>
      </c>
      <c r="L628" t="s">
        <v>936</v>
      </c>
    </row>
    <row r="629" spans="1:12" x14ac:dyDescent="0.25">
      <c r="A629" t="s">
        <v>411</v>
      </c>
      <c r="B629" t="s">
        <v>413</v>
      </c>
      <c r="D629" t="s">
        <v>836</v>
      </c>
      <c r="E629" t="s">
        <v>709</v>
      </c>
      <c r="F629" t="s">
        <v>41</v>
      </c>
      <c r="G629">
        <v>1.7999999999999999E-2</v>
      </c>
      <c r="K629" t="s">
        <v>13</v>
      </c>
      <c r="L629" t="s">
        <v>936</v>
      </c>
    </row>
    <row r="630" spans="1:12" x14ac:dyDescent="0.25">
      <c r="A630" t="s">
        <v>411</v>
      </c>
      <c r="B630" t="s">
        <v>414</v>
      </c>
      <c r="D630" t="s">
        <v>836</v>
      </c>
      <c r="E630" t="s">
        <v>709</v>
      </c>
      <c r="F630" t="s">
        <v>41</v>
      </c>
      <c r="G630">
        <v>0.03</v>
      </c>
      <c r="K630" t="s">
        <v>13</v>
      </c>
      <c r="L630" t="s">
        <v>936</v>
      </c>
    </row>
    <row r="631" spans="1:12" x14ac:dyDescent="0.25">
      <c r="A631" t="s">
        <v>411</v>
      </c>
      <c r="B631" t="s">
        <v>415</v>
      </c>
      <c r="D631" t="s">
        <v>836</v>
      </c>
      <c r="E631" t="s">
        <v>709</v>
      </c>
      <c r="F631" t="s">
        <v>41</v>
      </c>
      <c r="G631">
        <v>2.3E-2</v>
      </c>
      <c r="K631" t="s">
        <v>13</v>
      </c>
      <c r="L631" t="s">
        <v>936</v>
      </c>
    </row>
    <row r="632" spans="1:12" x14ac:dyDescent="0.25">
      <c r="A632" t="s">
        <v>411</v>
      </c>
      <c r="B632" t="s">
        <v>424</v>
      </c>
      <c r="D632" t="s">
        <v>836</v>
      </c>
      <c r="E632" t="s">
        <v>709</v>
      </c>
      <c r="F632" t="s">
        <v>41</v>
      </c>
      <c r="G632">
        <v>1.6E-2</v>
      </c>
      <c r="K632" t="s">
        <v>13</v>
      </c>
      <c r="L632" t="s">
        <v>936</v>
      </c>
    </row>
    <row r="633" spans="1:12" x14ac:dyDescent="0.25">
      <c r="A633" t="s">
        <v>411</v>
      </c>
      <c r="B633" t="s">
        <v>425</v>
      </c>
      <c r="D633" t="s">
        <v>836</v>
      </c>
      <c r="E633" t="s">
        <v>709</v>
      </c>
      <c r="F633" t="s">
        <v>41</v>
      </c>
      <c r="G633">
        <v>4.3999999999999997E-2</v>
      </c>
      <c r="K633" t="s">
        <v>13</v>
      </c>
      <c r="L633" t="s">
        <v>936</v>
      </c>
    </row>
    <row r="634" spans="1:12" x14ac:dyDescent="0.25">
      <c r="A634" t="s">
        <v>411</v>
      </c>
      <c r="B634" t="s">
        <v>426</v>
      </c>
      <c r="D634" t="s">
        <v>836</v>
      </c>
      <c r="E634" t="s">
        <v>709</v>
      </c>
      <c r="F634" t="s">
        <v>41</v>
      </c>
      <c r="G634">
        <v>5.7000000000000002E-2</v>
      </c>
      <c r="K634" t="s">
        <v>13</v>
      </c>
      <c r="L634" t="s">
        <v>936</v>
      </c>
    </row>
    <row r="635" spans="1:12" x14ac:dyDescent="0.25">
      <c r="A635" t="s">
        <v>411</v>
      </c>
      <c r="B635" t="s">
        <v>427</v>
      </c>
      <c r="D635" t="s">
        <v>836</v>
      </c>
      <c r="E635" t="s">
        <v>709</v>
      </c>
      <c r="F635" t="s">
        <v>41</v>
      </c>
      <c r="G635">
        <v>0.05</v>
      </c>
      <c r="K635" t="s">
        <v>13</v>
      </c>
      <c r="L635" t="s">
        <v>936</v>
      </c>
    </row>
    <row r="636" spans="1:12" x14ac:dyDescent="0.25">
      <c r="A636" t="s">
        <v>411</v>
      </c>
      <c r="B636" t="s">
        <v>428</v>
      </c>
      <c r="D636" t="s">
        <v>836</v>
      </c>
      <c r="E636" t="s">
        <v>709</v>
      </c>
      <c r="F636" t="s">
        <v>41</v>
      </c>
      <c r="G636">
        <v>2.1000000000000001E-2</v>
      </c>
      <c r="K636" t="s">
        <v>13</v>
      </c>
      <c r="L636" t="s">
        <v>936</v>
      </c>
    </row>
    <row r="637" spans="1:12" x14ac:dyDescent="0.25">
      <c r="A637" t="s">
        <v>411</v>
      </c>
      <c r="B637" t="s">
        <v>354</v>
      </c>
      <c r="D637" t="s">
        <v>836</v>
      </c>
      <c r="E637" t="s">
        <v>709</v>
      </c>
      <c r="F637" t="s">
        <v>41</v>
      </c>
      <c r="G637">
        <v>3.5999999999999997E-2</v>
      </c>
      <c r="K637" t="s">
        <v>13</v>
      </c>
      <c r="L637" t="s">
        <v>936</v>
      </c>
    </row>
    <row r="638" spans="1:12" x14ac:dyDescent="0.25">
      <c r="A638" t="s">
        <v>411</v>
      </c>
      <c r="B638" t="s">
        <v>353</v>
      </c>
      <c r="D638" t="s">
        <v>836</v>
      </c>
      <c r="E638" t="s">
        <v>709</v>
      </c>
      <c r="F638" t="s">
        <v>41</v>
      </c>
      <c r="G638">
        <v>2.3E-2</v>
      </c>
      <c r="K638" t="s">
        <v>13</v>
      </c>
      <c r="L638" t="s">
        <v>936</v>
      </c>
    </row>
    <row r="639" spans="1:12" x14ac:dyDescent="0.25">
      <c r="A639" t="s">
        <v>411</v>
      </c>
      <c r="B639" t="s">
        <v>352</v>
      </c>
      <c r="D639" t="s">
        <v>836</v>
      </c>
      <c r="E639" t="s">
        <v>709</v>
      </c>
      <c r="F639" t="s">
        <v>41</v>
      </c>
      <c r="G639">
        <v>2.8000000000000001E-2</v>
      </c>
      <c r="K639" t="s">
        <v>13</v>
      </c>
      <c r="L639" t="s">
        <v>936</v>
      </c>
    </row>
    <row r="640" spans="1:12" x14ac:dyDescent="0.25">
      <c r="A640" t="s">
        <v>411</v>
      </c>
      <c r="B640" t="s">
        <v>344</v>
      </c>
      <c r="D640" t="s">
        <v>836</v>
      </c>
      <c r="E640" t="s">
        <v>709</v>
      </c>
      <c r="F640" t="s">
        <v>41</v>
      </c>
      <c r="G640">
        <v>2.3E-2</v>
      </c>
      <c r="K640" t="s">
        <v>13</v>
      </c>
      <c r="L640" t="s">
        <v>936</v>
      </c>
    </row>
    <row r="641" spans="1:12" x14ac:dyDescent="0.25">
      <c r="A641" t="s">
        <v>411</v>
      </c>
      <c r="B641" t="s">
        <v>346</v>
      </c>
      <c r="D641" t="s">
        <v>836</v>
      </c>
      <c r="E641" t="s">
        <v>709</v>
      </c>
      <c r="F641" t="s">
        <v>41</v>
      </c>
      <c r="G641">
        <v>3.5999999999999997E-2</v>
      </c>
      <c r="K641" t="s">
        <v>13</v>
      </c>
      <c r="L641" t="s">
        <v>936</v>
      </c>
    </row>
    <row r="642" spans="1:12" x14ac:dyDescent="0.25">
      <c r="A642" t="s">
        <v>411</v>
      </c>
      <c r="B642" t="s">
        <v>345</v>
      </c>
      <c r="D642" t="s">
        <v>836</v>
      </c>
      <c r="E642" t="s">
        <v>709</v>
      </c>
      <c r="F642" t="s">
        <v>41</v>
      </c>
      <c r="G642">
        <v>2.7E-2</v>
      </c>
      <c r="K642" t="s">
        <v>13</v>
      </c>
      <c r="L642" t="s">
        <v>936</v>
      </c>
    </row>
    <row r="643" spans="1:12" x14ac:dyDescent="0.25">
      <c r="A643" t="s">
        <v>411</v>
      </c>
      <c r="B643" t="s">
        <v>343</v>
      </c>
      <c r="D643" t="s">
        <v>836</v>
      </c>
      <c r="E643" t="s">
        <v>709</v>
      </c>
      <c r="F643" t="s">
        <v>41</v>
      </c>
      <c r="G643">
        <v>2.1000000000000001E-2</v>
      </c>
      <c r="K643" t="s">
        <v>13</v>
      </c>
      <c r="L643" t="s">
        <v>936</v>
      </c>
    </row>
    <row r="644" spans="1:12" x14ac:dyDescent="0.25">
      <c r="A644" t="s">
        <v>411</v>
      </c>
      <c r="B644" t="s">
        <v>342</v>
      </c>
      <c r="D644" t="s">
        <v>836</v>
      </c>
      <c r="E644" t="s">
        <v>709</v>
      </c>
      <c r="F644" t="s">
        <v>41</v>
      </c>
      <c r="G644">
        <v>8.9999999999999993E-3</v>
      </c>
      <c r="K644" t="s">
        <v>13</v>
      </c>
      <c r="L644" t="s">
        <v>936</v>
      </c>
    </row>
    <row r="645" spans="1:12" x14ac:dyDescent="0.25">
      <c r="A645" t="s">
        <v>411</v>
      </c>
      <c r="B645" t="s">
        <v>431</v>
      </c>
      <c r="D645" t="s">
        <v>836</v>
      </c>
      <c r="E645" t="s">
        <v>709</v>
      </c>
      <c r="F645" t="s">
        <v>41</v>
      </c>
      <c r="G645">
        <v>3.9E-2</v>
      </c>
      <c r="K645" t="s">
        <v>13</v>
      </c>
      <c r="L645" t="s">
        <v>936</v>
      </c>
    </row>
    <row r="646" spans="1:12" x14ac:dyDescent="0.25">
      <c r="A646" t="s">
        <v>411</v>
      </c>
      <c r="B646" t="s">
        <v>432</v>
      </c>
      <c r="D646" t="s">
        <v>836</v>
      </c>
      <c r="E646" t="s">
        <v>709</v>
      </c>
      <c r="F646" t="s">
        <v>41</v>
      </c>
      <c r="G646">
        <v>0.151</v>
      </c>
      <c r="K646" t="s">
        <v>13</v>
      </c>
      <c r="L646" t="s">
        <v>936</v>
      </c>
    </row>
    <row r="647" spans="1:12" x14ac:dyDescent="0.25">
      <c r="A647" t="s">
        <v>411</v>
      </c>
      <c r="B647" t="s">
        <v>433</v>
      </c>
      <c r="D647" t="s">
        <v>836</v>
      </c>
      <c r="E647" t="s">
        <v>709</v>
      </c>
      <c r="F647" t="s">
        <v>41</v>
      </c>
      <c r="G647">
        <v>7.8E-2</v>
      </c>
      <c r="K647" t="s">
        <v>13</v>
      </c>
      <c r="L647" t="s">
        <v>936</v>
      </c>
    </row>
    <row r="648" spans="1:12" x14ac:dyDescent="0.25">
      <c r="A648" t="s">
        <v>411</v>
      </c>
      <c r="B648" t="s">
        <v>434</v>
      </c>
      <c r="D648" t="s">
        <v>836</v>
      </c>
      <c r="E648" t="s">
        <v>709</v>
      </c>
      <c r="F648" t="s">
        <v>41</v>
      </c>
      <c r="G648">
        <v>8.3000000000000004E-2</v>
      </c>
      <c r="K648" t="s">
        <v>13</v>
      </c>
      <c r="L648" t="s">
        <v>936</v>
      </c>
    </row>
    <row r="649" spans="1:12" x14ac:dyDescent="0.25">
      <c r="A649" t="s">
        <v>411</v>
      </c>
      <c r="B649" t="s">
        <v>435</v>
      </c>
      <c r="D649" t="s">
        <v>836</v>
      </c>
      <c r="E649" t="s">
        <v>709</v>
      </c>
      <c r="F649" t="s">
        <v>41</v>
      </c>
      <c r="G649">
        <v>7.0999999999999994E-2</v>
      </c>
      <c r="K649" t="s">
        <v>13</v>
      </c>
      <c r="L649" t="s">
        <v>936</v>
      </c>
    </row>
    <row r="650" spans="1:12" x14ac:dyDescent="0.25">
      <c r="A650" t="s">
        <v>411</v>
      </c>
      <c r="B650" t="s">
        <v>436</v>
      </c>
      <c r="D650" t="s">
        <v>836</v>
      </c>
      <c r="E650" t="s">
        <v>709</v>
      </c>
      <c r="F650" t="s">
        <v>52</v>
      </c>
      <c r="G650">
        <v>2.3319999999999999</v>
      </c>
      <c r="K650" t="s">
        <v>13</v>
      </c>
      <c r="L650" t="s">
        <v>936</v>
      </c>
    </row>
    <row r="651" spans="1:12" x14ac:dyDescent="0.25">
      <c r="A651" t="s">
        <v>411</v>
      </c>
      <c r="B651" t="s">
        <v>437</v>
      </c>
      <c r="D651" t="s">
        <v>836</v>
      </c>
      <c r="E651" t="s">
        <v>709</v>
      </c>
      <c r="F651" t="s">
        <v>41</v>
      </c>
      <c r="G651">
        <v>9.0999999999999998E-2</v>
      </c>
      <c r="K651" t="s">
        <v>13</v>
      </c>
      <c r="L651" t="s">
        <v>936</v>
      </c>
    </row>
    <row r="652" spans="1:12" x14ac:dyDescent="0.25">
      <c r="A652" t="s">
        <v>411</v>
      </c>
      <c r="B652" t="s">
        <v>438</v>
      </c>
      <c r="D652" t="s">
        <v>836</v>
      </c>
      <c r="E652" t="s">
        <v>709</v>
      </c>
      <c r="F652" t="s">
        <v>41</v>
      </c>
      <c r="G652">
        <v>9.0999999999999998E-2</v>
      </c>
      <c r="K652" t="s">
        <v>13</v>
      </c>
      <c r="L652" t="s">
        <v>936</v>
      </c>
    </row>
    <row r="653" spans="1:12" x14ac:dyDescent="0.25">
      <c r="A653" t="s">
        <v>411</v>
      </c>
      <c r="B653" t="s">
        <v>439</v>
      </c>
      <c r="D653" t="s">
        <v>836</v>
      </c>
      <c r="E653" t="s">
        <v>709</v>
      </c>
      <c r="F653" t="s">
        <v>41</v>
      </c>
      <c r="G653">
        <v>9.0999999999999998E-2</v>
      </c>
      <c r="K653" t="s">
        <v>13</v>
      </c>
      <c r="L653" t="s">
        <v>936</v>
      </c>
    </row>
    <row r="654" spans="1:12" x14ac:dyDescent="0.25">
      <c r="A654" t="s">
        <v>411</v>
      </c>
      <c r="B654" t="s">
        <v>440</v>
      </c>
      <c r="D654" t="s">
        <v>836</v>
      </c>
      <c r="E654" t="s">
        <v>709</v>
      </c>
      <c r="F654" t="s">
        <v>41</v>
      </c>
      <c r="G654">
        <v>9.0999999999999998E-2</v>
      </c>
      <c r="K654" t="s">
        <v>649</v>
      </c>
      <c r="L654" t="s">
        <v>936</v>
      </c>
    </row>
    <row r="655" spans="1:12" x14ac:dyDescent="0.25">
      <c r="A655" t="s">
        <v>411</v>
      </c>
      <c r="B655" t="s">
        <v>441</v>
      </c>
      <c r="D655" t="s">
        <v>836</v>
      </c>
      <c r="E655" t="s">
        <v>709</v>
      </c>
      <c r="F655" t="s">
        <v>41</v>
      </c>
      <c r="G655">
        <v>9.0999999999999998E-2</v>
      </c>
      <c r="K655" t="s">
        <v>649</v>
      </c>
      <c r="L655" t="s">
        <v>936</v>
      </c>
    </row>
    <row r="656" spans="1:12" x14ac:dyDescent="0.25">
      <c r="A656" t="s">
        <v>411</v>
      </c>
      <c r="B656" t="s">
        <v>442</v>
      </c>
      <c r="D656" t="s">
        <v>836</v>
      </c>
      <c r="E656" t="s">
        <v>709</v>
      </c>
      <c r="F656" t="s">
        <v>41</v>
      </c>
      <c r="G656">
        <v>9.0999999999999998E-2</v>
      </c>
      <c r="K656" t="s">
        <v>649</v>
      </c>
      <c r="L656" t="s">
        <v>936</v>
      </c>
    </row>
    <row r="657" spans="1:12" x14ac:dyDescent="0.25">
      <c r="A657" t="s">
        <v>411</v>
      </c>
      <c r="B657" t="s">
        <v>443</v>
      </c>
      <c r="D657" t="s">
        <v>836</v>
      </c>
      <c r="E657" t="s">
        <v>709</v>
      </c>
      <c r="F657" t="s">
        <v>41</v>
      </c>
      <c r="G657">
        <v>9.0999999999999998E-2</v>
      </c>
      <c r="K657" t="s">
        <v>649</v>
      </c>
      <c r="L657" t="s">
        <v>936</v>
      </c>
    </row>
    <row r="658" spans="1:12" x14ac:dyDescent="0.25">
      <c r="A658" t="s">
        <v>411</v>
      </c>
      <c r="B658" t="s">
        <v>444</v>
      </c>
      <c r="D658" t="s">
        <v>836</v>
      </c>
      <c r="E658" t="s">
        <v>709</v>
      </c>
      <c r="F658" t="s">
        <v>41</v>
      </c>
      <c r="G658">
        <v>9.0999999999999998E-2</v>
      </c>
      <c r="K658" t="s">
        <v>649</v>
      </c>
      <c r="L658" t="s">
        <v>936</v>
      </c>
    </row>
    <row r="659" spans="1:12" x14ac:dyDescent="0.25">
      <c r="A659" t="s">
        <v>411</v>
      </c>
      <c r="B659" t="s">
        <v>445</v>
      </c>
      <c r="D659" t="s">
        <v>836</v>
      </c>
      <c r="E659" t="s">
        <v>709</v>
      </c>
      <c r="F659" t="s">
        <v>41</v>
      </c>
      <c r="G659">
        <v>9.0999999999999998E-2</v>
      </c>
      <c r="K659" t="s">
        <v>649</v>
      </c>
      <c r="L659" t="s">
        <v>936</v>
      </c>
    </row>
    <row r="660" spans="1:12" x14ac:dyDescent="0.25">
      <c r="A660" t="s">
        <v>411</v>
      </c>
      <c r="B660" t="s">
        <v>446</v>
      </c>
      <c r="D660" t="s">
        <v>836</v>
      </c>
      <c r="E660" t="s">
        <v>709</v>
      </c>
      <c r="F660" t="s">
        <v>41</v>
      </c>
      <c r="G660">
        <v>8.1000000000000003E-2</v>
      </c>
      <c r="K660" t="s">
        <v>649</v>
      </c>
      <c r="L660" t="s">
        <v>936</v>
      </c>
    </row>
    <row r="661" spans="1:12" x14ac:dyDescent="0.25">
      <c r="A661" t="s">
        <v>411</v>
      </c>
      <c r="B661" t="s">
        <v>447</v>
      </c>
      <c r="D661" t="s">
        <v>836</v>
      </c>
      <c r="E661" t="s">
        <v>709</v>
      </c>
      <c r="F661" t="s">
        <v>41</v>
      </c>
      <c r="G661">
        <v>8.5000000000000006E-2</v>
      </c>
      <c r="K661" t="s">
        <v>649</v>
      </c>
      <c r="L661" t="s">
        <v>936</v>
      </c>
    </row>
    <row r="662" spans="1:12" x14ac:dyDescent="0.25">
      <c r="A662" t="s">
        <v>411</v>
      </c>
      <c r="B662" t="s">
        <v>448</v>
      </c>
      <c r="D662" t="s">
        <v>836</v>
      </c>
      <c r="E662" t="s">
        <v>709</v>
      </c>
      <c r="F662" t="s">
        <v>41</v>
      </c>
      <c r="G662">
        <v>0.09</v>
      </c>
      <c r="K662" t="s">
        <v>649</v>
      </c>
      <c r="L662" t="s">
        <v>936</v>
      </c>
    </row>
    <row r="663" spans="1:12" x14ac:dyDescent="0.25">
      <c r="A663" t="s">
        <v>411</v>
      </c>
      <c r="B663" t="s">
        <v>449</v>
      </c>
      <c r="D663" t="s">
        <v>836</v>
      </c>
      <c r="E663" t="s">
        <v>709</v>
      </c>
      <c r="F663" t="s">
        <v>41</v>
      </c>
      <c r="G663">
        <v>0.09</v>
      </c>
      <c r="K663" t="s">
        <v>649</v>
      </c>
      <c r="L663" t="s">
        <v>936</v>
      </c>
    </row>
    <row r="664" spans="1:12" x14ac:dyDescent="0.25">
      <c r="A664" t="s">
        <v>411</v>
      </c>
      <c r="B664" t="s">
        <v>450</v>
      </c>
      <c r="D664" t="s">
        <v>836</v>
      </c>
      <c r="E664" t="s">
        <v>709</v>
      </c>
      <c r="F664" t="s">
        <v>41</v>
      </c>
      <c r="G664">
        <v>9.4E-2</v>
      </c>
      <c r="K664" t="s">
        <v>649</v>
      </c>
      <c r="L664" t="s">
        <v>936</v>
      </c>
    </row>
    <row r="665" spans="1:12" x14ac:dyDescent="0.25">
      <c r="A665" t="s">
        <v>411</v>
      </c>
      <c r="B665" t="s">
        <v>451</v>
      </c>
      <c r="D665" t="s">
        <v>836</v>
      </c>
      <c r="E665" t="s">
        <v>709</v>
      </c>
      <c r="F665" t="s">
        <v>41</v>
      </c>
      <c r="G665">
        <v>9.2999999999999999E-2</v>
      </c>
      <c r="K665" t="s">
        <v>649</v>
      </c>
      <c r="L665" t="s">
        <v>936</v>
      </c>
    </row>
    <row r="666" spans="1:12" x14ac:dyDescent="0.25">
      <c r="A666" t="s">
        <v>411</v>
      </c>
      <c r="B666" t="s">
        <v>452</v>
      </c>
      <c r="D666" t="s">
        <v>836</v>
      </c>
      <c r="E666" t="s">
        <v>709</v>
      </c>
      <c r="F666" t="s">
        <v>41</v>
      </c>
      <c r="G666">
        <v>9.6000000000000002E-2</v>
      </c>
      <c r="K666" t="s">
        <v>649</v>
      </c>
      <c r="L666" t="s">
        <v>936</v>
      </c>
    </row>
    <row r="667" spans="1:12" x14ac:dyDescent="0.25">
      <c r="A667" t="s">
        <v>411</v>
      </c>
      <c r="B667" t="s">
        <v>453</v>
      </c>
      <c r="D667" t="s">
        <v>836</v>
      </c>
      <c r="E667" t="s">
        <v>709</v>
      </c>
      <c r="F667" t="s">
        <v>41</v>
      </c>
      <c r="G667">
        <v>9.5000000000000001E-2</v>
      </c>
      <c r="K667" t="s">
        <v>649</v>
      </c>
      <c r="L667" t="s">
        <v>936</v>
      </c>
    </row>
    <row r="668" spans="1:12" x14ac:dyDescent="0.25">
      <c r="A668" t="s">
        <v>411</v>
      </c>
      <c r="B668" t="s">
        <v>500</v>
      </c>
      <c r="D668" t="s">
        <v>836</v>
      </c>
      <c r="E668" t="s">
        <v>709</v>
      </c>
      <c r="F668" t="s">
        <v>52</v>
      </c>
      <c r="G668">
        <v>0.64300000000000002</v>
      </c>
      <c r="K668" t="s">
        <v>649</v>
      </c>
      <c r="L668" t="s">
        <v>936</v>
      </c>
    </row>
    <row r="669" spans="1:12" x14ac:dyDescent="0.25">
      <c r="A669" t="s">
        <v>411</v>
      </c>
      <c r="B669" t="s">
        <v>341</v>
      </c>
      <c r="D669" t="s">
        <v>836</v>
      </c>
      <c r="E669" t="s">
        <v>709</v>
      </c>
      <c r="F669" t="s">
        <v>41</v>
      </c>
      <c r="G669">
        <v>8.5000000000000006E-2</v>
      </c>
      <c r="K669" t="s">
        <v>13</v>
      </c>
      <c r="L669" t="s">
        <v>936</v>
      </c>
    </row>
    <row r="670" spans="1:12" x14ac:dyDescent="0.25">
      <c r="A670" t="s">
        <v>411</v>
      </c>
      <c r="B670" t="s">
        <v>355</v>
      </c>
      <c r="D670" t="s">
        <v>836</v>
      </c>
      <c r="E670" t="s">
        <v>709</v>
      </c>
      <c r="F670" t="s">
        <v>41</v>
      </c>
      <c r="G670">
        <v>8.7999999999999995E-2</v>
      </c>
      <c r="K670" t="s">
        <v>13</v>
      </c>
      <c r="L670" t="s">
        <v>936</v>
      </c>
    </row>
    <row r="671" spans="1:12" x14ac:dyDescent="0.25">
      <c r="A671" t="s">
        <v>411</v>
      </c>
      <c r="B671" t="s">
        <v>501</v>
      </c>
      <c r="D671" t="s">
        <v>836</v>
      </c>
      <c r="E671" t="s">
        <v>709</v>
      </c>
      <c r="F671" t="s">
        <v>41</v>
      </c>
      <c r="G671">
        <v>8.5999999999999993E-2</v>
      </c>
      <c r="K671" t="s">
        <v>13</v>
      </c>
      <c r="L671" t="s">
        <v>936</v>
      </c>
    </row>
    <row r="672" spans="1:12" x14ac:dyDescent="0.25">
      <c r="A672" t="s">
        <v>411</v>
      </c>
      <c r="B672" t="s">
        <v>502</v>
      </c>
      <c r="D672" t="s">
        <v>836</v>
      </c>
      <c r="E672" t="s">
        <v>709</v>
      </c>
      <c r="F672" t="s">
        <v>41</v>
      </c>
      <c r="G672">
        <v>7.3999999999999996E-2</v>
      </c>
      <c r="K672" t="s">
        <v>13</v>
      </c>
      <c r="L672" t="s">
        <v>936</v>
      </c>
    </row>
    <row r="673" spans="1:12" x14ac:dyDescent="0.25">
      <c r="A673" t="s">
        <v>411</v>
      </c>
      <c r="B673" t="s">
        <v>503</v>
      </c>
      <c r="D673" t="s">
        <v>836</v>
      </c>
      <c r="E673" t="s">
        <v>709</v>
      </c>
      <c r="F673" t="s">
        <v>41</v>
      </c>
      <c r="G673">
        <v>7.1999999999999995E-2</v>
      </c>
      <c r="K673" t="s">
        <v>13</v>
      </c>
      <c r="L673" t="s">
        <v>936</v>
      </c>
    </row>
    <row r="674" spans="1:12" x14ac:dyDescent="0.25">
      <c r="A674" t="s">
        <v>411</v>
      </c>
      <c r="B674" t="s">
        <v>504</v>
      </c>
      <c r="D674" t="s">
        <v>836</v>
      </c>
      <c r="E674" t="s">
        <v>709</v>
      </c>
      <c r="F674" t="s">
        <v>41</v>
      </c>
      <c r="G674">
        <v>0.65500000000000003</v>
      </c>
      <c r="K674" t="s">
        <v>649</v>
      </c>
      <c r="L674" t="s">
        <v>936</v>
      </c>
    </row>
    <row r="675" spans="1:12" x14ac:dyDescent="0.25">
      <c r="A675" t="s">
        <v>411</v>
      </c>
      <c r="B675" t="s">
        <v>505</v>
      </c>
      <c r="D675" t="s">
        <v>836</v>
      </c>
      <c r="E675" t="s">
        <v>709</v>
      </c>
      <c r="F675" t="s">
        <v>41</v>
      </c>
      <c r="G675">
        <v>0.66900000000000004</v>
      </c>
      <c r="K675" t="s">
        <v>649</v>
      </c>
      <c r="L675" t="s">
        <v>936</v>
      </c>
    </row>
    <row r="676" spans="1:12" x14ac:dyDescent="0.25">
      <c r="A676" t="s">
        <v>411</v>
      </c>
      <c r="B676" t="s">
        <v>506</v>
      </c>
      <c r="D676" t="s">
        <v>836</v>
      </c>
      <c r="E676" t="s">
        <v>709</v>
      </c>
      <c r="F676" t="s">
        <v>41</v>
      </c>
      <c r="G676">
        <v>0.64</v>
      </c>
      <c r="K676" t="s">
        <v>649</v>
      </c>
      <c r="L676" t="s">
        <v>936</v>
      </c>
    </row>
    <row r="677" spans="1:12" x14ac:dyDescent="0.25">
      <c r="A677" t="s">
        <v>411</v>
      </c>
      <c r="B677" t="s">
        <v>507</v>
      </c>
      <c r="D677" t="s">
        <v>836</v>
      </c>
      <c r="E677" t="s">
        <v>709</v>
      </c>
      <c r="F677" t="s">
        <v>41</v>
      </c>
      <c r="G677">
        <v>1.2869999999999999</v>
      </c>
      <c r="K677" t="s">
        <v>649</v>
      </c>
      <c r="L677" t="s">
        <v>936</v>
      </c>
    </row>
    <row r="678" spans="1:12" x14ac:dyDescent="0.25">
      <c r="A678" t="s">
        <v>411</v>
      </c>
      <c r="B678" t="s">
        <v>508</v>
      </c>
      <c r="D678" t="s">
        <v>836</v>
      </c>
      <c r="E678" t="s">
        <v>709</v>
      </c>
      <c r="F678" t="s">
        <v>41</v>
      </c>
      <c r="G678">
        <v>0.66100000000000003</v>
      </c>
      <c r="K678" t="s">
        <v>649</v>
      </c>
      <c r="L678" t="s">
        <v>936</v>
      </c>
    </row>
    <row r="679" spans="1:12" x14ac:dyDescent="0.25">
      <c r="A679" t="s">
        <v>411</v>
      </c>
      <c r="B679" t="s">
        <v>509</v>
      </c>
      <c r="D679" t="s">
        <v>836</v>
      </c>
      <c r="E679" t="s">
        <v>709</v>
      </c>
      <c r="F679" t="s">
        <v>41</v>
      </c>
      <c r="G679">
        <v>0.71099999999999997</v>
      </c>
      <c r="K679" t="s">
        <v>649</v>
      </c>
      <c r="L679" t="s">
        <v>936</v>
      </c>
    </row>
    <row r="680" spans="1:12" x14ac:dyDescent="0.25">
      <c r="A680" t="s">
        <v>411</v>
      </c>
      <c r="B680" t="s">
        <v>510</v>
      </c>
      <c r="D680" t="s">
        <v>836</v>
      </c>
      <c r="E680" t="s">
        <v>709</v>
      </c>
      <c r="F680" t="s">
        <v>41</v>
      </c>
      <c r="G680">
        <v>0.57199999999999995</v>
      </c>
      <c r="K680" t="s">
        <v>649</v>
      </c>
      <c r="L680" t="s">
        <v>936</v>
      </c>
    </row>
    <row r="681" spans="1:12" x14ac:dyDescent="0.25">
      <c r="A681" t="s">
        <v>411</v>
      </c>
      <c r="B681" t="s">
        <v>511</v>
      </c>
      <c r="D681" t="s">
        <v>836</v>
      </c>
      <c r="E681" t="s">
        <v>709</v>
      </c>
      <c r="F681" t="s">
        <v>52</v>
      </c>
      <c r="G681">
        <v>0.59199999999999997</v>
      </c>
      <c r="K681" t="s">
        <v>649</v>
      </c>
      <c r="L681" t="s">
        <v>936</v>
      </c>
    </row>
    <row r="682" spans="1:12" x14ac:dyDescent="0.25">
      <c r="A682" t="s">
        <v>411</v>
      </c>
      <c r="B682" t="s">
        <v>512</v>
      </c>
      <c r="D682" t="s">
        <v>836</v>
      </c>
      <c r="E682" t="s">
        <v>709</v>
      </c>
      <c r="F682" t="s">
        <v>52</v>
      </c>
      <c r="G682">
        <v>1.518</v>
      </c>
      <c r="K682" t="s">
        <v>649</v>
      </c>
      <c r="L682" t="s">
        <v>936</v>
      </c>
    </row>
    <row r="683" spans="1:12" x14ac:dyDescent="0.25">
      <c r="A683" t="s">
        <v>411</v>
      </c>
      <c r="B683" t="s">
        <v>1085</v>
      </c>
      <c r="D683" t="s">
        <v>836</v>
      </c>
      <c r="E683" t="s">
        <v>709</v>
      </c>
      <c r="F683" t="s">
        <v>41</v>
      </c>
      <c r="G683">
        <v>8.0000000000000002E-3</v>
      </c>
      <c r="K683" t="s">
        <v>13</v>
      </c>
      <c r="L683" t="s">
        <v>936</v>
      </c>
    </row>
    <row r="684" spans="1:12" x14ac:dyDescent="0.25">
      <c r="A684" t="s">
        <v>411</v>
      </c>
      <c r="B684" t="s">
        <v>1086</v>
      </c>
      <c r="D684" t="s">
        <v>836</v>
      </c>
      <c r="E684" t="s">
        <v>709</v>
      </c>
      <c r="F684" t="s">
        <v>41</v>
      </c>
      <c r="G684">
        <v>1.4999999999999999E-2</v>
      </c>
      <c r="K684" t="s">
        <v>13</v>
      </c>
      <c r="L684" t="s">
        <v>936</v>
      </c>
    </row>
    <row r="685" spans="1:12" x14ac:dyDescent="0.25">
      <c r="A685" t="s">
        <v>411</v>
      </c>
      <c r="B685" t="s">
        <v>1087</v>
      </c>
      <c r="D685" t="s">
        <v>836</v>
      </c>
      <c r="E685" t="s">
        <v>709</v>
      </c>
      <c r="F685" t="s">
        <v>41</v>
      </c>
      <c r="G685">
        <v>1.4999999999999999E-2</v>
      </c>
      <c r="K685" t="s">
        <v>13</v>
      </c>
      <c r="L685" t="s">
        <v>936</v>
      </c>
    </row>
    <row r="686" spans="1:12" x14ac:dyDescent="0.25">
      <c r="A686" t="s">
        <v>411</v>
      </c>
      <c r="B686" t="s">
        <v>1088</v>
      </c>
      <c r="D686" t="s">
        <v>836</v>
      </c>
      <c r="E686" t="s">
        <v>709</v>
      </c>
      <c r="F686" t="s">
        <v>41</v>
      </c>
      <c r="G686">
        <v>1.4999999999999999E-2</v>
      </c>
      <c r="K686" t="s">
        <v>13</v>
      </c>
      <c r="L686" t="s">
        <v>936</v>
      </c>
    </row>
    <row r="687" spans="1:12" x14ac:dyDescent="0.25">
      <c r="A687" t="s">
        <v>411</v>
      </c>
      <c r="B687" t="s">
        <v>1089</v>
      </c>
      <c r="D687" t="s">
        <v>836</v>
      </c>
      <c r="E687" t="s">
        <v>709</v>
      </c>
      <c r="F687" t="s">
        <v>41</v>
      </c>
      <c r="G687">
        <v>1.4999999999999999E-2</v>
      </c>
      <c r="K687" t="s">
        <v>13</v>
      </c>
      <c r="L687" t="s">
        <v>936</v>
      </c>
    </row>
    <row r="688" spans="1:12" x14ac:dyDescent="0.25">
      <c r="A688" t="s">
        <v>411</v>
      </c>
      <c r="B688" t="s">
        <v>1090</v>
      </c>
      <c r="D688" t="s">
        <v>836</v>
      </c>
      <c r="E688" t="s">
        <v>709</v>
      </c>
      <c r="F688" t="s">
        <v>41</v>
      </c>
      <c r="G688">
        <v>1.4E-2</v>
      </c>
      <c r="K688" t="s">
        <v>13</v>
      </c>
      <c r="L688" t="s">
        <v>936</v>
      </c>
    </row>
    <row r="689" spans="1:12" x14ac:dyDescent="0.25">
      <c r="A689" t="s">
        <v>411</v>
      </c>
      <c r="B689" t="s">
        <v>1091</v>
      </c>
      <c r="D689" t="s">
        <v>836</v>
      </c>
      <c r="E689" t="s">
        <v>709</v>
      </c>
      <c r="F689" t="s">
        <v>41</v>
      </c>
      <c r="G689">
        <v>1.4E-2</v>
      </c>
      <c r="K689" t="s">
        <v>13</v>
      </c>
      <c r="L689" t="s">
        <v>936</v>
      </c>
    </row>
    <row r="690" spans="1:12" x14ac:dyDescent="0.25">
      <c r="A690" t="s">
        <v>411</v>
      </c>
      <c r="B690" t="s">
        <v>1092</v>
      </c>
      <c r="D690" t="s">
        <v>836</v>
      </c>
      <c r="E690" t="s">
        <v>709</v>
      </c>
      <c r="F690" t="s">
        <v>41</v>
      </c>
      <c r="G690">
        <v>1.4E-2</v>
      </c>
      <c r="K690" t="s">
        <v>13</v>
      </c>
      <c r="L690" t="s">
        <v>936</v>
      </c>
    </row>
    <row r="691" spans="1:12" x14ac:dyDescent="0.25">
      <c r="A691" t="s">
        <v>411</v>
      </c>
      <c r="B691" t="s">
        <v>1093</v>
      </c>
      <c r="D691" t="s">
        <v>836</v>
      </c>
      <c r="E691" t="s">
        <v>709</v>
      </c>
      <c r="F691" t="s">
        <v>41</v>
      </c>
      <c r="G691">
        <v>1.4E-2</v>
      </c>
      <c r="K691" t="s">
        <v>13</v>
      </c>
      <c r="L691" t="s">
        <v>936</v>
      </c>
    </row>
    <row r="692" spans="1:12" x14ac:dyDescent="0.25">
      <c r="A692" t="s">
        <v>411</v>
      </c>
      <c r="B692" t="s">
        <v>1094</v>
      </c>
      <c r="D692" t="s">
        <v>836</v>
      </c>
      <c r="E692" t="s">
        <v>709</v>
      </c>
      <c r="F692" t="s">
        <v>41</v>
      </c>
      <c r="G692">
        <v>1.9E-2</v>
      </c>
      <c r="K692" t="s">
        <v>13</v>
      </c>
      <c r="L692" t="s">
        <v>936</v>
      </c>
    </row>
    <row r="693" spans="1:12" x14ac:dyDescent="0.25">
      <c r="A693" t="s">
        <v>411</v>
      </c>
      <c r="B693" t="s">
        <v>1095</v>
      </c>
      <c r="D693" t="s">
        <v>836</v>
      </c>
      <c r="E693" t="s">
        <v>709</v>
      </c>
      <c r="F693" t="s">
        <v>41</v>
      </c>
      <c r="G693">
        <v>1.9E-2</v>
      </c>
      <c r="K693" t="s">
        <v>13</v>
      </c>
      <c r="L693" t="s">
        <v>936</v>
      </c>
    </row>
    <row r="694" spans="1:12" x14ac:dyDescent="0.25">
      <c r="A694" t="s">
        <v>411</v>
      </c>
      <c r="B694" t="s">
        <v>1096</v>
      </c>
      <c r="D694" t="s">
        <v>836</v>
      </c>
      <c r="E694" t="s">
        <v>709</v>
      </c>
      <c r="F694" t="s">
        <v>41</v>
      </c>
      <c r="G694">
        <v>1.9E-2</v>
      </c>
      <c r="K694" t="s">
        <v>13</v>
      </c>
      <c r="L694" t="s">
        <v>936</v>
      </c>
    </row>
    <row r="695" spans="1:12" x14ac:dyDescent="0.25">
      <c r="A695" t="s">
        <v>411</v>
      </c>
      <c r="B695" t="s">
        <v>1097</v>
      </c>
      <c r="D695" t="s">
        <v>836</v>
      </c>
      <c r="E695" t="s">
        <v>709</v>
      </c>
      <c r="F695" t="s">
        <v>41</v>
      </c>
      <c r="G695">
        <v>1.9E-2</v>
      </c>
      <c r="K695" t="s">
        <v>13</v>
      </c>
      <c r="L695" t="s">
        <v>936</v>
      </c>
    </row>
    <row r="696" spans="1:12" x14ac:dyDescent="0.25">
      <c r="A696" t="s">
        <v>411</v>
      </c>
      <c r="B696" t="s">
        <v>1098</v>
      </c>
      <c r="D696" t="s">
        <v>836</v>
      </c>
      <c r="E696" t="s">
        <v>709</v>
      </c>
      <c r="F696" t="s">
        <v>41</v>
      </c>
      <c r="G696">
        <v>1.9E-2</v>
      </c>
      <c r="K696" t="s">
        <v>13</v>
      </c>
      <c r="L696" t="s">
        <v>936</v>
      </c>
    </row>
    <row r="697" spans="1:12" x14ac:dyDescent="0.25">
      <c r="A697" t="s">
        <v>411</v>
      </c>
      <c r="B697" t="s">
        <v>1099</v>
      </c>
      <c r="D697" t="s">
        <v>836</v>
      </c>
      <c r="E697" t="s">
        <v>709</v>
      </c>
      <c r="F697" t="s">
        <v>41</v>
      </c>
      <c r="G697">
        <v>1.9E-2</v>
      </c>
      <c r="K697" t="s">
        <v>13</v>
      </c>
      <c r="L697" t="s">
        <v>936</v>
      </c>
    </row>
    <row r="698" spans="1:12" x14ac:dyDescent="0.25">
      <c r="A698" t="s">
        <v>411</v>
      </c>
      <c r="B698" t="s">
        <v>14</v>
      </c>
      <c r="D698" t="s">
        <v>836</v>
      </c>
      <c r="E698" t="s">
        <v>709</v>
      </c>
      <c r="F698" t="s">
        <v>41</v>
      </c>
      <c r="G698">
        <v>1.4E-2</v>
      </c>
      <c r="K698" t="s">
        <v>13</v>
      </c>
      <c r="L698" t="s">
        <v>936</v>
      </c>
    </row>
    <row r="699" spans="1:12" x14ac:dyDescent="0.25">
      <c r="A699" t="s">
        <v>411</v>
      </c>
      <c r="B699" t="s">
        <v>1003</v>
      </c>
      <c r="D699" t="s">
        <v>836</v>
      </c>
      <c r="E699" t="s">
        <v>709</v>
      </c>
      <c r="F699" t="s">
        <v>41</v>
      </c>
      <c r="G699">
        <v>1.4E-2</v>
      </c>
      <c r="K699" t="s">
        <v>13</v>
      </c>
      <c r="L699" t="s">
        <v>936</v>
      </c>
    </row>
    <row r="700" spans="1:12" x14ac:dyDescent="0.25">
      <c r="A700" t="s">
        <v>411</v>
      </c>
      <c r="B700" t="s">
        <v>1004</v>
      </c>
      <c r="D700" t="s">
        <v>836</v>
      </c>
      <c r="E700" t="s">
        <v>709</v>
      </c>
      <c r="F700" t="s">
        <v>41</v>
      </c>
      <c r="G700">
        <v>1.4E-2</v>
      </c>
      <c r="K700" t="s">
        <v>13</v>
      </c>
      <c r="L700" t="s">
        <v>936</v>
      </c>
    </row>
    <row r="701" spans="1:12" x14ac:dyDescent="0.25">
      <c r="A701" t="s">
        <v>411</v>
      </c>
      <c r="B701" t="s">
        <v>646</v>
      </c>
      <c r="D701" t="s">
        <v>836</v>
      </c>
      <c r="E701" t="s">
        <v>709</v>
      </c>
      <c r="F701" t="s">
        <v>41</v>
      </c>
      <c r="G701">
        <v>1.4E-2</v>
      </c>
      <c r="K701" t="s">
        <v>13</v>
      </c>
      <c r="L701" t="s">
        <v>936</v>
      </c>
    </row>
    <row r="702" spans="1:12" x14ac:dyDescent="0.25">
      <c r="A702" t="s">
        <v>411</v>
      </c>
      <c r="B702" t="s">
        <v>647</v>
      </c>
      <c r="D702" t="s">
        <v>836</v>
      </c>
      <c r="E702" t="s">
        <v>709</v>
      </c>
      <c r="F702" t="s">
        <v>41</v>
      </c>
      <c r="G702">
        <v>1.4E-2</v>
      </c>
      <c r="K702" t="s">
        <v>13</v>
      </c>
      <c r="L702" t="s">
        <v>936</v>
      </c>
    </row>
    <row r="703" spans="1:12" x14ac:dyDescent="0.25">
      <c r="A703" t="s">
        <v>411</v>
      </c>
      <c r="B703" t="s">
        <v>648</v>
      </c>
      <c r="D703" t="s">
        <v>836</v>
      </c>
      <c r="E703" t="s">
        <v>709</v>
      </c>
      <c r="F703" t="s">
        <v>41</v>
      </c>
      <c r="G703">
        <v>1.4E-2</v>
      </c>
      <c r="K703" t="s">
        <v>13</v>
      </c>
      <c r="L703" t="s">
        <v>936</v>
      </c>
    </row>
    <row r="704" spans="1:12" x14ac:dyDescent="0.25">
      <c r="A704" t="s">
        <v>411</v>
      </c>
      <c r="B704" t="s">
        <v>1005</v>
      </c>
      <c r="D704" t="s">
        <v>836</v>
      </c>
      <c r="E704" t="s">
        <v>709</v>
      </c>
      <c r="F704" t="s">
        <v>41</v>
      </c>
      <c r="G704">
        <v>1.4E-2</v>
      </c>
      <c r="K704" t="s">
        <v>13</v>
      </c>
      <c r="L704" t="s">
        <v>936</v>
      </c>
    </row>
    <row r="705" spans="1:12" x14ac:dyDescent="0.25">
      <c r="A705" t="s">
        <v>411</v>
      </c>
      <c r="B705" t="s">
        <v>1006</v>
      </c>
      <c r="D705" t="s">
        <v>836</v>
      </c>
      <c r="E705" t="s">
        <v>709</v>
      </c>
      <c r="F705" t="s">
        <v>41</v>
      </c>
      <c r="G705">
        <v>1.4E-2</v>
      </c>
      <c r="K705" t="s">
        <v>13</v>
      </c>
      <c r="L705" t="s">
        <v>936</v>
      </c>
    </row>
    <row r="706" spans="1:12" x14ac:dyDescent="0.25">
      <c r="A706" t="s">
        <v>411</v>
      </c>
      <c r="B706" t="s">
        <v>1100</v>
      </c>
      <c r="D706" t="s">
        <v>836</v>
      </c>
      <c r="E706" t="s">
        <v>709</v>
      </c>
      <c r="F706" t="s">
        <v>41</v>
      </c>
      <c r="G706">
        <v>1.4E-2</v>
      </c>
      <c r="K706" t="s">
        <v>13</v>
      </c>
      <c r="L706" t="s">
        <v>936</v>
      </c>
    </row>
    <row r="707" spans="1:12" x14ac:dyDescent="0.25">
      <c r="A707" t="s">
        <v>411</v>
      </c>
      <c r="B707" t="s">
        <v>1101</v>
      </c>
      <c r="D707" t="s">
        <v>836</v>
      </c>
      <c r="E707" t="s">
        <v>709</v>
      </c>
      <c r="F707" t="s">
        <v>41</v>
      </c>
      <c r="G707">
        <v>1.4E-2</v>
      </c>
      <c r="K707" t="s">
        <v>13</v>
      </c>
      <c r="L707" t="s">
        <v>936</v>
      </c>
    </row>
    <row r="708" spans="1:12" x14ac:dyDescent="0.25">
      <c r="A708" t="s">
        <v>411</v>
      </c>
      <c r="B708" t="s">
        <v>1102</v>
      </c>
      <c r="D708" t="s">
        <v>836</v>
      </c>
      <c r="E708" t="s">
        <v>709</v>
      </c>
      <c r="F708" t="s">
        <v>41</v>
      </c>
      <c r="G708">
        <v>1.4E-2</v>
      </c>
      <c r="K708" t="s">
        <v>13</v>
      </c>
      <c r="L708" t="s">
        <v>936</v>
      </c>
    </row>
    <row r="709" spans="1:12" x14ac:dyDescent="0.25">
      <c r="A709" t="s">
        <v>411</v>
      </c>
      <c r="B709" t="s">
        <v>1103</v>
      </c>
      <c r="D709" t="s">
        <v>836</v>
      </c>
      <c r="E709" t="s">
        <v>709</v>
      </c>
      <c r="F709" t="s">
        <v>41</v>
      </c>
      <c r="G709">
        <v>1.4E-2</v>
      </c>
      <c r="K709" t="s">
        <v>13</v>
      </c>
      <c r="L709" t="s">
        <v>936</v>
      </c>
    </row>
    <row r="710" spans="1:12" x14ac:dyDescent="0.25">
      <c r="A710" t="s">
        <v>411</v>
      </c>
      <c r="B710" t="s">
        <v>1104</v>
      </c>
      <c r="D710" t="s">
        <v>836</v>
      </c>
      <c r="E710" t="s">
        <v>709</v>
      </c>
      <c r="F710" t="s">
        <v>41</v>
      </c>
      <c r="G710">
        <v>1.4E-2</v>
      </c>
      <c r="K710" t="s">
        <v>13</v>
      </c>
      <c r="L710" t="s">
        <v>936</v>
      </c>
    </row>
    <row r="711" spans="1:12" x14ac:dyDescent="0.25">
      <c r="A711" t="s">
        <v>411</v>
      </c>
      <c r="B711" t="s">
        <v>1105</v>
      </c>
      <c r="D711" t="s">
        <v>836</v>
      </c>
      <c r="E711" t="s">
        <v>709</v>
      </c>
      <c r="F711" t="s">
        <v>41</v>
      </c>
      <c r="G711">
        <v>1.4E-2</v>
      </c>
      <c r="K711" t="s">
        <v>13</v>
      </c>
      <c r="L711" t="s">
        <v>936</v>
      </c>
    </row>
    <row r="712" spans="1:12" x14ac:dyDescent="0.25">
      <c r="A712" t="s">
        <v>411</v>
      </c>
      <c r="B712" t="s">
        <v>1106</v>
      </c>
      <c r="D712" t="s">
        <v>836</v>
      </c>
      <c r="E712" t="s">
        <v>709</v>
      </c>
      <c r="F712" t="s">
        <v>41</v>
      </c>
      <c r="G712">
        <v>1.4E-2</v>
      </c>
      <c r="K712" t="s">
        <v>13</v>
      </c>
      <c r="L712" t="s">
        <v>936</v>
      </c>
    </row>
    <row r="713" spans="1:12" x14ac:dyDescent="0.25">
      <c r="A713" t="s">
        <v>411</v>
      </c>
      <c r="B713" t="s">
        <v>1107</v>
      </c>
      <c r="D713" t="s">
        <v>836</v>
      </c>
      <c r="E713" t="s">
        <v>709</v>
      </c>
      <c r="F713" t="s">
        <v>41</v>
      </c>
      <c r="G713">
        <v>1.4E-2</v>
      </c>
      <c r="K713" t="s">
        <v>13</v>
      </c>
      <c r="L713" t="s">
        <v>936</v>
      </c>
    </row>
    <row r="714" spans="1:12" x14ac:dyDescent="0.25">
      <c r="A714" t="s">
        <v>411</v>
      </c>
      <c r="B714" t="s">
        <v>1108</v>
      </c>
      <c r="D714" t="s">
        <v>836</v>
      </c>
      <c r="E714" t="s">
        <v>709</v>
      </c>
      <c r="F714" t="s">
        <v>41</v>
      </c>
      <c r="G714">
        <v>1.4E-2</v>
      </c>
      <c r="K714" t="s">
        <v>13</v>
      </c>
      <c r="L714" t="s">
        <v>936</v>
      </c>
    </row>
    <row r="715" spans="1:12" x14ac:dyDescent="0.25">
      <c r="A715" t="s">
        <v>411</v>
      </c>
      <c r="B715" t="s">
        <v>11</v>
      </c>
      <c r="D715" t="s">
        <v>836</v>
      </c>
      <c r="E715" t="s">
        <v>709</v>
      </c>
      <c r="F715" t="s">
        <v>41</v>
      </c>
      <c r="G715">
        <v>1.4999999999999999E-2</v>
      </c>
      <c r="K715" t="s">
        <v>13</v>
      </c>
      <c r="L715" t="s">
        <v>936</v>
      </c>
    </row>
    <row r="716" spans="1:12" x14ac:dyDescent="0.25">
      <c r="A716" t="s">
        <v>411</v>
      </c>
      <c r="B716" t="s">
        <v>16</v>
      </c>
      <c r="D716" t="s">
        <v>836</v>
      </c>
      <c r="E716" t="s">
        <v>709</v>
      </c>
      <c r="F716" t="s">
        <v>41</v>
      </c>
      <c r="G716">
        <v>1.4999999999999999E-2</v>
      </c>
      <c r="K716" t="s">
        <v>13</v>
      </c>
      <c r="L716" t="s">
        <v>936</v>
      </c>
    </row>
    <row r="717" spans="1:12" x14ac:dyDescent="0.25">
      <c r="A717" t="s">
        <v>411</v>
      </c>
      <c r="B717" t="s">
        <v>1109</v>
      </c>
      <c r="D717" t="s">
        <v>836</v>
      </c>
      <c r="E717" t="s">
        <v>709</v>
      </c>
      <c r="F717" t="s">
        <v>41</v>
      </c>
      <c r="G717">
        <v>1.4999999999999999E-2</v>
      </c>
      <c r="K717" t="s">
        <v>13</v>
      </c>
      <c r="L717" t="s">
        <v>936</v>
      </c>
    </row>
    <row r="718" spans="1:12" x14ac:dyDescent="0.25">
      <c r="A718" t="s">
        <v>411</v>
      </c>
      <c r="B718" t="s">
        <v>1110</v>
      </c>
      <c r="D718" t="s">
        <v>836</v>
      </c>
      <c r="E718" t="s">
        <v>709</v>
      </c>
      <c r="F718" t="s">
        <v>41</v>
      </c>
      <c r="G718">
        <v>1.4999999999999999E-2</v>
      </c>
      <c r="K718" t="s">
        <v>13</v>
      </c>
      <c r="L718" t="s">
        <v>936</v>
      </c>
    </row>
    <row r="719" spans="1:12" x14ac:dyDescent="0.25">
      <c r="A719" t="s">
        <v>411</v>
      </c>
      <c r="B719" t="s">
        <v>1111</v>
      </c>
      <c r="D719" t="s">
        <v>836</v>
      </c>
      <c r="E719" t="s">
        <v>709</v>
      </c>
      <c r="F719" t="s">
        <v>41</v>
      </c>
      <c r="G719">
        <v>1.4999999999999999E-2</v>
      </c>
      <c r="K719" t="s">
        <v>13</v>
      </c>
      <c r="L719" t="s">
        <v>936</v>
      </c>
    </row>
    <row r="720" spans="1:12" x14ac:dyDescent="0.25">
      <c r="A720" t="s">
        <v>411</v>
      </c>
      <c r="B720" t="s">
        <v>1112</v>
      </c>
      <c r="D720" t="s">
        <v>836</v>
      </c>
      <c r="E720" t="s">
        <v>709</v>
      </c>
      <c r="F720" t="s">
        <v>41</v>
      </c>
      <c r="G720">
        <v>1.4999999999999999E-2</v>
      </c>
      <c r="K720" t="s">
        <v>13</v>
      </c>
      <c r="L720" t="s">
        <v>936</v>
      </c>
    </row>
    <row r="721" spans="1:12" x14ac:dyDescent="0.25">
      <c r="A721" t="s">
        <v>411</v>
      </c>
      <c r="B721" t="s">
        <v>1113</v>
      </c>
      <c r="D721" t="s">
        <v>836</v>
      </c>
      <c r="E721" t="s">
        <v>709</v>
      </c>
      <c r="F721" t="s">
        <v>41</v>
      </c>
      <c r="G721">
        <v>1.4999999999999999E-2</v>
      </c>
      <c r="K721" t="s">
        <v>13</v>
      </c>
      <c r="L721" t="s">
        <v>936</v>
      </c>
    </row>
    <row r="722" spans="1:12" x14ac:dyDescent="0.25">
      <c r="A722" t="s">
        <v>411</v>
      </c>
      <c r="B722" t="s">
        <v>1114</v>
      </c>
      <c r="D722" t="s">
        <v>836</v>
      </c>
      <c r="E722" t="s">
        <v>709</v>
      </c>
      <c r="F722" t="s">
        <v>41</v>
      </c>
      <c r="G722">
        <v>1.4999999999999999E-2</v>
      </c>
      <c r="K722" t="s">
        <v>13</v>
      </c>
      <c r="L722" t="s">
        <v>936</v>
      </c>
    </row>
    <row r="723" spans="1:12" x14ac:dyDescent="0.25">
      <c r="A723" t="s">
        <v>411</v>
      </c>
      <c r="B723" t="s">
        <v>1115</v>
      </c>
      <c r="D723" t="s">
        <v>836</v>
      </c>
      <c r="E723" t="s">
        <v>709</v>
      </c>
      <c r="F723" t="s">
        <v>41</v>
      </c>
      <c r="G723">
        <v>1.4999999999999999E-2</v>
      </c>
      <c r="K723" t="s">
        <v>13</v>
      </c>
      <c r="L723" t="s">
        <v>936</v>
      </c>
    </row>
    <row r="724" spans="1:12" x14ac:dyDescent="0.25">
      <c r="A724" t="s">
        <v>411</v>
      </c>
      <c r="B724" t="s">
        <v>1116</v>
      </c>
      <c r="D724" t="s">
        <v>836</v>
      </c>
      <c r="E724" t="s">
        <v>709</v>
      </c>
      <c r="F724" t="s">
        <v>41</v>
      </c>
      <c r="G724">
        <v>1.4999999999999999E-2</v>
      </c>
      <c r="K724" t="s">
        <v>13</v>
      </c>
      <c r="L724" t="s">
        <v>936</v>
      </c>
    </row>
    <row r="725" spans="1:12" x14ac:dyDescent="0.25">
      <c r="A725" t="s">
        <v>411</v>
      </c>
      <c r="B725" t="s">
        <v>1117</v>
      </c>
      <c r="D725" t="s">
        <v>836</v>
      </c>
      <c r="E725" t="s">
        <v>709</v>
      </c>
      <c r="F725" t="s">
        <v>41</v>
      </c>
      <c r="G725">
        <v>1.4999999999999999E-2</v>
      </c>
      <c r="K725" t="s">
        <v>13</v>
      </c>
      <c r="L725" t="s">
        <v>936</v>
      </c>
    </row>
    <row r="726" spans="1:12" x14ac:dyDescent="0.25">
      <c r="A726" t="s">
        <v>411</v>
      </c>
      <c r="B726" t="s">
        <v>1118</v>
      </c>
      <c r="D726" t="s">
        <v>836</v>
      </c>
      <c r="E726" t="s">
        <v>709</v>
      </c>
      <c r="F726" t="s">
        <v>41</v>
      </c>
      <c r="G726">
        <v>1.4999999999999999E-2</v>
      </c>
      <c r="K726" t="s">
        <v>13</v>
      </c>
      <c r="L726" t="s">
        <v>936</v>
      </c>
    </row>
    <row r="727" spans="1:12" x14ac:dyDescent="0.25">
      <c r="A727" t="s">
        <v>411</v>
      </c>
      <c r="B727" t="s">
        <v>1119</v>
      </c>
      <c r="D727" t="s">
        <v>836</v>
      </c>
      <c r="E727" t="s">
        <v>709</v>
      </c>
      <c r="F727" t="s">
        <v>41</v>
      </c>
      <c r="G727">
        <v>6.0000000000000001E-3</v>
      </c>
      <c r="K727" t="s">
        <v>13</v>
      </c>
      <c r="L727" t="s">
        <v>936</v>
      </c>
    </row>
    <row r="728" spans="1:12" x14ac:dyDescent="0.25">
      <c r="A728" t="s">
        <v>411</v>
      </c>
      <c r="B728" t="s">
        <v>1120</v>
      </c>
      <c r="D728" t="s">
        <v>836</v>
      </c>
      <c r="E728" t="s">
        <v>709</v>
      </c>
      <c r="F728" t="s">
        <v>41</v>
      </c>
      <c r="G728">
        <v>4.0000000000000001E-3</v>
      </c>
      <c r="K728" t="s">
        <v>13</v>
      </c>
      <c r="L728" t="s">
        <v>936</v>
      </c>
    </row>
    <row r="729" spans="1:12" x14ac:dyDescent="0.25">
      <c r="A729" t="s">
        <v>411</v>
      </c>
      <c r="B729" t="s">
        <v>1121</v>
      </c>
      <c r="D729" t="s">
        <v>836</v>
      </c>
      <c r="E729" t="s">
        <v>709</v>
      </c>
      <c r="F729" t="s">
        <v>41</v>
      </c>
      <c r="G729">
        <v>7.0000000000000001E-3</v>
      </c>
      <c r="K729" t="s">
        <v>13</v>
      </c>
      <c r="L729" t="s">
        <v>936</v>
      </c>
    </row>
    <row r="730" spans="1:12" x14ac:dyDescent="0.25">
      <c r="A730" t="s">
        <v>411</v>
      </c>
      <c r="B730" t="s">
        <v>1122</v>
      </c>
      <c r="D730" t="s">
        <v>836</v>
      </c>
      <c r="F730" t="s">
        <v>41</v>
      </c>
      <c r="G730">
        <v>1.2E-2</v>
      </c>
      <c r="K730" t="s">
        <v>13</v>
      </c>
      <c r="L730" t="s">
        <v>936</v>
      </c>
    </row>
    <row r="731" spans="1:12" x14ac:dyDescent="0.25">
      <c r="A731" t="s">
        <v>411</v>
      </c>
      <c r="B731" t="s">
        <v>1123</v>
      </c>
      <c r="D731" t="s">
        <v>836</v>
      </c>
      <c r="E731" t="s">
        <v>709</v>
      </c>
      <c r="F731" t="s">
        <v>41</v>
      </c>
      <c r="G731">
        <v>1.4E-2</v>
      </c>
      <c r="K731" t="s">
        <v>13</v>
      </c>
      <c r="L731" t="s">
        <v>936</v>
      </c>
    </row>
    <row r="732" spans="1:12" x14ac:dyDescent="0.25">
      <c r="A732" t="s">
        <v>411</v>
      </c>
      <c r="B732" t="s">
        <v>1124</v>
      </c>
      <c r="D732" t="s">
        <v>836</v>
      </c>
      <c r="E732" t="s">
        <v>709</v>
      </c>
      <c r="F732" t="s">
        <v>41</v>
      </c>
      <c r="G732">
        <v>1.4E-2</v>
      </c>
      <c r="K732" t="s">
        <v>13</v>
      </c>
      <c r="L732" t="s">
        <v>936</v>
      </c>
    </row>
    <row r="733" spans="1:12" x14ac:dyDescent="0.25">
      <c r="A733" t="s">
        <v>411</v>
      </c>
      <c r="B733" t="s">
        <v>1125</v>
      </c>
      <c r="D733" t="s">
        <v>836</v>
      </c>
      <c r="E733" t="s">
        <v>709</v>
      </c>
      <c r="F733" t="s">
        <v>41</v>
      </c>
      <c r="G733">
        <v>1.4E-2</v>
      </c>
      <c r="K733" t="s">
        <v>13</v>
      </c>
      <c r="L733" t="s">
        <v>936</v>
      </c>
    </row>
    <row r="734" spans="1:12" x14ac:dyDescent="0.25">
      <c r="A734" t="s">
        <v>411</v>
      </c>
      <c r="B734" t="s">
        <v>1126</v>
      </c>
      <c r="D734" t="s">
        <v>836</v>
      </c>
      <c r="E734" t="s">
        <v>709</v>
      </c>
      <c r="F734" t="s">
        <v>41</v>
      </c>
      <c r="G734">
        <v>6.0000000000000001E-3</v>
      </c>
      <c r="K734" t="s">
        <v>13</v>
      </c>
      <c r="L734" t="s">
        <v>936</v>
      </c>
    </row>
    <row r="735" spans="1:12" x14ac:dyDescent="0.25">
      <c r="A735" t="s">
        <v>411</v>
      </c>
      <c r="B735" t="s">
        <v>1127</v>
      </c>
      <c r="D735" t="s">
        <v>836</v>
      </c>
      <c r="E735" t="s">
        <v>709</v>
      </c>
      <c r="F735" t="s">
        <v>41</v>
      </c>
      <c r="G735">
        <v>1.0999999999999999E-2</v>
      </c>
      <c r="K735" t="s">
        <v>13</v>
      </c>
      <c r="L735" t="s">
        <v>936</v>
      </c>
    </row>
    <row r="736" spans="1:12" x14ac:dyDescent="0.25">
      <c r="A736" t="s">
        <v>411</v>
      </c>
      <c r="B736" t="s">
        <v>1128</v>
      </c>
      <c r="D736" t="s">
        <v>836</v>
      </c>
      <c r="E736" t="s">
        <v>709</v>
      </c>
      <c r="F736" t="s">
        <v>41</v>
      </c>
      <c r="G736">
        <v>1.0999999999999999E-2</v>
      </c>
      <c r="K736" t="s">
        <v>13</v>
      </c>
      <c r="L736" t="s">
        <v>936</v>
      </c>
    </row>
    <row r="737" spans="1:12" x14ac:dyDescent="0.25">
      <c r="A737" t="s">
        <v>411</v>
      </c>
      <c r="B737" t="s">
        <v>423</v>
      </c>
      <c r="D737" t="s">
        <v>836</v>
      </c>
      <c r="E737" t="s">
        <v>709</v>
      </c>
      <c r="F737" t="s">
        <v>41</v>
      </c>
      <c r="G737">
        <v>1.2999999999999999E-2</v>
      </c>
      <c r="K737" t="s">
        <v>13</v>
      </c>
      <c r="L737" t="s">
        <v>936</v>
      </c>
    </row>
    <row r="738" spans="1:12" x14ac:dyDescent="0.25">
      <c r="A738" t="s">
        <v>411</v>
      </c>
      <c r="B738" t="s">
        <v>416</v>
      </c>
      <c r="D738" t="s">
        <v>836</v>
      </c>
      <c r="E738" t="s">
        <v>709</v>
      </c>
      <c r="F738" t="s">
        <v>41</v>
      </c>
      <c r="G738">
        <v>1.2999999999999999E-2</v>
      </c>
      <c r="K738" t="s">
        <v>13</v>
      </c>
      <c r="L738" t="s">
        <v>936</v>
      </c>
    </row>
    <row r="739" spans="1:12" x14ac:dyDescent="0.25">
      <c r="A739" t="s">
        <v>411</v>
      </c>
      <c r="B739" t="s">
        <v>422</v>
      </c>
      <c r="D739" t="s">
        <v>836</v>
      </c>
      <c r="E739" t="s">
        <v>709</v>
      </c>
      <c r="F739" t="s">
        <v>41</v>
      </c>
      <c r="G739">
        <v>1.2999999999999999E-2</v>
      </c>
      <c r="K739" t="s">
        <v>13</v>
      </c>
      <c r="L739" t="s">
        <v>936</v>
      </c>
    </row>
    <row r="740" spans="1:12" x14ac:dyDescent="0.25">
      <c r="A740" t="s">
        <v>411</v>
      </c>
      <c r="B740" t="s">
        <v>417</v>
      </c>
      <c r="D740" t="s">
        <v>836</v>
      </c>
      <c r="E740" t="s">
        <v>709</v>
      </c>
      <c r="F740" t="s">
        <v>41</v>
      </c>
      <c r="G740">
        <v>1.2999999999999999E-2</v>
      </c>
      <c r="K740" t="s">
        <v>13</v>
      </c>
      <c r="L740" t="s">
        <v>936</v>
      </c>
    </row>
    <row r="741" spans="1:12" x14ac:dyDescent="0.25">
      <c r="A741" t="s">
        <v>411</v>
      </c>
      <c r="B741" t="s">
        <v>421</v>
      </c>
      <c r="D741" t="s">
        <v>836</v>
      </c>
      <c r="E741" t="s">
        <v>709</v>
      </c>
      <c r="F741" t="s">
        <v>41</v>
      </c>
      <c r="G741">
        <v>1.2999999999999999E-2</v>
      </c>
      <c r="K741" t="s">
        <v>13</v>
      </c>
      <c r="L741" t="s">
        <v>936</v>
      </c>
    </row>
    <row r="742" spans="1:12" x14ac:dyDescent="0.25">
      <c r="A742" t="s">
        <v>411</v>
      </c>
      <c r="B742" t="s">
        <v>418</v>
      </c>
      <c r="D742" t="s">
        <v>836</v>
      </c>
      <c r="E742" t="s">
        <v>709</v>
      </c>
      <c r="F742" t="s">
        <v>41</v>
      </c>
      <c r="G742">
        <v>1.2999999999999999E-2</v>
      </c>
      <c r="K742" t="s">
        <v>13</v>
      </c>
      <c r="L742" t="s">
        <v>936</v>
      </c>
    </row>
    <row r="743" spans="1:12" x14ac:dyDescent="0.25">
      <c r="A743" t="s">
        <v>411</v>
      </c>
      <c r="B743" t="s">
        <v>420</v>
      </c>
      <c r="D743" t="s">
        <v>836</v>
      </c>
      <c r="E743" t="s">
        <v>709</v>
      </c>
      <c r="F743" t="s">
        <v>41</v>
      </c>
      <c r="G743">
        <v>1.2999999999999999E-2</v>
      </c>
      <c r="K743" t="s">
        <v>13</v>
      </c>
      <c r="L743" t="s">
        <v>936</v>
      </c>
    </row>
    <row r="744" spans="1:12" x14ac:dyDescent="0.25">
      <c r="A744" t="s">
        <v>411</v>
      </c>
      <c r="B744" t="s">
        <v>419</v>
      </c>
      <c r="D744" t="s">
        <v>836</v>
      </c>
      <c r="E744" t="s">
        <v>709</v>
      </c>
      <c r="F744" t="s">
        <v>41</v>
      </c>
      <c r="G744">
        <v>1.2999999999999999E-2</v>
      </c>
      <c r="K744" t="s">
        <v>13</v>
      </c>
      <c r="L744" t="s">
        <v>936</v>
      </c>
    </row>
    <row r="745" spans="1:12" x14ac:dyDescent="0.25">
      <c r="A745" t="s">
        <v>411</v>
      </c>
      <c r="B745" t="s">
        <v>1129</v>
      </c>
      <c r="D745" t="s">
        <v>836</v>
      </c>
      <c r="E745" t="s">
        <v>709</v>
      </c>
      <c r="F745" t="s">
        <v>41</v>
      </c>
      <c r="G745">
        <v>1.2999999999999999E-2</v>
      </c>
      <c r="K745" t="s">
        <v>13</v>
      </c>
      <c r="L745" t="s">
        <v>936</v>
      </c>
    </row>
    <row r="746" spans="1:12" x14ac:dyDescent="0.25">
      <c r="A746" t="s">
        <v>411</v>
      </c>
      <c r="B746" t="s">
        <v>1130</v>
      </c>
      <c r="D746" t="s">
        <v>836</v>
      </c>
      <c r="E746" t="s">
        <v>709</v>
      </c>
      <c r="F746" t="s">
        <v>41</v>
      </c>
      <c r="G746">
        <v>1.2999999999999999E-2</v>
      </c>
      <c r="K746" t="s">
        <v>13</v>
      </c>
      <c r="L746" t="s">
        <v>936</v>
      </c>
    </row>
    <row r="747" spans="1:12" x14ac:dyDescent="0.25">
      <c r="A747" t="s">
        <v>411</v>
      </c>
      <c r="B747" t="s">
        <v>1131</v>
      </c>
      <c r="D747" t="s">
        <v>836</v>
      </c>
      <c r="E747" t="s">
        <v>709</v>
      </c>
      <c r="F747" t="s">
        <v>41</v>
      </c>
      <c r="G747">
        <v>8.9999999999999993E-3</v>
      </c>
      <c r="K747" t="s">
        <v>13</v>
      </c>
      <c r="L747" t="s">
        <v>936</v>
      </c>
    </row>
    <row r="748" spans="1:12" x14ac:dyDescent="0.25">
      <c r="A748" t="s">
        <v>411</v>
      </c>
      <c r="B748" t="s">
        <v>1132</v>
      </c>
      <c r="D748" t="s">
        <v>836</v>
      </c>
      <c r="E748" t="s">
        <v>709</v>
      </c>
      <c r="F748" t="s">
        <v>41</v>
      </c>
      <c r="G748">
        <v>5.0000000000000001E-3</v>
      </c>
      <c r="K748" t="s">
        <v>13</v>
      </c>
      <c r="L748" t="s">
        <v>936</v>
      </c>
    </row>
    <row r="749" spans="1:12" x14ac:dyDescent="0.25">
      <c r="A749" t="s">
        <v>990</v>
      </c>
      <c r="B749" t="s">
        <v>899</v>
      </c>
      <c r="D749" t="s">
        <v>836</v>
      </c>
      <c r="E749" t="s">
        <v>709</v>
      </c>
      <c r="F749" t="s">
        <v>837</v>
      </c>
      <c r="G749">
        <v>0.13500000000000001</v>
      </c>
      <c r="K749" t="s">
        <v>649</v>
      </c>
      <c r="L749" t="s">
        <v>936</v>
      </c>
    </row>
    <row r="750" spans="1:12" x14ac:dyDescent="0.25">
      <c r="A750" t="s">
        <v>990</v>
      </c>
      <c r="B750" t="s">
        <v>393</v>
      </c>
      <c r="D750" t="s">
        <v>836</v>
      </c>
      <c r="E750" t="s">
        <v>709</v>
      </c>
      <c r="F750" t="s">
        <v>837</v>
      </c>
      <c r="G750">
        <v>0.13</v>
      </c>
      <c r="K750" t="s">
        <v>649</v>
      </c>
      <c r="L750" t="s">
        <v>936</v>
      </c>
    </row>
    <row r="751" spans="1:12" x14ac:dyDescent="0.25">
      <c r="A751" t="s">
        <v>990</v>
      </c>
      <c r="B751" t="s">
        <v>991</v>
      </c>
      <c r="D751" t="s">
        <v>836</v>
      </c>
      <c r="E751" t="s">
        <v>709</v>
      </c>
      <c r="F751" t="s">
        <v>837</v>
      </c>
      <c r="G751">
        <v>8.2000000000000003E-2</v>
      </c>
      <c r="K751" t="s">
        <v>649</v>
      </c>
      <c r="L751" t="s">
        <v>936</v>
      </c>
    </row>
    <row r="752" spans="1:12" x14ac:dyDescent="0.25">
      <c r="A752" t="s">
        <v>990</v>
      </c>
      <c r="B752" t="s">
        <v>992</v>
      </c>
      <c r="D752" t="s">
        <v>836</v>
      </c>
      <c r="E752" t="s">
        <v>709</v>
      </c>
      <c r="F752" t="s">
        <v>837</v>
      </c>
      <c r="K752" t="s">
        <v>649</v>
      </c>
      <c r="L752" t="s">
        <v>936</v>
      </c>
    </row>
    <row r="753" spans="1:12" x14ac:dyDescent="0.25">
      <c r="A753" t="s">
        <v>990</v>
      </c>
      <c r="B753" t="s">
        <v>461</v>
      </c>
      <c r="D753" t="s">
        <v>836</v>
      </c>
      <c r="E753" t="s">
        <v>709</v>
      </c>
      <c r="F753" t="s">
        <v>837</v>
      </c>
      <c r="K753" t="s">
        <v>649</v>
      </c>
      <c r="L753" t="s">
        <v>936</v>
      </c>
    </row>
    <row r="754" spans="1:12" x14ac:dyDescent="0.25">
      <c r="A754" t="s">
        <v>897</v>
      </c>
      <c r="D754" t="s">
        <v>842</v>
      </c>
      <c r="E754" t="s">
        <v>709</v>
      </c>
      <c r="F754" t="s">
        <v>837</v>
      </c>
      <c r="G754">
        <v>0.112</v>
      </c>
      <c r="K754" t="s">
        <v>649</v>
      </c>
      <c r="L754" t="s">
        <v>936</v>
      </c>
    </row>
    <row r="755" spans="1:12" x14ac:dyDescent="0.25">
      <c r="A755" t="s">
        <v>897</v>
      </c>
      <c r="B755" t="s">
        <v>39</v>
      </c>
      <c r="D755" t="s">
        <v>842</v>
      </c>
      <c r="E755" t="s">
        <v>709</v>
      </c>
      <c r="F755" t="s">
        <v>12</v>
      </c>
      <c r="G755">
        <v>0.184</v>
      </c>
      <c r="K755" t="s">
        <v>649</v>
      </c>
      <c r="L755" t="s">
        <v>936</v>
      </c>
    </row>
    <row r="756" spans="1:12" x14ac:dyDescent="0.25">
      <c r="A756" t="s">
        <v>897</v>
      </c>
      <c r="B756" t="s">
        <v>15</v>
      </c>
      <c r="D756" t="s">
        <v>842</v>
      </c>
      <c r="E756" t="s">
        <v>709</v>
      </c>
      <c r="F756" t="s">
        <v>12</v>
      </c>
      <c r="G756">
        <v>0.14899999999999999</v>
      </c>
      <c r="K756" t="s">
        <v>649</v>
      </c>
      <c r="L756" t="s">
        <v>936</v>
      </c>
    </row>
    <row r="757" spans="1:12" x14ac:dyDescent="0.25">
      <c r="A757" t="s">
        <v>897</v>
      </c>
      <c r="B757" t="s">
        <v>36</v>
      </c>
      <c r="D757" t="s">
        <v>842</v>
      </c>
      <c r="E757" t="s">
        <v>709</v>
      </c>
      <c r="F757" t="s">
        <v>12</v>
      </c>
      <c r="G757">
        <v>0.185</v>
      </c>
      <c r="K757" t="s">
        <v>649</v>
      </c>
      <c r="L757" t="s">
        <v>936</v>
      </c>
    </row>
    <row r="758" spans="1:12" x14ac:dyDescent="0.25">
      <c r="A758" t="s">
        <v>897</v>
      </c>
      <c r="D758" t="s">
        <v>842</v>
      </c>
      <c r="E758" t="s">
        <v>709</v>
      </c>
      <c r="F758" t="s">
        <v>837</v>
      </c>
      <c r="G758">
        <v>6.8000000000000005E-2</v>
      </c>
      <c r="K758" t="s">
        <v>649</v>
      </c>
      <c r="L758" t="s">
        <v>936</v>
      </c>
    </row>
    <row r="759" spans="1:12" x14ac:dyDescent="0.25">
      <c r="A759" t="s">
        <v>897</v>
      </c>
      <c r="B759" t="s">
        <v>46</v>
      </c>
      <c r="D759" t="s">
        <v>842</v>
      </c>
      <c r="E759" t="s">
        <v>709</v>
      </c>
      <c r="F759" t="s">
        <v>12</v>
      </c>
      <c r="G759">
        <v>4.0000000000000001E-3</v>
      </c>
      <c r="K759" t="s">
        <v>13</v>
      </c>
      <c r="L759" t="s">
        <v>936</v>
      </c>
    </row>
    <row r="760" spans="1:12" x14ac:dyDescent="0.25">
      <c r="A760" t="s">
        <v>897</v>
      </c>
      <c r="B760" t="s">
        <v>45</v>
      </c>
      <c r="D760" t="s">
        <v>842</v>
      </c>
      <c r="E760" t="s">
        <v>709</v>
      </c>
      <c r="F760" t="s">
        <v>12</v>
      </c>
      <c r="G760">
        <v>4.0000000000000001E-3</v>
      </c>
      <c r="K760" t="s">
        <v>13</v>
      </c>
      <c r="L760" t="s">
        <v>936</v>
      </c>
    </row>
    <row r="761" spans="1:12" x14ac:dyDescent="0.25">
      <c r="A761" t="s">
        <v>897</v>
      </c>
      <c r="B761" t="s">
        <v>44</v>
      </c>
      <c r="D761" t="s">
        <v>842</v>
      </c>
      <c r="E761" t="s">
        <v>709</v>
      </c>
      <c r="F761" t="s">
        <v>12</v>
      </c>
      <c r="G761">
        <v>4.0000000000000001E-3</v>
      </c>
      <c r="K761" t="s">
        <v>13</v>
      </c>
      <c r="L761" t="s">
        <v>936</v>
      </c>
    </row>
    <row r="762" spans="1:12" x14ac:dyDescent="0.25">
      <c r="A762" t="s">
        <v>897</v>
      </c>
      <c r="B762" t="s">
        <v>20</v>
      </c>
      <c r="D762" t="s">
        <v>842</v>
      </c>
      <c r="E762" t="s">
        <v>709</v>
      </c>
      <c r="F762" t="s">
        <v>12</v>
      </c>
      <c r="G762">
        <v>4.0000000000000001E-3</v>
      </c>
      <c r="K762" t="s">
        <v>13</v>
      </c>
      <c r="L762" t="s">
        <v>936</v>
      </c>
    </row>
    <row r="763" spans="1:12" x14ac:dyDescent="0.25">
      <c r="A763" t="s">
        <v>897</v>
      </c>
      <c r="B763" t="s">
        <v>19</v>
      </c>
      <c r="D763" t="s">
        <v>842</v>
      </c>
      <c r="E763" t="s">
        <v>709</v>
      </c>
      <c r="F763" t="s">
        <v>12</v>
      </c>
      <c r="G763">
        <v>4.0000000000000001E-3</v>
      </c>
      <c r="K763" t="s">
        <v>13</v>
      </c>
      <c r="L763" t="s">
        <v>936</v>
      </c>
    </row>
    <row r="764" spans="1:12" x14ac:dyDescent="0.25">
      <c r="A764" t="s">
        <v>897</v>
      </c>
      <c r="B764" t="s">
        <v>22</v>
      </c>
      <c r="D764" t="s">
        <v>842</v>
      </c>
      <c r="E764" t="s">
        <v>709</v>
      </c>
      <c r="F764" t="s">
        <v>12</v>
      </c>
      <c r="G764">
        <v>4.0000000000000001E-3</v>
      </c>
      <c r="K764" t="s">
        <v>13</v>
      </c>
      <c r="L764" t="s">
        <v>936</v>
      </c>
    </row>
    <row r="765" spans="1:12" x14ac:dyDescent="0.25">
      <c r="A765" t="s">
        <v>897</v>
      </c>
      <c r="B765" t="s">
        <v>21</v>
      </c>
      <c r="D765" t="s">
        <v>842</v>
      </c>
      <c r="E765" t="s">
        <v>709</v>
      </c>
      <c r="F765" t="s">
        <v>12</v>
      </c>
      <c r="G765">
        <v>4.0000000000000001E-3</v>
      </c>
      <c r="K765" t="s">
        <v>13</v>
      </c>
      <c r="L765" t="s">
        <v>936</v>
      </c>
    </row>
    <row r="766" spans="1:12" x14ac:dyDescent="0.25">
      <c r="A766" t="s">
        <v>897</v>
      </c>
      <c r="B766" t="s">
        <v>26</v>
      </c>
      <c r="D766" t="s">
        <v>842</v>
      </c>
      <c r="E766" t="s">
        <v>709</v>
      </c>
      <c r="F766" t="s">
        <v>12</v>
      </c>
      <c r="G766">
        <v>4.0000000000000001E-3</v>
      </c>
      <c r="K766" t="s">
        <v>13</v>
      </c>
      <c r="L766" t="s">
        <v>936</v>
      </c>
    </row>
    <row r="767" spans="1:12" x14ac:dyDescent="0.25">
      <c r="A767" t="s">
        <v>897</v>
      </c>
      <c r="B767" t="s">
        <v>27</v>
      </c>
      <c r="D767" t="s">
        <v>842</v>
      </c>
      <c r="E767" t="s">
        <v>709</v>
      </c>
      <c r="F767" t="s">
        <v>12</v>
      </c>
      <c r="G767">
        <v>4.0000000000000001E-3</v>
      </c>
      <c r="K767" t="s">
        <v>13</v>
      </c>
      <c r="L767" t="s">
        <v>936</v>
      </c>
    </row>
    <row r="768" spans="1:12" x14ac:dyDescent="0.25">
      <c r="A768" t="s">
        <v>897</v>
      </c>
      <c r="B768" t="s">
        <v>28</v>
      </c>
      <c r="D768" t="s">
        <v>842</v>
      </c>
      <c r="E768" t="s">
        <v>709</v>
      </c>
      <c r="F768" t="s">
        <v>12</v>
      </c>
      <c r="G768">
        <v>4.0000000000000001E-3</v>
      </c>
      <c r="K768" t="s">
        <v>13</v>
      </c>
      <c r="L768" t="s">
        <v>936</v>
      </c>
    </row>
    <row r="769" spans="1:12" x14ac:dyDescent="0.25">
      <c r="A769" t="s">
        <v>897</v>
      </c>
      <c r="B769" t="s">
        <v>47</v>
      </c>
      <c r="D769" t="s">
        <v>842</v>
      </c>
      <c r="E769" t="s">
        <v>709</v>
      </c>
      <c r="F769" t="s">
        <v>12</v>
      </c>
      <c r="G769">
        <v>4.0000000000000001E-3</v>
      </c>
      <c r="K769" t="s">
        <v>13</v>
      </c>
      <c r="L769" t="s">
        <v>936</v>
      </c>
    </row>
    <row r="770" spans="1:12" x14ac:dyDescent="0.25">
      <c r="A770" t="s">
        <v>897</v>
      </c>
      <c r="B770" t="s">
        <v>42</v>
      </c>
      <c r="D770" t="s">
        <v>842</v>
      </c>
      <c r="E770" t="s">
        <v>709</v>
      </c>
      <c r="F770" t="s">
        <v>12</v>
      </c>
      <c r="G770">
        <v>2E-3</v>
      </c>
      <c r="K770" t="s">
        <v>13</v>
      </c>
      <c r="L770" t="s">
        <v>936</v>
      </c>
    </row>
    <row r="771" spans="1:12" x14ac:dyDescent="0.25">
      <c r="A771" t="s">
        <v>897</v>
      </c>
      <c r="B771" t="s">
        <v>43</v>
      </c>
      <c r="D771" t="s">
        <v>842</v>
      </c>
      <c r="E771" t="s">
        <v>709</v>
      </c>
      <c r="F771" t="s">
        <v>12</v>
      </c>
      <c r="G771">
        <v>2E-3</v>
      </c>
      <c r="K771" t="s">
        <v>13</v>
      </c>
      <c r="L771" t="s">
        <v>936</v>
      </c>
    </row>
    <row r="772" spans="1:12" x14ac:dyDescent="0.25">
      <c r="A772" t="s">
        <v>897</v>
      </c>
      <c r="B772" t="s">
        <v>40</v>
      </c>
      <c r="D772" t="s">
        <v>842</v>
      </c>
      <c r="E772" t="s">
        <v>709</v>
      </c>
      <c r="F772" t="s">
        <v>12</v>
      </c>
      <c r="G772">
        <v>2E-3</v>
      </c>
      <c r="K772" t="s">
        <v>13</v>
      </c>
      <c r="L772" t="s">
        <v>936</v>
      </c>
    </row>
    <row r="773" spans="1:12" x14ac:dyDescent="0.25">
      <c r="A773" t="s">
        <v>897</v>
      </c>
      <c r="B773" t="s">
        <v>48</v>
      </c>
      <c r="D773" t="s">
        <v>842</v>
      </c>
      <c r="E773" t="s">
        <v>709</v>
      </c>
      <c r="F773" t="s">
        <v>12</v>
      </c>
      <c r="G773">
        <v>2E-3</v>
      </c>
      <c r="K773" t="s">
        <v>13</v>
      </c>
      <c r="L773" t="s">
        <v>936</v>
      </c>
    </row>
    <row r="774" spans="1:12" x14ac:dyDescent="0.25">
      <c r="A774" t="s">
        <v>971</v>
      </c>
      <c r="B774" t="s">
        <v>38</v>
      </c>
      <c r="D774" t="s">
        <v>842</v>
      </c>
      <c r="E774" t="s">
        <v>709</v>
      </c>
      <c r="F774" t="s">
        <v>12</v>
      </c>
      <c r="G774">
        <v>0.18</v>
      </c>
      <c r="K774" t="s">
        <v>649</v>
      </c>
      <c r="L774" t="s">
        <v>936</v>
      </c>
    </row>
    <row r="775" spans="1:12" x14ac:dyDescent="0.25">
      <c r="A775" t="s">
        <v>971</v>
      </c>
      <c r="B775" t="s">
        <v>28</v>
      </c>
      <c r="D775" t="s">
        <v>842</v>
      </c>
      <c r="F775" t="s">
        <v>12</v>
      </c>
      <c r="G775">
        <v>4.0000000000000001E-3</v>
      </c>
      <c r="K775" t="s">
        <v>13</v>
      </c>
      <c r="L775" t="s">
        <v>936</v>
      </c>
    </row>
    <row r="776" spans="1:12" x14ac:dyDescent="0.25">
      <c r="A776" t="s">
        <v>971</v>
      </c>
      <c r="B776" t="s">
        <v>27</v>
      </c>
      <c r="D776" t="s">
        <v>842</v>
      </c>
      <c r="F776" t="s">
        <v>12</v>
      </c>
      <c r="G776">
        <v>4.0000000000000001E-3</v>
      </c>
      <c r="K776" t="s">
        <v>13</v>
      </c>
      <c r="L776" t="s">
        <v>936</v>
      </c>
    </row>
    <row r="777" spans="1:12" x14ac:dyDescent="0.25">
      <c r="A777" t="s">
        <v>971</v>
      </c>
      <c r="B777" t="s">
        <v>26</v>
      </c>
      <c r="D777" t="s">
        <v>842</v>
      </c>
      <c r="F777" t="s">
        <v>12</v>
      </c>
      <c r="G777">
        <v>4.0000000000000001E-3</v>
      </c>
      <c r="K777" t="s">
        <v>13</v>
      </c>
      <c r="L777" t="s">
        <v>936</v>
      </c>
    </row>
    <row r="778" spans="1:12" x14ac:dyDescent="0.25">
      <c r="A778" t="s">
        <v>971</v>
      </c>
      <c r="B778" t="s">
        <v>21</v>
      </c>
      <c r="D778" t="s">
        <v>842</v>
      </c>
      <c r="F778" t="s">
        <v>12</v>
      </c>
      <c r="G778">
        <v>3.0000000000000001E-3</v>
      </c>
      <c r="K778" t="s">
        <v>13</v>
      </c>
      <c r="L778" t="s">
        <v>936</v>
      </c>
    </row>
    <row r="779" spans="1:12" x14ac:dyDescent="0.25">
      <c r="A779" t="s">
        <v>971</v>
      </c>
      <c r="B779" t="s">
        <v>22</v>
      </c>
      <c r="D779" t="s">
        <v>842</v>
      </c>
      <c r="F779" t="s">
        <v>12</v>
      </c>
      <c r="G779">
        <v>3.0000000000000001E-3</v>
      </c>
      <c r="K779" t="s">
        <v>13</v>
      </c>
      <c r="L779" t="s">
        <v>936</v>
      </c>
    </row>
    <row r="780" spans="1:12" x14ac:dyDescent="0.25">
      <c r="A780" t="s">
        <v>971</v>
      </c>
      <c r="B780" t="s">
        <v>19</v>
      </c>
      <c r="D780" t="s">
        <v>842</v>
      </c>
      <c r="F780" t="s">
        <v>12</v>
      </c>
      <c r="G780">
        <v>4.0000000000000001E-3</v>
      </c>
      <c r="K780" t="s">
        <v>13</v>
      </c>
      <c r="L780" t="s">
        <v>936</v>
      </c>
    </row>
    <row r="781" spans="1:12" x14ac:dyDescent="0.25">
      <c r="A781" t="s">
        <v>971</v>
      </c>
      <c r="B781" t="s">
        <v>20</v>
      </c>
      <c r="D781" t="s">
        <v>842</v>
      </c>
      <c r="F781" t="s">
        <v>12</v>
      </c>
      <c r="G781">
        <v>4.0000000000000001E-3</v>
      </c>
      <c r="K781" t="s">
        <v>13</v>
      </c>
      <c r="L781" t="s">
        <v>936</v>
      </c>
    </row>
    <row r="782" spans="1:12" x14ac:dyDescent="0.25">
      <c r="A782" t="s">
        <v>971</v>
      </c>
      <c r="B782" t="s">
        <v>1016</v>
      </c>
      <c r="D782" t="s">
        <v>842</v>
      </c>
      <c r="F782" t="s">
        <v>12</v>
      </c>
      <c r="G782">
        <v>1.4E-2</v>
      </c>
      <c r="K782" t="s">
        <v>13</v>
      </c>
      <c r="L782" t="s">
        <v>936</v>
      </c>
    </row>
    <row r="783" spans="1:12" x14ac:dyDescent="0.25">
      <c r="A783" t="s">
        <v>971</v>
      </c>
      <c r="B783" t="s">
        <v>1017</v>
      </c>
      <c r="D783" t="s">
        <v>842</v>
      </c>
      <c r="F783" t="s">
        <v>12</v>
      </c>
      <c r="G783">
        <v>3.0000000000000001E-3</v>
      </c>
      <c r="K783" t="s">
        <v>13</v>
      </c>
      <c r="L783" t="s">
        <v>936</v>
      </c>
    </row>
    <row r="784" spans="1:12" x14ac:dyDescent="0.25">
      <c r="A784" t="s">
        <v>971</v>
      </c>
      <c r="B784" t="s">
        <v>461</v>
      </c>
      <c r="D784" t="s">
        <v>842</v>
      </c>
      <c r="F784" t="s">
        <v>837</v>
      </c>
      <c r="G784">
        <v>6.0000000000000001E-3</v>
      </c>
      <c r="K784" t="s">
        <v>13</v>
      </c>
      <c r="L784" t="s">
        <v>936</v>
      </c>
    </row>
    <row r="785" spans="1:12" x14ac:dyDescent="0.25">
      <c r="A785" t="s">
        <v>680</v>
      </c>
      <c r="B785" t="s">
        <v>22</v>
      </c>
      <c r="D785" t="s">
        <v>884</v>
      </c>
      <c r="E785" t="s">
        <v>705</v>
      </c>
      <c r="F785" t="s">
        <v>12</v>
      </c>
      <c r="G785">
        <v>0.05</v>
      </c>
      <c r="K785" t="s">
        <v>649</v>
      </c>
      <c r="L785" t="s">
        <v>936</v>
      </c>
    </row>
    <row r="786" spans="1:12" x14ac:dyDescent="0.25">
      <c r="A786" t="s">
        <v>680</v>
      </c>
      <c r="B786" t="s">
        <v>19</v>
      </c>
      <c r="D786" t="s">
        <v>884</v>
      </c>
      <c r="E786" t="s">
        <v>705</v>
      </c>
      <c r="F786" t="s">
        <v>12</v>
      </c>
      <c r="G786">
        <v>3.9E-2</v>
      </c>
      <c r="K786" t="s">
        <v>649</v>
      </c>
      <c r="L786" t="s">
        <v>936</v>
      </c>
    </row>
    <row r="787" spans="1:12" x14ac:dyDescent="0.25">
      <c r="A787" t="s">
        <v>680</v>
      </c>
      <c r="B787" t="s">
        <v>21</v>
      </c>
      <c r="D787" t="s">
        <v>884</v>
      </c>
      <c r="E787" t="s">
        <v>705</v>
      </c>
      <c r="F787" t="s">
        <v>12</v>
      </c>
      <c r="G787">
        <v>2.5000000000000001E-2</v>
      </c>
      <c r="K787" t="s">
        <v>649</v>
      </c>
      <c r="L787" t="s">
        <v>936</v>
      </c>
    </row>
    <row r="788" spans="1:12" x14ac:dyDescent="0.25">
      <c r="A788" t="s">
        <v>680</v>
      </c>
      <c r="B788" t="s">
        <v>20</v>
      </c>
      <c r="D788" t="s">
        <v>884</v>
      </c>
      <c r="E788" t="s">
        <v>705</v>
      </c>
      <c r="F788" t="s">
        <v>837</v>
      </c>
      <c r="G788">
        <v>0.154</v>
      </c>
      <c r="K788" t="s">
        <v>649</v>
      </c>
      <c r="L788" t="s">
        <v>936</v>
      </c>
    </row>
    <row r="789" spans="1:12" x14ac:dyDescent="0.25">
      <c r="A789" t="s">
        <v>680</v>
      </c>
      <c r="B789" t="s">
        <v>28</v>
      </c>
      <c r="D789" t="s">
        <v>884</v>
      </c>
      <c r="E789" t="s">
        <v>705</v>
      </c>
      <c r="F789" t="s">
        <v>12</v>
      </c>
      <c r="G789">
        <v>8.9999999999999993E-3</v>
      </c>
      <c r="K789" t="s">
        <v>13</v>
      </c>
      <c r="L789" t="s">
        <v>936</v>
      </c>
    </row>
    <row r="790" spans="1:12" x14ac:dyDescent="0.25">
      <c r="A790" t="s">
        <v>680</v>
      </c>
      <c r="B790" t="s">
        <v>27</v>
      </c>
      <c r="D790" t="s">
        <v>884</v>
      </c>
      <c r="E790" t="s">
        <v>705</v>
      </c>
      <c r="F790" t="s">
        <v>1226</v>
      </c>
      <c r="G790">
        <v>2.5999999999999999E-2</v>
      </c>
      <c r="K790" t="s">
        <v>649</v>
      </c>
      <c r="L790" t="s">
        <v>936</v>
      </c>
    </row>
    <row r="791" spans="1:12" x14ac:dyDescent="0.25">
      <c r="A791" t="s">
        <v>680</v>
      </c>
      <c r="B791" t="s">
        <v>26</v>
      </c>
      <c r="D791" t="s">
        <v>884</v>
      </c>
      <c r="E791" t="s">
        <v>705</v>
      </c>
      <c r="F791" t="s">
        <v>12</v>
      </c>
      <c r="G791">
        <v>0.02</v>
      </c>
      <c r="K791" t="s">
        <v>649</v>
      </c>
      <c r="L791" t="s">
        <v>936</v>
      </c>
    </row>
    <row r="792" spans="1:12" x14ac:dyDescent="0.25">
      <c r="A792" t="s">
        <v>281</v>
      </c>
      <c r="B792" t="s">
        <v>282</v>
      </c>
      <c r="D792" t="s">
        <v>835</v>
      </c>
      <c r="E792" t="s">
        <v>705</v>
      </c>
      <c r="F792" t="s">
        <v>12</v>
      </c>
      <c r="G792">
        <v>0.35699999999999998</v>
      </c>
      <c r="K792" t="s">
        <v>649</v>
      </c>
      <c r="L792" t="s">
        <v>936</v>
      </c>
    </row>
    <row r="793" spans="1:12" x14ac:dyDescent="0.25">
      <c r="A793" t="s">
        <v>281</v>
      </c>
      <c r="B793" t="s">
        <v>283</v>
      </c>
      <c r="D793" t="s">
        <v>835</v>
      </c>
      <c r="E793" t="s">
        <v>705</v>
      </c>
      <c r="F793" t="s">
        <v>12</v>
      </c>
      <c r="G793">
        <v>0.29799999999999999</v>
      </c>
      <c r="K793" t="s">
        <v>649</v>
      </c>
      <c r="L793" t="s">
        <v>936</v>
      </c>
    </row>
    <row r="794" spans="1:12" x14ac:dyDescent="0.25">
      <c r="A794" t="s">
        <v>281</v>
      </c>
      <c r="B794" t="s">
        <v>284</v>
      </c>
      <c r="D794" t="s">
        <v>835</v>
      </c>
      <c r="E794" t="s">
        <v>705</v>
      </c>
      <c r="F794" t="s">
        <v>12</v>
      </c>
      <c r="G794">
        <v>0.20399999999999999</v>
      </c>
      <c r="K794" t="s">
        <v>649</v>
      </c>
      <c r="L794" t="s">
        <v>936</v>
      </c>
    </row>
    <row r="795" spans="1:12" x14ac:dyDescent="0.25">
      <c r="A795" t="s">
        <v>281</v>
      </c>
      <c r="B795" t="s">
        <v>285</v>
      </c>
      <c r="D795" t="s">
        <v>835</v>
      </c>
      <c r="E795" t="s">
        <v>705</v>
      </c>
      <c r="F795" t="s">
        <v>12</v>
      </c>
      <c r="G795">
        <v>0.56000000000000005</v>
      </c>
      <c r="K795" t="s">
        <v>649</v>
      </c>
      <c r="L795" t="s">
        <v>936</v>
      </c>
    </row>
    <row r="796" spans="1:12" x14ac:dyDescent="0.25">
      <c r="A796" t="s">
        <v>281</v>
      </c>
      <c r="B796" t="s">
        <v>286</v>
      </c>
      <c r="D796" t="s">
        <v>835</v>
      </c>
      <c r="E796" t="s">
        <v>705</v>
      </c>
      <c r="F796" t="s">
        <v>12</v>
      </c>
      <c r="G796">
        <v>0.19400000000000001</v>
      </c>
      <c r="K796" t="s">
        <v>649</v>
      </c>
      <c r="L796" t="s">
        <v>936</v>
      </c>
    </row>
    <row r="797" spans="1:12" x14ac:dyDescent="0.25">
      <c r="A797" t="s">
        <v>281</v>
      </c>
      <c r="B797" t="s">
        <v>287</v>
      </c>
      <c r="D797" t="s">
        <v>835</v>
      </c>
      <c r="E797" t="s">
        <v>705</v>
      </c>
      <c r="F797" t="s">
        <v>12</v>
      </c>
      <c r="G797">
        <v>0.40200000000000002</v>
      </c>
      <c r="K797" t="s">
        <v>649</v>
      </c>
      <c r="L797" t="s">
        <v>936</v>
      </c>
    </row>
    <row r="798" spans="1:12" x14ac:dyDescent="0.25">
      <c r="A798" t="s">
        <v>281</v>
      </c>
      <c r="B798" t="s">
        <v>288</v>
      </c>
      <c r="D798" t="s">
        <v>835</v>
      </c>
      <c r="E798" t="s">
        <v>705</v>
      </c>
      <c r="F798" t="s">
        <v>12</v>
      </c>
      <c r="G798">
        <v>0.35899999999999999</v>
      </c>
      <c r="K798" t="s">
        <v>649</v>
      </c>
      <c r="L798" t="s">
        <v>936</v>
      </c>
    </row>
    <row r="799" spans="1:12" x14ac:dyDescent="0.25">
      <c r="A799" t="s">
        <v>281</v>
      </c>
      <c r="B799" t="s">
        <v>289</v>
      </c>
      <c r="D799" t="s">
        <v>835</v>
      </c>
      <c r="E799" t="s">
        <v>705</v>
      </c>
      <c r="F799" t="s">
        <v>837</v>
      </c>
      <c r="G799">
        <v>0.17</v>
      </c>
      <c r="K799" t="s">
        <v>649</v>
      </c>
      <c r="L799" t="s">
        <v>936</v>
      </c>
    </row>
    <row r="800" spans="1:12" x14ac:dyDescent="0.25">
      <c r="A800" t="s">
        <v>281</v>
      </c>
      <c r="B800" t="s">
        <v>290</v>
      </c>
      <c r="D800" t="s">
        <v>835</v>
      </c>
      <c r="E800" t="s">
        <v>705</v>
      </c>
      <c r="F800" t="s">
        <v>837</v>
      </c>
      <c r="G800">
        <v>0.22800000000000001</v>
      </c>
      <c r="K800" t="s">
        <v>649</v>
      </c>
      <c r="L800" t="s">
        <v>936</v>
      </c>
    </row>
    <row r="801" spans="1:12" x14ac:dyDescent="0.25">
      <c r="A801" t="s">
        <v>281</v>
      </c>
      <c r="B801" t="s">
        <v>291</v>
      </c>
      <c r="D801" t="s">
        <v>835</v>
      </c>
      <c r="E801" t="s">
        <v>705</v>
      </c>
      <c r="F801" t="s">
        <v>12</v>
      </c>
      <c r="G801">
        <v>0.20300000000000001</v>
      </c>
      <c r="K801" t="s">
        <v>649</v>
      </c>
      <c r="L801" t="s">
        <v>936</v>
      </c>
    </row>
    <row r="802" spans="1:12" x14ac:dyDescent="0.25">
      <c r="A802" t="s">
        <v>281</v>
      </c>
      <c r="B802" t="s">
        <v>292</v>
      </c>
      <c r="D802" t="s">
        <v>835</v>
      </c>
      <c r="E802" t="s">
        <v>705</v>
      </c>
      <c r="F802" t="s">
        <v>12</v>
      </c>
      <c r="G802">
        <v>0.14699999999999999</v>
      </c>
      <c r="K802" t="s">
        <v>649</v>
      </c>
      <c r="L802" t="s">
        <v>936</v>
      </c>
    </row>
    <row r="803" spans="1:12" x14ac:dyDescent="0.25">
      <c r="A803" t="s">
        <v>281</v>
      </c>
      <c r="B803" t="s">
        <v>293</v>
      </c>
      <c r="D803" t="s">
        <v>835</v>
      </c>
      <c r="E803" t="s">
        <v>705</v>
      </c>
      <c r="F803" t="s">
        <v>12</v>
      </c>
      <c r="G803">
        <v>9.2999999999999999E-2</v>
      </c>
      <c r="K803" t="s">
        <v>649</v>
      </c>
      <c r="L803" t="s">
        <v>936</v>
      </c>
    </row>
    <row r="804" spans="1:12" x14ac:dyDescent="0.25">
      <c r="A804" t="s">
        <v>281</v>
      </c>
      <c r="B804" t="s">
        <v>294</v>
      </c>
      <c r="D804" t="s">
        <v>835</v>
      </c>
      <c r="E804" t="s">
        <v>705</v>
      </c>
      <c r="F804" t="s">
        <v>12</v>
      </c>
      <c r="G804">
        <v>0.188</v>
      </c>
      <c r="K804" t="s">
        <v>649</v>
      </c>
      <c r="L804" t="s">
        <v>936</v>
      </c>
    </row>
    <row r="805" spans="1:12" x14ac:dyDescent="0.25">
      <c r="A805" t="s">
        <v>281</v>
      </c>
      <c r="B805" t="s">
        <v>295</v>
      </c>
      <c r="D805" t="s">
        <v>835</v>
      </c>
      <c r="E805" t="s">
        <v>705</v>
      </c>
      <c r="F805" t="s">
        <v>12</v>
      </c>
      <c r="G805">
        <v>0.41</v>
      </c>
      <c r="K805" t="s">
        <v>649</v>
      </c>
      <c r="L805" t="s">
        <v>936</v>
      </c>
    </row>
    <row r="806" spans="1:12" x14ac:dyDescent="0.25">
      <c r="A806" t="s">
        <v>281</v>
      </c>
      <c r="B806" t="s">
        <v>325</v>
      </c>
      <c r="D806" t="s">
        <v>835</v>
      </c>
      <c r="E806" t="s">
        <v>705</v>
      </c>
      <c r="F806" t="s">
        <v>12</v>
      </c>
      <c r="G806">
        <v>0.53</v>
      </c>
      <c r="K806" t="s">
        <v>649</v>
      </c>
      <c r="L806" t="s">
        <v>936</v>
      </c>
    </row>
    <row r="807" spans="1:12" x14ac:dyDescent="0.25">
      <c r="A807" t="s">
        <v>281</v>
      </c>
      <c r="B807" t="s">
        <v>326</v>
      </c>
      <c r="D807" t="s">
        <v>835</v>
      </c>
      <c r="E807" t="s">
        <v>705</v>
      </c>
      <c r="F807" t="s">
        <v>12</v>
      </c>
      <c r="G807">
        <v>0.36699999999999999</v>
      </c>
      <c r="K807" t="s">
        <v>649</v>
      </c>
      <c r="L807" t="s">
        <v>936</v>
      </c>
    </row>
    <row r="808" spans="1:12" x14ac:dyDescent="0.25">
      <c r="A808" t="s">
        <v>806</v>
      </c>
      <c r="B808" t="s">
        <v>854</v>
      </c>
      <c r="D808" t="s">
        <v>842</v>
      </c>
      <c r="E808" t="s">
        <v>709</v>
      </c>
      <c r="F808" t="s">
        <v>837</v>
      </c>
      <c r="G808">
        <v>0.49</v>
      </c>
      <c r="K808" t="s">
        <v>649</v>
      </c>
      <c r="L808" t="s">
        <v>936</v>
      </c>
    </row>
    <row r="809" spans="1:12" x14ac:dyDescent="0.25">
      <c r="A809" t="s">
        <v>806</v>
      </c>
      <c r="B809" t="s">
        <v>904</v>
      </c>
      <c r="D809" t="s">
        <v>842</v>
      </c>
      <c r="E809" t="s">
        <v>709</v>
      </c>
      <c r="F809" t="s">
        <v>837</v>
      </c>
      <c r="G809">
        <v>0.29099999999999998</v>
      </c>
      <c r="K809" t="s">
        <v>649</v>
      </c>
      <c r="L809" t="s">
        <v>936</v>
      </c>
    </row>
    <row r="810" spans="1:12" x14ac:dyDescent="0.25">
      <c r="A810" t="s">
        <v>806</v>
      </c>
      <c r="B810" t="s">
        <v>905</v>
      </c>
      <c r="D810" t="s">
        <v>842</v>
      </c>
      <c r="E810" t="s">
        <v>709</v>
      </c>
      <c r="F810" t="s">
        <v>837</v>
      </c>
      <c r="G810">
        <v>0.28799999999999998</v>
      </c>
      <c r="K810" t="s">
        <v>649</v>
      </c>
      <c r="L810" t="s">
        <v>936</v>
      </c>
    </row>
    <row r="811" spans="1:12" x14ac:dyDescent="0.25">
      <c r="A811" t="s">
        <v>806</v>
      </c>
      <c r="B811" t="s">
        <v>906</v>
      </c>
      <c r="D811" t="s">
        <v>842</v>
      </c>
      <c r="E811" t="s">
        <v>709</v>
      </c>
      <c r="F811" t="s">
        <v>837</v>
      </c>
      <c r="G811">
        <v>0.27600000000000002</v>
      </c>
      <c r="K811" t="s">
        <v>649</v>
      </c>
      <c r="L811" t="s">
        <v>936</v>
      </c>
    </row>
    <row r="812" spans="1:12" x14ac:dyDescent="0.25">
      <c r="A812" t="s">
        <v>806</v>
      </c>
      <c r="B812" t="s">
        <v>907</v>
      </c>
      <c r="D812" t="s">
        <v>842</v>
      </c>
      <c r="E812" t="s">
        <v>709</v>
      </c>
      <c r="F812" t="s">
        <v>837</v>
      </c>
      <c r="G812">
        <v>0.24</v>
      </c>
      <c r="K812" t="s">
        <v>649</v>
      </c>
      <c r="L812" t="s">
        <v>936</v>
      </c>
    </row>
    <row r="813" spans="1:12" x14ac:dyDescent="0.25">
      <c r="A813" t="s">
        <v>806</v>
      </c>
      <c r="B813" t="s">
        <v>908</v>
      </c>
      <c r="D813" t="s">
        <v>842</v>
      </c>
      <c r="E813" t="s">
        <v>709</v>
      </c>
      <c r="F813" t="s">
        <v>837</v>
      </c>
      <c r="G813">
        <v>0.251</v>
      </c>
      <c r="K813" t="s">
        <v>649</v>
      </c>
      <c r="L813" t="s">
        <v>936</v>
      </c>
    </row>
    <row r="814" spans="1:12" x14ac:dyDescent="0.25">
      <c r="A814" t="s">
        <v>806</v>
      </c>
      <c r="B814" t="s">
        <v>909</v>
      </c>
      <c r="D814" t="s">
        <v>842</v>
      </c>
      <c r="E814" t="s">
        <v>709</v>
      </c>
      <c r="F814" t="s">
        <v>837</v>
      </c>
      <c r="G814">
        <v>0.253</v>
      </c>
      <c r="K814" t="s">
        <v>649</v>
      </c>
      <c r="L814" t="s">
        <v>936</v>
      </c>
    </row>
    <row r="815" spans="1:12" x14ac:dyDescent="0.25">
      <c r="A815" t="s">
        <v>806</v>
      </c>
      <c r="B815" t="s">
        <v>513</v>
      </c>
      <c r="D815" t="s">
        <v>842</v>
      </c>
      <c r="E815" t="s">
        <v>709</v>
      </c>
      <c r="F815" t="s">
        <v>12</v>
      </c>
      <c r="G815">
        <v>0.249</v>
      </c>
      <c r="K815" t="s">
        <v>649</v>
      </c>
      <c r="L815" t="s">
        <v>936</v>
      </c>
    </row>
    <row r="816" spans="1:12" x14ac:dyDescent="0.25">
      <c r="A816" t="s">
        <v>806</v>
      </c>
      <c r="B816" t="s">
        <v>434</v>
      </c>
      <c r="D816" t="s">
        <v>842</v>
      </c>
      <c r="E816" t="s">
        <v>709</v>
      </c>
      <c r="F816" t="s">
        <v>12</v>
      </c>
      <c r="G816">
        <v>0.28999999999999998</v>
      </c>
      <c r="K816" t="s">
        <v>649</v>
      </c>
      <c r="L816" t="s">
        <v>936</v>
      </c>
    </row>
    <row r="817" spans="1:12" x14ac:dyDescent="0.25">
      <c r="A817" t="s">
        <v>806</v>
      </c>
      <c r="B817" t="s">
        <v>435</v>
      </c>
      <c r="D817" t="s">
        <v>842</v>
      </c>
      <c r="E817" t="s">
        <v>709</v>
      </c>
      <c r="F817" t="s">
        <v>12</v>
      </c>
      <c r="G817">
        <v>0.25600000000000001</v>
      </c>
      <c r="K817" t="s">
        <v>649</v>
      </c>
      <c r="L817" t="s">
        <v>936</v>
      </c>
    </row>
    <row r="818" spans="1:12" x14ac:dyDescent="0.25">
      <c r="A818" t="s">
        <v>806</v>
      </c>
      <c r="B818" t="s">
        <v>342</v>
      </c>
      <c r="D818" t="s">
        <v>842</v>
      </c>
      <c r="E818" t="s">
        <v>709</v>
      </c>
      <c r="F818" t="s">
        <v>12</v>
      </c>
      <c r="G818">
        <v>0.317</v>
      </c>
      <c r="K818" t="s">
        <v>649</v>
      </c>
      <c r="L818" t="s">
        <v>936</v>
      </c>
    </row>
    <row r="819" spans="1:12" x14ac:dyDescent="0.25">
      <c r="A819" t="s">
        <v>806</v>
      </c>
      <c r="B819" t="s">
        <v>343</v>
      </c>
      <c r="D819" t="s">
        <v>842</v>
      </c>
      <c r="E819" t="s">
        <v>709</v>
      </c>
      <c r="F819" t="s">
        <v>12</v>
      </c>
      <c r="G819">
        <v>0.29399999999999998</v>
      </c>
      <c r="K819" t="s">
        <v>649</v>
      </c>
      <c r="L819" t="s">
        <v>936</v>
      </c>
    </row>
    <row r="820" spans="1:12" x14ac:dyDescent="0.25">
      <c r="A820" t="s">
        <v>806</v>
      </c>
      <c r="B820" t="s">
        <v>345</v>
      </c>
      <c r="D820" t="s">
        <v>842</v>
      </c>
      <c r="E820" t="s">
        <v>709</v>
      </c>
      <c r="F820" t="s">
        <v>12</v>
      </c>
      <c r="G820">
        <v>0.29399999999999998</v>
      </c>
      <c r="K820" t="s">
        <v>649</v>
      </c>
      <c r="L820" t="s">
        <v>936</v>
      </c>
    </row>
    <row r="821" spans="1:12" x14ac:dyDescent="0.25">
      <c r="A821" t="s">
        <v>806</v>
      </c>
      <c r="B821" t="s">
        <v>346</v>
      </c>
      <c r="D821" t="s">
        <v>842</v>
      </c>
      <c r="E821" t="s">
        <v>709</v>
      </c>
      <c r="F821" t="s">
        <v>12</v>
      </c>
      <c r="G821">
        <v>0.27100000000000002</v>
      </c>
      <c r="K821" t="s">
        <v>649</v>
      </c>
      <c r="L821" t="s">
        <v>936</v>
      </c>
    </row>
    <row r="822" spans="1:12" x14ac:dyDescent="0.25">
      <c r="A822" t="s">
        <v>806</v>
      </c>
      <c r="B822" t="s">
        <v>423</v>
      </c>
      <c r="D822" t="s">
        <v>842</v>
      </c>
      <c r="E822" t="s">
        <v>709</v>
      </c>
      <c r="F822" t="s">
        <v>12</v>
      </c>
      <c r="G822">
        <v>0.27</v>
      </c>
      <c r="K822" t="s">
        <v>649</v>
      </c>
      <c r="L822" t="s">
        <v>936</v>
      </c>
    </row>
    <row r="823" spans="1:12" x14ac:dyDescent="0.25">
      <c r="A823" t="s">
        <v>806</v>
      </c>
      <c r="B823" t="s">
        <v>416</v>
      </c>
      <c r="D823" t="s">
        <v>842</v>
      </c>
      <c r="E823" t="s">
        <v>709</v>
      </c>
      <c r="F823" t="s">
        <v>12</v>
      </c>
      <c r="G823">
        <v>0.28000000000000003</v>
      </c>
      <c r="K823" t="s">
        <v>649</v>
      </c>
      <c r="L823" t="s">
        <v>936</v>
      </c>
    </row>
    <row r="824" spans="1:12" x14ac:dyDescent="0.25">
      <c r="A824" t="s">
        <v>806</v>
      </c>
      <c r="B824" t="s">
        <v>417</v>
      </c>
      <c r="D824" t="s">
        <v>842</v>
      </c>
      <c r="E824" t="s">
        <v>709</v>
      </c>
      <c r="F824" t="s">
        <v>12</v>
      </c>
      <c r="G824">
        <v>0.23300000000000001</v>
      </c>
      <c r="K824" t="s">
        <v>649</v>
      </c>
      <c r="L824" t="s">
        <v>936</v>
      </c>
    </row>
    <row r="825" spans="1:12" x14ac:dyDescent="0.25">
      <c r="A825" t="s">
        <v>806</v>
      </c>
      <c r="B825" t="s">
        <v>422</v>
      </c>
      <c r="D825" t="s">
        <v>842</v>
      </c>
      <c r="E825" t="s">
        <v>709</v>
      </c>
      <c r="F825" t="s">
        <v>12</v>
      </c>
      <c r="G825">
        <v>0.24399999999999999</v>
      </c>
      <c r="K825" t="s">
        <v>649</v>
      </c>
      <c r="L825" t="s">
        <v>936</v>
      </c>
    </row>
    <row r="826" spans="1:12" x14ac:dyDescent="0.25">
      <c r="A826" t="s">
        <v>806</v>
      </c>
      <c r="B826" t="s">
        <v>415</v>
      </c>
      <c r="D826" t="s">
        <v>842</v>
      </c>
      <c r="E826" t="s">
        <v>709</v>
      </c>
      <c r="F826" t="s">
        <v>12</v>
      </c>
      <c r="G826">
        <v>0.27100000000000002</v>
      </c>
      <c r="K826" t="s">
        <v>649</v>
      </c>
      <c r="L826" t="s">
        <v>936</v>
      </c>
    </row>
    <row r="827" spans="1:12" x14ac:dyDescent="0.25">
      <c r="A827" t="s">
        <v>806</v>
      </c>
      <c r="B827" t="s">
        <v>413</v>
      </c>
      <c r="D827" t="s">
        <v>842</v>
      </c>
      <c r="E827" t="s">
        <v>709</v>
      </c>
      <c r="F827" t="s">
        <v>12</v>
      </c>
      <c r="G827">
        <v>0.28100000000000003</v>
      </c>
      <c r="K827" t="s">
        <v>649</v>
      </c>
      <c r="L827" t="s">
        <v>936</v>
      </c>
    </row>
    <row r="828" spans="1:12" x14ac:dyDescent="0.25">
      <c r="A828" t="s">
        <v>806</v>
      </c>
      <c r="B828" t="s">
        <v>414</v>
      </c>
      <c r="D828" t="s">
        <v>842</v>
      </c>
      <c r="E828" t="s">
        <v>709</v>
      </c>
      <c r="F828" t="s">
        <v>12</v>
      </c>
      <c r="G828">
        <v>0.26800000000000002</v>
      </c>
      <c r="K828" t="s">
        <v>649</v>
      </c>
      <c r="L828" t="s">
        <v>936</v>
      </c>
    </row>
    <row r="829" spans="1:12" x14ac:dyDescent="0.25">
      <c r="A829" t="s">
        <v>806</v>
      </c>
      <c r="B829" t="s">
        <v>412</v>
      </c>
      <c r="D829" t="s">
        <v>842</v>
      </c>
      <c r="E829" t="s">
        <v>709</v>
      </c>
      <c r="F829" t="s">
        <v>12</v>
      </c>
      <c r="G829">
        <v>0.28599999999999998</v>
      </c>
      <c r="K829" t="s">
        <v>649</v>
      </c>
      <c r="L829" t="s">
        <v>936</v>
      </c>
    </row>
    <row r="830" spans="1:12" x14ac:dyDescent="0.25">
      <c r="A830" t="s">
        <v>806</v>
      </c>
      <c r="B830" t="s">
        <v>999</v>
      </c>
      <c r="D830" t="s">
        <v>842</v>
      </c>
      <c r="E830" t="s">
        <v>709</v>
      </c>
      <c r="F830" t="s">
        <v>837</v>
      </c>
      <c r="G830">
        <v>1.462</v>
      </c>
      <c r="K830" t="s">
        <v>649</v>
      </c>
      <c r="L830" t="s">
        <v>936</v>
      </c>
    </row>
    <row r="831" spans="1:12" x14ac:dyDescent="0.25">
      <c r="A831" t="s">
        <v>806</v>
      </c>
      <c r="B831" t="s">
        <v>438</v>
      </c>
      <c r="D831" t="s">
        <v>842</v>
      </c>
      <c r="E831" t="s">
        <v>709</v>
      </c>
      <c r="F831" t="s">
        <v>837</v>
      </c>
      <c r="G831">
        <v>0.23300000000000001</v>
      </c>
      <c r="K831" t="s">
        <v>649</v>
      </c>
      <c r="L831" t="s">
        <v>936</v>
      </c>
    </row>
    <row r="832" spans="1:12" x14ac:dyDescent="0.25">
      <c r="A832" t="s">
        <v>806</v>
      </c>
      <c r="B832" t="s">
        <v>437</v>
      </c>
      <c r="D832" t="s">
        <v>842</v>
      </c>
      <c r="E832" t="s">
        <v>709</v>
      </c>
      <c r="F832" t="s">
        <v>837</v>
      </c>
      <c r="G832">
        <v>0.23400000000000001</v>
      </c>
      <c r="K832" t="s">
        <v>649</v>
      </c>
      <c r="L832" t="s">
        <v>936</v>
      </c>
    </row>
    <row r="833" spans="1:12" x14ac:dyDescent="0.25">
      <c r="A833" t="s">
        <v>806</v>
      </c>
      <c r="B833" t="s">
        <v>644</v>
      </c>
      <c r="D833" t="s">
        <v>842</v>
      </c>
      <c r="E833" t="s">
        <v>709</v>
      </c>
      <c r="F833" t="s">
        <v>12</v>
      </c>
      <c r="G833">
        <v>0.253</v>
      </c>
      <c r="K833" t="s">
        <v>649</v>
      </c>
      <c r="L833" t="s">
        <v>936</v>
      </c>
    </row>
    <row r="834" spans="1:12" x14ac:dyDescent="0.25">
      <c r="A834" t="s">
        <v>806</v>
      </c>
      <c r="B834" t="s">
        <v>643</v>
      </c>
      <c r="D834" t="s">
        <v>842</v>
      </c>
      <c r="E834" t="s">
        <v>709</v>
      </c>
      <c r="F834" t="s">
        <v>12</v>
      </c>
      <c r="G834">
        <v>0.23799999999999999</v>
      </c>
      <c r="K834" t="s">
        <v>649</v>
      </c>
      <c r="L834" t="s">
        <v>936</v>
      </c>
    </row>
    <row r="835" spans="1:12" x14ac:dyDescent="0.25">
      <c r="A835" t="s">
        <v>806</v>
      </c>
      <c r="B835" t="s">
        <v>1000</v>
      </c>
      <c r="D835" t="s">
        <v>842</v>
      </c>
      <c r="E835" t="s">
        <v>709</v>
      </c>
      <c r="F835" t="s">
        <v>837</v>
      </c>
      <c r="G835">
        <v>0.65700000000000003</v>
      </c>
      <c r="K835" t="s">
        <v>649</v>
      </c>
      <c r="L835" t="s">
        <v>936</v>
      </c>
    </row>
    <row r="836" spans="1:12" x14ac:dyDescent="0.25">
      <c r="A836" t="s">
        <v>806</v>
      </c>
      <c r="B836" t="s">
        <v>82</v>
      </c>
      <c r="D836" t="s">
        <v>842</v>
      </c>
      <c r="E836" t="s">
        <v>709</v>
      </c>
      <c r="F836" t="s">
        <v>837</v>
      </c>
      <c r="G836">
        <v>0.60799999999999998</v>
      </c>
      <c r="K836" t="s">
        <v>649</v>
      </c>
      <c r="L836" t="s">
        <v>936</v>
      </c>
    </row>
    <row r="837" spans="1:12" x14ac:dyDescent="0.25">
      <c r="A837" t="s">
        <v>806</v>
      </c>
      <c r="B837" t="s">
        <v>850</v>
      </c>
      <c r="D837" t="s">
        <v>842</v>
      </c>
      <c r="E837" t="s">
        <v>709</v>
      </c>
      <c r="F837" t="s">
        <v>12</v>
      </c>
      <c r="G837">
        <v>0.22900000000000001</v>
      </c>
      <c r="K837" t="s">
        <v>649</v>
      </c>
      <c r="L837" t="s">
        <v>936</v>
      </c>
    </row>
    <row r="838" spans="1:12" x14ac:dyDescent="0.25">
      <c r="A838" t="s">
        <v>806</v>
      </c>
      <c r="B838" t="s">
        <v>430</v>
      </c>
      <c r="D838" t="s">
        <v>842</v>
      </c>
      <c r="E838" t="s">
        <v>709</v>
      </c>
      <c r="F838" t="s">
        <v>12</v>
      </c>
      <c r="G838">
        <v>0.26</v>
      </c>
      <c r="K838" t="s">
        <v>649</v>
      </c>
      <c r="L838" t="s">
        <v>936</v>
      </c>
    </row>
    <row r="839" spans="1:12" x14ac:dyDescent="0.25">
      <c r="A839" t="s">
        <v>806</v>
      </c>
      <c r="B839" t="s">
        <v>341</v>
      </c>
      <c r="D839" t="s">
        <v>842</v>
      </c>
      <c r="E839" t="s">
        <v>709</v>
      </c>
      <c r="F839" t="s">
        <v>837</v>
      </c>
      <c r="G839">
        <v>0.439</v>
      </c>
      <c r="K839" t="s">
        <v>649</v>
      </c>
      <c r="L839" t="s">
        <v>936</v>
      </c>
    </row>
    <row r="840" spans="1:12" x14ac:dyDescent="0.25">
      <c r="A840" t="s">
        <v>806</v>
      </c>
      <c r="B840" t="s">
        <v>355</v>
      </c>
      <c r="D840" t="s">
        <v>842</v>
      </c>
      <c r="E840" t="s">
        <v>709</v>
      </c>
      <c r="F840" t="s">
        <v>837</v>
      </c>
      <c r="G840">
        <v>0.45600000000000002</v>
      </c>
      <c r="K840" t="s">
        <v>649</v>
      </c>
      <c r="L840" t="s">
        <v>936</v>
      </c>
    </row>
    <row r="841" spans="1:12" x14ac:dyDescent="0.25">
      <c r="A841" t="s">
        <v>806</v>
      </c>
      <c r="B841" t="s">
        <v>433</v>
      </c>
      <c r="D841" t="s">
        <v>842</v>
      </c>
      <c r="E841" t="s">
        <v>709</v>
      </c>
      <c r="F841" t="s">
        <v>12</v>
      </c>
      <c r="G841">
        <v>0.27900000000000003</v>
      </c>
      <c r="K841" t="s">
        <v>649</v>
      </c>
      <c r="L841" t="s">
        <v>936</v>
      </c>
    </row>
    <row r="842" spans="1:12" x14ac:dyDescent="0.25">
      <c r="A842" t="s">
        <v>900</v>
      </c>
      <c r="B842" t="s">
        <v>27</v>
      </c>
      <c r="D842" t="s">
        <v>571</v>
      </c>
      <c r="E842" t="s">
        <v>709</v>
      </c>
      <c r="F842" t="s">
        <v>12</v>
      </c>
      <c r="G842">
        <v>9.9000000000000005E-2</v>
      </c>
      <c r="H842">
        <v>45</v>
      </c>
      <c r="K842" t="s">
        <v>649</v>
      </c>
      <c r="L842" t="s">
        <v>688</v>
      </c>
    </row>
    <row r="843" spans="1:12" x14ac:dyDescent="0.25">
      <c r="A843" t="s">
        <v>900</v>
      </c>
      <c r="B843" t="s">
        <v>26</v>
      </c>
      <c r="D843" t="s">
        <v>571</v>
      </c>
      <c r="E843" t="s">
        <v>709</v>
      </c>
      <c r="F843" t="s">
        <v>12</v>
      </c>
      <c r="G843">
        <v>0.125</v>
      </c>
      <c r="H843">
        <v>54</v>
      </c>
      <c r="K843" t="s">
        <v>649</v>
      </c>
      <c r="L843" t="s">
        <v>688</v>
      </c>
    </row>
    <row r="844" spans="1:12" x14ac:dyDescent="0.25">
      <c r="A844" t="s">
        <v>900</v>
      </c>
      <c r="B844" t="s">
        <v>21</v>
      </c>
      <c r="D844" t="s">
        <v>571</v>
      </c>
      <c r="E844" t="s">
        <v>709</v>
      </c>
      <c r="F844" t="s">
        <v>12</v>
      </c>
      <c r="G844">
        <v>0.14000000000000001</v>
      </c>
      <c r="H844">
        <v>62</v>
      </c>
      <c r="K844" t="s">
        <v>649</v>
      </c>
      <c r="L844" t="s">
        <v>688</v>
      </c>
    </row>
    <row r="845" spans="1:12" x14ac:dyDescent="0.25">
      <c r="A845" t="s">
        <v>900</v>
      </c>
      <c r="B845" t="s">
        <v>22</v>
      </c>
      <c r="D845" t="s">
        <v>571</v>
      </c>
      <c r="E845" t="s">
        <v>709</v>
      </c>
      <c r="F845" t="s">
        <v>12</v>
      </c>
      <c r="G845">
        <v>0.13900000000000001</v>
      </c>
      <c r="H845">
        <v>63</v>
      </c>
      <c r="K845" t="s">
        <v>649</v>
      </c>
      <c r="L845" t="s">
        <v>688</v>
      </c>
    </row>
    <row r="846" spans="1:12" x14ac:dyDescent="0.25">
      <c r="A846" t="s">
        <v>900</v>
      </c>
      <c r="B846" t="s">
        <v>19</v>
      </c>
      <c r="D846" t="s">
        <v>571</v>
      </c>
      <c r="E846" t="s">
        <v>709</v>
      </c>
      <c r="F846" t="s">
        <v>12</v>
      </c>
      <c r="G846">
        <v>0.13500000000000001</v>
      </c>
      <c r="H846">
        <v>63</v>
      </c>
      <c r="K846" t="s">
        <v>649</v>
      </c>
      <c r="L846" t="s">
        <v>688</v>
      </c>
    </row>
    <row r="847" spans="1:12" x14ac:dyDescent="0.25">
      <c r="A847" t="s">
        <v>900</v>
      </c>
      <c r="B847" t="s">
        <v>20</v>
      </c>
      <c r="D847" t="s">
        <v>571</v>
      </c>
      <c r="E847" t="s">
        <v>709</v>
      </c>
      <c r="F847" t="s">
        <v>12</v>
      </c>
      <c r="G847">
        <v>0.13800000000000001</v>
      </c>
      <c r="H847">
        <v>64</v>
      </c>
      <c r="K847" t="s">
        <v>649</v>
      </c>
      <c r="L847" t="s">
        <v>688</v>
      </c>
    </row>
    <row r="848" spans="1:12" x14ac:dyDescent="0.25">
      <c r="A848" t="s">
        <v>900</v>
      </c>
      <c r="B848" t="s">
        <v>44</v>
      </c>
      <c r="D848" t="s">
        <v>571</v>
      </c>
      <c r="E848" t="s">
        <v>709</v>
      </c>
      <c r="F848" t="s">
        <v>12</v>
      </c>
      <c r="G848">
        <v>0.14599999999999999</v>
      </c>
      <c r="H848">
        <v>67</v>
      </c>
      <c r="K848" t="s">
        <v>649</v>
      </c>
      <c r="L848" t="s">
        <v>688</v>
      </c>
    </row>
    <row r="849" spans="1:12" x14ac:dyDescent="0.25">
      <c r="A849" t="s">
        <v>900</v>
      </c>
      <c r="B849" t="s">
        <v>20</v>
      </c>
      <c r="D849" t="s">
        <v>571</v>
      </c>
      <c r="E849" t="s">
        <v>709</v>
      </c>
      <c r="F849" t="s">
        <v>12</v>
      </c>
      <c r="G849">
        <v>0.161</v>
      </c>
      <c r="H849">
        <v>74</v>
      </c>
      <c r="K849" t="s">
        <v>649</v>
      </c>
      <c r="L849" t="s">
        <v>688</v>
      </c>
    </row>
    <row r="850" spans="1:12" x14ac:dyDescent="0.25">
      <c r="A850" t="s">
        <v>900</v>
      </c>
      <c r="B850" t="s">
        <v>19</v>
      </c>
      <c r="D850" t="s">
        <v>571</v>
      </c>
      <c r="E850" t="s">
        <v>709</v>
      </c>
      <c r="F850" t="s">
        <v>12</v>
      </c>
      <c r="G850">
        <v>0.14799999999999999</v>
      </c>
      <c r="H850">
        <v>67</v>
      </c>
      <c r="K850" t="s">
        <v>649</v>
      </c>
      <c r="L850" t="s">
        <v>688</v>
      </c>
    </row>
    <row r="851" spans="1:12" x14ac:dyDescent="0.25">
      <c r="A851" t="s">
        <v>900</v>
      </c>
      <c r="B851" t="s">
        <v>22</v>
      </c>
      <c r="D851" t="s">
        <v>571</v>
      </c>
      <c r="E851" t="s">
        <v>709</v>
      </c>
      <c r="F851" t="s">
        <v>837</v>
      </c>
      <c r="G851">
        <v>0.11600000000000001</v>
      </c>
      <c r="H851">
        <v>59</v>
      </c>
      <c r="K851" t="s">
        <v>649</v>
      </c>
      <c r="L851" t="s">
        <v>688</v>
      </c>
    </row>
    <row r="852" spans="1:12" x14ac:dyDescent="0.25">
      <c r="A852" t="s">
        <v>900</v>
      </c>
      <c r="B852" t="s">
        <v>21</v>
      </c>
      <c r="D852" t="s">
        <v>571</v>
      </c>
      <c r="E852" t="s">
        <v>709</v>
      </c>
      <c r="F852" t="s">
        <v>12</v>
      </c>
      <c r="G852">
        <v>0.114</v>
      </c>
      <c r="H852">
        <v>50</v>
      </c>
      <c r="K852" t="s">
        <v>649</v>
      </c>
      <c r="L852" t="s">
        <v>688</v>
      </c>
    </row>
    <row r="853" spans="1:12" x14ac:dyDescent="0.25">
      <c r="A853" t="s">
        <v>900</v>
      </c>
      <c r="B853" t="s">
        <v>26</v>
      </c>
      <c r="D853" t="s">
        <v>571</v>
      </c>
      <c r="E853" t="s">
        <v>709</v>
      </c>
      <c r="F853" t="s">
        <v>12</v>
      </c>
      <c r="G853">
        <v>0.104</v>
      </c>
      <c r="H853">
        <v>45</v>
      </c>
      <c r="K853" t="s">
        <v>649</v>
      </c>
      <c r="L853" t="s">
        <v>688</v>
      </c>
    </row>
    <row r="854" spans="1:12" x14ac:dyDescent="0.25">
      <c r="A854" t="s">
        <v>900</v>
      </c>
      <c r="B854" t="s">
        <v>27</v>
      </c>
      <c r="D854" t="s">
        <v>571</v>
      </c>
      <c r="E854" t="s">
        <v>709</v>
      </c>
      <c r="F854" t="s">
        <v>12</v>
      </c>
      <c r="G854">
        <v>8.5000000000000006E-2</v>
      </c>
      <c r="H854">
        <v>35</v>
      </c>
      <c r="K854" t="s">
        <v>649</v>
      </c>
      <c r="L854" t="s">
        <v>688</v>
      </c>
    </row>
    <row r="855" spans="1:12" x14ac:dyDescent="0.25">
      <c r="A855" t="s">
        <v>900</v>
      </c>
      <c r="B855" t="s">
        <v>28</v>
      </c>
      <c r="D855" t="s">
        <v>571</v>
      </c>
      <c r="E855" t="s">
        <v>709</v>
      </c>
      <c r="F855" t="s">
        <v>12</v>
      </c>
      <c r="G855">
        <v>5.5E-2</v>
      </c>
      <c r="H855">
        <v>27</v>
      </c>
      <c r="K855" t="s">
        <v>649</v>
      </c>
      <c r="L855" t="s">
        <v>688</v>
      </c>
    </row>
    <row r="856" spans="1:12" x14ac:dyDescent="0.25">
      <c r="A856" t="s">
        <v>900</v>
      </c>
      <c r="B856" t="s">
        <v>28</v>
      </c>
      <c r="D856" t="s">
        <v>571</v>
      </c>
      <c r="E856" t="s">
        <v>709</v>
      </c>
      <c r="F856" t="s">
        <v>12</v>
      </c>
      <c r="G856">
        <v>0.16800000000000001</v>
      </c>
      <c r="H856">
        <v>75</v>
      </c>
      <c r="K856" t="s">
        <v>649</v>
      </c>
      <c r="L856" t="s">
        <v>688</v>
      </c>
    </row>
    <row r="857" spans="1:12" x14ac:dyDescent="0.25">
      <c r="A857" t="s">
        <v>900</v>
      </c>
      <c r="B857" t="s">
        <v>27</v>
      </c>
      <c r="D857" t="s">
        <v>571</v>
      </c>
      <c r="E857" t="s">
        <v>709</v>
      </c>
      <c r="F857" t="s">
        <v>12</v>
      </c>
      <c r="G857">
        <v>0.17</v>
      </c>
      <c r="H857">
        <v>82</v>
      </c>
      <c r="K857" t="s">
        <v>649</v>
      </c>
      <c r="L857" t="s">
        <v>688</v>
      </c>
    </row>
    <row r="858" spans="1:12" x14ac:dyDescent="0.25">
      <c r="A858" t="s">
        <v>900</v>
      </c>
      <c r="B858" t="s">
        <v>21</v>
      </c>
      <c r="D858" t="s">
        <v>571</v>
      </c>
      <c r="E858" t="s">
        <v>709</v>
      </c>
      <c r="F858" t="s">
        <v>12</v>
      </c>
      <c r="G858">
        <v>0.214</v>
      </c>
      <c r="H858">
        <v>91</v>
      </c>
      <c r="K858" t="s">
        <v>649</v>
      </c>
      <c r="L858" t="s">
        <v>688</v>
      </c>
    </row>
    <row r="859" spans="1:12" x14ac:dyDescent="0.25">
      <c r="A859" t="s">
        <v>900</v>
      </c>
      <c r="B859" t="s">
        <v>22</v>
      </c>
      <c r="D859" t="s">
        <v>571</v>
      </c>
      <c r="E859" t="s">
        <v>709</v>
      </c>
      <c r="F859" t="s">
        <v>12</v>
      </c>
      <c r="G859">
        <v>0.21099999999999999</v>
      </c>
      <c r="H859">
        <v>95</v>
      </c>
      <c r="K859" t="s">
        <v>649</v>
      </c>
      <c r="L859" t="s">
        <v>688</v>
      </c>
    </row>
    <row r="860" spans="1:12" x14ac:dyDescent="0.25">
      <c r="A860" t="s">
        <v>900</v>
      </c>
      <c r="B860" t="s">
        <v>19</v>
      </c>
      <c r="D860" t="s">
        <v>571</v>
      </c>
      <c r="E860" t="s">
        <v>709</v>
      </c>
      <c r="F860" t="s">
        <v>12</v>
      </c>
      <c r="G860">
        <v>0.17599999999999999</v>
      </c>
      <c r="H860">
        <v>92</v>
      </c>
      <c r="K860" t="s">
        <v>649</v>
      </c>
      <c r="L860" t="s">
        <v>688</v>
      </c>
    </row>
    <row r="861" spans="1:12" x14ac:dyDescent="0.25">
      <c r="A861" t="s">
        <v>900</v>
      </c>
      <c r="B861" t="s">
        <v>45</v>
      </c>
      <c r="D861" t="s">
        <v>571</v>
      </c>
      <c r="E861" t="s">
        <v>709</v>
      </c>
      <c r="F861" t="s">
        <v>12</v>
      </c>
      <c r="G861">
        <v>0.112</v>
      </c>
      <c r="H861">
        <v>51</v>
      </c>
      <c r="K861" t="s">
        <v>649</v>
      </c>
      <c r="L861" t="s">
        <v>688</v>
      </c>
    </row>
    <row r="862" spans="1:12" x14ac:dyDescent="0.25">
      <c r="A862" t="s">
        <v>900</v>
      </c>
      <c r="B862" t="s">
        <v>28</v>
      </c>
      <c r="D862" t="s">
        <v>571</v>
      </c>
      <c r="E862" t="s">
        <v>709</v>
      </c>
      <c r="F862" t="s">
        <v>12</v>
      </c>
      <c r="G862">
        <v>0.129</v>
      </c>
      <c r="H862">
        <v>55</v>
      </c>
      <c r="K862" t="s">
        <v>649</v>
      </c>
      <c r="L862" t="s">
        <v>688</v>
      </c>
    </row>
    <row r="863" spans="1:12" x14ac:dyDescent="0.25">
      <c r="A863" t="s">
        <v>900</v>
      </c>
      <c r="B863" t="s">
        <v>27</v>
      </c>
      <c r="D863" t="s">
        <v>571</v>
      </c>
      <c r="E863" t="s">
        <v>709</v>
      </c>
      <c r="F863" t="s">
        <v>12</v>
      </c>
      <c r="G863">
        <v>0.115</v>
      </c>
      <c r="H863">
        <v>54</v>
      </c>
      <c r="K863" t="s">
        <v>649</v>
      </c>
      <c r="L863" t="s">
        <v>688</v>
      </c>
    </row>
    <row r="864" spans="1:12" x14ac:dyDescent="0.25">
      <c r="A864" t="s">
        <v>900</v>
      </c>
      <c r="B864" t="s">
        <v>21</v>
      </c>
      <c r="D864" t="s">
        <v>571</v>
      </c>
      <c r="E864" t="s">
        <v>709</v>
      </c>
      <c r="F864" t="s">
        <v>12</v>
      </c>
      <c r="G864">
        <v>0.2</v>
      </c>
      <c r="H864">
        <v>90</v>
      </c>
      <c r="K864" t="s">
        <v>649</v>
      </c>
      <c r="L864" t="s">
        <v>688</v>
      </c>
    </row>
    <row r="865" spans="1:12" x14ac:dyDescent="0.25">
      <c r="A865" t="s">
        <v>900</v>
      </c>
      <c r="B865" t="s">
        <v>22</v>
      </c>
      <c r="D865" t="s">
        <v>571</v>
      </c>
      <c r="E865" t="s">
        <v>709</v>
      </c>
      <c r="F865" t="s">
        <v>12</v>
      </c>
      <c r="G865">
        <v>0.13900000000000001</v>
      </c>
      <c r="H865">
        <v>65</v>
      </c>
      <c r="K865" t="s">
        <v>649</v>
      </c>
      <c r="L865" t="s">
        <v>688</v>
      </c>
    </row>
    <row r="866" spans="1:12" x14ac:dyDescent="0.25">
      <c r="A866" t="s">
        <v>900</v>
      </c>
      <c r="B866" t="s">
        <v>48</v>
      </c>
      <c r="D866" t="s">
        <v>571</v>
      </c>
      <c r="E866" t="s">
        <v>709</v>
      </c>
      <c r="F866" t="s">
        <v>12</v>
      </c>
      <c r="G866">
        <v>0.107</v>
      </c>
      <c r="H866">
        <v>72</v>
      </c>
      <c r="K866" t="s">
        <v>649</v>
      </c>
      <c r="L866" t="s">
        <v>688</v>
      </c>
    </row>
    <row r="867" spans="1:12" x14ac:dyDescent="0.25">
      <c r="A867" t="s">
        <v>900</v>
      </c>
      <c r="B867" t="s">
        <v>19</v>
      </c>
      <c r="D867" t="s">
        <v>571</v>
      </c>
      <c r="E867" t="s">
        <v>709</v>
      </c>
      <c r="F867" t="s">
        <v>12</v>
      </c>
      <c r="G867">
        <v>4.2999999999999997E-2</v>
      </c>
      <c r="H867">
        <v>30</v>
      </c>
      <c r="K867" t="s">
        <v>649</v>
      </c>
      <c r="L867" t="s">
        <v>688</v>
      </c>
    </row>
    <row r="868" spans="1:12" x14ac:dyDescent="0.25">
      <c r="A868" t="s">
        <v>900</v>
      </c>
      <c r="B868" t="s">
        <v>26</v>
      </c>
      <c r="D868" t="s">
        <v>571</v>
      </c>
      <c r="E868" t="s">
        <v>709</v>
      </c>
      <c r="F868" t="s">
        <v>12</v>
      </c>
      <c r="G868">
        <v>0.19700000000000001</v>
      </c>
      <c r="H868">
        <v>90</v>
      </c>
      <c r="K868" t="s">
        <v>649</v>
      </c>
      <c r="L868" t="s">
        <v>688</v>
      </c>
    </row>
    <row r="869" spans="1:12" x14ac:dyDescent="0.25">
      <c r="A869" t="s">
        <v>900</v>
      </c>
      <c r="B869" t="s">
        <v>46</v>
      </c>
      <c r="D869" t="s">
        <v>571</v>
      </c>
      <c r="E869" t="s">
        <v>709</v>
      </c>
      <c r="F869" t="s">
        <v>12</v>
      </c>
      <c r="G869">
        <v>6.3E-2</v>
      </c>
      <c r="H869">
        <v>31</v>
      </c>
      <c r="K869" t="s">
        <v>649</v>
      </c>
      <c r="L869" t="s">
        <v>688</v>
      </c>
    </row>
    <row r="870" spans="1:12" x14ac:dyDescent="0.25">
      <c r="A870" t="s">
        <v>900</v>
      </c>
      <c r="B870" t="s">
        <v>44</v>
      </c>
      <c r="D870" t="s">
        <v>571</v>
      </c>
      <c r="E870" t="s">
        <v>709</v>
      </c>
      <c r="F870" t="s">
        <v>12</v>
      </c>
      <c r="G870">
        <v>0.161</v>
      </c>
      <c r="H870">
        <v>80</v>
      </c>
      <c r="K870" t="s">
        <v>649</v>
      </c>
      <c r="L870" t="s">
        <v>688</v>
      </c>
    </row>
    <row r="871" spans="1:12" x14ac:dyDescent="0.25">
      <c r="A871" t="s">
        <v>900</v>
      </c>
      <c r="B871" t="s">
        <v>26</v>
      </c>
      <c r="D871" t="s">
        <v>571</v>
      </c>
      <c r="E871" t="s">
        <v>709</v>
      </c>
      <c r="F871" t="s">
        <v>12</v>
      </c>
      <c r="G871">
        <v>0.24099999999999999</v>
      </c>
      <c r="H871">
        <v>93</v>
      </c>
      <c r="K871" t="s">
        <v>649</v>
      </c>
      <c r="L871" t="s">
        <v>688</v>
      </c>
    </row>
    <row r="872" spans="1:12" x14ac:dyDescent="0.25">
      <c r="A872" t="s">
        <v>900</v>
      </c>
      <c r="B872" t="s">
        <v>20</v>
      </c>
      <c r="D872" t="s">
        <v>571</v>
      </c>
      <c r="E872" t="s">
        <v>709</v>
      </c>
      <c r="F872" t="s">
        <v>12</v>
      </c>
      <c r="G872">
        <v>0.16400000000000001</v>
      </c>
      <c r="H872">
        <v>82</v>
      </c>
      <c r="K872" t="s">
        <v>649</v>
      </c>
      <c r="L872" t="s">
        <v>688</v>
      </c>
    </row>
    <row r="873" spans="1:12" x14ac:dyDescent="0.25">
      <c r="A873" t="s">
        <v>900</v>
      </c>
      <c r="B873" t="s">
        <v>44</v>
      </c>
      <c r="D873" t="s">
        <v>571</v>
      </c>
      <c r="E873" t="s">
        <v>709</v>
      </c>
      <c r="F873" t="s">
        <v>12</v>
      </c>
      <c r="G873">
        <v>0.14099999999999999</v>
      </c>
      <c r="H873">
        <v>75</v>
      </c>
      <c r="K873" t="s">
        <v>649</v>
      </c>
      <c r="L873" t="s">
        <v>688</v>
      </c>
    </row>
    <row r="874" spans="1:12" x14ac:dyDescent="0.25">
      <c r="A874" t="s">
        <v>900</v>
      </c>
      <c r="B874" t="s">
        <v>45</v>
      </c>
      <c r="D874" t="s">
        <v>571</v>
      </c>
      <c r="E874" t="s">
        <v>709</v>
      </c>
      <c r="F874" t="s">
        <v>12</v>
      </c>
      <c r="G874">
        <v>0.125</v>
      </c>
      <c r="H874">
        <v>66</v>
      </c>
      <c r="K874" t="s">
        <v>649</v>
      </c>
      <c r="L874" t="s">
        <v>688</v>
      </c>
    </row>
    <row r="875" spans="1:12" x14ac:dyDescent="0.25">
      <c r="A875" t="s">
        <v>900</v>
      </c>
      <c r="B875" t="s">
        <v>46</v>
      </c>
      <c r="D875" t="s">
        <v>571</v>
      </c>
      <c r="E875" t="s">
        <v>709</v>
      </c>
      <c r="F875" t="s">
        <v>12</v>
      </c>
      <c r="G875">
        <v>9.2999999999999999E-2</v>
      </c>
      <c r="H875">
        <v>57</v>
      </c>
      <c r="K875" t="s">
        <v>649</v>
      </c>
      <c r="L875" t="s">
        <v>688</v>
      </c>
    </row>
    <row r="876" spans="1:12" x14ac:dyDescent="0.25">
      <c r="A876" t="s">
        <v>900</v>
      </c>
      <c r="B876" t="s">
        <v>28</v>
      </c>
      <c r="D876" t="s">
        <v>571</v>
      </c>
      <c r="E876" t="s">
        <v>709</v>
      </c>
      <c r="F876" t="s">
        <v>12</v>
      </c>
      <c r="G876">
        <v>0.152</v>
      </c>
      <c r="H876">
        <v>72</v>
      </c>
      <c r="K876" t="s">
        <v>649</v>
      </c>
      <c r="L876" t="s">
        <v>688</v>
      </c>
    </row>
    <row r="877" spans="1:12" x14ac:dyDescent="0.25">
      <c r="A877" t="s">
        <v>900</v>
      </c>
      <c r="B877" t="s">
        <v>27</v>
      </c>
      <c r="D877" t="s">
        <v>571</v>
      </c>
      <c r="E877" t="s">
        <v>709</v>
      </c>
      <c r="F877" t="s">
        <v>12</v>
      </c>
      <c r="G877">
        <v>0.17899999999999999</v>
      </c>
      <c r="H877">
        <v>85</v>
      </c>
      <c r="K877" t="s">
        <v>649</v>
      </c>
      <c r="L877" t="s">
        <v>688</v>
      </c>
    </row>
    <row r="878" spans="1:12" x14ac:dyDescent="0.25">
      <c r="A878" t="s">
        <v>900</v>
      </c>
      <c r="B878" t="s">
        <v>26</v>
      </c>
      <c r="D878" t="s">
        <v>571</v>
      </c>
      <c r="E878" t="s">
        <v>709</v>
      </c>
      <c r="F878" t="s">
        <v>12</v>
      </c>
      <c r="G878">
        <v>0.21</v>
      </c>
      <c r="H878">
        <v>91</v>
      </c>
      <c r="K878" t="s">
        <v>649</v>
      </c>
      <c r="L878" t="s">
        <v>688</v>
      </c>
    </row>
    <row r="879" spans="1:12" x14ac:dyDescent="0.25">
      <c r="A879" t="s">
        <v>900</v>
      </c>
      <c r="B879" t="s">
        <v>21</v>
      </c>
      <c r="D879" t="s">
        <v>571</v>
      </c>
      <c r="E879" t="s">
        <v>709</v>
      </c>
      <c r="F879" t="s">
        <v>12</v>
      </c>
      <c r="G879">
        <v>0.20799999999999999</v>
      </c>
      <c r="H879">
        <v>93</v>
      </c>
      <c r="K879" t="s">
        <v>649</v>
      </c>
      <c r="L879" t="s">
        <v>688</v>
      </c>
    </row>
    <row r="880" spans="1:12" x14ac:dyDescent="0.25">
      <c r="A880" t="s">
        <v>900</v>
      </c>
      <c r="B880" t="s">
        <v>22</v>
      </c>
      <c r="D880" t="s">
        <v>571</v>
      </c>
      <c r="E880" t="s">
        <v>709</v>
      </c>
      <c r="F880" t="s">
        <v>12</v>
      </c>
      <c r="G880">
        <v>0.20799999999999999</v>
      </c>
      <c r="H880">
        <v>95</v>
      </c>
      <c r="K880" t="s">
        <v>649</v>
      </c>
      <c r="L880" t="s">
        <v>688</v>
      </c>
    </row>
    <row r="881" spans="1:12" x14ac:dyDescent="0.25">
      <c r="A881" t="s">
        <v>900</v>
      </c>
      <c r="B881" t="s">
        <v>19</v>
      </c>
      <c r="D881" t="s">
        <v>571</v>
      </c>
      <c r="E881" t="s">
        <v>709</v>
      </c>
      <c r="F881" t="s">
        <v>12</v>
      </c>
      <c r="G881">
        <v>0.20599999999999999</v>
      </c>
      <c r="H881">
        <v>95</v>
      </c>
      <c r="K881" t="s">
        <v>649</v>
      </c>
      <c r="L881" t="s">
        <v>688</v>
      </c>
    </row>
    <row r="882" spans="1:12" x14ac:dyDescent="0.25">
      <c r="A882" t="s">
        <v>900</v>
      </c>
      <c r="B882" t="s">
        <v>20</v>
      </c>
      <c r="D882" t="s">
        <v>571</v>
      </c>
      <c r="E882" t="s">
        <v>709</v>
      </c>
      <c r="F882" t="s">
        <v>12</v>
      </c>
      <c r="G882">
        <v>0.224</v>
      </c>
      <c r="H882">
        <v>95</v>
      </c>
      <c r="K882" t="s">
        <v>649</v>
      </c>
      <c r="L882" t="s">
        <v>688</v>
      </c>
    </row>
    <row r="883" spans="1:12" x14ac:dyDescent="0.25">
      <c r="A883" t="s">
        <v>900</v>
      </c>
      <c r="B883" t="s">
        <v>44</v>
      </c>
      <c r="D883" t="s">
        <v>571</v>
      </c>
      <c r="E883" t="s">
        <v>709</v>
      </c>
      <c r="F883" t="s">
        <v>12</v>
      </c>
      <c r="G883">
        <v>0.184</v>
      </c>
      <c r="H883">
        <v>94</v>
      </c>
      <c r="K883" t="s">
        <v>649</v>
      </c>
      <c r="L883" t="s">
        <v>688</v>
      </c>
    </row>
    <row r="884" spans="1:12" x14ac:dyDescent="0.25">
      <c r="A884" t="s">
        <v>900</v>
      </c>
      <c r="B884" t="s">
        <v>45</v>
      </c>
      <c r="D884" t="s">
        <v>571</v>
      </c>
      <c r="E884" t="s">
        <v>709</v>
      </c>
      <c r="F884" t="s">
        <v>12</v>
      </c>
      <c r="G884">
        <v>0.19400000000000001</v>
      </c>
      <c r="H884">
        <v>91</v>
      </c>
      <c r="K884" t="s">
        <v>649</v>
      </c>
      <c r="L884" t="s">
        <v>688</v>
      </c>
    </row>
    <row r="885" spans="1:12" x14ac:dyDescent="0.25">
      <c r="A885" t="s">
        <v>900</v>
      </c>
      <c r="B885" t="s">
        <v>46</v>
      </c>
      <c r="D885" t="s">
        <v>571</v>
      </c>
      <c r="E885" t="s">
        <v>709</v>
      </c>
      <c r="F885" t="s">
        <v>12</v>
      </c>
      <c r="G885">
        <v>0.20399999999999999</v>
      </c>
      <c r="H885">
        <v>88</v>
      </c>
      <c r="K885" t="s">
        <v>649</v>
      </c>
      <c r="L885" t="s">
        <v>688</v>
      </c>
    </row>
    <row r="886" spans="1:12" x14ac:dyDescent="0.25">
      <c r="A886" t="s">
        <v>900</v>
      </c>
      <c r="B886" t="s">
        <v>47</v>
      </c>
      <c r="D886" t="s">
        <v>571</v>
      </c>
      <c r="E886" t="s">
        <v>709</v>
      </c>
      <c r="F886" t="s">
        <v>12</v>
      </c>
      <c r="G886">
        <v>0.193</v>
      </c>
      <c r="H886">
        <v>81</v>
      </c>
      <c r="K886" t="s">
        <v>649</v>
      </c>
      <c r="L886" t="s">
        <v>688</v>
      </c>
    </row>
    <row r="887" spans="1:12" x14ac:dyDescent="0.25">
      <c r="A887" t="s">
        <v>900</v>
      </c>
      <c r="B887" t="s">
        <v>43</v>
      </c>
      <c r="D887" t="s">
        <v>571</v>
      </c>
      <c r="E887" t="s">
        <v>709</v>
      </c>
      <c r="F887" t="s">
        <v>12</v>
      </c>
      <c r="G887">
        <v>0.17100000000000001</v>
      </c>
      <c r="H887">
        <v>76</v>
      </c>
      <c r="K887" t="s">
        <v>649</v>
      </c>
      <c r="L887" t="s">
        <v>688</v>
      </c>
    </row>
    <row r="888" spans="1:12" x14ac:dyDescent="0.25">
      <c r="A888" t="s">
        <v>900</v>
      </c>
      <c r="B888" t="s">
        <v>40</v>
      </c>
      <c r="D888" t="s">
        <v>571</v>
      </c>
      <c r="E888" t="s">
        <v>709</v>
      </c>
      <c r="F888" t="s">
        <v>12</v>
      </c>
      <c r="G888">
        <v>0.152</v>
      </c>
      <c r="H888">
        <v>73</v>
      </c>
      <c r="K888" t="s">
        <v>649</v>
      </c>
      <c r="L888" t="s">
        <v>688</v>
      </c>
    </row>
    <row r="889" spans="1:12" x14ac:dyDescent="0.25">
      <c r="A889" t="s">
        <v>900</v>
      </c>
      <c r="B889" t="s">
        <v>42</v>
      </c>
      <c r="D889" t="s">
        <v>571</v>
      </c>
      <c r="E889" t="s">
        <v>709</v>
      </c>
      <c r="F889" t="s">
        <v>12</v>
      </c>
      <c r="G889">
        <v>0.13300000000000001</v>
      </c>
      <c r="H889">
        <v>73</v>
      </c>
      <c r="K889" t="s">
        <v>649</v>
      </c>
      <c r="L889" t="s">
        <v>688</v>
      </c>
    </row>
    <row r="890" spans="1:12" x14ac:dyDescent="0.25">
      <c r="A890" t="s">
        <v>900</v>
      </c>
      <c r="B890" t="s">
        <v>28</v>
      </c>
      <c r="D890" t="s">
        <v>571</v>
      </c>
      <c r="E890" t="s">
        <v>709</v>
      </c>
      <c r="F890" t="s">
        <v>12</v>
      </c>
      <c r="G890">
        <v>7.9000000000000001E-2</v>
      </c>
      <c r="H890">
        <v>33</v>
      </c>
      <c r="K890" t="s">
        <v>649</v>
      </c>
      <c r="L890" t="s">
        <v>688</v>
      </c>
    </row>
    <row r="891" spans="1:12" x14ac:dyDescent="0.25">
      <c r="A891" t="s">
        <v>900</v>
      </c>
      <c r="B891" t="s">
        <v>458</v>
      </c>
      <c r="D891" t="s">
        <v>571</v>
      </c>
      <c r="E891" t="s">
        <v>709</v>
      </c>
      <c r="F891" t="s">
        <v>837</v>
      </c>
      <c r="G891">
        <v>0.90400000000000003</v>
      </c>
      <c r="K891" t="s">
        <v>649</v>
      </c>
      <c r="L891" t="s">
        <v>688</v>
      </c>
    </row>
    <row r="892" spans="1:12" x14ac:dyDescent="0.25">
      <c r="A892" t="s">
        <v>900</v>
      </c>
      <c r="B892" t="s">
        <v>459</v>
      </c>
      <c r="D892" t="s">
        <v>571</v>
      </c>
      <c r="E892" t="s">
        <v>709</v>
      </c>
      <c r="F892" t="s">
        <v>837</v>
      </c>
      <c r="G892">
        <v>0.44500000000000001</v>
      </c>
      <c r="K892" t="s">
        <v>649</v>
      </c>
      <c r="L892" t="s">
        <v>688</v>
      </c>
    </row>
    <row r="893" spans="1:12" x14ac:dyDescent="0.25">
      <c r="A893" t="s">
        <v>900</v>
      </c>
      <c r="B893" t="s">
        <v>460</v>
      </c>
      <c r="D893" t="s">
        <v>571</v>
      </c>
      <c r="E893" t="s">
        <v>709</v>
      </c>
      <c r="F893" t="s">
        <v>837</v>
      </c>
      <c r="G893">
        <v>2.282</v>
      </c>
      <c r="K893" t="s">
        <v>649</v>
      </c>
      <c r="L893" t="s">
        <v>688</v>
      </c>
    </row>
    <row r="894" spans="1:12" x14ac:dyDescent="0.25">
      <c r="A894" t="s">
        <v>900</v>
      </c>
      <c r="B894" t="s">
        <v>28</v>
      </c>
      <c r="D894" t="s">
        <v>571</v>
      </c>
      <c r="E894" t="s">
        <v>709</v>
      </c>
      <c r="F894" t="s">
        <v>12</v>
      </c>
      <c r="G894">
        <v>8.5999999999999993E-2</v>
      </c>
      <c r="H894">
        <v>38</v>
      </c>
      <c r="K894" t="s">
        <v>649</v>
      </c>
      <c r="L894" t="s">
        <v>688</v>
      </c>
    </row>
    <row r="895" spans="1:12" x14ac:dyDescent="0.25">
      <c r="A895" t="s">
        <v>900</v>
      </c>
      <c r="B895" t="s">
        <v>27</v>
      </c>
      <c r="D895" t="s">
        <v>571</v>
      </c>
      <c r="E895" t="s">
        <v>709</v>
      </c>
      <c r="F895" t="s">
        <v>12</v>
      </c>
      <c r="G895">
        <v>0.10299999999999999</v>
      </c>
      <c r="H895">
        <v>49</v>
      </c>
      <c r="K895" t="s">
        <v>649</v>
      </c>
      <c r="L895" t="s">
        <v>688</v>
      </c>
    </row>
    <row r="896" spans="1:12" x14ac:dyDescent="0.25">
      <c r="A896" t="s">
        <v>900</v>
      </c>
      <c r="B896" t="s">
        <v>26</v>
      </c>
      <c r="D896" t="s">
        <v>571</v>
      </c>
      <c r="E896" t="s">
        <v>709</v>
      </c>
      <c r="F896" t="s">
        <v>12</v>
      </c>
      <c r="G896">
        <v>0.121</v>
      </c>
      <c r="H896">
        <v>56</v>
      </c>
      <c r="K896" t="s">
        <v>649</v>
      </c>
      <c r="L896" t="s">
        <v>688</v>
      </c>
    </row>
    <row r="897" spans="1:12" x14ac:dyDescent="0.25">
      <c r="A897" t="s">
        <v>900</v>
      </c>
      <c r="B897" t="s">
        <v>21</v>
      </c>
      <c r="D897" t="s">
        <v>571</v>
      </c>
      <c r="E897" t="s">
        <v>709</v>
      </c>
      <c r="F897" t="s">
        <v>12</v>
      </c>
      <c r="G897">
        <v>0.16700000000000001</v>
      </c>
      <c r="H897">
        <v>78</v>
      </c>
      <c r="K897" t="s">
        <v>649</v>
      </c>
      <c r="L897" t="s">
        <v>688</v>
      </c>
    </row>
    <row r="898" spans="1:12" x14ac:dyDescent="0.25">
      <c r="A898" t="s">
        <v>900</v>
      </c>
      <c r="B898" t="s">
        <v>22</v>
      </c>
      <c r="D898" t="s">
        <v>571</v>
      </c>
      <c r="E898" t="s">
        <v>709</v>
      </c>
      <c r="F898" t="s">
        <v>12</v>
      </c>
      <c r="G898">
        <v>0.192</v>
      </c>
      <c r="H898">
        <v>89</v>
      </c>
      <c r="K898" t="s">
        <v>649</v>
      </c>
      <c r="L898" t="s">
        <v>688</v>
      </c>
    </row>
    <row r="899" spans="1:12" x14ac:dyDescent="0.25">
      <c r="A899" t="s">
        <v>896</v>
      </c>
      <c r="B899" t="s">
        <v>88</v>
      </c>
      <c r="D899" t="s">
        <v>839</v>
      </c>
      <c r="E899" t="s">
        <v>705</v>
      </c>
      <c r="F899" t="s">
        <v>89</v>
      </c>
      <c r="G899">
        <v>0.17899999999999999</v>
      </c>
      <c r="K899" t="s">
        <v>649</v>
      </c>
      <c r="L899" t="s">
        <v>936</v>
      </c>
    </row>
    <row r="900" spans="1:12" x14ac:dyDescent="0.25">
      <c r="A900" t="s">
        <v>896</v>
      </c>
      <c r="B900" t="s">
        <v>90</v>
      </c>
      <c r="D900" t="s">
        <v>839</v>
      </c>
      <c r="E900" t="s">
        <v>705</v>
      </c>
      <c r="F900" t="s">
        <v>89</v>
      </c>
      <c r="G900">
        <v>0.17699999999999999</v>
      </c>
      <c r="K900" t="s">
        <v>649</v>
      </c>
      <c r="L900" t="s">
        <v>936</v>
      </c>
    </row>
    <row r="901" spans="1:12" x14ac:dyDescent="0.25">
      <c r="A901" t="s">
        <v>896</v>
      </c>
      <c r="B901" t="s">
        <v>91</v>
      </c>
      <c r="D901" t="s">
        <v>839</v>
      </c>
      <c r="E901" t="s">
        <v>705</v>
      </c>
      <c r="F901" t="s">
        <v>89</v>
      </c>
      <c r="G901">
        <v>0.183</v>
      </c>
      <c r="K901" t="s">
        <v>649</v>
      </c>
      <c r="L901" t="s">
        <v>936</v>
      </c>
    </row>
    <row r="902" spans="1:12" x14ac:dyDescent="0.25">
      <c r="A902" t="s">
        <v>896</v>
      </c>
      <c r="B902" t="s">
        <v>92</v>
      </c>
      <c r="D902" t="s">
        <v>839</v>
      </c>
      <c r="E902" t="s">
        <v>705</v>
      </c>
      <c r="F902" t="s">
        <v>89</v>
      </c>
      <c r="G902">
        <v>0.17399999999999999</v>
      </c>
      <c r="K902" t="s">
        <v>649</v>
      </c>
      <c r="L902" t="s">
        <v>936</v>
      </c>
    </row>
    <row r="903" spans="1:12" x14ac:dyDescent="0.25">
      <c r="A903" t="s">
        <v>896</v>
      </c>
      <c r="B903" t="s">
        <v>93</v>
      </c>
      <c r="D903" t="s">
        <v>839</v>
      </c>
      <c r="E903" t="s">
        <v>705</v>
      </c>
      <c r="F903" t="s">
        <v>89</v>
      </c>
      <c r="G903">
        <v>0.17299999999999999</v>
      </c>
      <c r="K903" t="s">
        <v>649</v>
      </c>
      <c r="L903" t="s">
        <v>936</v>
      </c>
    </row>
    <row r="904" spans="1:12" x14ac:dyDescent="0.25">
      <c r="A904" t="s">
        <v>896</v>
      </c>
      <c r="B904" t="s">
        <v>94</v>
      </c>
      <c r="D904" t="s">
        <v>839</v>
      </c>
      <c r="E904" t="s">
        <v>705</v>
      </c>
      <c r="F904" t="s">
        <v>89</v>
      </c>
      <c r="G904">
        <v>0.17399999999999999</v>
      </c>
      <c r="K904" t="s">
        <v>649</v>
      </c>
      <c r="L904" t="s">
        <v>936</v>
      </c>
    </row>
    <row r="905" spans="1:12" x14ac:dyDescent="0.25">
      <c r="A905" t="s">
        <v>896</v>
      </c>
      <c r="B905" t="s">
        <v>95</v>
      </c>
      <c r="D905" t="s">
        <v>839</v>
      </c>
      <c r="E905" t="s">
        <v>705</v>
      </c>
      <c r="F905" t="s">
        <v>89</v>
      </c>
      <c r="G905">
        <v>0.17399999999999999</v>
      </c>
      <c r="K905" t="s">
        <v>649</v>
      </c>
      <c r="L905" t="s">
        <v>936</v>
      </c>
    </row>
    <row r="906" spans="1:12" x14ac:dyDescent="0.25">
      <c r="A906" t="s">
        <v>896</v>
      </c>
      <c r="B906" t="s">
        <v>96</v>
      </c>
      <c r="D906" t="s">
        <v>839</v>
      </c>
      <c r="E906" t="s">
        <v>705</v>
      </c>
      <c r="F906" t="s">
        <v>12</v>
      </c>
      <c r="G906">
        <v>0.19</v>
      </c>
      <c r="K906" t="s">
        <v>649</v>
      </c>
      <c r="L906" t="s">
        <v>936</v>
      </c>
    </row>
    <row r="907" spans="1:12" x14ac:dyDescent="0.25">
      <c r="A907" t="s">
        <v>896</v>
      </c>
      <c r="B907" t="s">
        <v>97</v>
      </c>
      <c r="D907" t="s">
        <v>839</v>
      </c>
      <c r="E907" t="s">
        <v>705</v>
      </c>
      <c r="F907" t="s">
        <v>12</v>
      </c>
      <c r="G907">
        <v>0.184</v>
      </c>
      <c r="K907" t="s">
        <v>649</v>
      </c>
      <c r="L907" t="s">
        <v>936</v>
      </c>
    </row>
    <row r="908" spans="1:12" x14ac:dyDescent="0.25">
      <c r="A908" t="s">
        <v>896</v>
      </c>
      <c r="B908" t="s">
        <v>98</v>
      </c>
      <c r="D908" t="s">
        <v>839</v>
      </c>
      <c r="E908" t="s">
        <v>705</v>
      </c>
      <c r="F908" t="s">
        <v>12</v>
      </c>
      <c r="G908">
        <v>0.17899999999999999</v>
      </c>
      <c r="K908" t="s">
        <v>649</v>
      </c>
      <c r="L908" t="s">
        <v>936</v>
      </c>
    </row>
    <row r="909" spans="1:12" x14ac:dyDescent="0.25">
      <c r="A909" t="s">
        <v>896</v>
      </c>
      <c r="B909" t="s">
        <v>99</v>
      </c>
      <c r="D909" t="s">
        <v>839</v>
      </c>
      <c r="E909" t="s">
        <v>705</v>
      </c>
      <c r="F909" t="s">
        <v>12</v>
      </c>
      <c r="G909">
        <v>0.17399999999999999</v>
      </c>
      <c r="K909" t="s">
        <v>649</v>
      </c>
      <c r="L909" t="s">
        <v>936</v>
      </c>
    </row>
    <row r="910" spans="1:12" x14ac:dyDescent="0.25">
      <c r="A910" t="s">
        <v>896</v>
      </c>
      <c r="B910" t="s">
        <v>100</v>
      </c>
      <c r="D910" t="s">
        <v>839</v>
      </c>
      <c r="E910" t="s">
        <v>705</v>
      </c>
      <c r="F910" t="s">
        <v>837</v>
      </c>
      <c r="G910">
        <v>0.17599999999999999</v>
      </c>
      <c r="K910" t="s">
        <v>649</v>
      </c>
      <c r="L910" t="s">
        <v>936</v>
      </c>
    </row>
    <row r="911" spans="1:12" x14ac:dyDescent="0.25">
      <c r="A911" t="s">
        <v>896</v>
      </c>
      <c r="B911" t="s">
        <v>101</v>
      </c>
      <c r="D911" t="s">
        <v>839</v>
      </c>
      <c r="E911" t="s">
        <v>705</v>
      </c>
      <c r="F911" t="s">
        <v>837</v>
      </c>
      <c r="G911">
        <v>0.17199999999999999</v>
      </c>
      <c r="K911" t="s">
        <v>649</v>
      </c>
      <c r="L911" t="s">
        <v>936</v>
      </c>
    </row>
    <row r="912" spans="1:12" x14ac:dyDescent="0.25">
      <c r="A912" t="s">
        <v>896</v>
      </c>
      <c r="B912" t="s">
        <v>102</v>
      </c>
      <c r="D912" t="s">
        <v>839</v>
      </c>
      <c r="E912" t="s">
        <v>705</v>
      </c>
      <c r="F912" t="s">
        <v>837</v>
      </c>
      <c r="G912">
        <v>0.17199999999999999</v>
      </c>
      <c r="K912" t="s">
        <v>649</v>
      </c>
      <c r="L912" t="s">
        <v>936</v>
      </c>
    </row>
    <row r="913" spans="1:12" x14ac:dyDescent="0.25">
      <c r="A913" t="s">
        <v>896</v>
      </c>
      <c r="B913" t="s">
        <v>103</v>
      </c>
      <c r="D913" t="s">
        <v>839</v>
      </c>
      <c r="E913" t="s">
        <v>705</v>
      </c>
      <c r="F913" t="s">
        <v>837</v>
      </c>
      <c r="G913">
        <v>0.17599999999999999</v>
      </c>
      <c r="K913" t="s">
        <v>649</v>
      </c>
      <c r="L913" t="s">
        <v>936</v>
      </c>
    </row>
    <row r="914" spans="1:12" x14ac:dyDescent="0.25">
      <c r="A914" t="s">
        <v>896</v>
      </c>
      <c r="B914" t="s">
        <v>104</v>
      </c>
      <c r="D914" t="s">
        <v>839</v>
      </c>
      <c r="E914" t="s">
        <v>705</v>
      </c>
      <c r="F914" t="s">
        <v>12</v>
      </c>
      <c r="G914">
        <v>0.17399999999999999</v>
      </c>
      <c r="K914" t="s">
        <v>649</v>
      </c>
      <c r="L914" t="s">
        <v>936</v>
      </c>
    </row>
    <row r="915" spans="1:12" x14ac:dyDescent="0.25">
      <c r="A915" t="s">
        <v>896</v>
      </c>
      <c r="B915" t="s">
        <v>105</v>
      </c>
      <c r="D915" t="s">
        <v>839</v>
      </c>
      <c r="E915" t="s">
        <v>705</v>
      </c>
      <c r="F915" t="s">
        <v>837</v>
      </c>
      <c r="G915">
        <v>0.17699999999999999</v>
      </c>
      <c r="K915" t="s">
        <v>649</v>
      </c>
      <c r="L915" t="s">
        <v>936</v>
      </c>
    </row>
    <row r="916" spans="1:12" x14ac:dyDescent="0.25">
      <c r="A916" t="s">
        <v>896</v>
      </c>
      <c r="B916" t="s">
        <v>106</v>
      </c>
      <c r="D916" t="s">
        <v>839</v>
      </c>
      <c r="E916" t="s">
        <v>705</v>
      </c>
      <c r="F916" t="s">
        <v>837</v>
      </c>
      <c r="G916">
        <v>0.17699999999999999</v>
      </c>
      <c r="K916" t="s">
        <v>649</v>
      </c>
      <c r="L916" t="s">
        <v>936</v>
      </c>
    </row>
    <row r="917" spans="1:12" x14ac:dyDescent="0.25">
      <c r="A917" t="s">
        <v>896</v>
      </c>
      <c r="B917" t="s">
        <v>107</v>
      </c>
      <c r="D917" t="s">
        <v>839</v>
      </c>
      <c r="E917" t="s">
        <v>705</v>
      </c>
      <c r="F917" t="s">
        <v>837</v>
      </c>
      <c r="G917">
        <v>0.183</v>
      </c>
      <c r="K917" t="s">
        <v>649</v>
      </c>
      <c r="L917" t="s">
        <v>936</v>
      </c>
    </row>
    <row r="918" spans="1:12" x14ac:dyDescent="0.25">
      <c r="A918" t="s">
        <v>896</v>
      </c>
      <c r="B918" t="s">
        <v>108</v>
      </c>
      <c r="D918" t="s">
        <v>839</v>
      </c>
      <c r="E918" t="s">
        <v>705</v>
      </c>
      <c r="F918" t="s">
        <v>837</v>
      </c>
      <c r="G918">
        <v>0.19</v>
      </c>
      <c r="K918" t="s">
        <v>649</v>
      </c>
      <c r="L918" t="s">
        <v>936</v>
      </c>
    </row>
    <row r="919" spans="1:12" x14ac:dyDescent="0.25">
      <c r="A919" t="s">
        <v>896</v>
      </c>
      <c r="B919" t="s">
        <v>109</v>
      </c>
      <c r="D919" t="s">
        <v>839</v>
      </c>
      <c r="E919" t="s">
        <v>705</v>
      </c>
      <c r="F919" t="s">
        <v>837</v>
      </c>
      <c r="G919">
        <v>0.151</v>
      </c>
      <c r="K919" t="s">
        <v>649</v>
      </c>
      <c r="L919" t="s">
        <v>936</v>
      </c>
    </row>
    <row r="920" spans="1:12" x14ac:dyDescent="0.25">
      <c r="A920" t="s">
        <v>896</v>
      </c>
      <c r="B920" t="s">
        <v>110</v>
      </c>
      <c r="D920" t="s">
        <v>839</v>
      </c>
      <c r="E920" t="s">
        <v>705</v>
      </c>
      <c r="F920" t="s">
        <v>837</v>
      </c>
      <c r="G920">
        <v>0.17499999999999999</v>
      </c>
      <c r="K920" t="s">
        <v>649</v>
      </c>
      <c r="L920" t="s">
        <v>936</v>
      </c>
    </row>
    <row r="921" spans="1:12" x14ac:dyDescent="0.25">
      <c r="A921" t="s">
        <v>896</v>
      </c>
      <c r="B921" t="s">
        <v>111</v>
      </c>
      <c r="D921" t="s">
        <v>839</v>
      </c>
      <c r="E921" t="s">
        <v>705</v>
      </c>
      <c r="F921" t="s">
        <v>837</v>
      </c>
      <c r="G921">
        <v>0.182</v>
      </c>
      <c r="K921" t="s">
        <v>649</v>
      </c>
      <c r="L921" t="s">
        <v>936</v>
      </c>
    </row>
    <row r="922" spans="1:12" x14ac:dyDescent="0.25">
      <c r="A922" t="s">
        <v>896</v>
      </c>
      <c r="B922" t="s">
        <v>112</v>
      </c>
      <c r="D922" t="s">
        <v>839</v>
      </c>
      <c r="E922" t="s">
        <v>705</v>
      </c>
      <c r="F922" t="s">
        <v>837</v>
      </c>
      <c r="G922">
        <v>0.184</v>
      </c>
      <c r="K922" t="s">
        <v>649</v>
      </c>
      <c r="L922" t="s">
        <v>936</v>
      </c>
    </row>
    <row r="923" spans="1:12" x14ac:dyDescent="0.25">
      <c r="A923" t="s">
        <v>896</v>
      </c>
      <c r="B923" t="s">
        <v>113</v>
      </c>
      <c r="D923" t="s">
        <v>839</v>
      </c>
      <c r="E923" t="s">
        <v>705</v>
      </c>
      <c r="F923" t="s">
        <v>837</v>
      </c>
      <c r="G923">
        <v>0.17499999999999999</v>
      </c>
      <c r="K923" t="s">
        <v>649</v>
      </c>
      <c r="L923" t="s">
        <v>936</v>
      </c>
    </row>
    <row r="924" spans="1:12" x14ac:dyDescent="0.25">
      <c r="A924" t="s">
        <v>896</v>
      </c>
      <c r="B924" t="s">
        <v>114</v>
      </c>
      <c r="D924" t="s">
        <v>839</v>
      </c>
      <c r="E924" t="s">
        <v>705</v>
      </c>
      <c r="F924" t="s">
        <v>12</v>
      </c>
      <c r="G924">
        <v>0.184</v>
      </c>
      <c r="K924" t="s">
        <v>649</v>
      </c>
      <c r="L924" t="s">
        <v>936</v>
      </c>
    </row>
    <row r="925" spans="1:12" x14ac:dyDescent="0.25">
      <c r="A925" t="s">
        <v>896</v>
      </c>
      <c r="B925" t="s">
        <v>115</v>
      </c>
      <c r="D925" t="s">
        <v>839</v>
      </c>
      <c r="E925" t="s">
        <v>705</v>
      </c>
      <c r="F925" t="s">
        <v>837</v>
      </c>
      <c r="G925">
        <v>0.20399999999999999</v>
      </c>
      <c r="K925" t="s">
        <v>649</v>
      </c>
      <c r="L925" t="s">
        <v>936</v>
      </c>
    </row>
    <row r="926" spans="1:12" x14ac:dyDescent="0.25">
      <c r="A926" t="s">
        <v>896</v>
      </c>
      <c r="B926" t="s">
        <v>116</v>
      </c>
      <c r="D926" t="s">
        <v>839</v>
      </c>
      <c r="E926" t="s">
        <v>705</v>
      </c>
      <c r="F926" t="s">
        <v>837</v>
      </c>
      <c r="G926">
        <v>0.17299999999999999</v>
      </c>
      <c r="K926" t="s">
        <v>649</v>
      </c>
      <c r="L926" t="s">
        <v>936</v>
      </c>
    </row>
    <row r="927" spans="1:12" x14ac:dyDescent="0.25">
      <c r="A927" t="s">
        <v>896</v>
      </c>
      <c r="B927" t="s">
        <v>117</v>
      </c>
      <c r="D927" t="s">
        <v>839</v>
      </c>
      <c r="E927" t="s">
        <v>705</v>
      </c>
      <c r="F927" t="s">
        <v>12</v>
      </c>
      <c r="G927">
        <v>0.14899999999999999</v>
      </c>
      <c r="K927" t="s">
        <v>649</v>
      </c>
      <c r="L927" t="s">
        <v>936</v>
      </c>
    </row>
    <row r="928" spans="1:12" x14ac:dyDescent="0.25">
      <c r="A928" t="s">
        <v>896</v>
      </c>
      <c r="B928" t="s">
        <v>118</v>
      </c>
      <c r="D928" t="s">
        <v>839</v>
      </c>
      <c r="E928" t="s">
        <v>705</v>
      </c>
      <c r="F928" t="s">
        <v>837</v>
      </c>
      <c r="G928">
        <v>0.20200000000000001</v>
      </c>
      <c r="K928" t="s">
        <v>649</v>
      </c>
      <c r="L928" t="s">
        <v>936</v>
      </c>
    </row>
    <row r="929" spans="1:12" x14ac:dyDescent="0.25">
      <c r="A929" t="s">
        <v>896</v>
      </c>
      <c r="B929" t="s">
        <v>119</v>
      </c>
      <c r="D929" t="s">
        <v>839</v>
      </c>
      <c r="E929" t="s">
        <v>705</v>
      </c>
      <c r="F929" t="s">
        <v>837</v>
      </c>
      <c r="G929">
        <v>0.13900000000000001</v>
      </c>
      <c r="K929" t="s">
        <v>649</v>
      </c>
      <c r="L929" t="s">
        <v>936</v>
      </c>
    </row>
    <row r="930" spans="1:12" x14ac:dyDescent="0.25">
      <c r="A930" t="s">
        <v>896</v>
      </c>
      <c r="B930" t="s">
        <v>120</v>
      </c>
      <c r="D930" t="s">
        <v>839</v>
      </c>
      <c r="E930" t="s">
        <v>705</v>
      </c>
      <c r="F930" t="s">
        <v>12</v>
      </c>
      <c r="G930">
        <v>0.36599999999999999</v>
      </c>
      <c r="K930" t="s">
        <v>649</v>
      </c>
      <c r="L930" t="s">
        <v>936</v>
      </c>
    </row>
    <row r="931" spans="1:12" x14ac:dyDescent="0.25">
      <c r="A931" t="s">
        <v>896</v>
      </c>
      <c r="B931" t="s">
        <v>121</v>
      </c>
      <c r="D931" t="s">
        <v>839</v>
      </c>
      <c r="E931" t="s">
        <v>705</v>
      </c>
      <c r="F931" t="s">
        <v>837</v>
      </c>
      <c r="G931">
        <v>0.13</v>
      </c>
      <c r="K931" t="s">
        <v>649</v>
      </c>
      <c r="L931" t="s">
        <v>936</v>
      </c>
    </row>
    <row r="932" spans="1:12" x14ac:dyDescent="0.25">
      <c r="A932" t="s">
        <v>896</v>
      </c>
      <c r="B932" t="s">
        <v>122</v>
      </c>
      <c r="D932" t="s">
        <v>839</v>
      </c>
      <c r="E932" t="s">
        <v>705</v>
      </c>
      <c r="F932" t="s">
        <v>12</v>
      </c>
      <c r="G932">
        <v>0.24299999999999999</v>
      </c>
      <c r="K932" t="s">
        <v>649</v>
      </c>
      <c r="L932" t="s">
        <v>936</v>
      </c>
    </row>
    <row r="933" spans="1:12" x14ac:dyDescent="0.25">
      <c r="A933" t="s">
        <v>896</v>
      </c>
      <c r="B933" t="s">
        <v>123</v>
      </c>
      <c r="D933" t="s">
        <v>839</v>
      </c>
      <c r="E933" t="s">
        <v>705</v>
      </c>
      <c r="F933" t="s">
        <v>12</v>
      </c>
      <c r="G933">
        <v>0.311</v>
      </c>
      <c r="K933" t="s">
        <v>649</v>
      </c>
      <c r="L933" t="s">
        <v>936</v>
      </c>
    </row>
    <row r="934" spans="1:12" x14ac:dyDescent="0.25">
      <c r="A934" t="s">
        <v>896</v>
      </c>
      <c r="B934" t="s">
        <v>124</v>
      </c>
      <c r="D934" t="s">
        <v>839</v>
      </c>
      <c r="E934" t="s">
        <v>705</v>
      </c>
      <c r="F934" t="s">
        <v>12</v>
      </c>
      <c r="G934">
        <v>0.02</v>
      </c>
      <c r="K934" t="s">
        <v>649</v>
      </c>
      <c r="L934" t="s">
        <v>936</v>
      </c>
    </row>
    <row r="935" spans="1:12" x14ac:dyDescent="0.25">
      <c r="A935" t="s">
        <v>896</v>
      </c>
      <c r="B935" t="s">
        <v>125</v>
      </c>
      <c r="D935" t="s">
        <v>839</v>
      </c>
      <c r="E935" t="s">
        <v>705</v>
      </c>
      <c r="F935" t="s">
        <v>12</v>
      </c>
      <c r="G935">
        <v>1.9E-2</v>
      </c>
      <c r="K935" t="s">
        <v>649</v>
      </c>
      <c r="L935" t="s">
        <v>936</v>
      </c>
    </row>
    <row r="936" spans="1:12" x14ac:dyDescent="0.25">
      <c r="A936" t="s">
        <v>896</v>
      </c>
      <c r="B936" t="s">
        <v>126</v>
      </c>
      <c r="D936" t="s">
        <v>839</v>
      </c>
      <c r="E936" t="s">
        <v>705</v>
      </c>
      <c r="F936" t="s">
        <v>12</v>
      </c>
      <c r="G936">
        <v>1.9E-2</v>
      </c>
      <c r="K936" t="s">
        <v>649</v>
      </c>
      <c r="L936" t="s">
        <v>936</v>
      </c>
    </row>
    <row r="937" spans="1:12" x14ac:dyDescent="0.25">
      <c r="A937" t="s">
        <v>896</v>
      </c>
      <c r="B937" t="s">
        <v>127</v>
      </c>
      <c r="D937" t="s">
        <v>839</v>
      </c>
      <c r="E937" t="s">
        <v>705</v>
      </c>
      <c r="F937" t="s">
        <v>12</v>
      </c>
      <c r="G937">
        <v>0.02</v>
      </c>
      <c r="K937" t="s">
        <v>649</v>
      </c>
      <c r="L937" t="s">
        <v>936</v>
      </c>
    </row>
    <row r="938" spans="1:12" x14ac:dyDescent="0.25">
      <c r="A938" t="s">
        <v>896</v>
      </c>
      <c r="B938" t="s">
        <v>128</v>
      </c>
      <c r="D938" t="s">
        <v>839</v>
      </c>
      <c r="E938" t="s">
        <v>705</v>
      </c>
      <c r="F938" t="s">
        <v>12</v>
      </c>
      <c r="G938">
        <v>2.1000000000000001E-2</v>
      </c>
      <c r="K938" t="s">
        <v>649</v>
      </c>
      <c r="L938" t="s">
        <v>936</v>
      </c>
    </row>
    <row r="939" spans="1:12" x14ac:dyDescent="0.25">
      <c r="A939" t="s">
        <v>896</v>
      </c>
      <c r="B939" t="s">
        <v>129</v>
      </c>
      <c r="D939" t="s">
        <v>839</v>
      </c>
      <c r="E939" t="s">
        <v>705</v>
      </c>
      <c r="F939" t="s">
        <v>12</v>
      </c>
      <c r="G939">
        <v>0.02</v>
      </c>
      <c r="K939" t="s">
        <v>649</v>
      </c>
      <c r="L939" t="s">
        <v>936</v>
      </c>
    </row>
    <row r="940" spans="1:12" x14ac:dyDescent="0.25">
      <c r="A940" t="s">
        <v>896</v>
      </c>
      <c r="B940" t="s">
        <v>130</v>
      </c>
      <c r="D940" t="s">
        <v>839</v>
      </c>
      <c r="E940" t="s">
        <v>705</v>
      </c>
      <c r="F940" t="s">
        <v>12</v>
      </c>
      <c r="G940">
        <v>0.02</v>
      </c>
      <c r="K940" t="s">
        <v>649</v>
      </c>
      <c r="L940" t="s">
        <v>936</v>
      </c>
    </row>
    <row r="941" spans="1:12" x14ac:dyDescent="0.25">
      <c r="A941" t="s">
        <v>896</v>
      </c>
      <c r="B941" t="s">
        <v>131</v>
      </c>
      <c r="D941" t="s">
        <v>839</v>
      </c>
      <c r="E941" t="s">
        <v>705</v>
      </c>
      <c r="F941" t="s">
        <v>837</v>
      </c>
      <c r="G941">
        <v>0.20200000000000001</v>
      </c>
      <c r="K941" t="s">
        <v>649</v>
      </c>
      <c r="L941" t="s">
        <v>936</v>
      </c>
    </row>
    <row r="942" spans="1:12" x14ac:dyDescent="0.25">
      <c r="A942" t="s">
        <v>896</v>
      </c>
      <c r="B942" t="s">
        <v>132</v>
      </c>
      <c r="D942" t="s">
        <v>839</v>
      </c>
      <c r="E942" t="s">
        <v>705</v>
      </c>
      <c r="F942" t="s">
        <v>12</v>
      </c>
      <c r="G942">
        <v>0.115</v>
      </c>
      <c r="K942" t="s">
        <v>649</v>
      </c>
      <c r="L942" t="s">
        <v>936</v>
      </c>
    </row>
    <row r="943" spans="1:12" x14ac:dyDescent="0.25">
      <c r="A943" t="s">
        <v>896</v>
      </c>
      <c r="B943" t="s">
        <v>133</v>
      </c>
      <c r="D943" t="s">
        <v>839</v>
      </c>
      <c r="E943" t="s">
        <v>705</v>
      </c>
      <c r="F943" t="s">
        <v>12</v>
      </c>
      <c r="G943">
        <v>0.13600000000000001</v>
      </c>
      <c r="K943" t="s">
        <v>649</v>
      </c>
      <c r="L943" t="s">
        <v>936</v>
      </c>
    </row>
    <row r="944" spans="1:12" x14ac:dyDescent="0.25">
      <c r="A944" t="s">
        <v>896</v>
      </c>
      <c r="B944" t="s">
        <v>134</v>
      </c>
      <c r="D944" t="s">
        <v>839</v>
      </c>
      <c r="E944" t="s">
        <v>705</v>
      </c>
      <c r="F944" t="s">
        <v>12</v>
      </c>
      <c r="G944">
        <v>0.13</v>
      </c>
      <c r="K944" t="s">
        <v>649</v>
      </c>
      <c r="L944" t="s">
        <v>936</v>
      </c>
    </row>
    <row r="945" spans="1:12" x14ac:dyDescent="0.25">
      <c r="A945" t="s">
        <v>896</v>
      </c>
      <c r="B945" t="s">
        <v>135</v>
      </c>
      <c r="D945" t="s">
        <v>839</v>
      </c>
      <c r="E945" t="s">
        <v>705</v>
      </c>
      <c r="F945" t="s">
        <v>12</v>
      </c>
      <c r="G945">
        <v>5.5E-2</v>
      </c>
      <c r="K945" t="s">
        <v>649</v>
      </c>
      <c r="L945" t="s">
        <v>936</v>
      </c>
    </row>
    <row r="946" spans="1:12" x14ac:dyDescent="0.25">
      <c r="A946" t="s">
        <v>896</v>
      </c>
      <c r="B946" t="s">
        <v>136</v>
      </c>
      <c r="D946" t="s">
        <v>839</v>
      </c>
      <c r="E946" t="s">
        <v>705</v>
      </c>
      <c r="F946" t="s">
        <v>12</v>
      </c>
      <c r="G946">
        <v>1.7999999999999999E-2</v>
      </c>
      <c r="K946" t="s">
        <v>649</v>
      </c>
      <c r="L946" t="s">
        <v>936</v>
      </c>
    </row>
    <row r="947" spans="1:12" x14ac:dyDescent="0.25">
      <c r="A947" t="s">
        <v>896</v>
      </c>
      <c r="B947" t="s">
        <v>137</v>
      </c>
      <c r="D947" t="s">
        <v>839</v>
      </c>
      <c r="E947" t="s">
        <v>705</v>
      </c>
      <c r="F947" t="s">
        <v>837</v>
      </c>
      <c r="G947">
        <v>0.13400000000000001</v>
      </c>
      <c r="K947" t="s">
        <v>649</v>
      </c>
      <c r="L947" t="s">
        <v>936</v>
      </c>
    </row>
    <row r="948" spans="1:12" x14ac:dyDescent="0.25">
      <c r="A948" t="s">
        <v>896</v>
      </c>
      <c r="B948" t="s">
        <v>138</v>
      </c>
      <c r="D948" t="s">
        <v>839</v>
      </c>
      <c r="E948" t="s">
        <v>705</v>
      </c>
      <c r="F948" t="s">
        <v>52</v>
      </c>
      <c r="G948">
        <v>3.8479999999999999</v>
      </c>
      <c r="K948" t="s">
        <v>649</v>
      </c>
      <c r="L948" t="s">
        <v>936</v>
      </c>
    </row>
    <row r="949" spans="1:12" x14ac:dyDescent="0.25">
      <c r="A949" t="s">
        <v>896</v>
      </c>
      <c r="B949" t="s">
        <v>139</v>
      </c>
      <c r="D949" t="s">
        <v>839</v>
      </c>
      <c r="E949" t="s">
        <v>705</v>
      </c>
      <c r="F949" t="s">
        <v>52</v>
      </c>
      <c r="G949">
        <v>28.407</v>
      </c>
      <c r="K949" t="s">
        <v>649</v>
      </c>
      <c r="L949" t="s">
        <v>936</v>
      </c>
    </row>
    <row r="950" spans="1:12" x14ac:dyDescent="0.25">
      <c r="A950" t="s">
        <v>896</v>
      </c>
      <c r="B950" t="s">
        <v>1260</v>
      </c>
      <c r="D950" t="s">
        <v>839</v>
      </c>
      <c r="E950" t="s">
        <v>705</v>
      </c>
      <c r="F950" t="s">
        <v>52</v>
      </c>
      <c r="G950">
        <v>14.491</v>
      </c>
      <c r="K950" t="s">
        <v>649</v>
      </c>
      <c r="L950" t="s">
        <v>936</v>
      </c>
    </row>
    <row r="951" spans="1:12" x14ac:dyDescent="0.25">
      <c r="A951" t="s">
        <v>896</v>
      </c>
      <c r="B951" t="s">
        <v>140</v>
      </c>
      <c r="D951" t="s">
        <v>839</v>
      </c>
      <c r="E951" t="s">
        <v>705</v>
      </c>
      <c r="F951" t="s">
        <v>12</v>
      </c>
      <c r="G951">
        <v>0.33100000000000002</v>
      </c>
      <c r="K951" t="s">
        <v>649</v>
      </c>
      <c r="L951" t="s">
        <v>936</v>
      </c>
    </row>
    <row r="952" spans="1:12" x14ac:dyDescent="0.25">
      <c r="A952" t="s">
        <v>896</v>
      </c>
      <c r="B952" t="s">
        <v>141</v>
      </c>
      <c r="D952" t="s">
        <v>839</v>
      </c>
      <c r="E952" t="s">
        <v>705</v>
      </c>
      <c r="F952" t="s">
        <v>12</v>
      </c>
      <c r="G952">
        <v>0.34200000000000003</v>
      </c>
      <c r="K952" t="s">
        <v>649</v>
      </c>
      <c r="L952" t="s">
        <v>936</v>
      </c>
    </row>
    <row r="953" spans="1:12" x14ac:dyDescent="0.25">
      <c r="A953" t="s">
        <v>896</v>
      </c>
      <c r="B953" t="s">
        <v>142</v>
      </c>
      <c r="D953" t="s">
        <v>839</v>
      </c>
      <c r="E953" t="s">
        <v>705</v>
      </c>
      <c r="F953" t="s">
        <v>12</v>
      </c>
      <c r="G953">
        <v>0.35399999999999998</v>
      </c>
      <c r="K953" t="s">
        <v>649</v>
      </c>
      <c r="L953" t="s">
        <v>936</v>
      </c>
    </row>
    <row r="954" spans="1:12" x14ac:dyDescent="0.25">
      <c r="A954" t="s">
        <v>896</v>
      </c>
      <c r="B954" t="s">
        <v>143</v>
      </c>
      <c r="D954" t="s">
        <v>839</v>
      </c>
      <c r="E954" t="s">
        <v>705</v>
      </c>
      <c r="F954" t="s">
        <v>12</v>
      </c>
      <c r="G954">
        <v>0.36799999999999999</v>
      </c>
      <c r="K954" t="s">
        <v>649</v>
      </c>
      <c r="L954" t="s">
        <v>936</v>
      </c>
    </row>
    <row r="955" spans="1:12" x14ac:dyDescent="0.25">
      <c r="A955" t="s">
        <v>896</v>
      </c>
      <c r="B955" t="s">
        <v>144</v>
      </c>
      <c r="D955" t="s">
        <v>839</v>
      </c>
      <c r="E955" t="s">
        <v>705</v>
      </c>
      <c r="F955" t="s">
        <v>12</v>
      </c>
      <c r="G955">
        <v>0.376</v>
      </c>
      <c r="K955" t="s">
        <v>649</v>
      </c>
      <c r="L955" t="s">
        <v>936</v>
      </c>
    </row>
    <row r="956" spans="1:12" x14ac:dyDescent="0.25">
      <c r="A956" t="s">
        <v>896</v>
      </c>
      <c r="B956" t="s">
        <v>145</v>
      </c>
      <c r="D956" t="s">
        <v>839</v>
      </c>
      <c r="E956" t="s">
        <v>705</v>
      </c>
      <c r="F956" t="s">
        <v>12</v>
      </c>
      <c r="G956">
        <v>0.39</v>
      </c>
      <c r="K956" t="s">
        <v>649</v>
      </c>
      <c r="L956" t="s">
        <v>936</v>
      </c>
    </row>
    <row r="957" spans="1:12" x14ac:dyDescent="0.25">
      <c r="A957" t="s">
        <v>896</v>
      </c>
      <c r="B957" t="s">
        <v>146</v>
      </c>
      <c r="D957" t="s">
        <v>839</v>
      </c>
      <c r="E957" t="s">
        <v>705</v>
      </c>
      <c r="F957" t="s">
        <v>12</v>
      </c>
      <c r="G957">
        <v>0.42499999999999999</v>
      </c>
      <c r="K957" t="s">
        <v>649</v>
      </c>
      <c r="L957" t="s">
        <v>936</v>
      </c>
    </row>
    <row r="958" spans="1:12" x14ac:dyDescent="0.25">
      <c r="A958" t="s">
        <v>896</v>
      </c>
      <c r="B958" t="s">
        <v>147</v>
      </c>
      <c r="D958" t="s">
        <v>839</v>
      </c>
      <c r="E958" t="s">
        <v>705</v>
      </c>
      <c r="F958" t="s">
        <v>12</v>
      </c>
      <c r="G958">
        <v>0.41399999999999998</v>
      </c>
      <c r="K958" t="s">
        <v>649</v>
      </c>
      <c r="L958" t="s">
        <v>936</v>
      </c>
    </row>
    <row r="959" spans="1:12" x14ac:dyDescent="0.25">
      <c r="A959" t="s">
        <v>896</v>
      </c>
      <c r="B959" t="s">
        <v>148</v>
      </c>
      <c r="D959" t="s">
        <v>839</v>
      </c>
      <c r="E959" t="s">
        <v>705</v>
      </c>
      <c r="F959" t="s">
        <v>12</v>
      </c>
      <c r="G959">
        <v>0.4</v>
      </c>
      <c r="K959" t="s">
        <v>649</v>
      </c>
      <c r="L959" t="s">
        <v>936</v>
      </c>
    </row>
    <row r="960" spans="1:12" x14ac:dyDescent="0.25">
      <c r="A960" t="s">
        <v>896</v>
      </c>
      <c r="B960" t="s">
        <v>149</v>
      </c>
      <c r="D960" t="s">
        <v>839</v>
      </c>
      <c r="E960" t="s">
        <v>705</v>
      </c>
      <c r="F960" t="s">
        <v>12</v>
      </c>
      <c r="G960">
        <v>0.439</v>
      </c>
      <c r="K960" t="s">
        <v>649</v>
      </c>
      <c r="L960" t="s">
        <v>936</v>
      </c>
    </row>
    <row r="961" spans="1:12" x14ac:dyDescent="0.25">
      <c r="A961" t="s">
        <v>896</v>
      </c>
      <c r="B961" t="s">
        <v>150</v>
      </c>
      <c r="D961" t="s">
        <v>839</v>
      </c>
      <c r="E961" t="s">
        <v>705</v>
      </c>
      <c r="F961" t="s">
        <v>12</v>
      </c>
      <c r="G961">
        <v>0.44500000000000001</v>
      </c>
      <c r="K961" t="s">
        <v>649</v>
      </c>
      <c r="L961" t="s">
        <v>936</v>
      </c>
    </row>
    <row r="962" spans="1:12" x14ac:dyDescent="0.25">
      <c r="A962" t="s">
        <v>896</v>
      </c>
      <c r="B962" t="s">
        <v>151</v>
      </c>
      <c r="D962" t="s">
        <v>839</v>
      </c>
      <c r="E962" t="s">
        <v>705</v>
      </c>
      <c r="F962" t="s">
        <v>12</v>
      </c>
      <c r="G962">
        <v>0.46</v>
      </c>
      <c r="K962" t="s">
        <v>649</v>
      </c>
      <c r="L962" t="s">
        <v>936</v>
      </c>
    </row>
    <row r="963" spans="1:12" x14ac:dyDescent="0.25">
      <c r="A963" t="s">
        <v>896</v>
      </c>
      <c r="B963" t="s">
        <v>152</v>
      </c>
      <c r="D963" t="s">
        <v>839</v>
      </c>
      <c r="E963" t="s">
        <v>705</v>
      </c>
      <c r="F963" t="s">
        <v>12</v>
      </c>
      <c r="G963">
        <v>0.47799999999999998</v>
      </c>
      <c r="K963" t="s">
        <v>649</v>
      </c>
      <c r="L963" t="s">
        <v>936</v>
      </c>
    </row>
    <row r="964" spans="1:12" x14ac:dyDescent="0.25">
      <c r="A964" t="s">
        <v>896</v>
      </c>
      <c r="B964" t="s">
        <v>153</v>
      </c>
      <c r="D964" t="s">
        <v>839</v>
      </c>
      <c r="E964" t="s">
        <v>705</v>
      </c>
      <c r="F964" t="s">
        <v>12</v>
      </c>
      <c r="G964">
        <v>0.48899999999999999</v>
      </c>
      <c r="K964" t="s">
        <v>649</v>
      </c>
      <c r="L964" t="s">
        <v>936</v>
      </c>
    </row>
    <row r="965" spans="1:12" x14ac:dyDescent="0.25">
      <c r="A965" t="s">
        <v>896</v>
      </c>
      <c r="B965" t="s">
        <v>154</v>
      </c>
      <c r="D965" t="s">
        <v>839</v>
      </c>
      <c r="E965" t="s">
        <v>705</v>
      </c>
      <c r="F965" t="s">
        <v>12</v>
      </c>
      <c r="G965">
        <v>0.498</v>
      </c>
      <c r="K965" t="s">
        <v>649</v>
      </c>
      <c r="L965" t="s">
        <v>936</v>
      </c>
    </row>
    <row r="966" spans="1:12" x14ac:dyDescent="0.25">
      <c r="A966" t="s">
        <v>896</v>
      </c>
      <c r="B966" t="s">
        <v>155</v>
      </c>
      <c r="D966" t="s">
        <v>839</v>
      </c>
      <c r="E966" t="s">
        <v>705</v>
      </c>
      <c r="F966" t="s">
        <v>12</v>
      </c>
      <c r="G966">
        <v>0.505</v>
      </c>
      <c r="K966" t="s">
        <v>649</v>
      </c>
      <c r="L966" t="s">
        <v>936</v>
      </c>
    </row>
    <row r="967" spans="1:12" x14ac:dyDescent="0.25">
      <c r="A967" t="s">
        <v>896</v>
      </c>
      <c r="B967" t="s">
        <v>156</v>
      </c>
      <c r="D967" t="s">
        <v>839</v>
      </c>
      <c r="E967" t="s">
        <v>705</v>
      </c>
      <c r="F967" t="s">
        <v>12</v>
      </c>
      <c r="G967">
        <v>0.51600000000000001</v>
      </c>
      <c r="K967" t="s">
        <v>649</v>
      </c>
      <c r="L967" t="s">
        <v>936</v>
      </c>
    </row>
    <row r="968" spans="1:12" x14ac:dyDescent="0.25">
      <c r="A968" t="s">
        <v>896</v>
      </c>
      <c r="B968" t="s">
        <v>157</v>
      </c>
      <c r="D968" t="s">
        <v>839</v>
      </c>
      <c r="E968" t="s">
        <v>705</v>
      </c>
      <c r="F968" t="s">
        <v>12</v>
      </c>
      <c r="G968">
        <v>0.48599999999999999</v>
      </c>
      <c r="K968" t="s">
        <v>649</v>
      </c>
      <c r="L968" t="s">
        <v>936</v>
      </c>
    </row>
    <row r="969" spans="1:12" x14ac:dyDescent="0.25">
      <c r="A969" t="s">
        <v>896</v>
      </c>
      <c r="B969" t="s">
        <v>158</v>
      </c>
      <c r="D969" t="s">
        <v>839</v>
      </c>
      <c r="E969" t="s">
        <v>705</v>
      </c>
      <c r="F969" t="s">
        <v>12</v>
      </c>
      <c r="G969">
        <v>0.44</v>
      </c>
      <c r="K969" t="s">
        <v>649</v>
      </c>
      <c r="L969" t="s">
        <v>936</v>
      </c>
    </row>
    <row r="970" spans="1:12" x14ac:dyDescent="0.25">
      <c r="A970" t="s">
        <v>896</v>
      </c>
      <c r="B970" t="s">
        <v>159</v>
      </c>
      <c r="D970" t="s">
        <v>839</v>
      </c>
      <c r="E970" t="s">
        <v>705</v>
      </c>
      <c r="F970" t="s">
        <v>12</v>
      </c>
      <c r="G970">
        <v>0.44</v>
      </c>
      <c r="K970" t="s">
        <v>649</v>
      </c>
      <c r="L970" t="s">
        <v>936</v>
      </c>
    </row>
    <row r="971" spans="1:12" x14ac:dyDescent="0.25">
      <c r="A971" t="s">
        <v>896</v>
      </c>
      <c r="B971" t="s">
        <v>160</v>
      </c>
      <c r="D971" t="s">
        <v>839</v>
      </c>
      <c r="E971" t="s">
        <v>705</v>
      </c>
      <c r="F971" t="s">
        <v>12</v>
      </c>
      <c r="G971">
        <v>0.41099999999999998</v>
      </c>
      <c r="K971" t="s">
        <v>649</v>
      </c>
      <c r="L971" t="s">
        <v>936</v>
      </c>
    </row>
    <row r="972" spans="1:12" x14ac:dyDescent="0.25">
      <c r="A972" t="s">
        <v>896</v>
      </c>
      <c r="B972" t="s">
        <v>161</v>
      </c>
      <c r="D972" t="s">
        <v>839</v>
      </c>
      <c r="E972" t="s">
        <v>705</v>
      </c>
      <c r="F972" t="s">
        <v>12</v>
      </c>
      <c r="G972">
        <v>0.36699999999999999</v>
      </c>
      <c r="K972" t="s">
        <v>649</v>
      </c>
      <c r="L972" t="s">
        <v>936</v>
      </c>
    </row>
    <row r="973" spans="1:12" x14ac:dyDescent="0.25">
      <c r="A973" t="s">
        <v>896</v>
      </c>
      <c r="B973" t="s">
        <v>162</v>
      </c>
      <c r="D973" t="s">
        <v>839</v>
      </c>
      <c r="E973" t="s">
        <v>705</v>
      </c>
      <c r="F973" t="s">
        <v>12</v>
      </c>
      <c r="G973">
        <v>0.28699999999999998</v>
      </c>
      <c r="K973" t="s">
        <v>649</v>
      </c>
      <c r="L973" t="s">
        <v>936</v>
      </c>
    </row>
    <row r="974" spans="1:12" x14ac:dyDescent="0.25">
      <c r="A974" t="s">
        <v>896</v>
      </c>
      <c r="B974" t="s">
        <v>163</v>
      </c>
      <c r="D974" t="s">
        <v>839</v>
      </c>
      <c r="E974" t="s">
        <v>705</v>
      </c>
      <c r="F974" t="s">
        <v>837</v>
      </c>
      <c r="G974">
        <v>0.64500000000000002</v>
      </c>
      <c r="K974" t="s">
        <v>649</v>
      </c>
      <c r="L974" t="s">
        <v>936</v>
      </c>
    </row>
    <row r="975" spans="1:12" x14ac:dyDescent="0.25">
      <c r="A975" t="s">
        <v>896</v>
      </c>
      <c r="B975" t="s">
        <v>164</v>
      </c>
      <c r="D975" t="s">
        <v>839</v>
      </c>
      <c r="E975" t="s">
        <v>705</v>
      </c>
      <c r="F975" t="s">
        <v>12</v>
      </c>
      <c r="G975">
        <v>0.54400000000000004</v>
      </c>
      <c r="K975" t="s">
        <v>649</v>
      </c>
      <c r="L975" t="s">
        <v>936</v>
      </c>
    </row>
    <row r="976" spans="1:12" x14ac:dyDescent="0.25">
      <c r="A976" t="s">
        <v>896</v>
      </c>
      <c r="B976" t="s">
        <v>165</v>
      </c>
      <c r="D976" t="s">
        <v>839</v>
      </c>
      <c r="E976" t="s">
        <v>705</v>
      </c>
      <c r="F976" t="s">
        <v>12</v>
      </c>
      <c r="G976">
        <v>0.438</v>
      </c>
      <c r="K976" t="s">
        <v>649</v>
      </c>
      <c r="L976" t="s">
        <v>936</v>
      </c>
    </row>
    <row r="977" spans="1:12" x14ac:dyDescent="0.25">
      <c r="A977" t="s">
        <v>896</v>
      </c>
      <c r="B977" t="s">
        <v>166</v>
      </c>
      <c r="D977" t="s">
        <v>839</v>
      </c>
      <c r="E977" t="s">
        <v>705</v>
      </c>
      <c r="F977" t="s">
        <v>12</v>
      </c>
      <c r="G977">
        <v>0.36799999999999999</v>
      </c>
      <c r="K977" t="s">
        <v>649</v>
      </c>
      <c r="L977" t="s">
        <v>936</v>
      </c>
    </row>
    <row r="978" spans="1:12" x14ac:dyDescent="0.25">
      <c r="A978" t="s">
        <v>896</v>
      </c>
      <c r="B978" t="s">
        <v>167</v>
      </c>
      <c r="D978" t="s">
        <v>839</v>
      </c>
      <c r="E978" t="s">
        <v>705</v>
      </c>
      <c r="F978" t="s">
        <v>12</v>
      </c>
      <c r="G978">
        <v>0.29599999999999999</v>
      </c>
      <c r="K978" t="s">
        <v>649</v>
      </c>
      <c r="L978" t="s">
        <v>936</v>
      </c>
    </row>
    <row r="979" spans="1:12" x14ac:dyDescent="0.25">
      <c r="A979" t="s">
        <v>896</v>
      </c>
      <c r="B979" t="s">
        <v>168</v>
      </c>
      <c r="D979" t="s">
        <v>839</v>
      </c>
      <c r="E979" t="s">
        <v>705</v>
      </c>
      <c r="F979" t="s">
        <v>12</v>
      </c>
      <c r="G979">
        <v>0.20399999999999999</v>
      </c>
      <c r="K979" t="s">
        <v>649</v>
      </c>
      <c r="L979" t="s">
        <v>936</v>
      </c>
    </row>
    <row r="980" spans="1:12" x14ac:dyDescent="0.25">
      <c r="A980" t="s">
        <v>896</v>
      </c>
      <c r="B980" t="s">
        <v>169</v>
      </c>
      <c r="D980" t="s">
        <v>839</v>
      </c>
      <c r="E980" t="s">
        <v>705</v>
      </c>
      <c r="F980" t="s">
        <v>12</v>
      </c>
      <c r="G980">
        <v>0.151</v>
      </c>
      <c r="K980" t="s">
        <v>649</v>
      </c>
      <c r="L980" t="s">
        <v>936</v>
      </c>
    </row>
    <row r="981" spans="1:12" x14ac:dyDescent="0.25">
      <c r="A981" t="s">
        <v>896</v>
      </c>
      <c r="B981" t="s">
        <v>170</v>
      </c>
      <c r="D981" t="s">
        <v>839</v>
      </c>
      <c r="E981" t="s">
        <v>705</v>
      </c>
      <c r="F981" t="s">
        <v>12</v>
      </c>
      <c r="G981">
        <v>0.106</v>
      </c>
      <c r="K981" t="s">
        <v>649</v>
      </c>
      <c r="L981" t="s">
        <v>936</v>
      </c>
    </row>
    <row r="982" spans="1:12" x14ac:dyDescent="0.25">
      <c r="A982" t="s">
        <v>896</v>
      </c>
      <c r="B982" t="s">
        <v>171</v>
      </c>
      <c r="D982" t="s">
        <v>839</v>
      </c>
      <c r="E982" t="s">
        <v>705</v>
      </c>
      <c r="F982" t="s">
        <v>12</v>
      </c>
      <c r="G982">
        <v>6.2E-2</v>
      </c>
      <c r="K982" t="s">
        <v>649</v>
      </c>
      <c r="L982" t="s">
        <v>936</v>
      </c>
    </row>
    <row r="983" spans="1:12" x14ac:dyDescent="0.25">
      <c r="A983" t="s">
        <v>896</v>
      </c>
      <c r="B983" t="s">
        <v>172</v>
      </c>
      <c r="D983" t="s">
        <v>839</v>
      </c>
      <c r="E983" t="s">
        <v>705</v>
      </c>
      <c r="F983" t="s">
        <v>12</v>
      </c>
      <c r="G983">
        <v>0.60499999999999998</v>
      </c>
      <c r="K983" t="s">
        <v>649</v>
      </c>
      <c r="L983" t="s">
        <v>936</v>
      </c>
    </row>
    <row r="984" spans="1:12" x14ac:dyDescent="0.25">
      <c r="A984" t="s">
        <v>896</v>
      </c>
      <c r="B984" t="s">
        <v>173</v>
      </c>
      <c r="D984" t="s">
        <v>839</v>
      </c>
      <c r="E984" t="s">
        <v>705</v>
      </c>
      <c r="F984" t="s">
        <v>12</v>
      </c>
      <c r="G984">
        <v>0.55700000000000005</v>
      </c>
      <c r="K984" t="s">
        <v>649</v>
      </c>
      <c r="L984" t="s">
        <v>936</v>
      </c>
    </row>
    <row r="985" spans="1:12" x14ac:dyDescent="0.25">
      <c r="A985" t="s">
        <v>896</v>
      </c>
      <c r="B985" t="s">
        <v>174</v>
      </c>
      <c r="D985" t="s">
        <v>839</v>
      </c>
      <c r="E985" t="s">
        <v>705</v>
      </c>
      <c r="F985" t="s">
        <v>12</v>
      </c>
      <c r="G985">
        <v>0.59199999999999997</v>
      </c>
      <c r="K985" t="s">
        <v>649</v>
      </c>
      <c r="L985" t="s">
        <v>936</v>
      </c>
    </row>
    <row r="986" spans="1:12" x14ac:dyDescent="0.25">
      <c r="A986" t="s">
        <v>896</v>
      </c>
      <c r="B986" t="s">
        <v>175</v>
      </c>
      <c r="D986" t="s">
        <v>839</v>
      </c>
      <c r="E986" t="s">
        <v>705</v>
      </c>
      <c r="F986" t="s">
        <v>12</v>
      </c>
      <c r="G986">
        <v>0.55700000000000005</v>
      </c>
      <c r="K986" t="s">
        <v>649</v>
      </c>
      <c r="L986" t="s">
        <v>936</v>
      </c>
    </row>
    <row r="987" spans="1:12" x14ac:dyDescent="0.25">
      <c r="A987" t="s">
        <v>896</v>
      </c>
      <c r="B987" t="s">
        <v>176</v>
      </c>
      <c r="D987" t="s">
        <v>839</v>
      </c>
      <c r="E987" t="s">
        <v>705</v>
      </c>
      <c r="F987" t="s">
        <v>12</v>
      </c>
      <c r="G987">
        <v>0.57899999999999996</v>
      </c>
      <c r="K987" t="s">
        <v>649</v>
      </c>
      <c r="L987" t="s">
        <v>936</v>
      </c>
    </row>
    <row r="988" spans="1:12" x14ac:dyDescent="0.25">
      <c r="A988" t="s">
        <v>896</v>
      </c>
      <c r="B988" t="s">
        <v>177</v>
      </c>
      <c r="D988" t="s">
        <v>839</v>
      </c>
      <c r="E988" t="s">
        <v>705</v>
      </c>
      <c r="F988" t="s">
        <v>12</v>
      </c>
      <c r="G988">
        <v>0.51900000000000002</v>
      </c>
      <c r="K988" t="s">
        <v>649</v>
      </c>
      <c r="L988" t="s">
        <v>936</v>
      </c>
    </row>
    <row r="989" spans="1:12" x14ac:dyDescent="0.25">
      <c r="A989" t="s">
        <v>896</v>
      </c>
      <c r="B989" t="s">
        <v>178</v>
      </c>
      <c r="D989" t="s">
        <v>839</v>
      </c>
      <c r="E989" t="s">
        <v>705</v>
      </c>
      <c r="F989" t="s">
        <v>12</v>
      </c>
      <c r="G989">
        <v>0.59399999999999997</v>
      </c>
      <c r="K989" t="s">
        <v>649</v>
      </c>
      <c r="L989" t="s">
        <v>936</v>
      </c>
    </row>
    <row r="990" spans="1:12" x14ac:dyDescent="0.25">
      <c r="A990" t="s">
        <v>896</v>
      </c>
      <c r="B990" t="s">
        <v>179</v>
      </c>
      <c r="D990" t="s">
        <v>839</v>
      </c>
      <c r="E990" t="s">
        <v>705</v>
      </c>
      <c r="F990" t="s">
        <v>12</v>
      </c>
      <c r="G990">
        <v>0.63100000000000001</v>
      </c>
      <c r="K990" t="s">
        <v>649</v>
      </c>
      <c r="L990" t="s">
        <v>936</v>
      </c>
    </row>
    <row r="991" spans="1:12" x14ac:dyDescent="0.25">
      <c r="A991" t="s">
        <v>896</v>
      </c>
      <c r="B991" t="s">
        <v>180</v>
      </c>
      <c r="D991" t="s">
        <v>839</v>
      </c>
      <c r="E991" t="s">
        <v>705</v>
      </c>
      <c r="F991" t="s">
        <v>12</v>
      </c>
      <c r="G991">
        <v>0.64100000000000001</v>
      </c>
      <c r="K991" t="s">
        <v>649</v>
      </c>
      <c r="L991" t="s">
        <v>936</v>
      </c>
    </row>
    <row r="992" spans="1:12" x14ac:dyDescent="0.25">
      <c r="A992" t="s">
        <v>896</v>
      </c>
      <c r="B992" t="s">
        <v>181</v>
      </c>
      <c r="D992" t="s">
        <v>839</v>
      </c>
      <c r="E992" t="s">
        <v>705</v>
      </c>
      <c r="F992" t="s">
        <v>12</v>
      </c>
      <c r="G992">
        <v>0.32800000000000001</v>
      </c>
      <c r="K992" t="s">
        <v>649</v>
      </c>
      <c r="L992" t="s">
        <v>936</v>
      </c>
    </row>
    <row r="993" spans="1:12" x14ac:dyDescent="0.25">
      <c r="A993" t="s">
        <v>896</v>
      </c>
      <c r="B993" t="s">
        <v>182</v>
      </c>
      <c r="D993" t="s">
        <v>839</v>
      </c>
      <c r="E993" t="s">
        <v>705</v>
      </c>
      <c r="F993" t="s">
        <v>12</v>
      </c>
      <c r="G993">
        <v>0.29099999999999998</v>
      </c>
      <c r="K993" t="s">
        <v>649</v>
      </c>
      <c r="L993" t="s">
        <v>936</v>
      </c>
    </row>
    <row r="994" spans="1:12" x14ac:dyDescent="0.25">
      <c r="A994" t="s">
        <v>896</v>
      </c>
      <c r="B994" t="s">
        <v>183</v>
      </c>
      <c r="D994" t="s">
        <v>839</v>
      </c>
      <c r="E994" t="s">
        <v>705</v>
      </c>
      <c r="F994" t="s">
        <v>12</v>
      </c>
      <c r="G994">
        <v>0.318</v>
      </c>
      <c r="K994" t="s">
        <v>649</v>
      </c>
      <c r="L994" t="s">
        <v>936</v>
      </c>
    </row>
    <row r="995" spans="1:12" x14ac:dyDescent="0.25">
      <c r="A995" t="s">
        <v>896</v>
      </c>
      <c r="B995" t="s">
        <v>184</v>
      </c>
      <c r="D995" t="s">
        <v>839</v>
      </c>
      <c r="E995" t="s">
        <v>705</v>
      </c>
      <c r="F995" t="s">
        <v>12</v>
      </c>
      <c r="G995">
        <v>0.28999999999999998</v>
      </c>
      <c r="K995" t="s">
        <v>649</v>
      </c>
      <c r="L995" t="s">
        <v>936</v>
      </c>
    </row>
    <row r="996" spans="1:12" x14ac:dyDescent="0.25">
      <c r="A996" t="s">
        <v>896</v>
      </c>
      <c r="B996" t="s">
        <v>185</v>
      </c>
      <c r="D996" t="s">
        <v>839</v>
      </c>
      <c r="E996" t="s">
        <v>705</v>
      </c>
      <c r="F996" t="s">
        <v>12</v>
      </c>
      <c r="G996">
        <v>0.27</v>
      </c>
      <c r="K996" t="s">
        <v>649</v>
      </c>
      <c r="L996" t="s">
        <v>936</v>
      </c>
    </row>
    <row r="997" spans="1:12" x14ac:dyDescent="0.25">
      <c r="A997" t="s">
        <v>896</v>
      </c>
      <c r="B997" t="s">
        <v>186</v>
      </c>
      <c r="D997" t="s">
        <v>839</v>
      </c>
      <c r="E997" t="s">
        <v>705</v>
      </c>
      <c r="F997" t="s">
        <v>12</v>
      </c>
      <c r="G997">
        <v>0.36199999999999999</v>
      </c>
      <c r="K997" t="s">
        <v>649</v>
      </c>
      <c r="L997" t="s">
        <v>936</v>
      </c>
    </row>
    <row r="998" spans="1:12" x14ac:dyDescent="0.25">
      <c r="A998" t="s">
        <v>896</v>
      </c>
      <c r="B998" t="s">
        <v>187</v>
      </c>
      <c r="D998" t="s">
        <v>839</v>
      </c>
      <c r="E998" t="s">
        <v>705</v>
      </c>
      <c r="F998" t="s">
        <v>12</v>
      </c>
      <c r="G998">
        <v>0.33600000000000002</v>
      </c>
      <c r="K998" t="s">
        <v>649</v>
      </c>
      <c r="L998" t="s">
        <v>936</v>
      </c>
    </row>
    <row r="999" spans="1:12" x14ac:dyDescent="0.25">
      <c r="A999" t="s">
        <v>896</v>
      </c>
      <c r="B999" t="s">
        <v>188</v>
      </c>
      <c r="D999" t="s">
        <v>839</v>
      </c>
      <c r="E999" t="s">
        <v>705</v>
      </c>
      <c r="F999" t="s">
        <v>12</v>
      </c>
      <c r="G999">
        <v>0.30299999999999999</v>
      </c>
      <c r="K999" t="s">
        <v>649</v>
      </c>
      <c r="L999" t="s">
        <v>936</v>
      </c>
    </row>
    <row r="1000" spans="1:12" x14ac:dyDescent="0.25">
      <c r="A1000" t="s">
        <v>896</v>
      </c>
      <c r="B1000" t="s">
        <v>189</v>
      </c>
      <c r="D1000" t="s">
        <v>839</v>
      </c>
      <c r="E1000" t="s">
        <v>705</v>
      </c>
      <c r="F1000" t="s">
        <v>12</v>
      </c>
      <c r="G1000">
        <v>0.22600000000000001</v>
      </c>
      <c r="K1000" t="s">
        <v>649</v>
      </c>
      <c r="L1000" t="s">
        <v>936</v>
      </c>
    </row>
    <row r="1001" spans="1:12" x14ac:dyDescent="0.25">
      <c r="A1001" t="s">
        <v>896</v>
      </c>
      <c r="B1001" t="s">
        <v>190</v>
      </c>
      <c r="D1001" t="s">
        <v>839</v>
      </c>
      <c r="E1001" t="s">
        <v>705</v>
      </c>
      <c r="F1001" t="s">
        <v>12</v>
      </c>
      <c r="G1001">
        <v>0.25600000000000001</v>
      </c>
      <c r="K1001" t="s">
        <v>649</v>
      </c>
      <c r="L1001" t="s">
        <v>936</v>
      </c>
    </row>
    <row r="1002" spans="1:12" x14ac:dyDescent="0.25">
      <c r="A1002" t="s">
        <v>896</v>
      </c>
      <c r="B1002" t="s">
        <v>191</v>
      </c>
      <c r="D1002" t="s">
        <v>839</v>
      </c>
      <c r="E1002" t="s">
        <v>705</v>
      </c>
      <c r="F1002" t="s">
        <v>12</v>
      </c>
      <c r="G1002">
        <v>0.41799999999999998</v>
      </c>
      <c r="K1002" t="s">
        <v>649</v>
      </c>
      <c r="L1002" t="s">
        <v>936</v>
      </c>
    </row>
    <row r="1003" spans="1:12" x14ac:dyDescent="0.25">
      <c r="A1003" t="s">
        <v>896</v>
      </c>
      <c r="B1003" t="s">
        <v>192</v>
      </c>
      <c r="D1003" t="s">
        <v>839</v>
      </c>
      <c r="E1003" t="s">
        <v>705</v>
      </c>
      <c r="F1003" t="s">
        <v>12</v>
      </c>
      <c r="G1003">
        <v>0.5</v>
      </c>
      <c r="K1003" t="s">
        <v>649</v>
      </c>
      <c r="L1003" t="s">
        <v>936</v>
      </c>
    </row>
    <row r="1004" spans="1:12" x14ac:dyDescent="0.25">
      <c r="A1004" t="s">
        <v>896</v>
      </c>
      <c r="B1004" t="s">
        <v>193</v>
      </c>
      <c r="D1004" t="s">
        <v>839</v>
      </c>
      <c r="E1004" t="s">
        <v>705</v>
      </c>
      <c r="F1004" t="s">
        <v>12</v>
      </c>
      <c r="G1004">
        <v>0.45</v>
      </c>
      <c r="K1004" t="s">
        <v>649</v>
      </c>
      <c r="L1004" t="s">
        <v>936</v>
      </c>
    </row>
    <row r="1005" spans="1:12" x14ac:dyDescent="0.25">
      <c r="A1005" t="s">
        <v>896</v>
      </c>
      <c r="B1005" t="s">
        <v>194</v>
      </c>
      <c r="D1005" t="s">
        <v>839</v>
      </c>
      <c r="E1005" t="s">
        <v>705</v>
      </c>
      <c r="F1005" t="s">
        <v>12</v>
      </c>
      <c r="G1005">
        <v>0.42</v>
      </c>
      <c r="K1005" t="s">
        <v>649</v>
      </c>
      <c r="L1005" t="s">
        <v>936</v>
      </c>
    </row>
    <row r="1006" spans="1:12" x14ac:dyDescent="0.25">
      <c r="A1006" t="s">
        <v>896</v>
      </c>
      <c r="B1006" t="s">
        <v>195</v>
      </c>
      <c r="D1006" t="s">
        <v>839</v>
      </c>
      <c r="E1006" t="s">
        <v>705</v>
      </c>
      <c r="F1006" t="s">
        <v>12</v>
      </c>
      <c r="G1006">
        <v>0.41</v>
      </c>
      <c r="K1006" t="s">
        <v>649</v>
      </c>
      <c r="L1006" t="s">
        <v>936</v>
      </c>
    </row>
    <row r="1007" spans="1:12" x14ac:dyDescent="0.25">
      <c r="A1007" t="s">
        <v>896</v>
      </c>
      <c r="B1007" t="s">
        <v>196</v>
      </c>
      <c r="D1007" t="s">
        <v>839</v>
      </c>
      <c r="E1007" t="s">
        <v>705</v>
      </c>
      <c r="F1007" t="s">
        <v>12</v>
      </c>
      <c r="G1007">
        <v>0.40699999999999997</v>
      </c>
      <c r="K1007" t="s">
        <v>649</v>
      </c>
      <c r="L1007" t="s">
        <v>936</v>
      </c>
    </row>
    <row r="1008" spans="1:12" x14ac:dyDescent="0.25">
      <c r="A1008" t="s">
        <v>896</v>
      </c>
      <c r="B1008" t="s">
        <v>197</v>
      </c>
      <c r="D1008" t="s">
        <v>839</v>
      </c>
      <c r="E1008" t="s">
        <v>705</v>
      </c>
      <c r="F1008" t="s">
        <v>12</v>
      </c>
      <c r="G1008">
        <v>0.42499999999999999</v>
      </c>
      <c r="K1008" t="s">
        <v>649</v>
      </c>
      <c r="L1008" t="s">
        <v>936</v>
      </c>
    </row>
    <row r="1009" spans="1:12" x14ac:dyDescent="0.25">
      <c r="A1009" t="s">
        <v>896</v>
      </c>
      <c r="B1009" t="s">
        <v>198</v>
      </c>
      <c r="D1009" t="s">
        <v>839</v>
      </c>
      <c r="E1009" t="s">
        <v>705</v>
      </c>
      <c r="F1009" t="s">
        <v>12</v>
      </c>
      <c r="G1009">
        <v>0.44400000000000001</v>
      </c>
      <c r="K1009" t="s">
        <v>649</v>
      </c>
      <c r="L1009" t="s">
        <v>936</v>
      </c>
    </row>
    <row r="1010" spans="1:12" x14ac:dyDescent="0.25">
      <c r="A1010" t="s">
        <v>896</v>
      </c>
      <c r="B1010" t="s">
        <v>199</v>
      </c>
      <c r="D1010" t="s">
        <v>839</v>
      </c>
      <c r="E1010" t="s">
        <v>705</v>
      </c>
      <c r="F1010" t="s">
        <v>12</v>
      </c>
      <c r="G1010">
        <v>0.39600000000000002</v>
      </c>
      <c r="K1010" t="s">
        <v>649</v>
      </c>
      <c r="L1010" t="s">
        <v>936</v>
      </c>
    </row>
    <row r="1011" spans="1:12" x14ac:dyDescent="0.25">
      <c r="A1011" t="s">
        <v>896</v>
      </c>
      <c r="B1011" t="s">
        <v>200</v>
      </c>
      <c r="D1011" t="s">
        <v>839</v>
      </c>
      <c r="E1011" t="s">
        <v>705</v>
      </c>
      <c r="F1011" t="s">
        <v>12</v>
      </c>
      <c r="G1011">
        <v>0.38500000000000001</v>
      </c>
      <c r="K1011" t="s">
        <v>649</v>
      </c>
      <c r="L1011" t="s">
        <v>936</v>
      </c>
    </row>
    <row r="1012" spans="1:12" x14ac:dyDescent="0.25">
      <c r="A1012" t="s">
        <v>896</v>
      </c>
      <c r="B1012" t="s">
        <v>201</v>
      </c>
      <c r="D1012" t="s">
        <v>839</v>
      </c>
      <c r="E1012" t="s">
        <v>705</v>
      </c>
      <c r="F1012" t="s">
        <v>12</v>
      </c>
      <c r="G1012">
        <v>0.35899999999999999</v>
      </c>
      <c r="K1012" t="s">
        <v>649</v>
      </c>
      <c r="L1012" t="s">
        <v>936</v>
      </c>
    </row>
    <row r="1013" spans="1:12" x14ac:dyDescent="0.25">
      <c r="A1013" t="s">
        <v>896</v>
      </c>
      <c r="B1013" t="s">
        <v>202</v>
      </c>
      <c r="D1013" t="s">
        <v>839</v>
      </c>
      <c r="E1013" t="s">
        <v>705</v>
      </c>
      <c r="F1013" t="s">
        <v>12</v>
      </c>
      <c r="G1013">
        <v>0.36599999999999999</v>
      </c>
      <c r="K1013" t="s">
        <v>649</v>
      </c>
      <c r="L1013" t="s">
        <v>936</v>
      </c>
    </row>
    <row r="1014" spans="1:12" x14ac:dyDescent="0.25">
      <c r="A1014" t="s">
        <v>896</v>
      </c>
      <c r="B1014" t="s">
        <v>203</v>
      </c>
      <c r="D1014" t="s">
        <v>839</v>
      </c>
      <c r="E1014" t="s">
        <v>705</v>
      </c>
      <c r="F1014" t="s">
        <v>12</v>
      </c>
      <c r="G1014">
        <v>0.35399999999999998</v>
      </c>
      <c r="K1014" t="s">
        <v>649</v>
      </c>
      <c r="L1014" t="s">
        <v>936</v>
      </c>
    </row>
    <row r="1015" spans="1:12" x14ac:dyDescent="0.25">
      <c r="A1015" t="s">
        <v>896</v>
      </c>
      <c r="B1015" t="s">
        <v>204</v>
      </c>
      <c r="D1015" t="s">
        <v>839</v>
      </c>
      <c r="E1015" t="s">
        <v>705</v>
      </c>
      <c r="F1015" t="s">
        <v>12</v>
      </c>
      <c r="G1015">
        <v>0.30199999999999999</v>
      </c>
      <c r="K1015" t="s">
        <v>649</v>
      </c>
      <c r="L1015" t="s">
        <v>936</v>
      </c>
    </row>
    <row r="1016" spans="1:12" x14ac:dyDescent="0.25">
      <c r="A1016" t="s">
        <v>896</v>
      </c>
      <c r="B1016" t="s">
        <v>205</v>
      </c>
      <c r="D1016" t="s">
        <v>839</v>
      </c>
      <c r="E1016" t="s">
        <v>705</v>
      </c>
      <c r="F1016" t="s">
        <v>12</v>
      </c>
      <c r="G1016">
        <v>0.27100000000000002</v>
      </c>
      <c r="K1016" t="s">
        <v>649</v>
      </c>
      <c r="L1016" t="s">
        <v>936</v>
      </c>
    </row>
    <row r="1017" spans="1:12" x14ac:dyDescent="0.25">
      <c r="A1017" t="s">
        <v>896</v>
      </c>
      <c r="B1017" t="s">
        <v>206</v>
      </c>
      <c r="D1017" t="s">
        <v>839</v>
      </c>
      <c r="E1017" t="s">
        <v>705</v>
      </c>
      <c r="F1017" t="s">
        <v>12</v>
      </c>
      <c r="G1017">
        <v>0.24299999999999999</v>
      </c>
      <c r="K1017" t="s">
        <v>649</v>
      </c>
      <c r="L1017" t="s">
        <v>936</v>
      </c>
    </row>
    <row r="1018" spans="1:12" x14ac:dyDescent="0.25">
      <c r="A1018" t="s">
        <v>896</v>
      </c>
      <c r="B1018" t="s">
        <v>207</v>
      </c>
      <c r="D1018" t="s">
        <v>839</v>
      </c>
      <c r="E1018" t="s">
        <v>705</v>
      </c>
      <c r="F1018" t="s">
        <v>12</v>
      </c>
      <c r="G1018">
        <v>0.11600000000000001</v>
      </c>
      <c r="K1018" t="s">
        <v>649</v>
      </c>
      <c r="L1018" t="s">
        <v>936</v>
      </c>
    </row>
    <row r="1019" spans="1:12" x14ac:dyDescent="0.25">
      <c r="A1019" t="s">
        <v>896</v>
      </c>
      <c r="B1019" t="s">
        <v>208</v>
      </c>
      <c r="D1019" t="s">
        <v>839</v>
      </c>
      <c r="E1019" t="s">
        <v>705</v>
      </c>
      <c r="F1019" t="s">
        <v>12</v>
      </c>
      <c r="G1019">
        <v>0.24099999999999999</v>
      </c>
      <c r="K1019" t="s">
        <v>649</v>
      </c>
      <c r="L1019" t="s">
        <v>936</v>
      </c>
    </row>
    <row r="1020" spans="1:12" x14ac:dyDescent="0.25">
      <c r="A1020" t="s">
        <v>896</v>
      </c>
      <c r="B1020" t="s">
        <v>209</v>
      </c>
      <c r="D1020" t="s">
        <v>839</v>
      </c>
      <c r="E1020" t="s">
        <v>705</v>
      </c>
      <c r="F1020" t="s">
        <v>12</v>
      </c>
      <c r="G1020">
        <v>0.36699999999999999</v>
      </c>
      <c r="K1020" t="s">
        <v>649</v>
      </c>
      <c r="L1020" t="s">
        <v>936</v>
      </c>
    </row>
    <row r="1021" spans="1:12" x14ac:dyDescent="0.25">
      <c r="A1021" t="s">
        <v>896</v>
      </c>
      <c r="B1021" t="s">
        <v>210</v>
      </c>
      <c r="D1021" t="s">
        <v>839</v>
      </c>
      <c r="E1021" t="s">
        <v>705</v>
      </c>
      <c r="F1021" t="s">
        <v>12</v>
      </c>
      <c r="G1021">
        <v>0.35</v>
      </c>
      <c r="K1021" t="s">
        <v>649</v>
      </c>
      <c r="L1021" t="s">
        <v>936</v>
      </c>
    </row>
    <row r="1022" spans="1:12" x14ac:dyDescent="0.25">
      <c r="A1022" t="s">
        <v>896</v>
      </c>
      <c r="B1022" t="s">
        <v>211</v>
      </c>
      <c r="D1022" t="s">
        <v>839</v>
      </c>
      <c r="E1022" t="s">
        <v>705</v>
      </c>
      <c r="F1022" t="s">
        <v>12</v>
      </c>
      <c r="G1022">
        <v>0.39100000000000001</v>
      </c>
      <c r="K1022" t="s">
        <v>649</v>
      </c>
      <c r="L1022" t="s">
        <v>936</v>
      </c>
    </row>
    <row r="1023" spans="1:12" x14ac:dyDescent="0.25">
      <c r="A1023" t="s">
        <v>896</v>
      </c>
      <c r="B1023" t="s">
        <v>212</v>
      </c>
      <c r="D1023" t="s">
        <v>839</v>
      </c>
      <c r="E1023" t="s">
        <v>705</v>
      </c>
      <c r="F1023" t="s">
        <v>12</v>
      </c>
      <c r="G1023">
        <v>0.437</v>
      </c>
      <c r="K1023" t="s">
        <v>649</v>
      </c>
      <c r="L1023" t="s">
        <v>936</v>
      </c>
    </row>
    <row r="1024" spans="1:12" x14ac:dyDescent="0.25">
      <c r="A1024" t="s">
        <v>896</v>
      </c>
      <c r="B1024" t="s">
        <v>213</v>
      </c>
      <c r="D1024" t="s">
        <v>839</v>
      </c>
      <c r="E1024" t="s">
        <v>705</v>
      </c>
      <c r="F1024" t="s">
        <v>12</v>
      </c>
      <c r="G1024">
        <v>0.45700000000000002</v>
      </c>
      <c r="K1024" t="s">
        <v>649</v>
      </c>
      <c r="L1024" t="s">
        <v>936</v>
      </c>
    </row>
    <row r="1025" spans="1:12" x14ac:dyDescent="0.25">
      <c r="A1025" t="s">
        <v>896</v>
      </c>
      <c r="B1025" t="s">
        <v>214</v>
      </c>
      <c r="D1025" t="s">
        <v>839</v>
      </c>
      <c r="E1025" t="s">
        <v>705</v>
      </c>
      <c r="F1025" t="s">
        <v>12</v>
      </c>
      <c r="G1025">
        <v>0.46300000000000002</v>
      </c>
      <c r="K1025" t="s">
        <v>649</v>
      </c>
      <c r="L1025" t="s">
        <v>936</v>
      </c>
    </row>
    <row r="1026" spans="1:12" x14ac:dyDescent="0.25">
      <c r="A1026" t="s">
        <v>896</v>
      </c>
      <c r="B1026" t="s">
        <v>215</v>
      </c>
      <c r="D1026" t="s">
        <v>839</v>
      </c>
      <c r="E1026" t="s">
        <v>705</v>
      </c>
      <c r="F1026" t="s">
        <v>12</v>
      </c>
      <c r="G1026">
        <v>0.47099999999999997</v>
      </c>
      <c r="K1026" t="s">
        <v>649</v>
      </c>
      <c r="L1026" t="s">
        <v>936</v>
      </c>
    </row>
    <row r="1027" spans="1:12" x14ac:dyDescent="0.25">
      <c r="A1027" t="s">
        <v>896</v>
      </c>
      <c r="B1027" t="s">
        <v>216</v>
      </c>
      <c r="D1027" t="s">
        <v>839</v>
      </c>
      <c r="E1027" t="s">
        <v>705</v>
      </c>
      <c r="F1027" t="s">
        <v>12</v>
      </c>
      <c r="G1027">
        <v>0.50800000000000001</v>
      </c>
      <c r="K1027" t="s">
        <v>649</v>
      </c>
      <c r="L1027" t="s">
        <v>936</v>
      </c>
    </row>
    <row r="1028" spans="1:12" x14ac:dyDescent="0.25">
      <c r="A1028" t="s">
        <v>896</v>
      </c>
      <c r="B1028" t="s">
        <v>217</v>
      </c>
      <c r="D1028" t="s">
        <v>839</v>
      </c>
      <c r="E1028" t="s">
        <v>705</v>
      </c>
      <c r="F1028" t="s">
        <v>12</v>
      </c>
      <c r="G1028">
        <v>0.52</v>
      </c>
      <c r="K1028" t="s">
        <v>649</v>
      </c>
      <c r="L1028" t="s">
        <v>936</v>
      </c>
    </row>
    <row r="1029" spans="1:12" x14ac:dyDescent="0.25">
      <c r="A1029" t="s">
        <v>896</v>
      </c>
      <c r="B1029" t="s">
        <v>218</v>
      </c>
      <c r="D1029" t="s">
        <v>839</v>
      </c>
      <c r="E1029" t="s">
        <v>705</v>
      </c>
      <c r="F1029" t="s">
        <v>12</v>
      </c>
      <c r="G1029">
        <v>0.498</v>
      </c>
      <c r="K1029" t="s">
        <v>649</v>
      </c>
      <c r="L1029" t="s">
        <v>936</v>
      </c>
    </row>
    <row r="1030" spans="1:12" x14ac:dyDescent="0.25">
      <c r="A1030" t="s">
        <v>896</v>
      </c>
      <c r="B1030" t="s">
        <v>219</v>
      </c>
      <c r="D1030" t="s">
        <v>839</v>
      </c>
      <c r="E1030" t="s">
        <v>705</v>
      </c>
      <c r="F1030" t="s">
        <v>12</v>
      </c>
      <c r="G1030">
        <v>0.48199999999999998</v>
      </c>
      <c r="K1030" t="s">
        <v>649</v>
      </c>
      <c r="L1030" t="s">
        <v>936</v>
      </c>
    </row>
    <row r="1031" spans="1:12" x14ac:dyDescent="0.25">
      <c r="A1031" t="s">
        <v>896</v>
      </c>
      <c r="B1031" t="s">
        <v>220</v>
      </c>
      <c r="D1031" t="s">
        <v>839</v>
      </c>
      <c r="E1031" t="s">
        <v>705</v>
      </c>
      <c r="F1031" t="s">
        <v>12</v>
      </c>
      <c r="G1031">
        <v>0.48799999999999999</v>
      </c>
      <c r="K1031" t="s">
        <v>649</v>
      </c>
      <c r="L1031" t="s">
        <v>936</v>
      </c>
    </row>
    <row r="1032" spans="1:12" x14ac:dyDescent="0.25">
      <c r="A1032" t="s">
        <v>896</v>
      </c>
      <c r="B1032" t="s">
        <v>221</v>
      </c>
      <c r="D1032" t="s">
        <v>839</v>
      </c>
      <c r="E1032" t="s">
        <v>705</v>
      </c>
      <c r="F1032" t="s">
        <v>12</v>
      </c>
      <c r="G1032">
        <v>0.5</v>
      </c>
      <c r="K1032" t="s">
        <v>649</v>
      </c>
      <c r="L1032" t="s">
        <v>936</v>
      </c>
    </row>
    <row r="1033" spans="1:12" x14ac:dyDescent="0.25">
      <c r="A1033" t="s">
        <v>896</v>
      </c>
      <c r="B1033" t="s">
        <v>222</v>
      </c>
      <c r="D1033" t="s">
        <v>839</v>
      </c>
      <c r="E1033" t="s">
        <v>705</v>
      </c>
      <c r="F1033" t="s">
        <v>12</v>
      </c>
      <c r="G1033">
        <v>0.48199999999999998</v>
      </c>
      <c r="K1033" t="s">
        <v>649</v>
      </c>
      <c r="L1033" t="s">
        <v>936</v>
      </c>
    </row>
    <row r="1034" spans="1:12" x14ac:dyDescent="0.25">
      <c r="A1034" t="s">
        <v>896</v>
      </c>
      <c r="B1034" t="s">
        <v>223</v>
      </c>
      <c r="D1034" t="s">
        <v>839</v>
      </c>
      <c r="E1034" t="s">
        <v>705</v>
      </c>
      <c r="F1034" t="s">
        <v>12</v>
      </c>
      <c r="G1034">
        <v>0.36499999999999999</v>
      </c>
      <c r="K1034" t="s">
        <v>649</v>
      </c>
      <c r="L1034" t="s">
        <v>936</v>
      </c>
    </row>
    <row r="1035" spans="1:12" x14ac:dyDescent="0.25">
      <c r="A1035" t="s">
        <v>896</v>
      </c>
      <c r="B1035" t="s">
        <v>224</v>
      </c>
      <c r="D1035" t="s">
        <v>839</v>
      </c>
      <c r="E1035" t="s">
        <v>705</v>
      </c>
      <c r="F1035" t="s">
        <v>12</v>
      </c>
      <c r="G1035">
        <v>0.39900000000000002</v>
      </c>
      <c r="K1035" t="s">
        <v>649</v>
      </c>
      <c r="L1035" t="s">
        <v>936</v>
      </c>
    </row>
    <row r="1036" spans="1:12" x14ac:dyDescent="0.25">
      <c r="A1036" t="s">
        <v>896</v>
      </c>
      <c r="B1036" t="s">
        <v>225</v>
      </c>
      <c r="D1036" t="s">
        <v>839</v>
      </c>
      <c r="E1036" t="s">
        <v>705</v>
      </c>
      <c r="F1036" t="s">
        <v>12</v>
      </c>
      <c r="G1036">
        <v>0.27600000000000002</v>
      </c>
      <c r="K1036" t="s">
        <v>649</v>
      </c>
      <c r="L1036" t="s">
        <v>936</v>
      </c>
    </row>
    <row r="1037" spans="1:12" x14ac:dyDescent="0.25">
      <c r="A1037" t="s">
        <v>896</v>
      </c>
      <c r="B1037" t="s">
        <v>226</v>
      </c>
      <c r="D1037" t="s">
        <v>839</v>
      </c>
      <c r="E1037" t="s">
        <v>705</v>
      </c>
      <c r="F1037" t="s">
        <v>12</v>
      </c>
      <c r="G1037">
        <v>0.10299999999999999</v>
      </c>
      <c r="K1037" t="s">
        <v>649</v>
      </c>
      <c r="L1037" t="s">
        <v>936</v>
      </c>
    </row>
    <row r="1038" spans="1:12" x14ac:dyDescent="0.25">
      <c r="A1038" t="s">
        <v>896</v>
      </c>
      <c r="B1038" t="s">
        <v>227</v>
      </c>
      <c r="D1038" t="s">
        <v>839</v>
      </c>
      <c r="E1038" t="s">
        <v>705</v>
      </c>
      <c r="F1038" t="s">
        <v>12</v>
      </c>
      <c r="G1038">
        <v>0.189</v>
      </c>
      <c r="K1038" t="s">
        <v>649</v>
      </c>
      <c r="L1038" t="s">
        <v>936</v>
      </c>
    </row>
    <row r="1039" spans="1:12" x14ac:dyDescent="0.25">
      <c r="A1039" t="s">
        <v>896</v>
      </c>
      <c r="B1039" t="s">
        <v>228</v>
      </c>
      <c r="D1039" t="s">
        <v>839</v>
      </c>
      <c r="E1039" t="s">
        <v>705</v>
      </c>
      <c r="F1039" t="s">
        <v>89</v>
      </c>
      <c r="G1039">
        <v>0.17199999999999999</v>
      </c>
      <c r="K1039" t="s">
        <v>649</v>
      </c>
      <c r="L1039" t="s">
        <v>936</v>
      </c>
    </row>
    <row r="1040" spans="1:12" x14ac:dyDescent="0.25">
      <c r="A1040" t="s">
        <v>896</v>
      </c>
      <c r="B1040" t="s">
        <v>229</v>
      </c>
      <c r="D1040" t="s">
        <v>839</v>
      </c>
      <c r="E1040" t="s">
        <v>705</v>
      </c>
      <c r="F1040" t="s">
        <v>89</v>
      </c>
      <c r="G1040">
        <v>8.3000000000000004E-2</v>
      </c>
      <c r="K1040" t="s">
        <v>649</v>
      </c>
      <c r="L1040" t="s">
        <v>936</v>
      </c>
    </row>
    <row r="1041" spans="1:12" x14ac:dyDescent="0.25">
      <c r="A1041" t="s">
        <v>896</v>
      </c>
      <c r="B1041" t="s">
        <v>230</v>
      </c>
      <c r="D1041" t="s">
        <v>839</v>
      </c>
      <c r="E1041" t="s">
        <v>705</v>
      </c>
      <c r="F1041" t="s">
        <v>89</v>
      </c>
      <c r="G1041">
        <v>6.8000000000000005E-2</v>
      </c>
      <c r="K1041" t="s">
        <v>649</v>
      </c>
      <c r="L1041" t="s">
        <v>936</v>
      </c>
    </row>
    <row r="1042" spans="1:12" x14ac:dyDescent="0.25">
      <c r="A1042" t="s">
        <v>896</v>
      </c>
      <c r="B1042" t="s">
        <v>231</v>
      </c>
      <c r="D1042" t="s">
        <v>839</v>
      </c>
      <c r="E1042" t="s">
        <v>705</v>
      </c>
      <c r="F1042" t="s">
        <v>12</v>
      </c>
      <c r="G1042">
        <v>0.13400000000000001</v>
      </c>
      <c r="K1042" t="s">
        <v>649</v>
      </c>
      <c r="L1042" t="s">
        <v>936</v>
      </c>
    </row>
    <row r="1043" spans="1:12" x14ac:dyDescent="0.25">
      <c r="A1043" t="s">
        <v>896</v>
      </c>
      <c r="B1043" t="s">
        <v>232</v>
      </c>
      <c r="D1043" t="s">
        <v>839</v>
      </c>
      <c r="E1043" t="s">
        <v>705</v>
      </c>
      <c r="F1043" t="s">
        <v>12</v>
      </c>
      <c r="G1043">
        <v>0.17299999999999999</v>
      </c>
      <c r="K1043" t="s">
        <v>649</v>
      </c>
      <c r="L1043" t="s">
        <v>936</v>
      </c>
    </row>
    <row r="1044" spans="1:12" x14ac:dyDescent="0.25">
      <c r="A1044" t="s">
        <v>896</v>
      </c>
      <c r="B1044" t="s">
        <v>233</v>
      </c>
      <c r="D1044" t="s">
        <v>839</v>
      </c>
      <c r="E1044" t="s">
        <v>705</v>
      </c>
      <c r="F1044" t="s">
        <v>12</v>
      </c>
      <c r="G1044">
        <v>0.248</v>
      </c>
      <c r="K1044" t="s">
        <v>649</v>
      </c>
      <c r="L1044" t="s">
        <v>936</v>
      </c>
    </row>
    <row r="1045" spans="1:12" x14ac:dyDescent="0.25">
      <c r="A1045" t="s">
        <v>896</v>
      </c>
      <c r="B1045" t="s">
        <v>234</v>
      </c>
      <c r="D1045" t="s">
        <v>839</v>
      </c>
      <c r="E1045" t="s">
        <v>705</v>
      </c>
      <c r="F1045" t="s">
        <v>12</v>
      </c>
      <c r="G1045">
        <v>0.29799999999999999</v>
      </c>
      <c r="K1045" t="s">
        <v>649</v>
      </c>
      <c r="L1045" t="s">
        <v>936</v>
      </c>
    </row>
    <row r="1046" spans="1:12" x14ac:dyDescent="0.25">
      <c r="A1046" t="s">
        <v>896</v>
      </c>
      <c r="B1046" t="s">
        <v>235</v>
      </c>
      <c r="D1046" t="s">
        <v>839</v>
      </c>
      <c r="E1046" t="s">
        <v>705</v>
      </c>
      <c r="F1046" t="s">
        <v>12</v>
      </c>
      <c r="G1046">
        <v>0.377</v>
      </c>
      <c r="K1046" t="s">
        <v>649</v>
      </c>
      <c r="L1046" t="s">
        <v>936</v>
      </c>
    </row>
    <row r="1047" spans="1:12" x14ac:dyDescent="0.25">
      <c r="A1047" t="s">
        <v>896</v>
      </c>
      <c r="B1047" t="s">
        <v>236</v>
      </c>
      <c r="D1047" t="s">
        <v>839</v>
      </c>
      <c r="E1047" t="s">
        <v>705</v>
      </c>
      <c r="F1047" t="s">
        <v>12</v>
      </c>
      <c r="G1047">
        <v>0.29699999999999999</v>
      </c>
      <c r="K1047" t="s">
        <v>649</v>
      </c>
      <c r="L1047" t="s">
        <v>936</v>
      </c>
    </row>
    <row r="1048" spans="1:12" x14ac:dyDescent="0.25">
      <c r="A1048" t="s">
        <v>896</v>
      </c>
      <c r="B1048" t="s">
        <v>237</v>
      </c>
      <c r="D1048" t="s">
        <v>839</v>
      </c>
      <c r="E1048" t="s">
        <v>705</v>
      </c>
      <c r="F1048" t="s">
        <v>837</v>
      </c>
      <c r="G1048">
        <v>2.7639999999999998</v>
      </c>
      <c r="K1048" t="s">
        <v>649</v>
      </c>
      <c r="L1048" t="s">
        <v>936</v>
      </c>
    </row>
    <row r="1049" spans="1:12" x14ac:dyDescent="0.25">
      <c r="A1049" t="s">
        <v>896</v>
      </c>
      <c r="B1049" t="s">
        <v>238</v>
      </c>
      <c r="D1049" t="s">
        <v>839</v>
      </c>
      <c r="E1049" t="s">
        <v>705</v>
      </c>
      <c r="F1049" t="s">
        <v>837</v>
      </c>
      <c r="G1049">
        <v>4.8289999999999997</v>
      </c>
      <c r="K1049" t="s">
        <v>649</v>
      </c>
      <c r="L1049" t="s">
        <v>936</v>
      </c>
    </row>
    <row r="1050" spans="1:12" x14ac:dyDescent="0.25">
      <c r="A1050" t="s">
        <v>896</v>
      </c>
      <c r="B1050" t="s">
        <v>239</v>
      </c>
      <c r="D1050" t="s">
        <v>839</v>
      </c>
      <c r="E1050" t="s">
        <v>705</v>
      </c>
      <c r="F1050" t="s">
        <v>837</v>
      </c>
      <c r="G1050">
        <v>6.1040000000000001</v>
      </c>
      <c r="K1050" t="s">
        <v>649</v>
      </c>
      <c r="L1050" t="s">
        <v>936</v>
      </c>
    </row>
    <row r="1051" spans="1:12" x14ac:dyDescent="0.25">
      <c r="A1051" t="s">
        <v>896</v>
      </c>
      <c r="B1051" t="s">
        <v>240</v>
      </c>
      <c r="D1051" t="s">
        <v>839</v>
      </c>
      <c r="E1051" t="s">
        <v>705</v>
      </c>
      <c r="F1051" t="s">
        <v>12</v>
      </c>
      <c r="G1051">
        <v>0.22800000000000001</v>
      </c>
      <c r="K1051" t="s">
        <v>649</v>
      </c>
      <c r="L1051" t="s">
        <v>936</v>
      </c>
    </row>
    <row r="1052" spans="1:12" x14ac:dyDescent="0.25">
      <c r="A1052" t="s">
        <v>896</v>
      </c>
      <c r="B1052" t="s">
        <v>241</v>
      </c>
      <c r="D1052" t="s">
        <v>839</v>
      </c>
      <c r="E1052" t="s">
        <v>705</v>
      </c>
      <c r="F1052" t="s">
        <v>12</v>
      </c>
      <c r="G1052">
        <v>0.33300000000000002</v>
      </c>
      <c r="K1052" t="s">
        <v>649</v>
      </c>
      <c r="L1052" t="s">
        <v>936</v>
      </c>
    </row>
    <row r="1053" spans="1:12" x14ac:dyDescent="0.25">
      <c r="A1053" t="s">
        <v>896</v>
      </c>
      <c r="B1053" t="s">
        <v>242</v>
      </c>
      <c r="D1053" t="s">
        <v>839</v>
      </c>
      <c r="E1053" t="s">
        <v>705</v>
      </c>
      <c r="F1053" t="s">
        <v>12</v>
      </c>
      <c r="G1053">
        <v>0.24099999999999999</v>
      </c>
      <c r="K1053" t="s">
        <v>649</v>
      </c>
      <c r="L1053" t="s">
        <v>936</v>
      </c>
    </row>
    <row r="1054" spans="1:12" x14ac:dyDescent="0.25">
      <c r="A1054" t="s">
        <v>896</v>
      </c>
      <c r="B1054" t="s">
        <v>243</v>
      </c>
      <c r="D1054" t="s">
        <v>839</v>
      </c>
      <c r="E1054" t="s">
        <v>705</v>
      </c>
      <c r="F1054" t="s">
        <v>12</v>
      </c>
      <c r="G1054">
        <v>0.152</v>
      </c>
      <c r="K1054" t="s">
        <v>649</v>
      </c>
      <c r="L1054" t="s">
        <v>936</v>
      </c>
    </row>
    <row r="1055" spans="1:12" x14ac:dyDescent="0.25">
      <c r="A1055" t="s">
        <v>896</v>
      </c>
      <c r="B1055" t="s">
        <v>244</v>
      </c>
      <c r="D1055" t="s">
        <v>839</v>
      </c>
      <c r="E1055" t="s">
        <v>705</v>
      </c>
      <c r="F1055" t="s">
        <v>12</v>
      </c>
      <c r="G1055">
        <v>0.14899999999999999</v>
      </c>
      <c r="K1055" t="s">
        <v>649</v>
      </c>
      <c r="L1055" t="s">
        <v>936</v>
      </c>
    </row>
    <row r="1056" spans="1:12" x14ac:dyDescent="0.25">
      <c r="A1056" t="s">
        <v>896</v>
      </c>
      <c r="B1056" t="s">
        <v>245</v>
      </c>
      <c r="D1056" t="s">
        <v>839</v>
      </c>
      <c r="E1056" t="s">
        <v>705</v>
      </c>
      <c r="F1056" t="s">
        <v>12</v>
      </c>
      <c r="G1056">
        <v>0.129</v>
      </c>
      <c r="K1056" t="s">
        <v>649</v>
      </c>
      <c r="L1056" t="s">
        <v>936</v>
      </c>
    </row>
    <row r="1057" spans="1:12" x14ac:dyDescent="0.25">
      <c r="A1057" t="s">
        <v>896</v>
      </c>
      <c r="B1057" t="s">
        <v>246</v>
      </c>
      <c r="D1057" t="s">
        <v>839</v>
      </c>
      <c r="E1057" t="s">
        <v>705</v>
      </c>
      <c r="F1057" t="s">
        <v>12</v>
      </c>
      <c r="G1057">
        <v>0.121</v>
      </c>
      <c r="K1057" t="s">
        <v>649</v>
      </c>
      <c r="L1057" t="s">
        <v>936</v>
      </c>
    </row>
    <row r="1058" spans="1:12" x14ac:dyDescent="0.25">
      <c r="A1058" t="s">
        <v>896</v>
      </c>
      <c r="B1058" t="s">
        <v>247</v>
      </c>
      <c r="D1058" t="s">
        <v>839</v>
      </c>
      <c r="E1058" t="s">
        <v>705</v>
      </c>
      <c r="F1058" t="s">
        <v>12</v>
      </c>
      <c r="G1058">
        <v>0.128</v>
      </c>
      <c r="K1058" t="s">
        <v>649</v>
      </c>
      <c r="L1058" t="s">
        <v>936</v>
      </c>
    </row>
    <row r="1059" spans="1:12" x14ac:dyDescent="0.25">
      <c r="A1059" t="s">
        <v>896</v>
      </c>
      <c r="B1059" t="s">
        <v>248</v>
      </c>
      <c r="D1059" t="s">
        <v>839</v>
      </c>
      <c r="E1059" t="s">
        <v>705</v>
      </c>
      <c r="F1059" t="s">
        <v>12</v>
      </c>
      <c r="G1059">
        <v>0.107</v>
      </c>
      <c r="K1059" t="s">
        <v>649</v>
      </c>
      <c r="L1059" t="s">
        <v>936</v>
      </c>
    </row>
    <row r="1060" spans="1:12" x14ac:dyDescent="0.25">
      <c r="A1060" t="s">
        <v>896</v>
      </c>
      <c r="B1060" t="s">
        <v>249</v>
      </c>
      <c r="D1060" t="s">
        <v>839</v>
      </c>
      <c r="E1060" t="s">
        <v>705</v>
      </c>
      <c r="F1060" t="s">
        <v>12</v>
      </c>
      <c r="G1060">
        <v>0.112</v>
      </c>
      <c r="K1060" t="s">
        <v>649</v>
      </c>
      <c r="L1060" t="s">
        <v>936</v>
      </c>
    </row>
    <row r="1061" spans="1:12" x14ac:dyDescent="0.25">
      <c r="A1061" t="s">
        <v>896</v>
      </c>
      <c r="B1061" t="s">
        <v>250</v>
      </c>
      <c r="D1061" t="s">
        <v>839</v>
      </c>
      <c r="E1061" t="s">
        <v>705</v>
      </c>
      <c r="F1061" t="s">
        <v>12</v>
      </c>
      <c r="G1061">
        <v>0.114</v>
      </c>
      <c r="K1061" t="s">
        <v>649</v>
      </c>
      <c r="L1061" t="s">
        <v>936</v>
      </c>
    </row>
    <row r="1062" spans="1:12" x14ac:dyDescent="0.25">
      <c r="A1062" t="s">
        <v>896</v>
      </c>
      <c r="B1062" t="s">
        <v>251</v>
      </c>
      <c r="D1062" t="s">
        <v>839</v>
      </c>
      <c r="E1062" t="s">
        <v>705</v>
      </c>
      <c r="F1062" t="s">
        <v>12</v>
      </c>
      <c r="G1062">
        <v>0.10299999999999999</v>
      </c>
      <c r="K1062" t="s">
        <v>649</v>
      </c>
      <c r="L1062" t="s">
        <v>936</v>
      </c>
    </row>
    <row r="1063" spans="1:12" x14ac:dyDescent="0.25">
      <c r="A1063" t="s">
        <v>896</v>
      </c>
      <c r="B1063" t="s">
        <v>252</v>
      </c>
      <c r="D1063" t="s">
        <v>839</v>
      </c>
      <c r="E1063" t="s">
        <v>705</v>
      </c>
      <c r="F1063" t="s">
        <v>12</v>
      </c>
      <c r="G1063">
        <v>0.08</v>
      </c>
      <c r="K1063" t="s">
        <v>649</v>
      </c>
      <c r="L1063" t="s">
        <v>936</v>
      </c>
    </row>
    <row r="1064" spans="1:12" x14ac:dyDescent="0.25">
      <c r="A1064" t="s">
        <v>896</v>
      </c>
      <c r="B1064" t="s">
        <v>253</v>
      </c>
      <c r="D1064" t="s">
        <v>839</v>
      </c>
      <c r="E1064" t="s">
        <v>705</v>
      </c>
      <c r="F1064" t="s">
        <v>12</v>
      </c>
      <c r="G1064">
        <v>6.0999999999999999E-2</v>
      </c>
      <c r="K1064" t="s">
        <v>649</v>
      </c>
      <c r="L1064" t="s">
        <v>936</v>
      </c>
    </row>
    <row r="1065" spans="1:12" x14ac:dyDescent="0.25">
      <c r="A1065" t="s">
        <v>896</v>
      </c>
      <c r="B1065" t="s">
        <v>254</v>
      </c>
      <c r="D1065" t="s">
        <v>839</v>
      </c>
      <c r="E1065" t="s">
        <v>705</v>
      </c>
      <c r="F1065" t="s">
        <v>12</v>
      </c>
      <c r="G1065">
        <v>4.9000000000000002E-2</v>
      </c>
      <c r="K1065" t="s">
        <v>649</v>
      </c>
      <c r="L1065" t="s">
        <v>936</v>
      </c>
    </row>
    <row r="1066" spans="1:12" x14ac:dyDescent="0.25">
      <c r="A1066" t="s">
        <v>896</v>
      </c>
      <c r="B1066" t="s">
        <v>255</v>
      </c>
      <c r="D1066" t="s">
        <v>839</v>
      </c>
      <c r="E1066" t="s">
        <v>705</v>
      </c>
      <c r="F1066" t="s">
        <v>12</v>
      </c>
      <c r="G1066">
        <v>4.2999999999999997E-2</v>
      </c>
      <c r="K1066" t="s">
        <v>649</v>
      </c>
      <c r="L1066" t="s">
        <v>936</v>
      </c>
    </row>
    <row r="1067" spans="1:12" x14ac:dyDescent="0.25">
      <c r="A1067" t="s">
        <v>896</v>
      </c>
      <c r="B1067" t="s">
        <v>256</v>
      </c>
      <c r="D1067" t="s">
        <v>839</v>
      </c>
      <c r="E1067" t="s">
        <v>705</v>
      </c>
      <c r="F1067" t="s">
        <v>12</v>
      </c>
      <c r="G1067">
        <v>5.0999999999999997E-2</v>
      </c>
      <c r="K1067" t="s">
        <v>649</v>
      </c>
      <c r="L1067" t="s">
        <v>936</v>
      </c>
    </row>
    <row r="1068" spans="1:12" x14ac:dyDescent="0.25">
      <c r="A1068" t="s">
        <v>896</v>
      </c>
      <c r="B1068" t="s">
        <v>124</v>
      </c>
      <c r="D1068" t="s">
        <v>839</v>
      </c>
      <c r="E1068" t="s">
        <v>705</v>
      </c>
      <c r="F1068" t="s">
        <v>12</v>
      </c>
      <c r="G1068">
        <v>0.02</v>
      </c>
      <c r="K1068" t="s">
        <v>649</v>
      </c>
      <c r="L1068" t="s">
        <v>936</v>
      </c>
    </row>
    <row r="1069" spans="1:12" x14ac:dyDescent="0.25">
      <c r="A1069" t="s">
        <v>896</v>
      </c>
      <c r="B1069" t="s">
        <v>125</v>
      </c>
      <c r="D1069" t="s">
        <v>839</v>
      </c>
      <c r="E1069" t="s">
        <v>705</v>
      </c>
      <c r="F1069" t="s">
        <v>12</v>
      </c>
      <c r="G1069">
        <v>1.9E-2</v>
      </c>
      <c r="K1069" t="s">
        <v>649</v>
      </c>
      <c r="L1069" t="s">
        <v>936</v>
      </c>
    </row>
    <row r="1070" spans="1:12" x14ac:dyDescent="0.25">
      <c r="A1070" t="s">
        <v>896</v>
      </c>
      <c r="B1070" t="s">
        <v>126</v>
      </c>
      <c r="D1070" t="s">
        <v>839</v>
      </c>
      <c r="E1070" t="s">
        <v>705</v>
      </c>
      <c r="F1070" t="s">
        <v>12</v>
      </c>
      <c r="G1070">
        <v>1.9E-2</v>
      </c>
      <c r="K1070" t="s">
        <v>649</v>
      </c>
      <c r="L1070" t="s">
        <v>936</v>
      </c>
    </row>
    <row r="1071" spans="1:12" x14ac:dyDescent="0.25">
      <c r="A1071" t="s">
        <v>896</v>
      </c>
      <c r="B1071" t="s">
        <v>127</v>
      </c>
      <c r="D1071" t="s">
        <v>839</v>
      </c>
      <c r="E1071" t="s">
        <v>705</v>
      </c>
      <c r="F1071" t="s">
        <v>12</v>
      </c>
      <c r="G1071">
        <v>0.02</v>
      </c>
      <c r="K1071" t="s">
        <v>649</v>
      </c>
      <c r="L1071" t="s">
        <v>936</v>
      </c>
    </row>
    <row r="1072" spans="1:12" x14ac:dyDescent="0.25">
      <c r="A1072" t="s">
        <v>896</v>
      </c>
      <c r="B1072" t="s">
        <v>128</v>
      </c>
      <c r="D1072" t="s">
        <v>839</v>
      </c>
      <c r="E1072" t="s">
        <v>705</v>
      </c>
      <c r="F1072" t="s">
        <v>12</v>
      </c>
      <c r="G1072">
        <v>2.1000000000000001E-2</v>
      </c>
      <c r="K1072" t="s">
        <v>649</v>
      </c>
      <c r="L1072" t="s">
        <v>936</v>
      </c>
    </row>
    <row r="1073" spans="1:12" x14ac:dyDescent="0.25">
      <c r="A1073" t="s">
        <v>896</v>
      </c>
      <c r="B1073" t="s">
        <v>129</v>
      </c>
      <c r="D1073" t="s">
        <v>839</v>
      </c>
      <c r="E1073" t="s">
        <v>705</v>
      </c>
      <c r="F1073" t="s">
        <v>12</v>
      </c>
      <c r="G1073">
        <v>0.02</v>
      </c>
      <c r="K1073" t="s">
        <v>649</v>
      </c>
      <c r="L1073" t="s">
        <v>936</v>
      </c>
    </row>
    <row r="1074" spans="1:12" x14ac:dyDescent="0.25">
      <c r="A1074" t="s">
        <v>896</v>
      </c>
      <c r="B1074" t="s">
        <v>130</v>
      </c>
      <c r="D1074" t="s">
        <v>839</v>
      </c>
      <c r="E1074" t="s">
        <v>705</v>
      </c>
      <c r="F1074" t="s">
        <v>12</v>
      </c>
      <c r="G1074">
        <v>0.02</v>
      </c>
      <c r="K1074" t="s">
        <v>649</v>
      </c>
      <c r="L1074" t="s">
        <v>936</v>
      </c>
    </row>
    <row r="1075" spans="1:12" x14ac:dyDescent="0.25">
      <c r="A1075" t="s">
        <v>896</v>
      </c>
      <c r="B1075" t="s">
        <v>257</v>
      </c>
      <c r="D1075" t="s">
        <v>839</v>
      </c>
      <c r="E1075" t="s">
        <v>705</v>
      </c>
      <c r="F1075" t="s">
        <v>12</v>
      </c>
      <c r="G1075">
        <v>6.7000000000000004E-2</v>
      </c>
      <c r="K1075" t="s">
        <v>649</v>
      </c>
      <c r="L1075" t="s">
        <v>936</v>
      </c>
    </row>
    <row r="1076" spans="1:12" x14ac:dyDescent="0.25">
      <c r="A1076" t="s">
        <v>896</v>
      </c>
      <c r="B1076" t="s">
        <v>258</v>
      </c>
      <c r="D1076" t="s">
        <v>839</v>
      </c>
      <c r="E1076" t="s">
        <v>705</v>
      </c>
      <c r="F1076" t="s">
        <v>12</v>
      </c>
      <c r="G1076">
        <v>0.10299999999999999</v>
      </c>
      <c r="K1076" t="s">
        <v>649</v>
      </c>
      <c r="L1076" t="s">
        <v>936</v>
      </c>
    </row>
    <row r="1077" spans="1:12" x14ac:dyDescent="0.25">
      <c r="A1077" t="s">
        <v>896</v>
      </c>
      <c r="B1077" t="s">
        <v>259</v>
      </c>
      <c r="D1077" t="s">
        <v>839</v>
      </c>
      <c r="E1077" t="s">
        <v>705</v>
      </c>
      <c r="F1077" t="s">
        <v>12</v>
      </c>
      <c r="G1077">
        <v>9.4E-2</v>
      </c>
      <c r="K1077" t="s">
        <v>649</v>
      </c>
      <c r="L1077" t="s">
        <v>936</v>
      </c>
    </row>
    <row r="1078" spans="1:12" x14ac:dyDescent="0.25">
      <c r="A1078" t="s">
        <v>896</v>
      </c>
      <c r="B1078" t="s">
        <v>260</v>
      </c>
      <c r="D1078" t="s">
        <v>839</v>
      </c>
      <c r="E1078" t="s">
        <v>705</v>
      </c>
      <c r="F1078" t="s">
        <v>12</v>
      </c>
      <c r="G1078">
        <v>9.6000000000000002E-2</v>
      </c>
      <c r="K1078" t="s">
        <v>649</v>
      </c>
      <c r="L1078" t="s">
        <v>936</v>
      </c>
    </row>
    <row r="1079" spans="1:12" x14ac:dyDescent="0.25">
      <c r="A1079" t="s">
        <v>896</v>
      </c>
      <c r="B1079" t="s">
        <v>261</v>
      </c>
      <c r="D1079" t="s">
        <v>839</v>
      </c>
      <c r="E1079" t="s">
        <v>705</v>
      </c>
      <c r="F1079" t="s">
        <v>12</v>
      </c>
      <c r="G1079">
        <v>0.111</v>
      </c>
      <c r="K1079" t="s">
        <v>649</v>
      </c>
      <c r="L1079" t="s">
        <v>936</v>
      </c>
    </row>
    <row r="1080" spans="1:12" x14ac:dyDescent="0.25">
      <c r="A1080" t="s">
        <v>896</v>
      </c>
      <c r="B1080" t="s">
        <v>262</v>
      </c>
      <c r="D1080" t="s">
        <v>839</v>
      </c>
      <c r="E1080" t="s">
        <v>705</v>
      </c>
      <c r="F1080" t="s">
        <v>12</v>
      </c>
      <c r="G1080">
        <v>0.112</v>
      </c>
      <c r="K1080" t="s">
        <v>649</v>
      </c>
      <c r="L1080" t="s">
        <v>936</v>
      </c>
    </row>
    <row r="1081" spans="1:12" x14ac:dyDescent="0.25">
      <c r="A1081" t="s">
        <v>896</v>
      </c>
      <c r="B1081" t="s">
        <v>263</v>
      </c>
      <c r="D1081" t="s">
        <v>839</v>
      </c>
      <c r="E1081" t="s">
        <v>705</v>
      </c>
      <c r="F1081" t="s">
        <v>12</v>
      </c>
      <c r="G1081">
        <v>6.9000000000000006E-2</v>
      </c>
      <c r="K1081" t="s">
        <v>649</v>
      </c>
      <c r="L1081" t="s">
        <v>936</v>
      </c>
    </row>
    <row r="1082" spans="1:12" x14ac:dyDescent="0.25">
      <c r="A1082" t="s">
        <v>896</v>
      </c>
      <c r="B1082" t="s">
        <v>264</v>
      </c>
      <c r="D1082" t="s">
        <v>839</v>
      </c>
      <c r="E1082" t="s">
        <v>705</v>
      </c>
      <c r="F1082" t="s">
        <v>12</v>
      </c>
      <c r="G1082">
        <v>0.154</v>
      </c>
      <c r="K1082" t="s">
        <v>649</v>
      </c>
      <c r="L1082" t="s">
        <v>936</v>
      </c>
    </row>
    <row r="1083" spans="1:12" x14ac:dyDescent="0.25">
      <c r="A1083" t="s">
        <v>896</v>
      </c>
      <c r="B1083" t="s">
        <v>265</v>
      </c>
      <c r="D1083" t="s">
        <v>839</v>
      </c>
      <c r="E1083" t="s">
        <v>705</v>
      </c>
      <c r="F1083" t="s">
        <v>12</v>
      </c>
      <c r="G1083">
        <v>0.16200000000000001</v>
      </c>
      <c r="K1083" t="s">
        <v>649</v>
      </c>
      <c r="L1083" t="s">
        <v>936</v>
      </c>
    </row>
    <row r="1084" spans="1:12" x14ac:dyDescent="0.25">
      <c r="A1084" t="s">
        <v>896</v>
      </c>
      <c r="B1084" t="s">
        <v>266</v>
      </c>
      <c r="D1084" t="s">
        <v>839</v>
      </c>
      <c r="E1084" t="s">
        <v>705</v>
      </c>
      <c r="F1084" t="s">
        <v>12</v>
      </c>
      <c r="G1084">
        <v>0.158</v>
      </c>
      <c r="K1084" t="s">
        <v>649</v>
      </c>
      <c r="L1084" t="s">
        <v>936</v>
      </c>
    </row>
    <row r="1085" spans="1:12" x14ac:dyDescent="0.25">
      <c r="A1085" t="s">
        <v>896</v>
      </c>
      <c r="B1085" t="s">
        <v>267</v>
      </c>
      <c r="D1085" t="s">
        <v>839</v>
      </c>
      <c r="E1085" t="s">
        <v>705</v>
      </c>
      <c r="F1085" t="s">
        <v>12</v>
      </c>
      <c r="G1085">
        <v>0.161</v>
      </c>
      <c r="K1085" t="s">
        <v>649</v>
      </c>
      <c r="L1085" t="s">
        <v>936</v>
      </c>
    </row>
    <row r="1086" spans="1:12" x14ac:dyDescent="0.25">
      <c r="A1086" t="s">
        <v>896</v>
      </c>
      <c r="B1086" t="s">
        <v>268</v>
      </c>
      <c r="D1086" t="s">
        <v>839</v>
      </c>
      <c r="E1086" t="s">
        <v>705</v>
      </c>
      <c r="F1086" t="s">
        <v>12</v>
      </c>
      <c r="G1086">
        <v>0.157</v>
      </c>
      <c r="K1086" t="s">
        <v>649</v>
      </c>
      <c r="L1086" t="s">
        <v>936</v>
      </c>
    </row>
    <row r="1087" spans="1:12" x14ac:dyDescent="0.25">
      <c r="A1087" t="s">
        <v>896</v>
      </c>
      <c r="B1087" t="s">
        <v>269</v>
      </c>
      <c r="D1087" t="s">
        <v>839</v>
      </c>
      <c r="E1087" t="s">
        <v>705</v>
      </c>
      <c r="F1087" t="s">
        <v>12</v>
      </c>
      <c r="G1087">
        <v>0.14299999999999999</v>
      </c>
      <c r="K1087" t="s">
        <v>649</v>
      </c>
      <c r="L1087" t="s">
        <v>936</v>
      </c>
    </row>
    <row r="1088" spans="1:12" x14ac:dyDescent="0.25">
      <c r="A1088" t="s">
        <v>896</v>
      </c>
      <c r="B1088" t="s">
        <v>270</v>
      </c>
      <c r="D1088" t="s">
        <v>839</v>
      </c>
      <c r="E1088" t="s">
        <v>705</v>
      </c>
      <c r="F1088" t="s">
        <v>12</v>
      </c>
      <c r="G1088">
        <v>0.123</v>
      </c>
      <c r="K1088" t="s">
        <v>649</v>
      </c>
      <c r="L1088" t="s">
        <v>936</v>
      </c>
    </row>
    <row r="1089" spans="1:12" x14ac:dyDescent="0.25">
      <c r="A1089" t="s">
        <v>896</v>
      </c>
      <c r="B1089" t="s">
        <v>271</v>
      </c>
      <c r="D1089" t="s">
        <v>839</v>
      </c>
      <c r="E1089" t="s">
        <v>705</v>
      </c>
      <c r="F1089" t="s">
        <v>12</v>
      </c>
      <c r="G1089">
        <v>0.13500000000000001</v>
      </c>
      <c r="K1089" t="s">
        <v>649</v>
      </c>
      <c r="L1089" t="s">
        <v>936</v>
      </c>
    </row>
    <row r="1090" spans="1:12" x14ac:dyDescent="0.25">
      <c r="A1090" t="s">
        <v>896</v>
      </c>
      <c r="B1090" t="s">
        <v>272</v>
      </c>
      <c r="D1090" t="s">
        <v>839</v>
      </c>
      <c r="E1090" t="s">
        <v>705</v>
      </c>
      <c r="F1090" t="s">
        <v>837</v>
      </c>
      <c r="G1090">
        <v>9.6000000000000002E-2</v>
      </c>
      <c r="K1090" t="s">
        <v>649</v>
      </c>
      <c r="L1090" t="s">
        <v>936</v>
      </c>
    </row>
    <row r="1091" spans="1:12" x14ac:dyDescent="0.25">
      <c r="A1091" t="s">
        <v>896</v>
      </c>
      <c r="B1091" t="s">
        <v>273</v>
      </c>
      <c r="D1091" t="s">
        <v>839</v>
      </c>
      <c r="E1091" t="s">
        <v>705</v>
      </c>
      <c r="F1091" t="s">
        <v>12</v>
      </c>
      <c r="G1091">
        <v>0.17199999999999999</v>
      </c>
      <c r="K1091" t="s">
        <v>649</v>
      </c>
      <c r="L1091" t="s">
        <v>936</v>
      </c>
    </row>
    <row r="1092" spans="1:12" x14ac:dyDescent="0.25">
      <c r="A1092" t="s">
        <v>896</v>
      </c>
      <c r="B1092" t="s">
        <v>274</v>
      </c>
      <c r="D1092" t="s">
        <v>839</v>
      </c>
      <c r="E1092" t="s">
        <v>705</v>
      </c>
      <c r="F1092" t="s">
        <v>12</v>
      </c>
      <c r="G1092">
        <v>0.20100000000000001</v>
      </c>
      <c r="K1092" t="s">
        <v>649</v>
      </c>
      <c r="L1092" t="s">
        <v>936</v>
      </c>
    </row>
    <row r="1093" spans="1:12" x14ac:dyDescent="0.25">
      <c r="A1093" t="s">
        <v>896</v>
      </c>
      <c r="B1093" t="s">
        <v>275</v>
      </c>
      <c r="D1093" t="s">
        <v>839</v>
      </c>
      <c r="E1093" t="s">
        <v>705</v>
      </c>
      <c r="F1093" t="s">
        <v>837</v>
      </c>
      <c r="G1093">
        <v>0.16600000000000001</v>
      </c>
      <c r="K1093" t="s">
        <v>649</v>
      </c>
      <c r="L1093" t="s">
        <v>936</v>
      </c>
    </row>
    <row r="1094" spans="1:12" x14ac:dyDescent="0.25">
      <c r="A1094" t="s">
        <v>896</v>
      </c>
      <c r="B1094" t="s">
        <v>276</v>
      </c>
      <c r="D1094" t="s">
        <v>839</v>
      </c>
      <c r="E1094" t="s">
        <v>705</v>
      </c>
      <c r="F1094" t="s">
        <v>12</v>
      </c>
      <c r="G1094">
        <v>0.17299999999999999</v>
      </c>
      <c r="K1094" t="s">
        <v>649</v>
      </c>
      <c r="L1094" t="s">
        <v>936</v>
      </c>
    </row>
    <row r="1095" spans="1:12" x14ac:dyDescent="0.25">
      <c r="A1095" t="s">
        <v>896</v>
      </c>
      <c r="B1095" t="s">
        <v>277</v>
      </c>
      <c r="D1095" t="s">
        <v>839</v>
      </c>
      <c r="E1095" t="s">
        <v>705</v>
      </c>
      <c r="F1095" t="s">
        <v>12</v>
      </c>
      <c r="G1095">
        <v>0.17399999999999999</v>
      </c>
      <c r="K1095" t="s">
        <v>649</v>
      </c>
      <c r="L1095" t="s">
        <v>936</v>
      </c>
    </row>
    <row r="1096" spans="1:12" x14ac:dyDescent="0.25">
      <c r="A1096" t="s">
        <v>896</v>
      </c>
      <c r="B1096" t="s">
        <v>462</v>
      </c>
      <c r="D1096" t="s">
        <v>839</v>
      </c>
      <c r="E1096" t="s">
        <v>705</v>
      </c>
      <c r="F1096" t="s">
        <v>12</v>
      </c>
      <c r="G1096">
        <v>0.28899999999999998</v>
      </c>
      <c r="K1096" t="s">
        <v>649</v>
      </c>
      <c r="L1096" t="s">
        <v>936</v>
      </c>
    </row>
    <row r="1097" spans="1:12" x14ac:dyDescent="0.25">
      <c r="A1097" t="s">
        <v>896</v>
      </c>
      <c r="B1097" t="s">
        <v>324</v>
      </c>
      <c r="D1097" t="s">
        <v>839</v>
      </c>
      <c r="E1097" t="s">
        <v>705</v>
      </c>
      <c r="F1097" t="s">
        <v>1226</v>
      </c>
      <c r="G1097">
        <v>0.17699999999999999</v>
      </c>
      <c r="K1097" t="s">
        <v>649</v>
      </c>
      <c r="L1097" t="s">
        <v>936</v>
      </c>
    </row>
    <row r="1098" spans="1:12" x14ac:dyDescent="0.25">
      <c r="A1098" t="s">
        <v>896</v>
      </c>
      <c r="B1098" t="s">
        <v>463</v>
      </c>
      <c r="D1098" t="s">
        <v>839</v>
      </c>
      <c r="E1098" t="s">
        <v>705</v>
      </c>
      <c r="F1098" t="s">
        <v>837</v>
      </c>
      <c r="G1098">
        <v>0.14199999999999999</v>
      </c>
      <c r="K1098" t="s">
        <v>649</v>
      </c>
      <c r="L1098" t="s">
        <v>936</v>
      </c>
    </row>
    <row r="1099" spans="1:12" x14ac:dyDescent="0.25">
      <c r="A1099" t="s">
        <v>896</v>
      </c>
      <c r="B1099" t="s">
        <v>464</v>
      </c>
      <c r="D1099" t="s">
        <v>839</v>
      </c>
      <c r="E1099" t="s">
        <v>705</v>
      </c>
      <c r="F1099" t="s">
        <v>837</v>
      </c>
      <c r="G1099">
        <v>0.128</v>
      </c>
      <c r="K1099" t="s">
        <v>649</v>
      </c>
      <c r="L1099" t="s">
        <v>936</v>
      </c>
    </row>
    <row r="1100" spans="1:12" x14ac:dyDescent="0.25">
      <c r="A1100" t="s">
        <v>896</v>
      </c>
      <c r="B1100" t="s">
        <v>465</v>
      </c>
      <c r="D1100" t="s">
        <v>839</v>
      </c>
      <c r="E1100" t="s">
        <v>705</v>
      </c>
      <c r="F1100" t="s">
        <v>89</v>
      </c>
      <c r="G1100">
        <v>0.115</v>
      </c>
      <c r="K1100" t="s">
        <v>649</v>
      </c>
      <c r="L1100" t="s">
        <v>936</v>
      </c>
    </row>
    <row r="1101" spans="1:12" x14ac:dyDescent="0.25">
      <c r="A1101" t="s">
        <v>896</v>
      </c>
      <c r="B1101" t="s">
        <v>466</v>
      </c>
      <c r="D1101" t="s">
        <v>839</v>
      </c>
      <c r="E1101" t="s">
        <v>705</v>
      </c>
      <c r="F1101" t="s">
        <v>89</v>
      </c>
      <c r="G1101">
        <v>0.10299999999999999</v>
      </c>
      <c r="K1101" t="s">
        <v>649</v>
      </c>
      <c r="L1101" t="s">
        <v>936</v>
      </c>
    </row>
    <row r="1102" spans="1:12" x14ac:dyDescent="0.25">
      <c r="A1102" t="s">
        <v>896</v>
      </c>
      <c r="B1102" t="s">
        <v>467</v>
      </c>
      <c r="D1102" t="s">
        <v>839</v>
      </c>
      <c r="E1102" t="s">
        <v>705</v>
      </c>
      <c r="F1102" t="s">
        <v>89</v>
      </c>
      <c r="G1102">
        <v>9.1999999999999998E-2</v>
      </c>
      <c r="K1102" t="s">
        <v>649</v>
      </c>
      <c r="L1102" t="s">
        <v>936</v>
      </c>
    </row>
    <row r="1103" spans="1:12" x14ac:dyDescent="0.25">
      <c r="A1103" t="s">
        <v>896</v>
      </c>
      <c r="B1103" t="s">
        <v>468</v>
      </c>
      <c r="D1103" t="s">
        <v>839</v>
      </c>
      <c r="E1103" t="s">
        <v>705</v>
      </c>
      <c r="F1103" t="s">
        <v>12</v>
      </c>
      <c r="G1103">
        <v>7.9000000000000001E-2</v>
      </c>
      <c r="K1103" t="s">
        <v>649</v>
      </c>
      <c r="L1103" t="s">
        <v>936</v>
      </c>
    </row>
    <row r="1104" spans="1:12" x14ac:dyDescent="0.25">
      <c r="A1104" t="s">
        <v>896</v>
      </c>
      <c r="B1104" t="s">
        <v>469</v>
      </c>
      <c r="D1104" t="s">
        <v>839</v>
      </c>
      <c r="E1104" t="s">
        <v>705</v>
      </c>
      <c r="F1104" t="s">
        <v>12</v>
      </c>
      <c r="G1104">
        <v>5.6000000000000001E-2</v>
      </c>
      <c r="K1104" t="s">
        <v>649</v>
      </c>
      <c r="L1104" t="s">
        <v>936</v>
      </c>
    </row>
    <row r="1105" spans="1:12" x14ac:dyDescent="0.25">
      <c r="A1105" t="s">
        <v>896</v>
      </c>
      <c r="B1105" t="s">
        <v>470</v>
      </c>
      <c r="D1105" t="s">
        <v>839</v>
      </c>
      <c r="E1105" t="s">
        <v>705</v>
      </c>
      <c r="F1105" t="s">
        <v>12</v>
      </c>
      <c r="G1105">
        <v>8.9999999999999993E-3</v>
      </c>
      <c r="K1105" t="s">
        <v>649</v>
      </c>
      <c r="L1105" t="s">
        <v>936</v>
      </c>
    </row>
    <row r="1106" spans="1:12" x14ac:dyDescent="0.25">
      <c r="A1106" t="s">
        <v>896</v>
      </c>
      <c r="B1106" t="s">
        <v>499</v>
      </c>
      <c r="D1106" t="s">
        <v>839</v>
      </c>
      <c r="E1106" t="s">
        <v>705</v>
      </c>
      <c r="F1106" t="s">
        <v>837</v>
      </c>
      <c r="G1106">
        <v>7.8E-2</v>
      </c>
      <c r="K1106" t="s">
        <v>649</v>
      </c>
      <c r="L1106" t="s">
        <v>936</v>
      </c>
    </row>
    <row r="1107" spans="1:12" x14ac:dyDescent="0.25">
      <c r="A1107" t="s">
        <v>898</v>
      </c>
      <c r="B1107" t="s">
        <v>359</v>
      </c>
      <c r="D1107" t="s">
        <v>571</v>
      </c>
      <c r="E1107" t="s">
        <v>709</v>
      </c>
      <c r="F1107" t="s">
        <v>837</v>
      </c>
      <c r="G1107">
        <v>1.77</v>
      </c>
      <c r="K1107" t="s">
        <v>649</v>
      </c>
      <c r="L1107" t="s">
        <v>936</v>
      </c>
    </row>
    <row r="1108" spans="1:12" x14ac:dyDescent="0.25">
      <c r="A1108" t="s">
        <v>898</v>
      </c>
      <c r="B1108" t="s">
        <v>361</v>
      </c>
      <c r="D1108" t="s">
        <v>571</v>
      </c>
      <c r="E1108" t="s">
        <v>709</v>
      </c>
      <c r="F1108" t="s">
        <v>837</v>
      </c>
      <c r="G1108">
        <v>1.117</v>
      </c>
      <c r="K1108" t="s">
        <v>649</v>
      </c>
      <c r="L1108" t="s">
        <v>936</v>
      </c>
    </row>
    <row r="1109" spans="1:12" x14ac:dyDescent="0.25">
      <c r="A1109" t="s">
        <v>898</v>
      </c>
      <c r="B1109" t="s">
        <v>362</v>
      </c>
      <c r="D1109" t="s">
        <v>571</v>
      </c>
      <c r="E1109" t="s">
        <v>709</v>
      </c>
      <c r="F1109" t="s">
        <v>837</v>
      </c>
      <c r="G1109">
        <v>2.1139999999999999</v>
      </c>
      <c r="K1109" t="s">
        <v>649</v>
      </c>
      <c r="L1109" t="s">
        <v>936</v>
      </c>
    </row>
    <row r="1110" spans="1:12" x14ac:dyDescent="0.25">
      <c r="A1110" t="s">
        <v>898</v>
      </c>
      <c r="B1110" t="s">
        <v>81</v>
      </c>
      <c r="D1110" t="s">
        <v>571</v>
      </c>
      <c r="E1110" t="s">
        <v>709</v>
      </c>
      <c r="F1110" t="s">
        <v>837</v>
      </c>
      <c r="G1110">
        <v>0.41199999999999998</v>
      </c>
      <c r="K1110" t="s">
        <v>649</v>
      </c>
      <c r="L1110" t="s">
        <v>936</v>
      </c>
    </row>
    <row r="1111" spans="1:12" x14ac:dyDescent="0.25">
      <c r="A1111" t="s">
        <v>898</v>
      </c>
      <c r="B1111" t="s">
        <v>363</v>
      </c>
      <c r="D1111" t="s">
        <v>571</v>
      </c>
      <c r="E1111" t="s">
        <v>709</v>
      </c>
      <c r="F1111" t="s">
        <v>837</v>
      </c>
      <c r="G1111">
        <v>4.6059999999999999</v>
      </c>
      <c r="K1111" t="s">
        <v>649</v>
      </c>
      <c r="L1111" t="s">
        <v>936</v>
      </c>
    </row>
    <row r="1112" spans="1:12" x14ac:dyDescent="0.25">
      <c r="A1112" t="s">
        <v>898</v>
      </c>
      <c r="B1112" t="s">
        <v>364</v>
      </c>
      <c r="D1112" t="s">
        <v>571</v>
      </c>
      <c r="E1112" t="s">
        <v>709</v>
      </c>
      <c r="F1112" t="s">
        <v>837</v>
      </c>
      <c r="G1112">
        <v>1.1830000000000001</v>
      </c>
      <c r="K1112" t="s">
        <v>649</v>
      </c>
      <c r="L1112" t="s">
        <v>936</v>
      </c>
    </row>
    <row r="1113" spans="1:12" x14ac:dyDescent="0.25">
      <c r="A1113" t="s">
        <v>898</v>
      </c>
      <c r="B1113" t="s">
        <v>365</v>
      </c>
      <c r="D1113" t="s">
        <v>571</v>
      </c>
      <c r="E1113" t="s">
        <v>709</v>
      </c>
      <c r="F1113" t="s">
        <v>837</v>
      </c>
      <c r="G1113">
        <v>1.115</v>
      </c>
      <c r="K1113" t="s">
        <v>649</v>
      </c>
      <c r="L1113" t="s">
        <v>936</v>
      </c>
    </row>
    <row r="1114" spans="1:12" x14ac:dyDescent="0.25">
      <c r="A1114" t="s">
        <v>898</v>
      </c>
      <c r="B1114" t="s">
        <v>366</v>
      </c>
      <c r="D1114" t="s">
        <v>571</v>
      </c>
      <c r="E1114" t="s">
        <v>709</v>
      </c>
      <c r="F1114" t="s">
        <v>837</v>
      </c>
      <c r="G1114">
        <v>3.1019999999999999</v>
      </c>
      <c r="K1114" t="s">
        <v>649</v>
      </c>
      <c r="L1114" t="s">
        <v>936</v>
      </c>
    </row>
    <row r="1115" spans="1:12" x14ac:dyDescent="0.25">
      <c r="A1115" t="s">
        <v>898</v>
      </c>
      <c r="B1115" t="s">
        <v>367</v>
      </c>
      <c r="D1115" t="s">
        <v>571</v>
      </c>
      <c r="E1115" t="s">
        <v>709</v>
      </c>
      <c r="F1115" t="s">
        <v>837</v>
      </c>
      <c r="G1115">
        <v>1.897</v>
      </c>
      <c r="K1115" t="s">
        <v>649</v>
      </c>
      <c r="L1115" t="s">
        <v>936</v>
      </c>
    </row>
    <row r="1116" spans="1:12" x14ac:dyDescent="0.25">
      <c r="A1116" t="s">
        <v>898</v>
      </c>
      <c r="B1116" t="s">
        <v>368</v>
      </c>
      <c r="D1116" t="s">
        <v>571</v>
      </c>
      <c r="E1116" t="s">
        <v>709</v>
      </c>
      <c r="F1116" t="s">
        <v>837</v>
      </c>
      <c r="G1116">
        <v>0.87</v>
      </c>
      <c r="K1116" t="s">
        <v>649</v>
      </c>
      <c r="L1116" t="s">
        <v>936</v>
      </c>
    </row>
    <row r="1117" spans="1:12" x14ac:dyDescent="0.25">
      <c r="A1117" t="s">
        <v>898</v>
      </c>
      <c r="B1117" t="s">
        <v>369</v>
      </c>
      <c r="D1117" t="s">
        <v>571</v>
      </c>
      <c r="E1117" t="s">
        <v>709</v>
      </c>
      <c r="F1117" t="s">
        <v>837</v>
      </c>
      <c r="G1117">
        <v>4.5999999999999996</v>
      </c>
      <c r="K1117" t="s">
        <v>649</v>
      </c>
      <c r="L1117" t="s">
        <v>936</v>
      </c>
    </row>
    <row r="1118" spans="1:12" x14ac:dyDescent="0.25">
      <c r="A1118" t="s">
        <v>898</v>
      </c>
      <c r="B1118" t="s">
        <v>370</v>
      </c>
      <c r="D1118" t="s">
        <v>571</v>
      </c>
      <c r="E1118" t="s">
        <v>709</v>
      </c>
      <c r="F1118" t="s">
        <v>837</v>
      </c>
      <c r="G1118">
        <v>4.343</v>
      </c>
      <c r="K1118" t="s">
        <v>649</v>
      </c>
      <c r="L1118" t="s">
        <v>936</v>
      </c>
    </row>
    <row r="1119" spans="1:12" x14ac:dyDescent="0.25">
      <c r="A1119" t="s">
        <v>898</v>
      </c>
      <c r="B1119" t="s">
        <v>371</v>
      </c>
      <c r="D1119" t="s">
        <v>571</v>
      </c>
      <c r="E1119" t="s">
        <v>709</v>
      </c>
      <c r="F1119" t="s">
        <v>837</v>
      </c>
      <c r="G1119">
        <v>0.69699999999999995</v>
      </c>
      <c r="K1119" t="s">
        <v>649</v>
      </c>
      <c r="L1119" t="s">
        <v>936</v>
      </c>
    </row>
    <row r="1120" spans="1:12" x14ac:dyDescent="0.25">
      <c r="A1120" t="s">
        <v>898</v>
      </c>
      <c r="B1120" t="s">
        <v>372</v>
      </c>
      <c r="D1120" t="s">
        <v>571</v>
      </c>
      <c r="E1120" t="s">
        <v>709</v>
      </c>
      <c r="F1120" t="s">
        <v>837</v>
      </c>
      <c r="G1120">
        <v>3.7440000000000002</v>
      </c>
      <c r="K1120" t="s">
        <v>649</v>
      </c>
      <c r="L1120" t="s">
        <v>936</v>
      </c>
    </row>
    <row r="1121" spans="1:12" x14ac:dyDescent="0.25">
      <c r="A1121" t="s">
        <v>898</v>
      </c>
      <c r="B1121" t="s">
        <v>373</v>
      </c>
      <c r="D1121" t="s">
        <v>571</v>
      </c>
      <c r="E1121" t="s">
        <v>709</v>
      </c>
      <c r="F1121" t="s">
        <v>837</v>
      </c>
      <c r="G1121">
        <v>0.17799999999999999</v>
      </c>
      <c r="K1121" t="s">
        <v>649</v>
      </c>
      <c r="L1121" t="s">
        <v>936</v>
      </c>
    </row>
    <row r="1122" spans="1:12" x14ac:dyDescent="0.25">
      <c r="A1122" t="s">
        <v>898</v>
      </c>
      <c r="B1122" t="s">
        <v>374</v>
      </c>
      <c r="D1122" t="s">
        <v>571</v>
      </c>
      <c r="E1122" t="s">
        <v>709</v>
      </c>
      <c r="F1122" t="s">
        <v>837</v>
      </c>
      <c r="G1122">
        <v>0.17699999999999999</v>
      </c>
      <c r="K1122" t="s">
        <v>649</v>
      </c>
      <c r="L1122" t="s">
        <v>936</v>
      </c>
    </row>
    <row r="1123" spans="1:12" x14ac:dyDescent="0.25">
      <c r="A1123" t="s">
        <v>898</v>
      </c>
      <c r="B1123" t="s">
        <v>375</v>
      </c>
      <c r="D1123" t="s">
        <v>571</v>
      </c>
      <c r="E1123" t="s">
        <v>709</v>
      </c>
      <c r="F1123" t="s">
        <v>837</v>
      </c>
      <c r="G1123">
        <v>2.004</v>
      </c>
      <c r="K1123" t="s">
        <v>649</v>
      </c>
      <c r="L1123" t="s">
        <v>936</v>
      </c>
    </row>
    <row r="1124" spans="1:12" x14ac:dyDescent="0.25">
      <c r="A1124" t="s">
        <v>898</v>
      </c>
      <c r="B1124" t="s">
        <v>376</v>
      </c>
      <c r="D1124" t="s">
        <v>571</v>
      </c>
      <c r="E1124" t="s">
        <v>709</v>
      </c>
      <c r="F1124" t="s">
        <v>837</v>
      </c>
      <c r="G1124">
        <v>0.81799999999999995</v>
      </c>
      <c r="K1124" t="s">
        <v>649</v>
      </c>
      <c r="L1124" t="s">
        <v>936</v>
      </c>
    </row>
    <row r="1125" spans="1:12" x14ac:dyDescent="0.25">
      <c r="A1125" t="s">
        <v>898</v>
      </c>
      <c r="B1125" t="s">
        <v>377</v>
      </c>
      <c r="D1125" t="s">
        <v>571</v>
      </c>
      <c r="E1125" t="s">
        <v>709</v>
      </c>
      <c r="F1125" t="s">
        <v>837</v>
      </c>
      <c r="G1125">
        <v>1.5980000000000001</v>
      </c>
      <c r="K1125" t="s">
        <v>649</v>
      </c>
      <c r="L1125" t="s">
        <v>936</v>
      </c>
    </row>
    <row r="1126" spans="1:12" x14ac:dyDescent="0.25">
      <c r="A1126" t="s">
        <v>898</v>
      </c>
      <c r="B1126" t="s">
        <v>378</v>
      </c>
      <c r="D1126" t="s">
        <v>571</v>
      </c>
      <c r="E1126" t="s">
        <v>709</v>
      </c>
      <c r="F1126" t="s">
        <v>837</v>
      </c>
      <c r="G1126">
        <v>0.26300000000000001</v>
      </c>
      <c r="K1126" t="s">
        <v>649</v>
      </c>
      <c r="L1126" t="s">
        <v>936</v>
      </c>
    </row>
    <row r="1127" spans="1:12" x14ac:dyDescent="0.25">
      <c r="A1127" t="s">
        <v>898</v>
      </c>
      <c r="B1127" t="s">
        <v>379</v>
      </c>
      <c r="D1127" t="s">
        <v>571</v>
      </c>
      <c r="E1127" t="s">
        <v>709</v>
      </c>
      <c r="F1127" t="s">
        <v>837</v>
      </c>
      <c r="G1127">
        <v>3.7309999999999999</v>
      </c>
      <c r="K1127" t="s">
        <v>649</v>
      </c>
      <c r="L1127" t="s">
        <v>936</v>
      </c>
    </row>
    <row r="1128" spans="1:12" x14ac:dyDescent="0.25">
      <c r="A1128" t="s">
        <v>898</v>
      </c>
      <c r="B1128" t="s">
        <v>380</v>
      </c>
      <c r="D1128" t="s">
        <v>571</v>
      </c>
      <c r="E1128" t="s">
        <v>709</v>
      </c>
      <c r="F1128" t="s">
        <v>52</v>
      </c>
      <c r="G1128">
        <v>0.307</v>
      </c>
      <c r="K1128" t="s">
        <v>649</v>
      </c>
      <c r="L1128" t="s">
        <v>936</v>
      </c>
    </row>
    <row r="1129" spans="1:12" x14ac:dyDescent="0.25">
      <c r="A1129" t="s">
        <v>898</v>
      </c>
      <c r="B1129" t="s">
        <v>380</v>
      </c>
      <c r="D1129" t="s">
        <v>571</v>
      </c>
      <c r="E1129" t="s">
        <v>709</v>
      </c>
      <c r="F1129" t="s">
        <v>52</v>
      </c>
      <c r="G1129">
        <v>0.53400000000000003</v>
      </c>
      <c r="K1129" t="s">
        <v>649</v>
      </c>
      <c r="L1129" t="s">
        <v>936</v>
      </c>
    </row>
    <row r="1130" spans="1:12" x14ac:dyDescent="0.25">
      <c r="A1130" t="s">
        <v>898</v>
      </c>
      <c r="B1130" t="s">
        <v>381</v>
      </c>
      <c r="D1130" t="s">
        <v>571</v>
      </c>
      <c r="E1130" t="s">
        <v>709</v>
      </c>
      <c r="F1130" t="s">
        <v>837</v>
      </c>
      <c r="G1130">
        <v>0.88400000000000001</v>
      </c>
      <c r="K1130" t="s">
        <v>649</v>
      </c>
      <c r="L1130" t="s">
        <v>936</v>
      </c>
    </row>
    <row r="1131" spans="1:12" x14ac:dyDescent="0.25">
      <c r="A1131" t="s">
        <v>898</v>
      </c>
      <c r="B1131" t="s">
        <v>382</v>
      </c>
      <c r="D1131" t="s">
        <v>571</v>
      </c>
      <c r="E1131" t="s">
        <v>709</v>
      </c>
      <c r="F1131" t="s">
        <v>837</v>
      </c>
      <c r="G1131">
        <v>0.189</v>
      </c>
      <c r="K1131" t="s">
        <v>649</v>
      </c>
      <c r="L1131" t="s">
        <v>936</v>
      </c>
    </row>
    <row r="1132" spans="1:12" x14ac:dyDescent="0.25">
      <c r="A1132" t="s">
        <v>898</v>
      </c>
      <c r="B1132" t="s">
        <v>383</v>
      </c>
      <c r="D1132" t="s">
        <v>571</v>
      </c>
      <c r="E1132" t="s">
        <v>709</v>
      </c>
      <c r="F1132" t="s">
        <v>837</v>
      </c>
      <c r="G1132">
        <v>0.35</v>
      </c>
      <c r="K1132" t="s">
        <v>649</v>
      </c>
      <c r="L1132" t="s">
        <v>936</v>
      </c>
    </row>
    <row r="1133" spans="1:12" x14ac:dyDescent="0.25">
      <c r="A1133" t="s">
        <v>898</v>
      </c>
      <c r="B1133" t="s">
        <v>384</v>
      </c>
      <c r="D1133" t="s">
        <v>571</v>
      </c>
      <c r="E1133" t="s">
        <v>709</v>
      </c>
      <c r="F1133" t="s">
        <v>837</v>
      </c>
      <c r="G1133">
        <v>0.317</v>
      </c>
      <c r="K1133" t="s">
        <v>649</v>
      </c>
      <c r="L1133" t="s">
        <v>936</v>
      </c>
    </row>
    <row r="1134" spans="1:12" x14ac:dyDescent="0.25">
      <c r="A1134" t="s">
        <v>898</v>
      </c>
      <c r="B1134" t="s">
        <v>385</v>
      </c>
      <c r="D1134" t="s">
        <v>571</v>
      </c>
      <c r="E1134" t="s">
        <v>709</v>
      </c>
      <c r="F1134" t="s">
        <v>837</v>
      </c>
      <c r="G1134">
        <v>0.53200000000000003</v>
      </c>
      <c r="K1134" t="s">
        <v>649</v>
      </c>
      <c r="L1134" t="s">
        <v>936</v>
      </c>
    </row>
    <row r="1135" spans="1:12" x14ac:dyDescent="0.25">
      <c r="A1135" t="s">
        <v>898</v>
      </c>
      <c r="B1135" t="s">
        <v>386</v>
      </c>
      <c r="D1135" t="s">
        <v>571</v>
      </c>
      <c r="E1135" t="s">
        <v>709</v>
      </c>
      <c r="F1135" t="s">
        <v>837</v>
      </c>
      <c r="G1135">
        <v>0.59899999999999998</v>
      </c>
      <c r="K1135" t="s">
        <v>649</v>
      </c>
      <c r="L1135" t="s">
        <v>936</v>
      </c>
    </row>
    <row r="1136" spans="1:12" x14ac:dyDescent="0.25">
      <c r="A1136" t="s">
        <v>898</v>
      </c>
      <c r="B1136" t="s">
        <v>387</v>
      </c>
      <c r="D1136" t="s">
        <v>571</v>
      </c>
      <c r="E1136" t="s">
        <v>709</v>
      </c>
      <c r="F1136" t="s">
        <v>837</v>
      </c>
      <c r="G1136">
        <v>0.23300000000000001</v>
      </c>
      <c r="K1136" t="s">
        <v>649</v>
      </c>
      <c r="L1136" t="s">
        <v>936</v>
      </c>
    </row>
    <row r="1137" spans="1:12" x14ac:dyDescent="0.25">
      <c r="A1137" t="s">
        <v>898</v>
      </c>
      <c r="B1137" t="s">
        <v>973</v>
      </c>
      <c r="D1137" t="s">
        <v>571</v>
      </c>
      <c r="E1137" t="s">
        <v>709</v>
      </c>
      <c r="F1137" t="s">
        <v>12</v>
      </c>
      <c r="G1137">
        <v>0.623</v>
      </c>
      <c r="K1137" t="s">
        <v>649</v>
      </c>
      <c r="L1137" t="s">
        <v>936</v>
      </c>
    </row>
    <row r="1138" spans="1:12" x14ac:dyDescent="0.25">
      <c r="A1138" t="s">
        <v>898</v>
      </c>
      <c r="B1138" t="s">
        <v>974</v>
      </c>
      <c r="D1138" t="s">
        <v>571</v>
      </c>
      <c r="E1138" t="s">
        <v>709</v>
      </c>
      <c r="F1138" t="s">
        <v>837</v>
      </c>
      <c r="G1138">
        <v>0.99</v>
      </c>
      <c r="K1138" t="s">
        <v>649</v>
      </c>
      <c r="L1138" t="s">
        <v>936</v>
      </c>
    </row>
    <row r="1139" spans="1:12" x14ac:dyDescent="0.25">
      <c r="A1139" t="s">
        <v>898</v>
      </c>
      <c r="B1139" t="s">
        <v>975</v>
      </c>
      <c r="D1139" t="s">
        <v>571</v>
      </c>
      <c r="E1139" t="s">
        <v>709</v>
      </c>
      <c r="F1139" t="s">
        <v>837</v>
      </c>
      <c r="G1139">
        <v>1.1719999999999999</v>
      </c>
      <c r="K1139" t="s">
        <v>649</v>
      </c>
      <c r="L1139" t="s">
        <v>936</v>
      </c>
    </row>
    <row r="1140" spans="1:12" x14ac:dyDescent="0.25">
      <c r="A1140" t="s">
        <v>898</v>
      </c>
      <c r="B1140" t="s">
        <v>388</v>
      </c>
      <c r="D1140" t="s">
        <v>571</v>
      </c>
      <c r="E1140" t="s">
        <v>709</v>
      </c>
      <c r="F1140" t="s">
        <v>837</v>
      </c>
      <c r="G1140">
        <v>0.97299999999999998</v>
      </c>
      <c r="K1140" t="s">
        <v>649</v>
      </c>
      <c r="L1140" t="s">
        <v>936</v>
      </c>
    </row>
    <row r="1141" spans="1:12" x14ac:dyDescent="0.25">
      <c r="A1141" t="s">
        <v>898</v>
      </c>
      <c r="B1141" t="s">
        <v>389</v>
      </c>
      <c r="D1141" t="s">
        <v>571</v>
      </c>
      <c r="E1141" t="s">
        <v>709</v>
      </c>
      <c r="F1141" t="s">
        <v>837</v>
      </c>
      <c r="G1141">
        <v>0.52</v>
      </c>
      <c r="K1141" t="s">
        <v>649</v>
      </c>
      <c r="L1141" t="s">
        <v>936</v>
      </c>
    </row>
    <row r="1142" spans="1:12" x14ac:dyDescent="0.25">
      <c r="A1142" t="s">
        <v>898</v>
      </c>
      <c r="B1142" t="s">
        <v>390</v>
      </c>
      <c r="D1142" t="s">
        <v>571</v>
      </c>
      <c r="E1142" t="s">
        <v>709</v>
      </c>
      <c r="F1142" t="s">
        <v>837</v>
      </c>
      <c r="G1142">
        <v>0.14399999999999999</v>
      </c>
      <c r="K1142" t="s">
        <v>649</v>
      </c>
      <c r="L1142" t="s">
        <v>936</v>
      </c>
    </row>
    <row r="1143" spans="1:12" x14ac:dyDescent="0.25">
      <c r="A1143" t="s">
        <v>898</v>
      </c>
      <c r="B1143" t="s">
        <v>391</v>
      </c>
      <c r="D1143" t="s">
        <v>571</v>
      </c>
      <c r="E1143" t="s">
        <v>709</v>
      </c>
      <c r="F1143" t="s">
        <v>837</v>
      </c>
      <c r="G1143">
        <v>0.26700000000000002</v>
      </c>
      <c r="K1143" t="s">
        <v>649</v>
      </c>
      <c r="L1143" t="s">
        <v>936</v>
      </c>
    </row>
    <row r="1144" spans="1:12" x14ac:dyDescent="0.25">
      <c r="A1144" t="s">
        <v>898</v>
      </c>
      <c r="B1144" t="s">
        <v>392</v>
      </c>
      <c r="D1144" t="s">
        <v>571</v>
      </c>
      <c r="E1144" t="s">
        <v>709</v>
      </c>
      <c r="F1144" t="s">
        <v>837</v>
      </c>
      <c r="G1144">
        <v>0.03</v>
      </c>
      <c r="K1144" t="s">
        <v>649</v>
      </c>
      <c r="L1144" t="s">
        <v>936</v>
      </c>
    </row>
    <row r="1145" spans="1:12" x14ac:dyDescent="0.25">
      <c r="A1145" t="s">
        <v>898</v>
      </c>
      <c r="B1145" t="s">
        <v>393</v>
      </c>
      <c r="D1145" t="s">
        <v>571</v>
      </c>
      <c r="E1145" t="s">
        <v>709</v>
      </c>
      <c r="F1145" t="s">
        <v>837</v>
      </c>
      <c r="G1145">
        <v>0.186</v>
      </c>
      <c r="K1145" t="s">
        <v>649</v>
      </c>
      <c r="L1145" t="s">
        <v>936</v>
      </c>
    </row>
    <row r="1146" spans="1:12" x14ac:dyDescent="0.25">
      <c r="A1146" t="s">
        <v>898</v>
      </c>
      <c r="B1146" t="s">
        <v>394</v>
      </c>
      <c r="D1146" t="s">
        <v>571</v>
      </c>
      <c r="E1146" t="s">
        <v>709</v>
      </c>
      <c r="F1146" t="s">
        <v>837</v>
      </c>
      <c r="G1146">
        <v>0.46400000000000002</v>
      </c>
      <c r="K1146" t="s">
        <v>649</v>
      </c>
      <c r="L1146" t="s">
        <v>936</v>
      </c>
    </row>
    <row r="1147" spans="1:12" x14ac:dyDescent="0.25">
      <c r="A1147" t="s">
        <v>898</v>
      </c>
      <c r="B1147" t="s">
        <v>395</v>
      </c>
      <c r="D1147" t="s">
        <v>571</v>
      </c>
      <c r="E1147" t="s">
        <v>709</v>
      </c>
      <c r="F1147" t="s">
        <v>837</v>
      </c>
      <c r="G1147">
        <v>7.5999999999999998E-2</v>
      </c>
      <c r="K1147" t="s">
        <v>649</v>
      </c>
      <c r="L1147" t="s">
        <v>936</v>
      </c>
    </row>
    <row r="1148" spans="1:12" x14ac:dyDescent="0.25">
      <c r="A1148" t="s">
        <v>898</v>
      </c>
      <c r="B1148" t="s">
        <v>396</v>
      </c>
      <c r="D1148" t="s">
        <v>571</v>
      </c>
      <c r="E1148" t="s">
        <v>709</v>
      </c>
      <c r="F1148" t="s">
        <v>837</v>
      </c>
      <c r="G1148">
        <v>4.9000000000000002E-2</v>
      </c>
      <c r="K1148" t="s">
        <v>649</v>
      </c>
      <c r="L1148" t="s">
        <v>936</v>
      </c>
    </row>
    <row r="1149" spans="1:12" x14ac:dyDescent="0.25">
      <c r="A1149" t="s">
        <v>898</v>
      </c>
      <c r="B1149" t="s">
        <v>397</v>
      </c>
      <c r="D1149" t="s">
        <v>571</v>
      </c>
      <c r="E1149" t="s">
        <v>709</v>
      </c>
      <c r="F1149" t="s">
        <v>837</v>
      </c>
      <c r="G1149">
        <v>7.4999999999999997E-2</v>
      </c>
      <c r="K1149" t="s">
        <v>649</v>
      </c>
      <c r="L1149" t="s">
        <v>936</v>
      </c>
    </row>
    <row r="1150" spans="1:12" x14ac:dyDescent="0.25">
      <c r="A1150" t="s">
        <v>898</v>
      </c>
      <c r="B1150" t="s">
        <v>398</v>
      </c>
      <c r="D1150" t="s">
        <v>571</v>
      </c>
      <c r="E1150" t="s">
        <v>709</v>
      </c>
      <c r="F1150" t="s">
        <v>837</v>
      </c>
      <c r="G1150">
        <v>0.188</v>
      </c>
      <c r="K1150" t="s">
        <v>649</v>
      </c>
      <c r="L1150" t="s">
        <v>936</v>
      </c>
    </row>
    <row r="1151" spans="1:12" x14ac:dyDescent="0.25">
      <c r="A1151" t="s">
        <v>898</v>
      </c>
      <c r="B1151" t="s">
        <v>399</v>
      </c>
      <c r="D1151" t="s">
        <v>571</v>
      </c>
      <c r="E1151" t="s">
        <v>709</v>
      </c>
      <c r="F1151" t="s">
        <v>837</v>
      </c>
      <c r="G1151">
        <v>0.72499999999999998</v>
      </c>
      <c r="K1151" t="s">
        <v>649</v>
      </c>
      <c r="L1151" t="s">
        <v>936</v>
      </c>
    </row>
    <row r="1152" spans="1:12" x14ac:dyDescent="0.25">
      <c r="A1152" t="s">
        <v>898</v>
      </c>
      <c r="B1152" t="s">
        <v>400</v>
      </c>
      <c r="D1152" t="s">
        <v>571</v>
      </c>
      <c r="E1152" t="s">
        <v>709</v>
      </c>
      <c r="F1152" t="s">
        <v>12</v>
      </c>
      <c r="G1152">
        <v>0.17199999999999999</v>
      </c>
      <c r="K1152" t="s">
        <v>649</v>
      </c>
      <c r="L1152" t="s">
        <v>936</v>
      </c>
    </row>
    <row r="1153" spans="1:12" x14ac:dyDescent="0.25">
      <c r="A1153" t="s">
        <v>898</v>
      </c>
      <c r="B1153" t="s">
        <v>976</v>
      </c>
      <c r="D1153" t="s">
        <v>571</v>
      </c>
      <c r="E1153" t="s">
        <v>709</v>
      </c>
      <c r="F1153" t="s">
        <v>12</v>
      </c>
      <c r="G1153">
        <v>0.14699999999999999</v>
      </c>
      <c r="K1153" t="s">
        <v>649</v>
      </c>
      <c r="L1153" t="s">
        <v>936</v>
      </c>
    </row>
    <row r="1154" spans="1:12" x14ac:dyDescent="0.25">
      <c r="A1154" t="s">
        <v>898</v>
      </c>
      <c r="B1154" t="s">
        <v>977</v>
      </c>
      <c r="D1154" t="s">
        <v>571</v>
      </c>
      <c r="E1154" t="s">
        <v>709</v>
      </c>
      <c r="F1154" t="s">
        <v>12</v>
      </c>
      <c r="G1154">
        <v>0.72</v>
      </c>
      <c r="K1154" t="s">
        <v>649</v>
      </c>
      <c r="L1154" t="s">
        <v>936</v>
      </c>
    </row>
    <row r="1155" spans="1:12" x14ac:dyDescent="0.25">
      <c r="A1155" t="s">
        <v>898</v>
      </c>
      <c r="B1155" t="s">
        <v>401</v>
      </c>
      <c r="D1155" t="s">
        <v>571</v>
      </c>
      <c r="E1155" t="s">
        <v>709</v>
      </c>
      <c r="F1155" t="s">
        <v>837</v>
      </c>
      <c r="G1155">
        <v>0.52900000000000003</v>
      </c>
      <c r="K1155" t="s">
        <v>649</v>
      </c>
      <c r="L1155" t="s">
        <v>936</v>
      </c>
    </row>
    <row r="1156" spans="1:12" x14ac:dyDescent="0.25">
      <c r="A1156" t="s">
        <v>898</v>
      </c>
      <c r="B1156" t="s">
        <v>402</v>
      </c>
      <c r="D1156" t="s">
        <v>571</v>
      </c>
      <c r="E1156" t="s">
        <v>709</v>
      </c>
      <c r="F1156" t="s">
        <v>837</v>
      </c>
      <c r="G1156">
        <v>0.55400000000000005</v>
      </c>
      <c r="K1156" t="s">
        <v>649</v>
      </c>
      <c r="L1156" t="s">
        <v>936</v>
      </c>
    </row>
    <row r="1157" spans="1:12" x14ac:dyDescent="0.25">
      <c r="A1157" t="s">
        <v>898</v>
      </c>
      <c r="B1157" t="s">
        <v>403</v>
      </c>
      <c r="D1157" t="s">
        <v>571</v>
      </c>
      <c r="E1157" t="s">
        <v>709</v>
      </c>
      <c r="F1157" t="s">
        <v>837</v>
      </c>
      <c r="G1157">
        <v>0.60799999999999998</v>
      </c>
      <c r="K1157" t="s">
        <v>649</v>
      </c>
      <c r="L1157" t="s">
        <v>936</v>
      </c>
    </row>
    <row r="1158" spans="1:12" x14ac:dyDescent="0.25">
      <c r="A1158" t="s">
        <v>898</v>
      </c>
      <c r="B1158" t="s">
        <v>1082</v>
      </c>
      <c r="D1158" t="s">
        <v>571</v>
      </c>
      <c r="E1158" t="s">
        <v>709</v>
      </c>
      <c r="F1158" t="s">
        <v>12</v>
      </c>
      <c r="G1158">
        <v>0.13</v>
      </c>
      <c r="K1158" t="s">
        <v>649</v>
      </c>
      <c r="L1158" t="s">
        <v>936</v>
      </c>
    </row>
    <row r="1159" spans="1:12" x14ac:dyDescent="0.25">
      <c r="A1159" t="s">
        <v>898</v>
      </c>
      <c r="B1159" t="s">
        <v>12</v>
      </c>
      <c r="D1159" t="s">
        <v>571</v>
      </c>
      <c r="E1159" t="s">
        <v>709</v>
      </c>
      <c r="F1159" t="s">
        <v>12</v>
      </c>
      <c r="G1159">
        <v>0.13100000000000001</v>
      </c>
      <c r="K1159" t="s">
        <v>649</v>
      </c>
      <c r="L1159" t="s">
        <v>936</v>
      </c>
    </row>
    <row r="1160" spans="1:12" x14ac:dyDescent="0.25">
      <c r="A1160" t="s">
        <v>898</v>
      </c>
      <c r="B1160" t="s">
        <v>1083</v>
      </c>
      <c r="D1160" t="s">
        <v>571</v>
      </c>
      <c r="E1160" t="s">
        <v>709</v>
      </c>
      <c r="F1160" t="s">
        <v>837</v>
      </c>
      <c r="G1160">
        <v>0.54500000000000004</v>
      </c>
      <c r="K1160" t="s">
        <v>649</v>
      </c>
      <c r="L1160" t="s">
        <v>936</v>
      </c>
    </row>
    <row r="1161" spans="1:12" x14ac:dyDescent="0.25">
      <c r="A1161" t="s">
        <v>898</v>
      </c>
      <c r="B1161" t="s">
        <v>1084</v>
      </c>
      <c r="D1161" t="s">
        <v>571</v>
      </c>
      <c r="E1161" t="s">
        <v>709</v>
      </c>
      <c r="F1161" t="s">
        <v>837</v>
      </c>
      <c r="G1161">
        <v>0.24299999999999999</v>
      </c>
      <c r="K1161" t="s">
        <v>649</v>
      </c>
      <c r="L1161" t="s">
        <v>936</v>
      </c>
    </row>
    <row r="1162" spans="1:12" x14ac:dyDescent="0.25">
      <c r="A1162" t="s">
        <v>918</v>
      </c>
      <c r="B1162" t="s">
        <v>643</v>
      </c>
      <c r="D1162" t="s">
        <v>919</v>
      </c>
      <c r="E1162" t="s">
        <v>705</v>
      </c>
      <c r="F1162" t="s">
        <v>837</v>
      </c>
      <c r="G1162">
        <v>0.17</v>
      </c>
      <c r="K1162" t="s">
        <v>649</v>
      </c>
      <c r="L1162" t="s">
        <v>936</v>
      </c>
    </row>
    <row r="1163" spans="1:12" x14ac:dyDescent="0.25">
      <c r="A1163" t="s">
        <v>918</v>
      </c>
      <c r="B1163" t="s">
        <v>644</v>
      </c>
      <c r="D1163" t="s">
        <v>919</v>
      </c>
      <c r="E1163" t="s">
        <v>705</v>
      </c>
      <c r="F1163" t="s">
        <v>837</v>
      </c>
      <c r="G1163">
        <v>0.22</v>
      </c>
      <c r="K1163" t="s">
        <v>649</v>
      </c>
      <c r="L1163" t="s">
        <v>936</v>
      </c>
    </row>
    <row r="1164" spans="1:12" x14ac:dyDescent="0.25">
      <c r="A1164" t="s">
        <v>918</v>
      </c>
      <c r="B1164" t="s">
        <v>645</v>
      </c>
      <c r="D1164" t="s">
        <v>919</v>
      </c>
      <c r="E1164" t="s">
        <v>705</v>
      </c>
      <c r="F1164" t="s">
        <v>837</v>
      </c>
      <c r="G1164">
        <v>0.21099999999999999</v>
      </c>
      <c r="K1164" t="s">
        <v>649</v>
      </c>
      <c r="L1164" t="s">
        <v>936</v>
      </c>
    </row>
    <row r="1165" spans="1:12" x14ac:dyDescent="0.25">
      <c r="A1165" t="s">
        <v>918</v>
      </c>
      <c r="B1165" t="s">
        <v>848</v>
      </c>
      <c r="D1165" t="s">
        <v>919</v>
      </c>
      <c r="E1165" t="s">
        <v>705</v>
      </c>
      <c r="F1165" t="s">
        <v>837</v>
      </c>
      <c r="G1165">
        <v>0.22800000000000001</v>
      </c>
      <c r="K1165" t="s">
        <v>649</v>
      </c>
      <c r="L1165" t="s">
        <v>936</v>
      </c>
    </row>
    <row r="1166" spans="1:12" x14ac:dyDescent="0.25">
      <c r="A1166" t="s">
        <v>918</v>
      </c>
      <c r="B1166" t="s">
        <v>920</v>
      </c>
      <c r="D1166" t="s">
        <v>919</v>
      </c>
      <c r="E1166" t="s">
        <v>705</v>
      </c>
      <c r="F1166" t="s">
        <v>837</v>
      </c>
      <c r="G1166">
        <v>0.10199999999999999</v>
      </c>
      <c r="K1166" t="s">
        <v>649</v>
      </c>
      <c r="L1166" t="s">
        <v>936</v>
      </c>
    </row>
    <row r="1167" spans="1:12" x14ac:dyDescent="0.25">
      <c r="A1167" t="s">
        <v>918</v>
      </c>
      <c r="B1167" t="s">
        <v>921</v>
      </c>
      <c r="D1167" t="s">
        <v>919</v>
      </c>
      <c r="E1167" t="s">
        <v>705</v>
      </c>
      <c r="F1167" t="s">
        <v>837</v>
      </c>
      <c r="G1167">
        <v>0.11</v>
      </c>
      <c r="K1167" t="s">
        <v>649</v>
      </c>
      <c r="L1167" t="s">
        <v>936</v>
      </c>
    </row>
    <row r="1168" spans="1:12" x14ac:dyDescent="0.25">
      <c r="A1168" t="s">
        <v>918</v>
      </c>
      <c r="B1168" t="s">
        <v>922</v>
      </c>
      <c r="D1168" t="s">
        <v>919</v>
      </c>
      <c r="E1168" t="s">
        <v>705</v>
      </c>
      <c r="F1168" t="s">
        <v>837</v>
      </c>
      <c r="G1168">
        <v>0.124</v>
      </c>
      <c r="K1168" t="s">
        <v>649</v>
      </c>
      <c r="L1168" t="s">
        <v>936</v>
      </c>
    </row>
    <row r="1169" spans="1:12" x14ac:dyDescent="0.25">
      <c r="A1169" t="s">
        <v>918</v>
      </c>
      <c r="B1169" t="s">
        <v>923</v>
      </c>
      <c r="D1169" t="s">
        <v>919</v>
      </c>
      <c r="E1169" t="s">
        <v>705</v>
      </c>
      <c r="F1169" t="s">
        <v>837</v>
      </c>
      <c r="G1169">
        <v>2.9000000000000001E-2</v>
      </c>
      <c r="K1169" t="s">
        <v>649</v>
      </c>
      <c r="L1169" t="s">
        <v>936</v>
      </c>
    </row>
    <row r="1170" spans="1:12" x14ac:dyDescent="0.25">
      <c r="A1170" t="s">
        <v>918</v>
      </c>
      <c r="B1170" t="s">
        <v>924</v>
      </c>
      <c r="D1170" t="s">
        <v>919</v>
      </c>
      <c r="E1170" t="s">
        <v>705</v>
      </c>
      <c r="F1170" t="s">
        <v>837</v>
      </c>
      <c r="G1170">
        <v>0.121</v>
      </c>
      <c r="K1170" t="s">
        <v>649</v>
      </c>
      <c r="L1170" t="s">
        <v>936</v>
      </c>
    </row>
    <row r="1171" spans="1:12" x14ac:dyDescent="0.25">
      <c r="A1171" t="s">
        <v>918</v>
      </c>
      <c r="B1171" t="s">
        <v>925</v>
      </c>
      <c r="D1171" t="s">
        <v>919</v>
      </c>
      <c r="E1171" t="s">
        <v>705</v>
      </c>
      <c r="F1171" t="s">
        <v>837</v>
      </c>
      <c r="G1171">
        <v>0.16600000000000001</v>
      </c>
      <c r="K1171" t="s">
        <v>649</v>
      </c>
      <c r="L1171" t="s">
        <v>936</v>
      </c>
    </row>
    <row r="1172" spans="1:12" x14ac:dyDescent="0.25">
      <c r="A1172" t="s">
        <v>918</v>
      </c>
      <c r="B1172" t="s">
        <v>926</v>
      </c>
      <c r="D1172" t="s">
        <v>919</v>
      </c>
      <c r="E1172" t="s">
        <v>705</v>
      </c>
      <c r="F1172" t="s">
        <v>837</v>
      </c>
      <c r="G1172">
        <v>0.12</v>
      </c>
      <c r="K1172" t="s">
        <v>649</v>
      </c>
      <c r="L1172" t="s">
        <v>936</v>
      </c>
    </row>
    <row r="1173" spans="1:12" x14ac:dyDescent="0.25">
      <c r="A1173" t="s">
        <v>918</v>
      </c>
      <c r="B1173" t="s">
        <v>927</v>
      </c>
      <c r="D1173" t="s">
        <v>919</v>
      </c>
      <c r="E1173" t="s">
        <v>705</v>
      </c>
      <c r="F1173" t="s">
        <v>837</v>
      </c>
      <c r="G1173">
        <v>0.14599999999999999</v>
      </c>
      <c r="K1173" t="s">
        <v>649</v>
      </c>
      <c r="L1173" t="s">
        <v>936</v>
      </c>
    </row>
    <row r="1174" spans="1:12" x14ac:dyDescent="0.25">
      <c r="A1174" t="s">
        <v>918</v>
      </c>
      <c r="B1174" t="s">
        <v>928</v>
      </c>
      <c r="D1174" t="s">
        <v>919</v>
      </c>
      <c r="E1174" t="s">
        <v>705</v>
      </c>
      <c r="F1174" t="s">
        <v>837</v>
      </c>
      <c r="G1174">
        <v>0.14000000000000001</v>
      </c>
      <c r="K1174" t="s">
        <v>649</v>
      </c>
      <c r="L1174" t="s">
        <v>936</v>
      </c>
    </row>
    <row r="1175" spans="1:12" x14ac:dyDescent="0.25">
      <c r="A1175" t="s">
        <v>918</v>
      </c>
      <c r="B1175" t="s">
        <v>850</v>
      </c>
      <c r="D1175" t="s">
        <v>919</v>
      </c>
      <c r="E1175" t="s">
        <v>705</v>
      </c>
      <c r="F1175" t="s">
        <v>837</v>
      </c>
      <c r="G1175">
        <v>0.26700000000000002</v>
      </c>
      <c r="K1175" t="s">
        <v>649</v>
      </c>
      <c r="L1175" t="s">
        <v>936</v>
      </c>
    </row>
    <row r="1176" spans="1:12" x14ac:dyDescent="0.25">
      <c r="A1176" t="s">
        <v>918</v>
      </c>
      <c r="B1176" t="s">
        <v>430</v>
      </c>
      <c r="D1176" t="s">
        <v>919</v>
      </c>
      <c r="E1176" t="s">
        <v>705</v>
      </c>
      <c r="F1176" t="s">
        <v>837</v>
      </c>
      <c r="G1176">
        <v>0.26600000000000001</v>
      </c>
      <c r="K1176" t="s">
        <v>649</v>
      </c>
      <c r="L1176" t="s">
        <v>936</v>
      </c>
    </row>
    <row r="1177" spans="1:12" x14ac:dyDescent="0.25">
      <c r="A1177" t="s">
        <v>918</v>
      </c>
      <c r="B1177" t="s">
        <v>429</v>
      </c>
      <c r="D1177" t="s">
        <v>919</v>
      </c>
      <c r="E1177" t="s">
        <v>705</v>
      </c>
      <c r="F1177" t="s">
        <v>837</v>
      </c>
      <c r="G1177">
        <v>0.29799999999999999</v>
      </c>
      <c r="K1177" t="s">
        <v>649</v>
      </c>
      <c r="L1177" t="s">
        <v>936</v>
      </c>
    </row>
    <row r="1178" spans="1:12" x14ac:dyDescent="0.25">
      <c r="A1178" t="s">
        <v>918</v>
      </c>
      <c r="B1178" t="s">
        <v>851</v>
      </c>
      <c r="D1178" t="s">
        <v>919</v>
      </c>
      <c r="E1178" t="s">
        <v>705</v>
      </c>
      <c r="F1178" t="s">
        <v>837</v>
      </c>
      <c r="G1178">
        <v>0.16900000000000001</v>
      </c>
      <c r="K1178" t="s">
        <v>649</v>
      </c>
      <c r="L1178" t="s">
        <v>936</v>
      </c>
    </row>
    <row r="1179" spans="1:12" x14ac:dyDescent="0.25">
      <c r="A1179" t="s">
        <v>918</v>
      </c>
      <c r="B1179" t="s">
        <v>852</v>
      </c>
      <c r="D1179" t="s">
        <v>919</v>
      </c>
      <c r="E1179" t="s">
        <v>705</v>
      </c>
      <c r="F1179" t="s">
        <v>837</v>
      </c>
      <c r="G1179">
        <v>0.23200000000000001</v>
      </c>
      <c r="K1179" t="s">
        <v>649</v>
      </c>
      <c r="L1179" t="s">
        <v>936</v>
      </c>
    </row>
    <row r="1180" spans="1:12" x14ac:dyDescent="0.25">
      <c r="A1180" t="s">
        <v>918</v>
      </c>
      <c r="B1180" t="s">
        <v>849</v>
      </c>
      <c r="D1180" t="s">
        <v>919</v>
      </c>
      <c r="E1180" t="s">
        <v>705</v>
      </c>
      <c r="F1180" t="s">
        <v>837</v>
      </c>
      <c r="G1180">
        <v>0.24</v>
      </c>
      <c r="K1180" t="s">
        <v>649</v>
      </c>
      <c r="L1180" t="s">
        <v>936</v>
      </c>
    </row>
    <row r="1181" spans="1:12" x14ac:dyDescent="0.25">
      <c r="A1181" t="s">
        <v>918</v>
      </c>
      <c r="B1181" t="s">
        <v>929</v>
      </c>
      <c r="D1181" t="s">
        <v>919</v>
      </c>
      <c r="E1181" t="s">
        <v>705</v>
      </c>
      <c r="F1181" t="s">
        <v>837</v>
      </c>
      <c r="G1181">
        <v>0.115</v>
      </c>
      <c r="K1181" t="s">
        <v>649</v>
      </c>
      <c r="L1181" t="s">
        <v>936</v>
      </c>
    </row>
    <row r="1182" spans="1:12" x14ac:dyDescent="0.25">
      <c r="A1182" t="s">
        <v>918</v>
      </c>
      <c r="B1182" t="s">
        <v>930</v>
      </c>
      <c r="D1182" t="s">
        <v>919</v>
      </c>
      <c r="E1182" t="s">
        <v>705</v>
      </c>
      <c r="F1182" t="s">
        <v>837</v>
      </c>
      <c r="G1182">
        <v>0.129</v>
      </c>
      <c r="K1182" t="s">
        <v>649</v>
      </c>
      <c r="L1182" t="s">
        <v>936</v>
      </c>
    </row>
    <row r="1183" spans="1:12" x14ac:dyDescent="0.25">
      <c r="A1183" t="s">
        <v>918</v>
      </c>
      <c r="B1183" t="s">
        <v>415</v>
      </c>
      <c r="D1183" t="s">
        <v>919</v>
      </c>
      <c r="E1183" t="s">
        <v>705</v>
      </c>
      <c r="F1183" t="s">
        <v>837</v>
      </c>
      <c r="G1183">
        <v>0.188</v>
      </c>
      <c r="K1183" t="s">
        <v>649</v>
      </c>
      <c r="L1183" t="s">
        <v>936</v>
      </c>
    </row>
    <row r="1184" spans="1:12" x14ac:dyDescent="0.25">
      <c r="A1184" t="s">
        <v>918</v>
      </c>
      <c r="B1184" t="s">
        <v>413</v>
      </c>
      <c r="D1184" t="s">
        <v>919</v>
      </c>
      <c r="E1184" t="s">
        <v>705</v>
      </c>
      <c r="F1184" t="s">
        <v>837</v>
      </c>
      <c r="G1184">
        <v>0.183</v>
      </c>
      <c r="K1184" t="s">
        <v>649</v>
      </c>
      <c r="L1184" t="s">
        <v>936</v>
      </c>
    </row>
    <row r="1185" spans="1:12" x14ac:dyDescent="0.25">
      <c r="A1185" t="s">
        <v>918</v>
      </c>
      <c r="B1185" t="s">
        <v>414</v>
      </c>
      <c r="D1185" t="s">
        <v>919</v>
      </c>
      <c r="E1185" t="s">
        <v>705</v>
      </c>
      <c r="F1185" t="s">
        <v>837</v>
      </c>
      <c r="G1185">
        <v>0.26</v>
      </c>
      <c r="K1185" t="s">
        <v>649</v>
      </c>
      <c r="L1185" t="s">
        <v>936</v>
      </c>
    </row>
    <row r="1186" spans="1:12" x14ac:dyDescent="0.25">
      <c r="A1186" t="s">
        <v>918</v>
      </c>
      <c r="B1186" t="s">
        <v>931</v>
      </c>
      <c r="D1186" t="s">
        <v>919</v>
      </c>
      <c r="E1186" t="s">
        <v>705</v>
      </c>
      <c r="F1186" t="s">
        <v>837</v>
      </c>
      <c r="G1186">
        <v>9.2999999999999999E-2</v>
      </c>
      <c r="K1186" t="s">
        <v>649</v>
      </c>
      <c r="L1186" t="s">
        <v>936</v>
      </c>
    </row>
    <row r="1187" spans="1:12" x14ac:dyDescent="0.25">
      <c r="A1187" t="s">
        <v>918</v>
      </c>
      <c r="B1187" t="s">
        <v>423</v>
      </c>
      <c r="D1187" t="s">
        <v>919</v>
      </c>
      <c r="E1187" t="s">
        <v>705</v>
      </c>
      <c r="F1187" t="s">
        <v>837</v>
      </c>
      <c r="G1187">
        <v>0.21</v>
      </c>
      <c r="K1187" t="s">
        <v>649</v>
      </c>
      <c r="L1187" t="s">
        <v>936</v>
      </c>
    </row>
    <row r="1188" spans="1:12" x14ac:dyDescent="0.25">
      <c r="A1188" t="s">
        <v>918</v>
      </c>
      <c r="B1188" t="s">
        <v>416</v>
      </c>
      <c r="D1188" t="s">
        <v>919</v>
      </c>
      <c r="E1188" t="s">
        <v>705</v>
      </c>
      <c r="F1188" t="s">
        <v>837</v>
      </c>
      <c r="G1188">
        <v>0.24199999999999999</v>
      </c>
      <c r="K1188" t="s">
        <v>649</v>
      </c>
      <c r="L1188" t="s">
        <v>936</v>
      </c>
    </row>
    <row r="1189" spans="1:12" x14ac:dyDescent="0.25">
      <c r="A1189" t="s">
        <v>918</v>
      </c>
      <c r="B1189" t="s">
        <v>422</v>
      </c>
      <c r="D1189" t="s">
        <v>919</v>
      </c>
      <c r="E1189" t="s">
        <v>705</v>
      </c>
      <c r="F1189" t="s">
        <v>837</v>
      </c>
      <c r="G1189">
        <v>0.27100000000000002</v>
      </c>
      <c r="K1189" t="s">
        <v>649</v>
      </c>
      <c r="L1189" t="s">
        <v>936</v>
      </c>
    </row>
    <row r="1190" spans="1:12" x14ac:dyDescent="0.25">
      <c r="A1190" t="s">
        <v>918</v>
      </c>
      <c r="B1190" t="s">
        <v>417</v>
      </c>
      <c r="D1190" t="s">
        <v>919</v>
      </c>
      <c r="E1190" t="s">
        <v>705</v>
      </c>
      <c r="F1190" t="s">
        <v>837</v>
      </c>
      <c r="G1190">
        <v>0.255</v>
      </c>
      <c r="K1190" t="s">
        <v>649</v>
      </c>
      <c r="L1190" t="s">
        <v>936</v>
      </c>
    </row>
    <row r="1191" spans="1:12" x14ac:dyDescent="0.25">
      <c r="A1191" t="s">
        <v>918</v>
      </c>
      <c r="B1191" t="s">
        <v>421</v>
      </c>
      <c r="D1191" t="s">
        <v>919</v>
      </c>
      <c r="E1191" t="s">
        <v>705</v>
      </c>
      <c r="F1191" t="s">
        <v>837</v>
      </c>
      <c r="G1191">
        <v>0.252</v>
      </c>
      <c r="K1191" t="s">
        <v>649</v>
      </c>
      <c r="L1191" t="s">
        <v>936</v>
      </c>
    </row>
    <row r="1192" spans="1:12" x14ac:dyDescent="0.25">
      <c r="A1192" t="s">
        <v>918</v>
      </c>
      <c r="B1192" t="s">
        <v>418</v>
      </c>
      <c r="D1192" t="s">
        <v>919</v>
      </c>
      <c r="E1192" t="s">
        <v>705</v>
      </c>
      <c r="F1192" t="s">
        <v>837</v>
      </c>
      <c r="G1192">
        <v>0.22600000000000001</v>
      </c>
      <c r="K1192" t="s">
        <v>649</v>
      </c>
      <c r="L1192" t="s">
        <v>936</v>
      </c>
    </row>
    <row r="1193" spans="1:12" x14ac:dyDescent="0.25">
      <c r="A1193" t="s">
        <v>918</v>
      </c>
      <c r="B1193" t="s">
        <v>420</v>
      </c>
      <c r="D1193" t="s">
        <v>919</v>
      </c>
      <c r="E1193" t="s">
        <v>705</v>
      </c>
      <c r="F1193" t="s">
        <v>837</v>
      </c>
      <c r="G1193">
        <v>0.308</v>
      </c>
      <c r="K1193" t="s">
        <v>649</v>
      </c>
      <c r="L1193" t="s">
        <v>936</v>
      </c>
    </row>
    <row r="1194" spans="1:12" x14ac:dyDescent="0.25">
      <c r="A1194" t="s">
        <v>918</v>
      </c>
      <c r="B1194" t="s">
        <v>419</v>
      </c>
      <c r="D1194" t="s">
        <v>919</v>
      </c>
      <c r="E1194" t="s">
        <v>705</v>
      </c>
      <c r="F1194" t="s">
        <v>837</v>
      </c>
      <c r="G1194">
        <v>0.45900000000000002</v>
      </c>
      <c r="K1194" t="s">
        <v>649</v>
      </c>
      <c r="L1194" t="s">
        <v>936</v>
      </c>
    </row>
    <row r="1195" spans="1:12" x14ac:dyDescent="0.25">
      <c r="A1195" t="s">
        <v>918</v>
      </c>
      <c r="B1195" t="s">
        <v>342</v>
      </c>
      <c r="D1195" t="s">
        <v>919</v>
      </c>
      <c r="E1195" t="s">
        <v>705</v>
      </c>
      <c r="F1195" t="s">
        <v>837</v>
      </c>
      <c r="G1195">
        <v>0.16600000000000001</v>
      </c>
      <c r="K1195" t="s">
        <v>649</v>
      </c>
      <c r="L1195" t="s">
        <v>936</v>
      </c>
    </row>
    <row r="1196" spans="1:12" x14ac:dyDescent="0.25">
      <c r="A1196" t="s">
        <v>918</v>
      </c>
      <c r="B1196" t="s">
        <v>343</v>
      </c>
      <c r="D1196" t="s">
        <v>919</v>
      </c>
      <c r="E1196" t="s">
        <v>705</v>
      </c>
      <c r="F1196" t="s">
        <v>837</v>
      </c>
      <c r="G1196">
        <v>0.23699999999999999</v>
      </c>
      <c r="K1196" t="s">
        <v>649</v>
      </c>
      <c r="L1196" t="s">
        <v>936</v>
      </c>
    </row>
    <row r="1197" spans="1:12" x14ac:dyDescent="0.25">
      <c r="A1197" t="s">
        <v>918</v>
      </c>
      <c r="B1197" t="s">
        <v>345</v>
      </c>
      <c r="D1197" t="s">
        <v>919</v>
      </c>
      <c r="E1197" t="s">
        <v>705</v>
      </c>
      <c r="F1197" t="s">
        <v>837</v>
      </c>
      <c r="G1197">
        <v>0.23599999999999999</v>
      </c>
      <c r="K1197" t="s">
        <v>649</v>
      </c>
      <c r="L1197" t="s">
        <v>936</v>
      </c>
    </row>
    <row r="1198" spans="1:12" x14ac:dyDescent="0.25">
      <c r="A1198" t="s">
        <v>918</v>
      </c>
      <c r="B1198" t="s">
        <v>932</v>
      </c>
      <c r="D1198" t="s">
        <v>919</v>
      </c>
      <c r="E1198" t="s">
        <v>705</v>
      </c>
      <c r="F1198" t="s">
        <v>837</v>
      </c>
      <c r="G1198">
        <v>9.7000000000000003E-2</v>
      </c>
      <c r="K1198" t="s">
        <v>649</v>
      </c>
      <c r="L1198" t="s">
        <v>936</v>
      </c>
    </row>
    <row r="1199" spans="1:12" x14ac:dyDescent="0.25">
      <c r="A1199" t="s">
        <v>918</v>
      </c>
      <c r="B1199" t="s">
        <v>346</v>
      </c>
      <c r="D1199" t="s">
        <v>919</v>
      </c>
      <c r="E1199" t="s">
        <v>705</v>
      </c>
      <c r="F1199" t="s">
        <v>837</v>
      </c>
      <c r="G1199">
        <v>0.19900000000000001</v>
      </c>
      <c r="K1199" t="s">
        <v>649</v>
      </c>
      <c r="L1199" t="s">
        <v>936</v>
      </c>
    </row>
    <row r="1200" spans="1:12" x14ac:dyDescent="0.25">
      <c r="A1200" t="s">
        <v>918</v>
      </c>
      <c r="B1200" t="s">
        <v>344</v>
      </c>
      <c r="D1200" t="s">
        <v>919</v>
      </c>
      <c r="E1200" t="s">
        <v>705</v>
      </c>
      <c r="F1200" t="s">
        <v>837</v>
      </c>
      <c r="G1200">
        <v>0.312</v>
      </c>
      <c r="K1200" t="s">
        <v>649</v>
      </c>
      <c r="L1200" t="s">
        <v>936</v>
      </c>
    </row>
    <row r="1201" spans="1:12" x14ac:dyDescent="0.25">
      <c r="A1201" t="s">
        <v>918</v>
      </c>
      <c r="B1201" t="s">
        <v>352</v>
      </c>
      <c r="D1201" t="s">
        <v>919</v>
      </c>
      <c r="E1201" t="s">
        <v>705</v>
      </c>
      <c r="F1201" t="s">
        <v>837</v>
      </c>
      <c r="G1201">
        <v>0.36199999999999999</v>
      </c>
      <c r="K1201" t="s">
        <v>649</v>
      </c>
      <c r="L1201" t="s">
        <v>936</v>
      </c>
    </row>
    <row r="1202" spans="1:12" x14ac:dyDescent="0.25">
      <c r="A1202" t="s">
        <v>918</v>
      </c>
      <c r="B1202" t="s">
        <v>435</v>
      </c>
      <c r="D1202" t="s">
        <v>919</v>
      </c>
      <c r="E1202" t="s">
        <v>705</v>
      </c>
      <c r="F1202" t="s">
        <v>837</v>
      </c>
      <c r="G1202">
        <v>0.14199999999999999</v>
      </c>
      <c r="K1202" t="s">
        <v>649</v>
      </c>
      <c r="L1202" t="s">
        <v>936</v>
      </c>
    </row>
    <row r="1203" spans="1:12" x14ac:dyDescent="0.25">
      <c r="A1203" t="s">
        <v>918</v>
      </c>
      <c r="B1203" t="s">
        <v>434</v>
      </c>
      <c r="D1203" t="s">
        <v>919</v>
      </c>
      <c r="E1203" t="s">
        <v>705</v>
      </c>
      <c r="F1203" t="s">
        <v>837</v>
      </c>
      <c r="G1203">
        <v>0.18</v>
      </c>
      <c r="K1203" t="s">
        <v>649</v>
      </c>
      <c r="L1203" t="s">
        <v>936</v>
      </c>
    </row>
    <row r="1204" spans="1:12" x14ac:dyDescent="0.25">
      <c r="A1204" t="s">
        <v>918</v>
      </c>
      <c r="B1204" t="s">
        <v>433</v>
      </c>
      <c r="D1204" t="s">
        <v>919</v>
      </c>
      <c r="E1204" t="s">
        <v>705</v>
      </c>
      <c r="F1204" t="s">
        <v>837</v>
      </c>
      <c r="G1204">
        <v>0.16400000000000001</v>
      </c>
      <c r="K1204" t="s">
        <v>649</v>
      </c>
      <c r="L1204" t="s">
        <v>936</v>
      </c>
    </row>
    <row r="1205" spans="1:12" x14ac:dyDescent="0.25">
      <c r="A1205" t="s">
        <v>918</v>
      </c>
      <c r="B1205" t="s">
        <v>513</v>
      </c>
      <c r="D1205" t="s">
        <v>919</v>
      </c>
      <c r="E1205" t="s">
        <v>705</v>
      </c>
      <c r="F1205" t="s">
        <v>837</v>
      </c>
      <c r="G1205">
        <v>0.218</v>
      </c>
      <c r="K1205" t="s">
        <v>649</v>
      </c>
      <c r="L1205" t="s">
        <v>936</v>
      </c>
    </row>
    <row r="1206" spans="1:12" x14ac:dyDescent="0.25">
      <c r="A1206" t="s">
        <v>918</v>
      </c>
      <c r="B1206" t="s">
        <v>514</v>
      </c>
      <c r="D1206" t="s">
        <v>919</v>
      </c>
      <c r="E1206" t="s">
        <v>705</v>
      </c>
      <c r="F1206" t="s">
        <v>837</v>
      </c>
      <c r="G1206">
        <v>0.246</v>
      </c>
      <c r="K1206" t="s">
        <v>649</v>
      </c>
      <c r="L1206" t="s">
        <v>936</v>
      </c>
    </row>
    <row r="1207" spans="1:12" x14ac:dyDescent="0.25">
      <c r="A1207" t="s">
        <v>918</v>
      </c>
      <c r="B1207" t="s">
        <v>431</v>
      </c>
      <c r="D1207" t="s">
        <v>919</v>
      </c>
      <c r="E1207" t="s">
        <v>705</v>
      </c>
      <c r="F1207" t="s">
        <v>837</v>
      </c>
      <c r="G1207">
        <v>0.28699999999999998</v>
      </c>
      <c r="K1207" t="s">
        <v>649</v>
      </c>
      <c r="L1207" t="s">
        <v>936</v>
      </c>
    </row>
    <row r="1208" spans="1:12" x14ac:dyDescent="0.25">
      <c r="A1208" t="s">
        <v>918</v>
      </c>
      <c r="B1208" t="s">
        <v>515</v>
      </c>
      <c r="D1208" t="s">
        <v>919</v>
      </c>
      <c r="E1208" t="s">
        <v>705</v>
      </c>
      <c r="F1208" t="s">
        <v>837</v>
      </c>
      <c r="G1208">
        <v>0.3</v>
      </c>
      <c r="K1208" t="s">
        <v>649</v>
      </c>
      <c r="L1208" t="s">
        <v>936</v>
      </c>
    </row>
    <row r="1209" spans="1:12" x14ac:dyDescent="0.25">
      <c r="A1209" t="s">
        <v>918</v>
      </c>
      <c r="B1209" t="s">
        <v>516</v>
      </c>
      <c r="D1209" t="s">
        <v>919</v>
      </c>
      <c r="E1209" t="s">
        <v>705</v>
      </c>
      <c r="F1209" t="s">
        <v>837</v>
      </c>
      <c r="G1209">
        <v>0.55000000000000004</v>
      </c>
      <c r="K1209" t="s">
        <v>649</v>
      </c>
      <c r="L1209" t="s">
        <v>936</v>
      </c>
    </row>
    <row r="1210" spans="1:12" x14ac:dyDescent="0.25">
      <c r="A1210" t="s">
        <v>918</v>
      </c>
      <c r="B1210" t="s">
        <v>933</v>
      </c>
      <c r="D1210" t="s">
        <v>919</v>
      </c>
      <c r="E1210" t="s">
        <v>705</v>
      </c>
      <c r="F1210" t="s">
        <v>837</v>
      </c>
      <c r="G1210">
        <v>0.34200000000000003</v>
      </c>
      <c r="K1210" t="s">
        <v>649</v>
      </c>
      <c r="L1210" t="s">
        <v>936</v>
      </c>
    </row>
    <row r="1211" spans="1:12" x14ac:dyDescent="0.25">
      <c r="A1211" t="s">
        <v>918</v>
      </c>
      <c r="B1211" t="s">
        <v>424</v>
      </c>
      <c r="D1211" t="s">
        <v>919</v>
      </c>
      <c r="E1211" t="s">
        <v>705</v>
      </c>
      <c r="F1211" t="s">
        <v>837</v>
      </c>
      <c r="G1211">
        <v>0.16500000000000001</v>
      </c>
      <c r="K1211" t="s">
        <v>649</v>
      </c>
      <c r="L1211" t="s">
        <v>936</v>
      </c>
    </row>
    <row r="1212" spans="1:12" x14ac:dyDescent="0.25">
      <c r="A1212" t="s">
        <v>918</v>
      </c>
      <c r="B1212" t="s">
        <v>934</v>
      </c>
      <c r="D1212" t="s">
        <v>919</v>
      </c>
      <c r="E1212" t="s">
        <v>705</v>
      </c>
      <c r="F1212" t="s">
        <v>837</v>
      </c>
      <c r="G1212">
        <v>0.16</v>
      </c>
      <c r="K1212" t="s">
        <v>649</v>
      </c>
      <c r="L1212" t="s">
        <v>936</v>
      </c>
    </row>
    <row r="1213" spans="1:12" x14ac:dyDescent="0.25">
      <c r="A1213" t="s">
        <v>918</v>
      </c>
      <c r="B1213" t="s">
        <v>846</v>
      </c>
      <c r="D1213" t="s">
        <v>919</v>
      </c>
      <c r="E1213" t="s">
        <v>705</v>
      </c>
      <c r="F1213" t="s">
        <v>837</v>
      </c>
      <c r="G1213">
        <v>5.0999999999999997E-2</v>
      </c>
      <c r="K1213" t="s">
        <v>649</v>
      </c>
      <c r="L1213" t="s">
        <v>936</v>
      </c>
    </row>
    <row r="1214" spans="1:12" x14ac:dyDescent="0.25">
      <c r="A1214" t="s">
        <v>1261</v>
      </c>
      <c r="B1214" t="s">
        <v>43</v>
      </c>
      <c r="F1214" t="s">
        <v>12</v>
      </c>
      <c r="I1214">
        <v>10</v>
      </c>
      <c r="K1214" t="s">
        <v>13</v>
      </c>
      <c r="L1214" t="s">
        <v>936</v>
      </c>
    </row>
    <row r="1215" spans="1:12" x14ac:dyDescent="0.25">
      <c r="A1215" t="s">
        <v>1261</v>
      </c>
      <c r="B1215" t="s">
        <v>47</v>
      </c>
      <c r="F1215" t="s">
        <v>12</v>
      </c>
      <c r="I1215">
        <v>10</v>
      </c>
      <c r="K1215" t="s">
        <v>13</v>
      </c>
      <c r="L1215" t="s">
        <v>936</v>
      </c>
    </row>
    <row r="1216" spans="1:12" x14ac:dyDescent="0.25">
      <c r="A1216" t="s">
        <v>1261</v>
      </c>
      <c r="B1216" t="s">
        <v>46</v>
      </c>
      <c r="F1216" t="s">
        <v>12</v>
      </c>
      <c r="K1216" t="s">
        <v>13</v>
      </c>
      <c r="L1216" t="s">
        <v>936</v>
      </c>
    </row>
    <row r="1217" spans="1:12" x14ac:dyDescent="0.25">
      <c r="A1217" t="s">
        <v>1261</v>
      </c>
      <c r="B1217" t="s">
        <v>45</v>
      </c>
      <c r="F1217" t="s">
        <v>12</v>
      </c>
      <c r="K1217" t="s">
        <v>13</v>
      </c>
      <c r="L1217" t="s">
        <v>936</v>
      </c>
    </row>
    <row r="1218" spans="1:12" x14ac:dyDescent="0.25">
      <c r="A1218" t="s">
        <v>1261</v>
      </c>
      <c r="B1218" t="s">
        <v>28</v>
      </c>
      <c r="F1218" t="s">
        <v>12</v>
      </c>
      <c r="K1218" t="s">
        <v>13</v>
      </c>
      <c r="L1218" t="s">
        <v>936</v>
      </c>
    </row>
    <row r="1219" spans="1:12" x14ac:dyDescent="0.25">
      <c r="A1219" t="s">
        <v>1261</v>
      </c>
      <c r="B1219" t="s">
        <v>42</v>
      </c>
      <c r="F1219" t="s">
        <v>12</v>
      </c>
      <c r="K1219" t="s">
        <v>13</v>
      </c>
      <c r="L1219" t="s">
        <v>936</v>
      </c>
    </row>
    <row r="1220" spans="1:12" x14ac:dyDescent="0.25">
      <c r="A1220" t="s">
        <v>1261</v>
      </c>
      <c r="B1220" t="s">
        <v>40</v>
      </c>
      <c r="F1220" t="s">
        <v>12</v>
      </c>
      <c r="K1220" t="s">
        <v>13</v>
      </c>
      <c r="L1220" t="s">
        <v>936</v>
      </c>
    </row>
    <row r="1221" spans="1:12" x14ac:dyDescent="0.25">
      <c r="A1221" t="s">
        <v>1261</v>
      </c>
      <c r="B1221" t="s">
        <v>26</v>
      </c>
      <c r="F1221" t="s">
        <v>12</v>
      </c>
      <c r="K1221" t="s">
        <v>13</v>
      </c>
      <c r="L1221" t="s">
        <v>936</v>
      </c>
    </row>
    <row r="1222" spans="1:12" x14ac:dyDescent="0.25">
      <c r="A1222" t="s">
        <v>1261</v>
      </c>
      <c r="B1222" t="s">
        <v>21</v>
      </c>
      <c r="F1222" t="s">
        <v>12</v>
      </c>
      <c r="K1222" t="s">
        <v>13</v>
      </c>
      <c r="L1222" t="s">
        <v>936</v>
      </c>
    </row>
    <row r="1223" spans="1:12" x14ac:dyDescent="0.25">
      <c r="A1223" t="s">
        <v>1261</v>
      </c>
      <c r="B1223" t="s">
        <v>27</v>
      </c>
      <c r="F1223" t="s">
        <v>12</v>
      </c>
      <c r="K1223" t="s">
        <v>13</v>
      </c>
      <c r="L1223" t="s">
        <v>936</v>
      </c>
    </row>
    <row r="1224" spans="1:12" x14ac:dyDescent="0.25">
      <c r="A1224" t="s">
        <v>1261</v>
      </c>
      <c r="B1224" t="s">
        <v>20</v>
      </c>
      <c r="F1224" t="s">
        <v>12</v>
      </c>
      <c r="K1224" t="s">
        <v>13</v>
      </c>
      <c r="L1224" t="s">
        <v>936</v>
      </c>
    </row>
    <row r="1225" spans="1:12" x14ac:dyDescent="0.25">
      <c r="A1225" t="s">
        <v>1261</v>
      </c>
      <c r="B1225" t="s">
        <v>19</v>
      </c>
      <c r="F1225" t="s">
        <v>12</v>
      </c>
      <c r="K1225" t="s">
        <v>13</v>
      </c>
      <c r="L1225" t="s">
        <v>936</v>
      </c>
    </row>
    <row r="1226" spans="1:12" x14ac:dyDescent="0.25">
      <c r="A1226" t="s">
        <v>1261</v>
      </c>
      <c r="B1226" t="s">
        <v>22</v>
      </c>
      <c r="F1226" t="s">
        <v>12</v>
      </c>
      <c r="K1226" t="s">
        <v>13</v>
      </c>
      <c r="L1226" t="s">
        <v>936</v>
      </c>
    </row>
    <row r="1227" spans="1:12" x14ac:dyDescent="0.25">
      <c r="A1227" t="s">
        <v>1261</v>
      </c>
      <c r="B1227" t="s">
        <v>44</v>
      </c>
      <c r="F1227" t="s">
        <v>12</v>
      </c>
      <c r="K1227" t="s">
        <v>13</v>
      </c>
      <c r="L1227" t="s">
        <v>936</v>
      </c>
    </row>
    <row r="1228" spans="1:12" x14ac:dyDescent="0.25">
      <c r="A1228" t="s">
        <v>1261</v>
      </c>
      <c r="B1228" t="s">
        <v>1262</v>
      </c>
      <c r="F1228" t="s">
        <v>12</v>
      </c>
      <c r="K1228" t="s">
        <v>13</v>
      </c>
      <c r="L1228" t="s">
        <v>936</v>
      </c>
    </row>
    <row r="1229" spans="1:12" x14ac:dyDescent="0.25">
      <c r="A1229" t="s">
        <v>1261</v>
      </c>
      <c r="B1229" t="s">
        <v>1263</v>
      </c>
      <c r="F1229" t="s">
        <v>12</v>
      </c>
      <c r="K1229" t="s">
        <v>13</v>
      </c>
      <c r="L1229" t="s">
        <v>936</v>
      </c>
    </row>
    <row r="1230" spans="1:12" x14ac:dyDescent="0.25">
      <c r="A1230" t="s">
        <v>1261</v>
      </c>
      <c r="B1230" t="s">
        <v>1264</v>
      </c>
      <c r="F1230" t="s">
        <v>12</v>
      </c>
      <c r="K1230" t="s">
        <v>13</v>
      </c>
      <c r="L1230" t="s">
        <v>936</v>
      </c>
    </row>
    <row r="1231" spans="1:12" x14ac:dyDescent="0.25">
      <c r="A1231" t="s">
        <v>1261</v>
      </c>
      <c r="B1231" t="s">
        <v>993</v>
      </c>
      <c r="F1231" t="s">
        <v>12</v>
      </c>
      <c r="K1231" t="s">
        <v>13</v>
      </c>
      <c r="L1231" t="s">
        <v>936</v>
      </c>
    </row>
    <row r="1232" spans="1:12" x14ac:dyDescent="0.25">
      <c r="A1232" t="s">
        <v>1261</v>
      </c>
      <c r="B1232" t="s">
        <v>50</v>
      </c>
      <c r="F1232" t="s">
        <v>12</v>
      </c>
      <c r="K1232" t="s">
        <v>13</v>
      </c>
      <c r="L1232" t="s">
        <v>936</v>
      </c>
    </row>
    <row r="1233" spans="1:12" x14ac:dyDescent="0.25">
      <c r="A1233" t="s">
        <v>1261</v>
      </c>
      <c r="B1233" t="s">
        <v>49</v>
      </c>
      <c r="F1233" t="s">
        <v>12</v>
      </c>
      <c r="K1233" t="s">
        <v>13</v>
      </c>
      <c r="L1233" t="s">
        <v>936</v>
      </c>
    </row>
    <row r="1234" spans="1:12" x14ac:dyDescent="0.25">
      <c r="A1234" t="s">
        <v>1261</v>
      </c>
      <c r="B1234" t="s">
        <v>48</v>
      </c>
      <c r="F1234" t="s">
        <v>12</v>
      </c>
      <c r="K1234" t="s">
        <v>13</v>
      </c>
      <c r="L1234" t="s">
        <v>936</v>
      </c>
    </row>
    <row r="1235" spans="1:12" x14ac:dyDescent="0.25">
      <c r="A1235" t="s">
        <v>1261</v>
      </c>
      <c r="B1235" t="s">
        <v>994</v>
      </c>
      <c r="F1235" t="s">
        <v>12</v>
      </c>
      <c r="K1235" t="s">
        <v>13</v>
      </c>
      <c r="L1235" t="s">
        <v>936</v>
      </c>
    </row>
    <row r="1236" spans="1:12" x14ac:dyDescent="0.25">
      <c r="A1236" t="s">
        <v>1261</v>
      </c>
      <c r="B1236" t="s">
        <v>1265</v>
      </c>
      <c r="F1236" t="s">
        <v>12</v>
      </c>
      <c r="K1236" t="s">
        <v>13</v>
      </c>
      <c r="L1236" t="s">
        <v>936</v>
      </c>
    </row>
    <row r="1237" spans="1:12" x14ac:dyDescent="0.25">
      <c r="A1237" t="s">
        <v>1261</v>
      </c>
      <c r="B1237" t="s">
        <v>998</v>
      </c>
      <c r="F1237" t="s">
        <v>12</v>
      </c>
      <c r="K1237" t="s">
        <v>13</v>
      </c>
      <c r="L1237" t="s">
        <v>936</v>
      </c>
    </row>
    <row r="1238" spans="1:12" x14ac:dyDescent="0.25">
      <c r="A1238" t="s">
        <v>1261</v>
      </c>
      <c r="B1238" t="s">
        <v>996</v>
      </c>
      <c r="F1238" t="s">
        <v>12</v>
      </c>
      <c r="K1238" t="s">
        <v>13</v>
      </c>
      <c r="L1238" t="s">
        <v>936</v>
      </c>
    </row>
    <row r="1239" spans="1:12" x14ac:dyDescent="0.25">
      <c r="A1239" t="s">
        <v>1261</v>
      </c>
      <c r="B1239" t="s">
        <v>1266</v>
      </c>
      <c r="F1239" t="s">
        <v>12</v>
      </c>
      <c r="K1239" t="s">
        <v>13</v>
      </c>
      <c r="L1239" t="s">
        <v>936</v>
      </c>
    </row>
    <row r="1240" spans="1:12" x14ac:dyDescent="0.25">
      <c r="A1240" t="s">
        <v>888</v>
      </c>
      <c r="B1240" t="s">
        <v>33</v>
      </c>
      <c r="D1240" t="s">
        <v>844</v>
      </c>
      <c r="E1240" t="s">
        <v>709</v>
      </c>
      <c r="F1240" t="s">
        <v>837</v>
      </c>
      <c r="K1240" t="s">
        <v>649</v>
      </c>
      <c r="L1240" t="s">
        <v>649</v>
      </c>
    </row>
    <row r="1241" spans="1:12" x14ac:dyDescent="0.25">
      <c r="A1241" t="s">
        <v>888</v>
      </c>
      <c r="B1241" t="s">
        <v>1023</v>
      </c>
      <c r="D1241" t="s">
        <v>844</v>
      </c>
      <c r="E1241" t="s">
        <v>709</v>
      </c>
      <c r="F1241" t="s">
        <v>837</v>
      </c>
      <c r="K1241" t="s">
        <v>649</v>
      </c>
      <c r="L1241" t="s">
        <v>649</v>
      </c>
    </row>
    <row r="1242" spans="1:12" x14ac:dyDescent="0.25">
      <c r="A1242" t="s">
        <v>888</v>
      </c>
      <c r="B1242" t="s">
        <v>460</v>
      </c>
      <c r="D1242" t="s">
        <v>844</v>
      </c>
      <c r="E1242" t="s">
        <v>709</v>
      </c>
      <c r="F1242" t="s">
        <v>837</v>
      </c>
      <c r="K1242" t="s">
        <v>649</v>
      </c>
      <c r="L1242" t="s">
        <v>649</v>
      </c>
    </row>
    <row r="1243" spans="1:12" x14ac:dyDescent="0.25">
      <c r="A1243" t="s">
        <v>888</v>
      </c>
      <c r="B1243" t="s">
        <v>1024</v>
      </c>
      <c r="D1243" t="s">
        <v>844</v>
      </c>
      <c r="E1243" t="s">
        <v>709</v>
      </c>
      <c r="F1243" t="s">
        <v>837</v>
      </c>
      <c r="K1243" t="s">
        <v>649</v>
      </c>
      <c r="L1243" t="s">
        <v>649</v>
      </c>
    </row>
    <row r="1244" spans="1:12" x14ac:dyDescent="0.25">
      <c r="A1244" t="s">
        <v>888</v>
      </c>
      <c r="B1244" t="s">
        <v>460</v>
      </c>
      <c r="D1244" t="s">
        <v>844</v>
      </c>
      <c r="E1244" t="s">
        <v>709</v>
      </c>
      <c r="F1244" t="s">
        <v>837</v>
      </c>
      <c r="K1244" t="s">
        <v>649</v>
      </c>
      <c r="L1244" t="s">
        <v>649</v>
      </c>
    </row>
    <row r="1245" spans="1:12" x14ac:dyDescent="0.25">
      <c r="A1245" t="s">
        <v>888</v>
      </c>
      <c r="B1245" t="s">
        <v>12</v>
      </c>
      <c r="D1245" t="s">
        <v>844</v>
      </c>
      <c r="E1245" t="s">
        <v>709</v>
      </c>
      <c r="F1245" t="s">
        <v>12</v>
      </c>
      <c r="K1245" t="s">
        <v>649</v>
      </c>
      <c r="L1245" t="s">
        <v>649</v>
      </c>
    </row>
    <row r="1246" spans="1:12" x14ac:dyDescent="0.25">
      <c r="A1246" t="s">
        <v>888</v>
      </c>
      <c r="B1246" t="s">
        <v>619</v>
      </c>
      <c r="D1246" t="s">
        <v>844</v>
      </c>
      <c r="E1246" t="s">
        <v>709</v>
      </c>
      <c r="F1246" t="s">
        <v>12</v>
      </c>
      <c r="K1246" t="s">
        <v>649</v>
      </c>
      <c r="L1246" t="s">
        <v>649</v>
      </c>
    </row>
    <row r="1247" spans="1:12" x14ac:dyDescent="0.25">
      <c r="A1247" t="s">
        <v>888</v>
      </c>
      <c r="B1247" t="s">
        <v>841</v>
      </c>
      <c r="D1247" t="s">
        <v>844</v>
      </c>
      <c r="E1247" t="s">
        <v>709</v>
      </c>
      <c r="F1247" t="s">
        <v>837</v>
      </c>
      <c r="K1247" t="s">
        <v>649</v>
      </c>
      <c r="L1247" t="s">
        <v>649</v>
      </c>
    </row>
    <row r="1248" spans="1:12" x14ac:dyDescent="0.25">
      <c r="A1248" t="s">
        <v>901</v>
      </c>
      <c r="B1248" t="s">
        <v>472</v>
      </c>
      <c r="D1248" t="s">
        <v>844</v>
      </c>
      <c r="E1248" t="s">
        <v>709</v>
      </c>
      <c r="F1248" t="s">
        <v>12</v>
      </c>
      <c r="G1248">
        <v>0.38600000000000001</v>
      </c>
      <c r="K1248" t="s">
        <v>649</v>
      </c>
      <c r="L1248" t="s">
        <v>936</v>
      </c>
    </row>
    <row r="1249" spans="1:12" x14ac:dyDescent="0.25">
      <c r="A1249" t="s">
        <v>901</v>
      </c>
      <c r="B1249" t="s">
        <v>978</v>
      </c>
      <c r="D1249" t="s">
        <v>844</v>
      </c>
      <c r="E1249" t="s">
        <v>709</v>
      </c>
      <c r="F1249" t="s">
        <v>12</v>
      </c>
      <c r="G1249">
        <v>0.379</v>
      </c>
      <c r="K1249" t="s">
        <v>649</v>
      </c>
      <c r="L1249" t="s">
        <v>936</v>
      </c>
    </row>
    <row r="1250" spans="1:12" x14ac:dyDescent="0.25">
      <c r="A1250" t="s">
        <v>901</v>
      </c>
      <c r="B1250" t="s">
        <v>474</v>
      </c>
      <c r="D1250" t="s">
        <v>844</v>
      </c>
      <c r="E1250" t="s">
        <v>709</v>
      </c>
      <c r="F1250" t="s">
        <v>1226</v>
      </c>
      <c r="G1250">
        <v>0.36799999999999999</v>
      </c>
      <c r="K1250" t="s">
        <v>649</v>
      </c>
      <c r="L1250" t="s">
        <v>936</v>
      </c>
    </row>
    <row r="1251" spans="1:12" x14ac:dyDescent="0.25">
      <c r="A1251" t="s">
        <v>901</v>
      </c>
      <c r="B1251" t="s">
        <v>492</v>
      </c>
      <c r="D1251" t="s">
        <v>844</v>
      </c>
      <c r="E1251" t="s">
        <v>709</v>
      </c>
      <c r="F1251" t="s">
        <v>89</v>
      </c>
      <c r="G1251">
        <v>0.378</v>
      </c>
      <c r="K1251" t="s">
        <v>649</v>
      </c>
      <c r="L1251" t="s">
        <v>936</v>
      </c>
    </row>
    <row r="1252" spans="1:12" x14ac:dyDescent="0.25">
      <c r="A1252" t="s">
        <v>901</v>
      </c>
      <c r="B1252" t="s">
        <v>982</v>
      </c>
      <c r="D1252" t="s">
        <v>844</v>
      </c>
      <c r="E1252" t="s">
        <v>709</v>
      </c>
      <c r="F1252" t="s">
        <v>837</v>
      </c>
      <c r="G1252">
        <v>0.497</v>
      </c>
      <c r="K1252" t="s">
        <v>649</v>
      </c>
      <c r="L1252" t="s">
        <v>936</v>
      </c>
    </row>
    <row r="1253" spans="1:12" x14ac:dyDescent="0.25">
      <c r="A1253" t="s">
        <v>901</v>
      </c>
      <c r="B1253" t="s">
        <v>493</v>
      </c>
      <c r="D1253" t="s">
        <v>844</v>
      </c>
      <c r="E1253" t="s">
        <v>709</v>
      </c>
      <c r="F1253" t="s">
        <v>837</v>
      </c>
      <c r="G1253">
        <v>0.47099999999999997</v>
      </c>
      <c r="K1253" t="s">
        <v>649</v>
      </c>
      <c r="L1253" t="s">
        <v>936</v>
      </c>
    </row>
    <row r="1254" spans="1:12" x14ac:dyDescent="0.25">
      <c r="A1254" t="s">
        <v>901</v>
      </c>
      <c r="B1254" t="s">
        <v>983</v>
      </c>
      <c r="D1254" t="s">
        <v>844</v>
      </c>
      <c r="E1254" t="s">
        <v>709</v>
      </c>
      <c r="F1254" t="s">
        <v>837</v>
      </c>
      <c r="G1254">
        <v>0.68500000000000005</v>
      </c>
      <c r="K1254" t="s">
        <v>649</v>
      </c>
      <c r="L1254" t="s">
        <v>936</v>
      </c>
    </row>
    <row r="1255" spans="1:12" x14ac:dyDescent="0.25">
      <c r="A1255" t="s">
        <v>901</v>
      </c>
      <c r="B1255" t="s">
        <v>494</v>
      </c>
      <c r="D1255" t="s">
        <v>844</v>
      </c>
      <c r="E1255" t="s">
        <v>709</v>
      </c>
      <c r="F1255" t="s">
        <v>837</v>
      </c>
      <c r="G1255">
        <v>0.36899999999999999</v>
      </c>
      <c r="K1255" t="s">
        <v>649</v>
      </c>
      <c r="L1255" t="s">
        <v>936</v>
      </c>
    </row>
    <row r="1256" spans="1:12" x14ac:dyDescent="0.25">
      <c r="A1256" t="s">
        <v>901</v>
      </c>
      <c r="B1256" t="s">
        <v>984</v>
      </c>
      <c r="D1256" t="s">
        <v>844</v>
      </c>
      <c r="E1256" t="s">
        <v>709</v>
      </c>
      <c r="F1256" t="s">
        <v>837</v>
      </c>
      <c r="G1256">
        <v>0.31</v>
      </c>
      <c r="K1256" t="s">
        <v>649</v>
      </c>
      <c r="L1256" t="s">
        <v>936</v>
      </c>
    </row>
    <row r="1257" spans="1:12" x14ac:dyDescent="0.25">
      <c r="A1257" t="s">
        <v>901</v>
      </c>
      <c r="B1257" t="s">
        <v>408</v>
      </c>
      <c r="D1257" t="s">
        <v>844</v>
      </c>
      <c r="E1257" t="s">
        <v>709</v>
      </c>
      <c r="F1257" t="s">
        <v>89</v>
      </c>
      <c r="G1257">
        <v>0.40400000000000003</v>
      </c>
      <c r="K1257" t="s">
        <v>649</v>
      </c>
      <c r="L1257" t="s">
        <v>936</v>
      </c>
    </row>
    <row r="1258" spans="1:12" x14ac:dyDescent="0.25">
      <c r="A1258" t="s">
        <v>901</v>
      </c>
      <c r="B1258" t="s">
        <v>495</v>
      </c>
      <c r="D1258" t="s">
        <v>844</v>
      </c>
      <c r="E1258" t="s">
        <v>709</v>
      </c>
      <c r="F1258" t="s">
        <v>837</v>
      </c>
      <c r="G1258">
        <v>0.93600000000000005</v>
      </c>
      <c r="K1258" t="s">
        <v>649</v>
      </c>
      <c r="L1258" t="s">
        <v>936</v>
      </c>
    </row>
    <row r="1259" spans="1:12" x14ac:dyDescent="0.25">
      <c r="A1259" t="s">
        <v>901</v>
      </c>
      <c r="B1259" t="s">
        <v>496</v>
      </c>
      <c r="D1259" t="s">
        <v>844</v>
      </c>
      <c r="E1259" t="s">
        <v>709</v>
      </c>
      <c r="F1259" t="s">
        <v>837</v>
      </c>
      <c r="G1259">
        <v>0.34100000000000003</v>
      </c>
      <c r="K1259" t="s">
        <v>649</v>
      </c>
      <c r="L1259" t="s">
        <v>936</v>
      </c>
    </row>
    <row r="1260" spans="1:12" x14ac:dyDescent="0.25">
      <c r="A1260" t="s">
        <v>901</v>
      </c>
      <c r="B1260" t="s">
        <v>498</v>
      </c>
      <c r="D1260" t="s">
        <v>844</v>
      </c>
      <c r="E1260" t="s">
        <v>709</v>
      </c>
      <c r="F1260" t="s">
        <v>837</v>
      </c>
      <c r="G1260">
        <v>0.221</v>
      </c>
      <c r="K1260" t="s">
        <v>649</v>
      </c>
      <c r="L1260" t="s">
        <v>936</v>
      </c>
    </row>
    <row r="1261" spans="1:12" x14ac:dyDescent="0.25">
      <c r="A1261" t="s">
        <v>901</v>
      </c>
      <c r="B1261" t="s">
        <v>1034</v>
      </c>
      <c r="D1261" t="s">
        <v>844</v>
      </c>
      <c r="E1261" t="s">
        <v>709</v>
      </c>
      <c r="F1261" t="s">
        <v>41</v>
      </c>
      <c r="G1261">
        <v>0.80300000000000005</v>
      </c>
      <c r="K1261" t="s">
        <v>649</v>
      </c>
      <c r="L1261" t="s">
        <v>936</v>
      </c>
    </row>
    <row r="1262" spans="1:12" x14ac:dyDescent="0.25">
      <c r="A1262" t="s">
        <v>901</v>
      </c>
      <c r="B1262" t="s">
        <v>1035</v>
      </c>
      <c r="D1262" t="s">
        <v>844</v>
      </c>
      <c r="E1262" t="s">
        <v>709</v>
      </c>
      <c r="F1262" t="s">
        <v>41</v>
      </c>
      <c r="G1262">
        <v>0.41799999999999998</v>
      </c>
      <c r="K1262" t="s">
        <v>649</v>
      </c>
      <c r="L1262" t="s">
        <v>936</v>
      </c>
    </row>
    <row r="1263" spans="1:12" x14ac:dyDescent="0.25">
      <c r="A1263" t="s">
        <v>980</v>
      </c>
      <c r="B1263" t="s">
        <v>489</v>
      </c>
      <c r="D1263" t="s">
        <v>844</v>
      </c>
      <c r="E1263" t="s">
        <v>709</v>
      </c>
      <c r="F1263" t="s">
        <v>837</v>
      </c>
      <c r="G1263">
        <v>0.76600000000000001</v>
      </c>
      <c r="K1263" t="s">
        <v>649</v>
      </c>
      <c r="L1263" t="s">
        <v>936</v>
      </c>
    </row>
    <row r="1264" spans="1:12" x14ac:dyDescent="0.25">
      <c r="A1264" t="s">
        <v>980</v>
      </c>
      <c r="B1264" t="s">
        <v>297</v>
      </c>
      <c r="D1264" t="s">
        <v>844</v>
      </c>
      <c r="E1264" t="s">
        <v>709</v>
      </c>
      <c r="F1264" t="s">
        <v>837</v>
      </c>
      <c r="G1264">
        <v>0.83899999999999997</v>
      </c>
      <c r="K1264" t="s">
        <v>649</v>
      </c>
      <c r="L1264" t="s">
        <v>936</v>
      </c>
    </row>
    <row r="1265" spans="1:12" x14ac:dyDescent="0.25">
      <c r="A1265" t="s">
        <v>980</v>
      </c>
      <c r="B1265" t="s">
        <v>490</v>
      </c>
      <c r="D1265" t="s">
        <v>844</v>
      </c>
      <c r="E1265" t="s">
        <v>709</v>
      </c>
      <c r="F1265" t="s">
        <v>837</v>
      </c>
      <c r="G1265">
        <v>0.746</v>
      </c>
      <c r="K1265" t="s">
        <v>649</v>
      </c>
      <c r="L1265" t="s">
        <v>936</v>
      </c>
    </row>
    <row r="1266" spans="1:12" x14ac:dyDescent="0.25">
      <c r="A1266" t="s">
        <v>980</v>
      </c>
      <c r="B1266" t="s">
        <v>410</v>
      </c>
      <c r="D1266" t="s">
        <v>844</v>
      </c>
      <c r="E1266" t="s">
        <v>709</v>
      </c>
      <c r="F1266" t="s">
        <v>837</v>
      </c>
      <c r="G1266">
        <v>0.64100000000000001</v>
      </c>
      <c r="K1266" t="s">
        <v>649</v>
      </c>
      <c r="L1266" t="s">
        <v>936</v>
      </c>
    </row>
    <row r="1267" spans="1:12" x14ac:dyDescent="0.25">
      <c r="A1267" t="s">
        <v>980</v>
      </c>
      <c r="B1267" t="s">
        <v>491</v>
      </c>
      <c r="D1267" t="s">
        <v>844</v>
      </c>
      <c r="E1267" t="s">
        <v>709</v>
      </c>
      <c r="F1267" t="s">
        <v>52</v>
      </c>
      <c r="G1267">
        <v>0.255</v>
      </c>
      <c r="K1267" t="s">
        <v>649</v>
      </c>
      <c r="L1267" t="s">
        <v>936</v>
      </c>
    </row>
    <row r="1268" spans="1:12" x14ac:dyDescent="0.25">
      <c r="A1268" t="s">
        <v>980</v>
      </c>
      <c r="B1268" t="s">
        <v>981</v>
      </c>
      <c r="D1268" t="s">
        <v>844</v>
      </c>
      <c r="E1268" t="s">
        <v>709</v>
      </c>
      <c r="F1268" t="s">
        <v>52</v>
      </c>
      <c r="G1268">
        <v>0.18</v>
      </c>
      <c r="K1268" t="s">
        <v>649</v>
      </c>
      <c r="L1268" t="s">
        <v>936</v>
      </c>
    </row>
    <row r="1269" spans="1:12" x14ac:dyDescent="0.25">
      <c r="A1269" t="s">
        <v>980</v>
      </c>
      <c r="B1269" t="s">
        <v>497</v>
      </c>
      <c r="D1269" t="s">
        <v>844</v>
      </c>
      <c r="E1269" t="s">
        <v>709</v>
      </c>
      <c r="F1269" t="s">
        <v>89</v>
      </c>
      <c r="G1269">
        <v>0.40799999999999997</v>
      </c>
      <c r="K1269" t="s">
        <v>649</v>
      </c>
      <c r="L1269" t="s">
        <v>936</v>
      </c>
    </row>
    <row r="1270" spans="1:12" x14ac:dyDescent="0.25">
      <c r="A1270" t="s">
        <v>980</v>
      </c>
      <c r="B1270" t="s">
        <v>1030</v>
      </c>
      <c r="D1270" t="s">
        <v>844</v>
      </c>
      <c r="E1270" t="s">
        <v>709</v>
      </c>
      <c r="F1270" t="s">
        <v>1226</v>
      </c>
      <c r="G1270">
        <v>0.32200000000000001</v>
      </c>
      <c r="K1270" t="s">
        <v>13</v>
      </c>
      <c r="L1270" t="s">
        <v>936</v>
      </c>
    </row>
    <row r="1271" spans="1:12" x14ac:dyDescent="0.25">
      <c r="A1271" t="s">
        <v>980</v>
      </c>
      <c r="B1271" t="s">
        <v>1031</v>
      </c>
      <c r="D1271" t="s">
        <v>844</v>
      </c>
      <c r="E1271" t="s">
        <v>709</v>
      </c>
      <c r="F1271" t="s">
        <v>1226</v>
      </c>
      <c r="G1271">
        <v>9.1999999999999998E-2</v>
      </c>
      <c r="K1271" t="s">
        <v>13</v>
      </c>
      <c r="L1271" t="s">
        <v>936</v>
      </c>
    </row>
    <row r="1272" spans="1:12" x14ac:dyDescent="0.25">
      <c r="A1272" t="s">
        <v>980</v>
      </c>
      <c r="B1272" t="s">
        <v>1032</v>
      </c>
      <c r="D1272" t="s">
        <v>844</v>
      </c>
      <c r="E1272" t="s">
        <v>709</v>
      </c>
      <c r="F1272" t="s">
        <v>837</v>
      </c>
      <c r="G1272">
        <v>0.996</v>
      </c>
      <c r="K1272" t="s">
        <v>649</v>
      </c>
      <c r="L1272" t="s">
        <v>936</v>
      </c>
    </row>
    <row r="1273" spans="1:12" x14ac:dyDescent="0.25">
      <c r="A1273" t="s">
        <v>980</v>
      </c>
      <c r="B1273" t="s">
        <v>1033</v>
      </c>
      <c r="D1273" t="s">
        <v>844</v>
      </c>
      <c r="E1273" t="s">
        <v>709</v>
      </c>
      <c r="F1273" t="s">
        <v>41</v>
      </c>
      <c r="G1273">
        <v>0.69699999999999995</v>
      </c>
      <c r="K1273" t="s">
        <v>649</v>
      </c>
      <c r="L1273" t="s">
        <v>936</v>
      </c>
    </row>
    <row r="1274" spans="1:12" x14ac:dyDescent="0.25">
      <c r="A1274" t="s">
        <v>980</v>
      </c>
      <c r="B1274" t="s">
        <v>1040</v>
      </c>
      <c r="D1274" t="s">
        <v>844</v>
      </c>
      <c r="E1274" t="s">
        <v>709</v>
      </c>
      <c r="F1274" t="s">
        <v>12</v>
      </c>
      <c r="G1274">
        <v>0.24099999999999999</v>
      </c>
      <c r="K1274" t="s">
        <v>649</v>
      </c>
      <c r="L1274" t="s">
        <v>936</v>
      </c>
    </row>
    <row r="1275" spans="1:12" x14ac:dyDescent="0.25">
      <c r="A1275" t="s">
        <v>980</v>
      </c>
      <c r="B1275" t="s">
        <v>1038</v>
      </c>
      <c r="D1275" t="s">
        <v>844</v>
      </c>
      <c r="E1275" t="s">
        <v>709</v>
      </c>
      <c r="F1275" t="s">
        <v>12</v>
      </c>
      <c r="G1275">
        <v>0.54300000000000004</v>
      </c>
      <c r="K1275" t="s">
        <v>649</v>
      </c>
      <c r="L1275" t="s">
        <v>936</v>
      </c>
    </row>
    <row r="1276" spans="1:12" x14ac:dyDescent="0.25">
      <c r="A1276" t="s">
        <v>980</v>
      </c>
      <c r="B1276" t="s">
        <v>1167</v>
      </c>
      <c r="D1276" t="s">
        <v>844</v>
      </c>
      <c r="E1276" t="s">
        <v>709</v>
      </c>
      <c r="F1276" t="s">
        <v>12</v>
      </c>
      <c r="G1276">
        <v>0.45300000000000001</v>
      </c>
      <c r="K1276" t="s">
        <v>649</v>
      </c>
      <c r="L1276" t="s">
        <v>936</v>
      </c>
    </row>
    <row r="1277" spans="1:12" x14ac:dyDescent="0.25">
      <c r="A1277" t="s">
        <v>980</v>
      </c>
      <c r="B1277" t="s">
        <v>1168</v>
      </c>
      <c r="D1277" t="s">
        <v>844</v>
      </c>
      <c r="E1277" t="s">
        <v>709</v>
      </c>
      <c r="F1277" t="s">
        <v>12</v>
      </c>
      <c r="G1277">
        <v>0.221</v>
      </c>
      <c r="K1277" t="s">
        <v>649</v>
      </c>
      <c r="L1277" t="s">
        <v>936</v>
      </c>
    </row>
    <row r="1278" spans="1:12" x14ac:dyDescent="0.25">
      <c r="A1278" t="s">
        <v>980</v>
      </c>
      <c r="B1278" t="s">
        <v>1169</v>
      </c>
      <c r="D1278" t="s">
        <v>844</v>
      </c>
      <c r="E1278" t="s">
        <v>709</v>
      </c>
      <c r="F1278" t="s">
        <v>12</v>
      </c>
      <c r="G1278">
        <v>0.182</v>
      </c>
      <c r="K1278" t="s">
        <v>649</v>
      </c>
      <c r="L1278" t="s">
        <v>936</v>
      </c>
    </row>
    <row r="1279" spans="1:12" x14ac:dyDescent="0.25">
      <c r="A1279" t="s">
        <v>980</v>
      </c>
      <c r="B1279" t="s">
        <v>1170</v>
      </c>
      <c r="D1279" t="s">
        <v>844</v>
      </c>
      <c r="E1279" t="s">
        <v>709</v>
      </c>
      <c r="F1279" t="s">
        <v>12</v>
      </c>
      <c r="G1279">
        <v>0.68500000000000005</v>
      </c>
      <c r="K1279" t="s">
        <v>649</v>
      </c>
      <c r="L1279" t="s">
        <v>936</v>
      </c>
    </row>
    <row r="1280" spans="1:12" x14ac:dyDescent="0.25">
      <c r="A1280" t="s">
        <v>980</v>
      </c>
      <c r="B1280" t="s">
        <v>1171</v>
      </c>
      <c r="D1280" t="s">
        <v>844</v>
      </c>
      <c r="E1280" t="s">
        <v>709</v>
      </c>
      <c r="F1280" t="s">
        <v>12</v>
      </c>
      <c r="G1280">
        <v>0.499</v>
      </c>
      <c r="K1280" t="s">
        <v>649</v>
      </c>
      <c r="L1280" t="s">
        <v>936</v>
      </c>
    </row>
    <row r="1281" spans="1:12" x14ac:dyDescent="0.25">
      <c r="A1281" t="s">
        <v>980</v>
      </c>
      <c r="B1281" t="s">
        <v>1172</v>
      </c>
      <c r="D1281" t="s">
        <v>844</v>
      </c>
      <c r="E1281" t="s">
        <v>709</v>
      </c>
      <c r="F1281" t="s">
        <v>12</v>
      </c>
      <c r="G1281">
        <v>7.9000000000000001E-2</v>
      </c>
      <c r="K1281" t="s">
        <v>649</v>
      </c>
      <c r="L1281" t="s">
        <v>936</v>
      </c>
    </row>
    <row r="1282" spans="1:12" x14ac:dyDescent="0.25">
      <c r="A1282" t="s">
        <v>980</v>
      </c>
      <c r="B1282" t="s">
        <v>1173</v>
      </c>
      <c r="D1282" t="s">
        <v>844</v>
      </c>
      <c r="E1282" t="s">
        <v>709</v>
      </c>
      <c r="F1282" t="s">
        <v>12</v>
      </c>
      <c r="G1282">
        <v>0.11</v>
      </c>
      <c r="K1282" t="s">
        <v>649</v>
      </c>
      <c r="L1282" t="s">
        <v>936</v>
      </c>
    </row>
    <row r="1283" spans="1:12" x14ac:dyDescent="0.25">
      <c r="A1283" t="s">
        <v>980</v>
      </c>
      <c r="B1283" t="s">
        <v>1174</v>
      </c>
      <c r="D1283" t="s">
        <v>844</v>
      </c>
      <c r="E1283" t="s">
        <v>709</v>
      </c>
      <c r="F1283" t="s">
        <v>12</v>
      </c>
      <c r="G1283">
        <v>0.45800000000000002</v>
      </c>
      <c r="K1283" t="s">
        <v>649</v>
      </c>
      <c r="L1283" t="s">
        <v>936</v>
      </c>
    </row>
    <row r="1284" spans="1:12" x14ac:dyDescent="0.25">
      <c r="A1284" t="s">
        <v>980</v>
      </c>
      <c r="B1284" t="s">
        <v>1175</v>
      </c>
      <c r="D1284" t="s">
        <v>844</v>
      </c>
      <c r="E1284" t="s">
        <v>709</v>
      </c>
      <c r="F1284" t="s">
        <v>12</v>
      </c>
      <c r="G1284">
        <v>0.311</v>
      </c>
      <c r="K1284" t="s">
        <v>649</v>
      </c>
      <c r="L1284" t="s">
        <v>936</v>
      </c>
    </row>
    <row r="1285" spans="1:12" x14ac:dyDescent="0.25">
      <c r="A1285" t="s">
        <v>980</v>
      </c>
      <c r="B1285" t="s">
        <v>1176</v>
      </c>
      <c r="D1285" t="s">
        <v>844</v>
      </c>
      <c r="E1285" t="s">
        <v>709</v>
      </c>
      <c r="F1285" t="s">
        <v>12</v>
      </c>
      <c r="G1285">
        <v>0.374</v>
      </c>
      <c r="K1285" t="s">
        <v>649</v>
      </c>
      <c r="L1285" t="s">
        <v>936</v>
      </c>
    </row>
    <row r="1286" spans="1:12" x14ac:dyDescent="0.25">
      <c r="A1286" t="s">
        <v>980</v>
      </c>
      <c r="B1286" t="s">
        <v>1177</v>
      </c>
      <c r="D1286" t="s">
        <v>844</v>
      </c>
      <c r="E1286" t="s">
        <v>709</v>
      </c>
      <c r="F1286" t="s">
        <v>12</v>
      </c>
      <c r="G1286">
        <v>0.59</v>
      </c>
      <c r="K1286" t="s">
        <v>649</v>
      </c>
      <c r="L1286" t="s">
        <v>936</v>
      </c>
    </row>
    <row r="1287" spans="1:12" x14ac:dyDescent="0.25">
      <c r="A1287" t="s">
        <v>980</v>
      </c>
      <c r="B1287" t="s">
        <v>853</v>
      </c>
      <c r="D1287" t="s">
        <v>844</v>
      </c>
      <c r="E1287" t="s">
        <v>709</v>
      </c>
      <c r="F1287" t="s">
        <v>12</v>
      </c>
      <c r="G1287">
        <v>0.48099999999999998</v>
      </c>
      <c r="K1287" t="s">
        <v>649</v>
      </c>
      <c r="L1287" t="s">
        <v>936</v>
      </c>
    </row>
    <row r="1288" spans="1:12" x14ac:dyDescent="0.25">
      <c r="A1288" t="s">
        <v>980</v>
      </c>
      <c r="B1288" t="s">
        <v>407</v>
      </c>
      <c r="D1288" t="s">
        <v>844</v>
      </c>
      <c r="E1288" t="s">
        <v>709</v>
      </c>
      <c r="F1288" t="s">
        <v>12</v>
      </c>
      <c r="G1288">
        <v>0.55900000000000005</v>
      </c>
      <c r="K1288" t="s">
        <v>649</v>
      </c>
      <c r="L1288" t="s">
        <v>936</v>
      </c>
    </row>
    <row r="1289" spans="1:12" x14ac:dyDescent="0.25">
      <c r="A1289" t="s">
        <v>980</v>
      </c>
      <c r="B1289" t="s">
        <v>406</v>
      </c>
      <c r="D1289" t="s">
        <v>844</v>
      </c>
      <c r="E1289" t="s">
        <v>709</v>
      </c>
      <c r="F1289" t="s">
        <v>12</v>
      </c>
      <c r="G1289">
        <v>0.55900000000000005</v>
      </c>
      <c r="K1289" t="s">
        <v>649</v>
      </c>
      <c r="L1289" t="s">
        <v>936</v>
      </c>
    </row>
    <row r="1290" spans="1:12" x14ac:dyDescent="0.25">
      <c r="A1290" t="s">
        <v>980</v>
      </c>
      <c r="B1290" t="s">
        <v>1178</v>
      </c>
      <c r="D1290" t="s">
        <v>844</v>
      </c>
      <c r="E1290" t="s">
        <v>709</v>
      </c>
      <c r="F1290" t="s">
        <v>12</v>
      </c>
      <c r="G1290">
        <v>0.28100000000000003</v>
      </c>
      <c r="K1290" t="s">
        <v>649</v>
      </c>
      <c r="L1290" t="s">
        <v>936</v>
      </c>
    </row>
    <row r="1291" spans="1:12" x14ac:dyDescent="0.25">
      <c r="A1291" t="s">
        <v>980</v>
      </c>
      <c r="B1291" t="s">
        <v>1179</v>
      </c>
      <c r="D1291" t="s">
        <v>844</v>
      </c>
      <c r="E1291" t="s">
        <v>709</v>
      </c>
      <c r="F1291" t="s">
        <v>12</v>
      </c>
      <c r="G1291">
        <v>0.28100000000000003</v>
      </c>
      <c r="K1291" t="s">
        <v>649</v>
      </c>
      <c r="L1291" t="s">
        <v>936</v>
      </c>
    </row>
    <row r="1292" spans="1:12" x14ac:dyDescent="0.25">
      <c r="A1292" t="s">
        <v>980</v>
      </c>
      <c r="B1292" t="s">
        <v>1180</v>
      </c>
      <c r="D1292" t="s">
        <v>844</v>
      </c>
      <c r="E1292" t="s">
        <v>709</v>
      </c>
      <c r="F1292" t="s">
        <v>12</v>
      </c>
      <c r="G1292">
        <v>0.79800000000000004</v>
      </c>
      <c r="K1292" t="s">
        <v>649</v>
      </c>
      <c r="L1292" t="s">
        <v>936</v>
      </c>
    </row>
    <row r="1293" spans="1:12" x14ac:dyDescent="0.25">
      <c r="A1293" t="s">
        <v>980</v>
      </c>
      <c r="B1293" t="s">
        <v>1181</v>
      </c>
      <c r="D1293" t="s">
        <v>844</v>
      </c>
      <c r="E1293" t="s">
        <v>709</v>
      </c>
      <c r="F1293" t="s">
        <v>12</v>
      </c>
      <c r="G1293">
        <v>0.254</v>
      </c>
      <c r="K1293" t="s">
        <v>649</v>
      </c>
      <c r="L1293" t="s">
        <v>936</v>
      </c>
    </row>
    <row r="1294" spans="1:12" x14ac:dyDescent="0.25">
      <c r="A1294" t="s">
        <v>673</v>
      </c>
      <c r="B1294" t="s">
        <v>28</v>
      </c>
      <c r="D1294" t="s">
        <v>836</v>
      </c>
      <c r="E1294" t="s">
        <v>709</v>
      </c>
      <c r="F1294" t="s">
        <v>41</v>
      </c>
      <c r="G1294">
        <v>0.157</v>
      </c>
      <c r="K1294" t="s">
        <v>649</v>
      </c>
      <c r="L1294" t="s">
        <v>936</v>
      </c>
    </row>
    <row r="1295" spans="1:12" x14ac:dyDescent="0.25">
      <c r="A1295" t="s">
        <v>673</v>
      </c>
      <c r="B1295" t="s">
        <v>27</v>
      </c>
      <c r="D1295" t="s">
        <v>836</v>
      </c>
      <c r="E1295" t="s">
        <v>709</v>
      </c>
      <c r="F1295" t="s">
        <v>41</v>
      </c>
      <c r="G1295">
        <v>0.157</v>
      </c>
      <c r="K1295" t="s">
        <v>649</v>
      </c>
      <c r="L1295" t="s">
        <v>936</v>
      </c>
    </row>
    <row r="1296" spans="1:12" x14ac:dyDescent="0.25">
      <c r="A1296" t="s">
        <v>673</v>
      </c>
      <c r="B1296" t="s">
        <v>26</v>
      </c>
      <c r="D1296" t="s">
        <v>836</v>
      </c>
      <c r="E1296" t="s">
        <v>709</v>
      </c>
      <c r="F1296" t="s">
        <v>41</v>
      </c>
      <c r="G1296">
        <v>0.28599999999999998</v>
      </c>
      <c r="K1296" t="s">
        <v>649</v>
      </c>
      <c r="L1296" t="s">
        <v>936</v>
      </c>
    </row>
    <row r="1297" spans="1:12" x14ac:dyDescent="0.25">
      <c r="A1297" t="s">
        <v>673</v>
      </c>
      <c r="B1297" t="s">
        <v>21</v>
      </c>
      <c r="D1297" t="s">
        <v>836</v>
      </c>
      <c r="E1297" t="s">
        <v>709</v>
      </c>
      <c r="F1297" t="s">
        <v>41</v>
      </c>
      <c r="G1297">
        <v>0.09</v>
      </c>
      <c r="K1297" t="s">
        <v>649</v>
      </c>
      <c r="L1297" t="s">
        <v>936</v>
      </c>
    </row>
    <row r="1298" spans="1:12" x14ac:dyDescent="0.25">
      <c r="A1298" t="s">
        <v>1036</v>
      </c>
      <c r="B1298" t="s">
        <v>1037</v>
      </c>
      <c r="D1298" t="s">
        <v>839</v>
      </c>
      <c r="E1298" t="s">
        <v>705</v>
      </c>
      <c r="F1298" t="s">
        <v>12</v>
      </c>
      <c r="G1298">
        <v>0.21299999999999999</v>
      </c>
      <c r="K1298" t="s">
        <v>649</v>
      </c>
      <c r="L1298" t="s">
        <v>649</v>
      </c>
    </row>
    <row r="1299" spans="1:12" x14ac:dyDescent="0.25">
      <c r="A1299" t="s">
        <v>1036</v>
      </c>
      <c r="B1299" t="s">
        <v>846</v>
      </c>
      <c r="D1299" t="s">
        <v>839</v>
      </c>
      <c r="E1299" t="s">
        <v>705</v>
      </c>
      <c r="F1299" t="s">
        <v>12</v>
      </c>
      <c r="G1299">
        <v>0.16</v>
      </c>
      <c r="K1299" t="s">
        <v>649</v>
      </c>
      <c r="L1299" t="s">
        <v>649</v>
      </c>
    </row>
    <row r="1300" spans="1:12" x14ac:dyDescent="0.25">
      <c r="A1300" t="s">
        <v>1036</v>
      </c>
      <c r="B1300" t="s">
        <v>1038</v>
      </c>
      <c r="D1300" t="s">
        <v>839</v>
      </c>
      <c r="E1300" t="s">
        <v>705</v>
      </c>
      <c r="F1300" t="s">
        <v>12</v>
      </c>
      <c r="G1300">
        <v>0.20799999999999999</v>
      </c>
      <c r="K1300" t="s">
        <v>649</v>
      </c>
      <c r="L1300" t="s">
        <v>649</v>
      </c>
    </row>
    <row r="1301" spans="1:12" x14ac:dyDescent="0.25">
      <c r="A1301" t="s">
        <v>1036</v>
      </c>
      <c r="B1301" t="s">
        <v>1039</v>
      </c>
      <c r="D1301" t="s">
        <v>839</v>
      </c>
      <c r="E1301" t="s">
        <v>705</v>
      </c>
      <c r="F1301" t="s">
        <v>12</v>
      </c>
      <c r="G1301">
        <v>0.109</v>
      </c>
      <c r="K1301" t="s">
        <v>649</v>
      </c>
      <c r="L1301" t="s">
        <v>649</v>
      </c>
    </row>
    <row r="1302" spans="1:12" x14ac:dyDescent="0.25">
      <c r="A1302" t="s">
        <v>1036</v>
      </c>
      <c r="B1302" t="s">
        <v>1267</v>
      </c>
      <c r="D1302" t="s">
        <v>839</v>
      </c>
      <c r="E1302" t="s">
        <v>705</v>
      </c>
      <c r="F1302" t="s">
        <v>12</v>
      </c>
      <c r="G1302">
        <v>0.13100000000000001</v>
      </c>
      <c r="K1302" t="s">
        <v>649</v>
      </c>
      <c r="L1302" t="s">
        <v>649</v>
      </c>
    </row>
    <row r="1303" spans="1:12" x14ac:dyDescent="0.25">
      <c r="A1303" t="s">
        <v>1036</v>
      </c>
      <c r="B1303" t="s">
        <v>1268</v>
      </c>
      <c r="D1303" t="s">
        <v>839</v>
      </c>
      <c r="E1303" t="s">
        <v>705</v>
      </c>
      <c r="F1303" t="s">
        <v>12</v>
      </c>
      <c r="G1303">
        <v>0.106</v>
      </c>
      <c r="K1303" t="s">
        <v>649</v>
      </c>
      <c r="L1303" t="s">
        <v>649</v>
      </c>
    </row>
    <row r="1304" spans="1:12" x14ac:dyDescent="0.25">
      <c r="A1304" t="s">
        <v>1036</v>
      </c>
      <c r="B1304" t="s">
        <v>1269</v>
      </c>
      <c r="D1304" t="s">
        <v>839</v>
      </c>
      <c r="E1304" t="s">
        <v>705</v>
      </c>
      <c r="F1304" t="s">
        <v>12</v>
      </c>
      <c r="G1304">
        <v>0.17899999999999999</v>
      </c>
      <c r="K1304" t="s">
        <v>649</v>
      </c>
      <c r="L1304" t="s">
        <v>649</v>
      </c>
    </row>
    <row r="1305" spans="1:12" x14ac:dyDescent="0.25">
      <c r="A1305" t="s">
        <v>1036</v>
      </c>
      <c r="B1305" t="s">
        <v>1270</v>
      </c>
      <c r="D1305" t="s">
        <v>839</v>
      </c>
      <c r="E1305" t="s">
        <v>705</v>
      </c>
      <c r="F1305" t="s">
        <v>12</v>
      </c>
      <c r="G1305">
        <v>0.14399999999999999</v>
      </c>
      <c r="K1305" t="s">
        <v>649</v>
      </c>
      <c r="L1305" t="s">
        <v>649</v>
      </c>
    </row>
  </sheetData>
  <autoFilter ref="A1:L1305" xr:uid="{414CADCD-9F53-4517-8577-0F5843886CCD}">
    <sortState xmlns:xlrd2="http://schemas.microsoft.com/office/spreadsheetml/2017/richdata2" ref="A2:L1245">
      <sortCondition ref="A1:A1018"/>
    </sortState>
  </autoFilter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B3D39-FD87-40AB-BE4D-FD98980C5062}">
  <sheetPr filterMode="1"/>
  <dimension ref="A1:H23"/>
  <sheetViews>
    <sheetView workbookViewId="0">
      <selection activeCell="E34" sqref="E34"/>
    </sheetView>
  </sheetViews>
  <sheetFormatPr baseColWidth="10" defaultRowHeight="13.2" x14ac:dyDescent="0.25"/>
  <cols>
    <col min="1" max="1" width="24.21875" bestFit="1" customWidth="1"/>
    <col min="2" max="2" width="23.21875" bestFit="1" customWidth="1"/>
    <col min="3" max="3" width="20.77734375" bestFit="1" customWidth="1"/>
    <col min="4" max="4" width="18.21875" bestFit="1" customWidth="1"/>
    <col min="5" max="5" width="17.77734375" customWidth="1"/>
  </cols>
  <sheetData>
    <row r="1" spans="1:8" x14ac:dyDescent="0.25">
      <c r="A1" s="2" t="s">
        <v>683</v>
      </c>
      <c r="B1" s="2" t="s">
        <v>684</v>
      </c>
      <c r="C1" s="2" t="s">
        <v>685</v>
      </c>
      <c r="D1" s="2" t="s">
        <v>650</v>
      </c>
      <c r="E1" s="2" t="s">
        <v>686</v>
      </c>
      <c r="F1" s="2" t="s">
        <v>9</v>
      </c>
      <c r="G1" s="2" t="s">
        <v>704</v>
      </c>
    </row>
    <row r="2" spans="1:8" hidden="1" x14ac:dyDescent="0.25">
      <c r="A2" s="131" t="s">
        <v>660</v>
      </c>
      <c r="B2" s="130" t="s">
        <v>674</v>
      </c>
      <c r="C2">
        <v>8.5</v>
      </c>
      <c r="D2" t="s">
        <v>12</v>
      </c>
      <c r="E2" t="s">
        <v>936</v>
      </c>
      <c r="F2" t="s">
        <v>13</v>
      </c>
      <c r="G2" t="s">
        <v>709</v>
      </c>
    </row>
    <row r="3" spans="1:8" hidden="1" x14ac:dyDescent="0.25">
      <c r="A3" s="131" t="s">
        <v>660</v>
      </c>
      <c r="B3" s="130" t="s">
        <v>675</v>
      </c>
      <c r="C3">
        <v>10</v>
      </c>
      <c r="D3" t="s">
        <v>652</v>
      </c>
      <c r="E3" t="s">
        <v>936</v>
      </c>
      <c r="F3" t="s">
        <v>649</v>
      </c>
      <c r="G3" t="s">
        <v>709</v>
      </c>
    </row>
    <row r="4" spans="1:8" hidden="1" x14ac:dyDescent="0.25">
      <c r="A4" s="132" t="s">
        <v>661</v>
      </c>
      <c r="B4" s="130" t="s">
        <v>676</v>
      </c>
      <c r="C4">
        <v>2</v>
      </c>
      <c r="D4" t="s">
        <v>652</v>
      </c>
      <c r="E4" t="s">
        <v>936</v>
      </c>
      <c r="F4" t="s">
        <v>13</v>
      </c>
      <c r="G4" t="s">
        <v>709</v>
      </c>
    </row>
    <row r="5" spans="1:8" hidden="1" x14ac:dyDescent="0.25">
      <c r="A5" s="132" t="s">
        <v>661</v>
      </c>
      <c r="B5" s="130" t="s">
        <v>676</v>
      </c>
      <c r="C5">
        <v>2</v>
      </c>
      <c r="D5" t="s">
        <v>12</v>
      </c>
      <c r="E5" t="s">
        <v>936</v>
      </c>
      <c r="F5" t="s">
        <v>13</v>
      </c>
      <c r="G5" t="s">
        <v>709</v>
      </c>
    </row>
    <row r="6" spans="1:8" x14ac:dyDescent="0.25">
      <c r="A6" s="132" t="s">
        <v>669</v>
      </c>
      <c r="B6" s="130"/>
      <c r="C6">
        <v>0.1</v>
      </c>
      <c r="D6" t="s">
        <v>89</v>
      </c>
      <c r="E6" t="s">
        <v>688</v>
      </c>
      <c r="F6" t="s">
        <v>649</v>
      </c>
      <c r="G6" t="s">
        <v>709</v>
      </c>
    </row>
    <row r="7" spans="1:8" x14ac:dyDescent="0.25">
      <c r="A7" s="133" t="s">
        <v>671</v>
      </c>
      <c r="B7" s="130" t="s">
        <v>681</v>
      </c>
      <c r="C7">
        <v>0.3</v>
      </c>
      <c r="D7" t="s">
        <v>12</v>
      </c>
      <c r="E7" t="s">
        <v>688</v>
      </c>
      <c r="F7" t="s">
        <v>649</v>
      </c>
      <c r="G7" t="s">
        <v>709</v>
      </c>
    </row>
    <row r="8" spans="1:8" hidden="1" x14ac:dyDescent="0.25">
      <c r="A8" s="133" t="s">
        <v>937</v>
      </c>
      <c r="C8">
        <v>4</v>
      </c>
      <c r="D8" t="s">
        <v>12</v>
      </c>
      <c r="E8" t="s">
        <v>649</v>
      </c>
      <c r="F8" t="s">
        <v>649</v>
      </c>
      <c r="G8" t="s">
        <v>705</v>
      </c>
      <c r="H8" t="s">
        <v>1219</v>
      </c>
    </row>
    <row r="9" spans="1:8" x14ac:dyDescent="0.25">
      <c r="A9" s="133" t="s">
        <v>1191</v>
      </c>
      <c r="B9" s="130" t="s">
        <v>1192</v>
      </c>
      <c r="C9">
        <v>0.5</v>
      </c>
      <c r="D9" t="s">
        <v>357</v>
      </c>
      <c r="E9" t="s">
        <v>688</v>
      </c>
      <c r="F9" t="s">
        <v>649</v>
      </c>
      <c r="G9" t="s">
        <v>709</v>
      </c>
    </row>
    <row r="10" spans="1:8" x14ac:dyDescent="0.25">
      <c r="A10" s="133" t="s">
        <v>891</v>
      </c>
      <c r="B10" s="130" t="s">
        <v>677</v>
      </c>
      <c r="C10">
        <v>1</v>
      </c>
      <c r="D10" t="s">
        <v>12</v>
      </c>
      <c r="E10" t="s">
        <v>688</v>
      </c>
      <c r="F10" t="s">
        <v>649</v>
      </c>
      <c r="G10" t="s">
        <v>709</v>
      </c>
    </row>
    <row r="11" spans="1:8" hidden="1" x14ac:dyDescent="0.25">
      <c r="A11" s="133" t="s">
        <v>1201</v>
      </c>
      <c r="B11" s="130" t="s">
        <v>1207</v>
      </c>
      <c r="C11">
        <v>0.37</v>
      </c>
      <c r="D11" t="s">
        <v>12</v>
      </c>
      <c r="E11" t="s">
        <v>649</v>
      </c>
      <c r="F11" t="s">
        <v>13</v>
      </c>
      <c r="G11" t="s">
        <v>709</v>
      </c>
      <c r="H11" t="s">
        <v>1219</v>
      </c>
    </row>
    <row r="12" spans="1:8" hidden="1" x14ac:dyDescent="0.25">
      <c r="A12" s="133" t="s">
        <v>1202</v>
      </c>
      <c r="B12" s="130" t="s">
        <v>1208</v>
      </c>
      <c r="C12">
        <v>0.7</v>
      </c>
      <c r="D12" t="s">
        <v>652</v>
      </c>
      <c r="E12" t="s">
        <v>649</v>
      </c>
      <c r="F12" t="s">
        <v>649</v>
      </c>
      <c r="G12" t="s">
        <v>709</v>
      </c>
      <c r="H12" t="s">
        <v>1220</v>
      </c>
    </row>
    <row r="13" spans="1:8" hidden="1" x14ac:dyDescent="0.25">
      <c r="A13" s="133" t="s">
        <v>1203</v>
      </c>
      <c r="C13">
        <v>0.6</v>
      </c>
      <c r="D13" t="s">
        <v>12</v>
      </c>
      <c r="E13" t="s">
        <v>649</v>
      </c>
      <c r="F13" t="s">
        <v>649</v>
      </c>
      <c r="G13" t="s">
        <v>709</v>
      </c>
      <c r="H13" t="s">
        <v>1220</v>
      </c>
    </row>
    <row r="14" spans="1:8" hidden="1" x14ac:dyDescent="0.25">
      <c r="A14" s="133" t="s">
        <v>1204</v>
      </c>
      <c r="B14" s="130" t="s">
        <v>1209</v>
      </c>
      <c r="C14">
        <v>2</v>
      </c>
      <c r="D14" t="s">
        <v>652</v>
      </c>
      <c r="E14" t="s">
        <v>649</v>
      </c>
      <c r="F14" t="s">
        <v>649</v>
      </c>
      <c r="G14" t="s">
        <v>709</v>
      </c>
      <c r="H14" t="s">
        <v>1219</v>
      </c>
    </row>
    <row r="15" spans="1:8" hidden="1" x14ac:dyDescent="0.25">
      <c r="A15" s="133" t="s">
        <v>1205</v>
      </c>
      <c r="B15" s="130" t="s">
        <v>1210</v>
      </c>
      <c r="C15">
        <v>1</v>
      </c>
      <c r="D15" t="s">
        <v>652</v>
      </c>
      <c r="E15" t="s">
        <v>649</v>
      </c>
      <c r="F15" t="s">
        <v>649</v>
      </c>
      <c r="G15" t="s">
        <v>709</v>
      </c>
      <c r="H15" t="s">
        <v>1220</v>
      </c>
    </row>
    <row r="16" spans="1:8" hidden="1" x14ac:dyDescent="0.25">
      <c r="A16" s="133" t="s">
        <v>1206</v>
      </c>
      <c r="B16" s="130" t="s">
        <v>1211</v>
      </c>
      <c r="C16">
        <v>0.1</v>
      </c>
      <c r="D16" t="s">
        <v>652</v>
      </c>
      <c r="E16" t="s">
        <v>649</v>
      </c>
      <c r="F16" t="s">
        <v>649</v>
      </c>
      <c r="G16" t="s">
        <v>709</v>
      </c>
      <c r="H16" t="s">
        <v>1220</v>
      </c>
    </row>
    <row r="21" spans="1:6" ht="13.8" x14ac:dyDescent="0.25">
      <c r="A21" s="5" t="s">
        <v>692</v>
      </c>
    </row>
    <row r="22" spans="1:6" x14ac:dyDescent="0.25">
      <c r="A22" s="132" t="s">
        <v>664</v>
      </c>
      <c r="B22" s="130" t="s">
        <v>678</v>
      </c>
      <c r="C22">
        <v>3</v>
      </c>
      <c r="D22" t="s">
        <v>12</v>
      </c>
      <c r="E22" t="s">
        <v>13</v>
      </c>
      <c r="F22" t="s">
        <v>13</v>
      </c>
    </row>
    <row r="23" spans="1:6" x14ac:dyDescent="0.25">
      <c r="A23" s="132" t="s">
        <v>667</v>
      </c>
      <c r="B23" s="130" t="s">
        <v>682</v>
      </c>
      <c r="C23">
        <v>320</v>
      </c>
      <c r="D23" t="s">
        <v>687</v>
      </c>
      <c r="E23" t="s">
        <v>649</v>
      </c>
      <c r="F23" t="s">
        <v>649</v>
      </c>
    </row>
  </sheetData>
  <autoFilter ref="A1:G16" xr:uid="{95D7D8BE-451D-4C55-83AD-E2DA746784BD}">
    <filterColumn colId="4">
      <filters>
        <filter val="BIO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5F34C-F70F-49A2-A59A-872AFDE743CC}">
  <dimension ref="A1:M120"/>
  <sheetViews>
    <sheetView tabSelected="1" zoomScale="90" zoomScaleNormal="90" workbookViewId="0">
      <pane ySplit="1" topLeftCell="A2" activePane="bottomLeft" state="frozen"/>
      <selection pane="bottomLeft" activeCell="B10" sqref="B10"/>
    </sheetView>
  </sheetViews>
  <sheetFormatPr baseColWidth="10" defaultRowHeight="13.2" x14ac:dyDescent="0.25"/>
  <cols>
    <col min="1" max="1" width="45.77734375" bestFit="1" customWidth="1"/>
    <col min="2" max="2" width="17.77734375" bestFit="1" customWidth="1"/>
    <col min="4" max="4" width="20.5546875" customWidth="1"/>
    <col min="5" max="5" width="17.77734375" bestFit="1" customWidth="1"/>
    <col min="7" max="7" width="38.44140625" bestFit="1" customWidth="1"/>
    <col min="8" max="8" width="17.77734375" bestFit="1" customWidth="1"/>
    <col min="9" max="9" width="15.77734375" customWidth="1"/>
    <col min="10" max="10" width="23.21875" customWidth="1"/>
    <col min="11" max="12" width="29" customWidth="1"/>
    <col min="13" max="13" width="17.77734375" bestFit="1" customWidth="1"/>
  </cols>
  <sheetData>
    <row r="1" spans="1:11" ht="15.6" x14ac:dyDescent="0.3">
      <c r="A1" s="162" t="s">
        <v>689</v>
      </c>
      <c r="B1" s="162"/>
      <c r="C1" s="142"/>
      <c r="D1" s="162" t="s">
        <v>690</v>
      </c>
      <c r="E1" s="162"/>
      <c r="F1" s="142"/>
      <c r="G1" s="143" t="s">
        <v>696</v>
      </c>
    </row>
    <row r="2" spans="1:11" ht="15.6" x14ac:dyDescent="0.3">
      <c r="A2" s="141"/>
      <c r="B2" s="141"/>
      <c r="D2" s="141"/>
      <c r="E2" s="141"/>
      <c r="G2" s="1"/>
    </row>
    <row r="3" spans="1:11" ht="15.6" x14ac:dyDescent="0.3">
      <c r="A3" s="25" t="s">
        <v>703</v>
      </c>
      <c r="B3" s="25"/>
      <c r="C3" s="13"/>
      <c r="D3" s="25" t="s">
        <v>703</v>
      </c>
      <c r="E3" s="22"/>
      <c r="G3" s="20" t="s">
        <v>703</v>
      </c>
      <c r="J3" t="s">
        <v>830</v>
      </c>
    </row>
    <row r="4" spans="1:11" ht="15.6" x14ac:dyDescent="0.3">
      <c r="A4" s="23" t="s">
        <v>1190</v>
      </c>
      <c r="B4" s="24"/>
      <c r="D4" s="23" t="s">
        <v>1190</v>
      </c>
      <c r="E4" s="24"/>
      <c r="G4" s="23" t="s">
        <v>1190</v>
      </c>
      <c r="H4" s="24"/>
      <c r="I4" s="55"/>
      <c r="J4" s="55" t="s">
        <v>829</v>
      </c>
      <c r="K4" s="55" t="s">
        <v>831</v>
      </c>
    </row>
    <row r="5" spans="1:11" x14ac:dyDescent="0.25">
      <c r="A5" s="2" t="s">
        <v>650</v>
      </c>
      <c r="B5" s="2" t="s">
        <v>655</v>
      </c>
      <c r="D5" s="2" t="s">
        <v>650</v>
      </c>
      <c r="E5" s="2" t="s">
        <v>655</v>
      </c>
      <c r="G5" s="2" t="s">
        <v>650</v>
      </c>
      <c r="H5" s="2" t="s">
        <v>655</v>
      </c>
      <c r="I5" s="112" t="s">
        <v>827</v>
      </c>
      <c r="J5" s="113" t="e">
        <f ca="1">H14</f>
        <v>#VALUE!</v>
      </c>
      <c r="K5" s="113" t="e">
        <f ca="1">J5-H12</f>
        <v>#VALUE!</v>
      </c>
    </row>
    <row r="6" spans="1:11" x14ac:dyDescent="0.25">
      <c r="A6" t="s">
        <v>652</v>
      </c>
      <c r="B6" s="15" t="e" cm="1">
        <f t="array" aca="1" ref="B6" ca="1">SUMIFS(Surface,Type_prod,"Cultures fruitieres",Certifcation,"AR",Province,"Sud")</f>
        <v>#VALUE!</v>
      </c>
      <c r="D6" t="s">
        <v>652</v>
      </c>
      <c r="E6" s="26">
        <f>SUMIFS('Exploitation non cartographiées'!C$2:C$16,'Exploitation non cartographiées'!D$2:D$16,"Cultures fruitières",'Exploitation non cartographiées'!E$2:E$16,"AR",'Exploitation non cartographiées'!G$2:G$16,"Sud")</f>
        <v>12</v>
      </c>
      <c r="G6" t="s">
        <v>652</v>
      </c>
      <c r="H6" s="15" t="e">
        <f ca="1">B6+E6</f>
        <v>#VALUE!</v>
      </c>
      <c r="I6" s="112" t="s">
        <v>828</v>
      </c>
      <c r="J6" s="55" t="e">
        <f ca="1">H58</f>
        <v>#VALUE!</v>
      </c>
      <c r="K6" s="114" t="e">
        <f ca="1">J6-H56</f>
        <v>#VALUE!</v>
      </c>
    </row>
    <row r="7" spans="1:11" x14ac:dyDescent="0.25">
      <c r="A7" t="s">
        <v>706</v>
      </c>
      <c r="B7" s="15" t="e" cm="1">
        <f t="array" aca="1" ref="B7" ca="1">SUMIFS(Surface,Type_prod,"Cereales",Certifcation,"AR",Province,"Sud")</f>
        <v>#VALUE!</v>
      </c>
      <c r="D7" t="s">
        <v>706</v>
      </c>
      <c r="E7" s="26">
        <f>SUMIFS('Exploitation non cartographiées'!C$2:C$16,'Exploitation non cartographiées'!D$2:D$16,"Céréales",'Exploitation non cartographiées'!E$2:E$16,"AR",'Exploitation non cartographiées'!G$2:G$16,"Sud")</f>
        <v>0</v>
      </c>
      <c r="G7" t="s">
        <v>706</v>
      </c>
      <c r="H7" s="15" t="e">
        <f t="shared" ref="H7:H9" ca="1" si="0">B7+E7</f>
        <v>#VALUE!</v>
      </c>
      <c r="I7" s="115" t="s">
        <v>695</v>
      </c>
      <c r="J7" s="116" t="e">
        <f ca="1">SUM(J5:J6)</f>
        <v>#VALUE!</v>
      </c>
      <c r="K7" s="116" t="e">
        <f ca="1">SUM(K5:K6)</f>
        <v>#VALUE!</v>
      </c>
    </row>
    <row r="8" spans="1:11" x14ac:dyDescent="0.25">
      <c r="A8" t="s">
        <v>653</v>
      </c>
      <c r="B8" s="15" t="e" cm="1">
        <f t="array" aca="1" ref="B8" ca="1">SUMIFS(Surface,Type_prod,"Maraichage",Certifcation,"AR",Province,"Sud",HS,"NON")</f>
        <v>#VALUE!</v>
      </c>
      <c r="D8" t="s">
        <v>653</v>
      </c>
      <c r="E8" s="26">
        <f>SUMIFS('Exploitation non cartographiées'!C$2:C$16,'Exploitation non cartographiées'!D$2:D$16,"Maraichage",'Exploitation non cartographiées'!E$2:E$16,"AR",'Exploitation non cartographiées'!F$2:F$16,"NON",'Exploitation non cartographiées'!G$2:G$16,"Sud")</f>
        <v>0</v>
      </c>
      <c r="G8" t="s">
        <v>653</v>
      </c>
      <c r="H8" s="15" t="e">
        <f ca="1">B8+E8</f>
        <v>#VALUE!</v>
      </c>
    </row>
    <row r="9" spans="1:11" x14ac:dyDescent="0.25">
      <c r="A9" t="s">
        <v>654</v>
      </c>
      <c r="B9" s="15" t="e" cm="1">
        <f t="array" aca="1" ref="B9" ca="1">SUMIFS(Surface,Type_prod,"Maraichage",Certifcation,"AR",Province,"Sud",HS,"OUI")</f>
        <v>#VALUE!</v>
      </c>
      <c r="D9" t="s">
        <v>654</v>
      </c>
      <c r="E9" s="26">
        <f>SUMIFS('Exploitation non cartographiées'!C$2:C$16,'Exploitation non cartographiées'!D$2:D$16,"Maraichage",'Exploitation non cartographiées'!E$2:E$16,"AR",'Exploitation non cartographiées'!F$2:F$16,"OUI",'Exploitation non cartographiées'!G$2:G$16,"Sud")</f>
        <v>10.5</v>
      </c>
      <c r="G9" t="s">
        <v>654</v>
      </c>
      <c r="H9" s="15" t="e">
        <f t="shared" ca="1" si="0"/>
        <v>#VALUE!</v>
      </c>
      <c r="I9" t="s">
        <v>833</v>
      </c>
      <c r="J9" s="68" t="e">
        <f ca="1">Graphiques_V10!G14</f>
        <v>#VALUE!</v>
      </c>
      <c r="K9" s="117" t="e">
        <f ca="1">K7/J9</f>
        <v>#VALUE!</v>
      </c>
    </row>
    <row r="10" spans="1:11" x14ac:dyDescent="0.25">
      <c r="A10" t="s">
        <v>89</v>
      </c>
      <c r="B10" s="15" t="e" cm="1">
        <f t="array" aca="1" ref="B10" ca="1">SUMIFS(Surface,Type_prod,"Tubercules tropicaux",Certifcation,"AR",Province,"Sud")</f>
        <v>#VALUE!</v>
      </c>
      <c r="D10" t="s">
        <v>89</v>
      </c>
      <c r="E10" s="26">
        <f>SUMIFS('Exploitation non cartographiées'!C$2:C$16,'Exploitation non cartographiées'!D$2:D$16,"Tubercules tropicaux",'Exploitation non cartographiées'!E$2:E$16,"AR",'Exploitation non cartographiées'!G$2:G$16,"Sud")</f>
        <v>0</v>
      </c>
      <c r="G10" t="s">
        <v>89</v>
      </c>
      <c r="H10" s="15" t="e">
        <f ca="1">B10+E10</f>
        <v>#VALUE!</v>
      </c>
      <c r="I10" t="s">
        <v>832</v>
      </c>
      <c r="J10" s="68">
        <f>Graphiques_V10!E14</f>
        <v>6112.4000000000005</v>
      </c>
      <c r="K10" s="117" t="e">
        <f ca="1">K7/J10</f>
        <v>#VALUE!</v>
      </c>
    </row>
    <row r="11" spans="1:11" x14ac:dyDescent="0.25">
      <c r="A11" t="s">
        <v>41</v>
      </c>
      <c r="B11" s="15" t="e" cm="1">
        <f t="array" aca="1" ref="B11" ca="1">SUMIFS(Surface,Type_prod,"Horticulture",Certifcation,"AR",Province,"Sud")</f>
        <v>#VALUE!</v>
      </c>
      <c r="D11" t="s">
        <v>41</v>
      </c>
      <c r="E11" s="26">
        <f>SUMIFS('Exploitation non cartographiées'!C$2:C$16,'Exploitation non cartographiées'!D$2:D$16,"Horticulture",'Exploitation non cartographiées'!E$2:E$16,"AR",'Exploitation non cartographiées'!G$2:G$16,"Sud")</f>
        <v>0</v>
      </c>
      <c r="G11" t="s">
        <v>41</v>
      </c>
      <c r="H11" s="15" t="e">
        <f ca="1">B11+E11</f>
        <v>#VALUE!</v>
      </c>
    </row>
    <row r="12" spans="1:11" x14ac:dyDescent="0.25">
      <c r="A12" t="s">
        <v>707</v>
      </c>
      <c r="B12" s="15" t="e" cm="1">
        <f t="array" aca="1" ref="B12" ca="1">SUMIFS(Surface,Type_prod,"Prairies et paturages",Certifcation,"AR",Province,"Sud")</f>
        <v>#VALUE!</v>
      </c>
      <c r="D12" t="s">
        <v>707</v>
      </c>
      <c r="E12" s="26">
        <f>SUMIFS('Exploitation non cartographiées'!C$2:C$16,'Exploitation non cartographiées'!D$2:D$16,"Prairies et pâturages",'Exploitation non cartographiées'!E$2:E$16,"AR",'Exploitation non cartographiées'!G$2:G$16,"Sud")</f>
        <v>0</v>
      </c>
      <c r="G12" t="s">
        <v>707</v>
      </c>
      <c r="H12" s="15" t="e">
        <f ca="1">E12+B12</f>
        <v>#VALUE!</v>
      </c>
    </row>
    <row r="13" spans="1:11" x14ac:dyDescent="0.25">
      <c r="A13" t="s">
        <v>357</v>
      </c>
      <c r="B13" s="15" t="e" cm="1">
        <f t="array" aca="1" ref="B13" ca="1">SUMIFS(Surface,Type_prod,"Autres",Certifcation,"AR",Province,"Sud")</f>
        <v>#VALUE!</v>
      </c>
      <c r="D13" t="s">
        <v>357</v>
      </c>
      <c r="E13" s="26">
        <f>SUMIFS('Exploitation non cartographiées'!C$2:C$16,'Exploitation non cartographiées'!D$2:D$16,"Autres",'Exploitation non cartographiées'!E$2:E$16,"AR",'Exploitation non cartographiées'!G$2:G$16,"Sud")</f>
        <v>0</v>
      </c>
      <c r="G13" t="s">
        <v>357</v>
      </c>
      <c r="H13" s="15" t="e">
        <f ca="1">B13+E13</f>
        <v>#VALUE!</v>
      </c>
    </row>
    <row r="14" spans="1:11" ht="13.8" x14ac:dyDescent="0.25">
      <c r="A14" s="5" t="s">
        <v>656</v>
      </c>
      <c r="B14" s="16" t="e">
        <f ca="1">SUM(B6:B13)</f>
        <v>#VALUE!</v>
      </c>
      <c r="D14" s="5" t="s">
        <v>656</v>
      </c>
      <c r="E14" s="27">
        <f>SUM(E6:E13)</f>
        <v>22.5</v>
      </c>
      <c r="G14" s="5" t="s">
        <v>656</v>
      </c>
      <c r="H14" s="16" t="e">
        <f ca="1">SUM(H6:H13)</f>
        <v>#VALUE!</v>
      </c>
    </row>
    <row r="15" spans="1:11" x14ac:dyDescent="0.25">
      <c r="A15" t="s">
        <v>658</v>
      </c>
      <c r="B15" s="4">
        <v>31</v>
      </c>
      <c r="D15" t="s">
        <v>694</v>
      </c>
      <c r="E15" s="28">
        <v>3</v>
      </c>
      <c r="G15" t="s">
        <v>697</v>
      </c>
      <c r="H15" s="15">
        <f>B15+E15</f>
        <v>34</v>
      </c>
    </row>
    <row r="16" spans="1:11" x14ac:dyDescent="0.25">
      <c r="B16" s="4"/>
      <c r="E16" s="28"/>
      <c r="H16" s="15"/>
    </row>
    <row r="17" spans="1:10" x14ac:dyDescent="0.25">
      <c r="B17" s="4"/>
      <c r="E17" s="28"/>
      <c r="H17" s="15"/>
    </row>
    <row r="18" spans="1:10" ht="15.6" x14ac:dyDescent="0.3">
      <c r="A18" s="23" t="s">
        <v>1212</v>
      </c>
      <c r="B18" s="23"/>
      <c r="D18" s="163" t="s">
        <v>1212</v>
      </c>
      <c r="E18" s="163"/>
      <c r="G18" s="163" t="s">
        <v>1212</v>
      </c>
      <c r="H18" s="163"/>
    </row>
    <row r="19" spans="1:10" x14ac:dyDescent="0.25">
      <c r="A19" s="2" t="s">
        <v>650</v>
      </c>
      <c r="B19" s="128" t="s">
        <v>655</v>
      </c>
      <c r="D19" s="2" t="s">
        <v>650</v>
      </c>
      <c r="E19" s="128" t="s">
        <v>655</v>
      </c>
      <c r="G19" s="2" t="s">
        <v>650</v>
      </c>
      <c r="H19" s="128" t="s">
        <v>655</v>
      </c>
    </row>
    <row r="20" spans="1:10" x14ac:dyDescent="0.25">
      <c r="A20" t="s">
        <v>652</v>
      </c>
      <c r="B20" s="15" t="e" cm="1">
        <f t="array" aca="1" ref="B20" ca="1">SUMIFS(Surface,Type_prod,"Cultures fruitieres",Certifcation,"BIO",Province,"Sud")</f>
        <v>#VALUE!</v>
      </c>
      <c r="D20" t="s">
        <v>652</v>
      </c>
      <c r="E20" s="26">
        <f>SUMIFS('Exploitation non cartographiées'!C$2:C$16,'Exploitation non cartographiées'!D$2:D$16,"Cultures fruitières",'Exploitation non cartographiées'!E$2:E$16,"BIO",'Exploitation non cartographiées'!G$2:G$16,"Sud")</f>
        <v>0</v>
      </c>
      <c r="G20" t="s">
        <v>652</v>
      </c>
      <c r="H20" s="26" t="e">
        <f t="shared" ref="H20:H27" ca="1" si="1">E20+B20</f>
        <v>#VALUE!</v>
      </c>
    </row>
    <row r="21" spans="1:10" x14ac:dyDescent="0.25">
      <c r="A21" t="s">
        <v>706</v>
      </c>
      <c r="B21" s="15" t="e" cm="1">
        <f t="array" aca="1" ref="B21" ca="1">SUMIFS(Surface,Type_prod,"Cereales",Certifcation,"BIO",Province,"Sud")</f>
        <v>#VALUE!</v>
      </c>
      <c r="D21" t="s">
        <v>706</v>
      </c>
      <c r="E21" s="26">
        <f>SUMIFS('Exploitation non cartographiées'!C$2:C$16,'Exploitation non cartographiées'!D$2:D$16,"Céréales",'Exploitation non cartographiées'!E$2:E$16,"BIO",'Exploitation non cartographiées'!G$2:G$16,"Sud")</f>
        <v>0</v>
      </c>
      <c r="G21" t="s">
        <v>706</v>
      </c>
      <c r="H21" s="26" t="e">
        <f t="shared" ca="1" si="1"/>
        <v>#VALUE!</v>
      </c>
    </row>
    <row r="22" spans="1:10" x14ac:dyDescent="0.25">
      <c r="A22" t="s">
        <v>653</v>
      </c>
      <c r="B22" s="15" t="e" cm="1">
        <f t="array" aca="1" ref="B22" ca="1">SUMIFS(Surface,Type_prod,"Maraichage",Certifcation,"BIO",Province,"Sud",HS,"NON")</f>
        <v>#VALUE!</v>
      </c>
      <c r="D22" t="s">
        <v>653</v>
      </c>
      <c r="E22" s="26">
        <f>SUMIFS('Exploitation non cartographiées'!C$2:C$16,'Exploitation non cartographiées'!D$2:D$16,"Maraichage",'Exploitation non cartographiées'!E$2:E$16,"BIO",'Exploitation non cartographiées'!F$2:F$16,"NON",'Exploitation non cartographiées'!G$2:G$16,"Sud")</f>
        <v>1.3</v>
      </c>
      <c r="G22" t="s">
        <v>653</v>
      </c>
      <c r="H22" s="26" t="e">
        <f t="shared" ca="1" si="1"/>
        <v>#VALUE!</v>
      </c>
    </row>
    <row r="23" spans="1:10" x14ac:dyDescent="0.25">
      <c r="A23" t="s">
        <v>654</v>
      </c>
      <c r="B23" s="15" t="e" cm="1">
        <f t="array" aca="1" ref="B23" ca="1">SUMIFS(Surface,Type_prod,"Maraichage",Certifcation,"BIO",Province,"Sud",HS,"OUI")</f>
        <v>#VALUE!</v>
      </c>
      <c r="D23" t="s">
        <v>654</v>
      </c>
      <c r="E23" s="26">
        <f>SUMIFS('Exploitation non cartographiées'!C$2:C$16,'Exploitation non cartographiées'!D$2:D$16,"Maraichage",'Exploitation non cartographiées'!E$2:E$16,"BIO",'Exploitation non cartographiées'!F$2:F$16,"OUI",'Exploitation non cartographiées'!G$2:G$16,"Sud")</f>
        <v>0</v>
      </c>
      <c r="G23" t="s">
        <v>654</v>
      </c>
      <c r="H23" s="26" t="e">
        <f t="shared" ca="1" si="1"/>
        <v>#VALUE!</v>
      </c>
    </row>
    <row r="24" spans="1:10" x14ac:dyDescent="0.25">
      <c r="A24" t="s">
        <v>89</v>
      </c>
      <c r="B24" s="15" t="e" cm="1">
        <f t="array" aca="1" ref="B24" ca="1">SUMIFS(Surface,Type_prod,"Tubercules tropicaux",Certifcation,"BIO",Province,"Sud")</f>
        <v>#VALUE!</v>
      </c>
      <c r="D24" t="s">
        <v>89</v>
      </c>
      <c r="E24" s="26">
        <f>SUMIFS('Exploitation non cartographiées'!C$2:C$16,'Exploitation non cartographiées'!D$2:D$16,"Tubercules tropicaux",'Exploitation non cartographiées'!E$2:E$16,"BIO",'Exploitation non cartographiées'!G$2:G$16,"Sud")</f>
        <v>0.1</v>
      </c>
      <c r="G24" t="s">
        <v>89</v>
      </c>
      <c r="H24" s="26" t="e">
        <f t="shared" ca="1" si="1"/>
        <v>#VALUE!</v>
      </c>
      <c r="J24" s="21"/>
    </row>
    <row r="25" spans="1:10" x14ac:dyDescent="0.25">
      <c r="A25" t="s">
        <v>41</v>
      </c>
      <c r="B25" s="15" t="e" cm="1">
        <f t="array" aca="1" ref="B25" ca="1">SUMIFS(Surface,Type_prod,"Horticulture",Certifcation,"BIO",Province,"Sud")</f>
        <v>#VALUE!</v>
      </c>
      <c r="D25" t="s">
        <v>41</v>
      </c>
      <c r="E25" s="26">
        <f>SUMIFS('Exploitation non cartographiées'!C$2:C$16,'Exploitation non cartographiées'!D$2:D$16,"Horticulture",'Exploitation non cartographiées'!E$2:E$16,"BIO",'Exploitation non cartographiées'!G$2:G$16,"Sud")</f>
        <v>0</v>
      </c>
      <c r="G25" t="s">
        <v>41</v>
      </c>
      <c r="H25" s="26" t="e">
        <f t="shared" ca="1" si="1"/>
        <v>#VALUE!</v>
      </c>
    </row>
    <row r="26" spans="1:10" x14ac:dyDescent="0.25">
      <c r="A26" t="s">
        <v>707</v>
      </c>
      <c r="B26" s="15" t="e" cm="1">
        <f t="array" aca="1" ref="B26" ca="1">SUMIFS(Surface,Type_prod,"Prairies et paturages",Certifcation,"BIO",Province,"Sud")</f>
        <v>#VALUE!</v>
      </c>
      <c r="D26" t="s">
        <v>707</v>
      </c>
      <c r="E26" s="26">
        <f>SUMIFS('Exploitation non cartographiées'!C$2:C$16,'Exploitation non cartographiées'!D$2:D$16,"Prairies et pâturages",'Exploitation non cartographiées'!E$2:E$16,"BIO",'Exploitation non cartographiées'!G$2:G$16,"Sud")</f>
        <v>0</v>
      </c>
      <c r="G26" t="s">
        <v>707</v>
      </c>
      <c r="H26" s="26" t="e">
        <f t="shared" ca="1" si="1"/>
        <v>#VALUE!</v>
      </c>
    </row>
    <row r="27" spans="1:10" x14ac:dyDescent="0.25">
      <c r="A27" t="s">
        <v>357</v>
      </c>
      <c r="B27" s="15" t="e" cm="1">
        <f t="array" aca="1" ref="B27" ca="1">SUMIFS(Surface,Type_prod,"Autres",Certifcation,"BIO",Province,"Sud")</f>
        <v>#VALUE!</v>
      </c>
      <c r="D27" t="s">
        <v>357</v>
      </c>
      <c r="E27" s="26">
        <f>SUMIFS('Exploitation non cartographiées'!C$2:C$16,'Exploitation non cartographiées'!D$2:D$16,"Autres",'Exploitation non cartographiées'!E$2:E$16,"BIO",'Exploitation non cartographiées'!G$2:G$16,"Sud")</f>
        <v>0.5</v>
      </c>
      <c r="G27" t="s">
        <v>357</v>
      </c>
      <c r="H27" s="26" t="e">
        <f t="shared" ca="1" si="1"/>
        <v>#VALUE!</v>
      </c>
    </row>
    <row r="28" spans="1:10" ht="13.8" x14ac:dyDescent="0.25">
      <c r="A28" s="5" t="s">
        <v>656</v>
      </c>
      <c r="B28" s="15" t="e">
        <f ca="1">SUM(B20:B27)</f>
        <v>#VALUE!</v>
      </c>
      <c r="D28" s="5" t="s">
        <v>656</v>
      </c>
      <c r="E28" s="26">
        <f>SUM(E20:E27)</f>
        <v>1.9000000000000001</v>
      </c>
      <c r="G28" s="5" t="s">
        <v>656</v>
      </c>
      <c r="H28" s="26" t="e">
        <f ca="1">SUM(H20:H27)</f>
        <v>#VALUE!</v>
      </c>
    </row>
    <row r="29" spans="1:10" x14ac:dyDescent="0.25">
      <c r="A29" t="s">
        <v>658</v>
      </c>
      <c r="B29" s="4">
        <v>5</v>
      </c>
      <c r="D29" t="s">
        <v>1213</v>
      </c>
      <c r="E29" s="4">
        <v>3</v>
      </c>
      <c r="G29" t="s">
        <v>1213</v>
      </c>
      <c r="H29" s="4">
        <f>E29+B29</f>
        <v>8</v>
      </c>
    </row>
    <row r="30" spans="1:10" x14ac:dyDescent="0.25">
      <c r="B30" s="4"/>
      <c r="E30" s="28"/>
      <c r="H30" s="15"/>
    </row>
    <row r="32" spans="1:10" ht="15.6" x14ac:dyDescent="0.3">
      <c r="A32" s="23" t="s">
        <v>657</v>
      </c>
      <c r="B32" s="23"/>
      <c r="D32" s="23" t="s">
        <v>657</v>
      </c>
      <c r="E32" s="24"/>
      <c r="G32" s="23" t="s">
        <v>657</v>
      </c>
      <c r="H32" s="23"/>
    </row>
    <row r="33" spans="1:10" x14ac:dyDescent="0.25">
      <c r="A33" s="2" t="s">
        <v>650</v>
      </c>
      <c r="B33" s="2" t="s">
        <v>655</v>
      </c>
      <c r="D33" s="2" t="s">
        <v>650</v>
      </c>
      <c r="E33" s="2" t="s">
        <v>655</v>
      </c>
      <c r="G33" s="2" t="s">
        <v>650</v>
      </c>
      <c r="H33" s="2" t="s">
        <v>655</v>
      </c>
    </row>
    <row r="34" spans="1:10" x14ac:dyDescent="0.25">
      <c r="A34" s="13" t="s">
        <v>652</v>
      </c>
      <c r="B34" s="15" t="e" cm="1">
        <f t="array" aca="1" ref="B34" ca="1">SUMIFS(Surface,Type_prod,"Cultures fruitieres",Certifcation,"NON",Province,"Sud")</f>
        <v>#VALUE!</v>
      </c>
      <c r="D34" t="s">
        <v>652</v>
      </c>
      <c r="E34" s="26">
        <f>SUMIFS('Exploitation non cartographiées'!C$2:C$16,'Exploitation non cartographiées'!D$2:D$16,"Cultures fruitières",'Exploitation non cartographiées'!E$2:E$16,"NON",'Exploitation non cartographiées'!G2:G16,"Sud")</f>
        <v>3.8000000000000003</v>
      </c>
      <c r="G34" s="13" t="s">
        <v>652</v>
      </c>
      <c r="H34" s="26" t="e">
        <f t="shared" ref="H34:H41" ca="1" si="2">B34+E34</f>
        <v>#VALUE!</v>
      </c>
    </row>
    <row r="35" spans="1:10" x14ac:dyDescent="0.25">
      <c r="A35" s="13" t="s">
        <v>706</v>
      </c>
      <c r="B35" s="15" t="e" cm="1">
        <f t="array" aca="1" ref="B35" ca="1">SUMIFS(Surface,Type_prod,"Cereales",Certifcation,"NON",Province,"Sud")</f>
        <v>#VALUE!</v>
      </c>
      <c r="D35" t="s">
        <v>706</v>
      </c>
      <c r="E35" s="26">
        <f>SUMIFS('Exploitation non cartographiées'!C$2:C$16,'Exploitation non cartographiées'!D$2:D$16,"Céréales",'Exploitation non cartographiées'!E$2:E$16,"NON",'Exploitation non cartographiées'!G2:G16,"Sud")</f>
        <v>0</v>
      </c>
      <c r="F35" t="s">
        <v>712</v>
      </c>
      <c r="G35" s="13" t="s">
        <v>706</v>
      </c>
      <c r="H35" s="26" t="e">
        <f t="shared" ca="1" si="2"/>
        <v>#VALUE!</v>
      </c>
    </row>
    <row r="36" spans="1:10" x14ac:dyDescent="0.25">
      <c r="A36" s="13" t="s">
        <v>653</v>
      </c>
      <c r="B36" s="15" t="e" cm="1">
        <f t="array" aca="1" ref="B36" ca="1">SUMIFS(Surface,Type_prod,"Maraichage",Certifcation,"NON",Province,"Sud",HS,"NON")</f>
        <v>#VALUE!</v>
      </c>
      <c r="D36" t="s">
        <v>653</v>
      </c>
      <c r="E36" s="26">
        <f>SUMIFS('Exploitation non cartographiées'!C$2:C$16,'Exploitation non cartographiées'!D$2:D$16,"Maraichage",'Exploitation non cartographiées'!E$2:E$16,"NON",'Exploitation non cartographiées'!F2:F16,"NON",'Exploitation non cartographiées'!G2:G16,"Sud")</f>
        <v>0.6</v>
      </c>
      <c r="G36" s="13" t="s">
        <v>653</v>
      </c>
      <c r="H36" s="26" t="e">
        <f t="shared" ca="1" si="2"/>
        <v>#VALUE!</v>
      </c>
    </row>
    <row r="37" spans="1:10" x14ac:dyDescent="0.25">
      <c r="A37" s="13" t="s">
        <v>654</v>
      </c>
      <c r="B37" s="15" t="e" cm="1">
        <f t="array" aca="1" ref="B37" ca="1">SUMIFS(Surface,Type_prod,"Maraichage",Certifcation,"NON",Province,"Sud",HS,"OUI")</f>
        <v>#VALUE!</v>
      </c>
      <c r="D37" t="s">
        <v>654</v>
      </c>
      <c r="E37" s="26">
        <f>SUMIFS('Exploitation non cartographiées'!C$2:C$16,'Exploitation non cartographiées'!D$2:D$16,"Maraichage",'Exploitation non cartographiées'!E$2:E$16,"NON",'Exploitation non cartographiées'!F2:F16,"OUI",'Exploitation non cartographiées'!G2:G16,"Sud")</f>
        <v>0.37</v>
      </c>
      <c r="G37" s="13" t="s">
        <v>654</v>
      </c>
      <c r="H37" s="26" t="e">
        <f t="shared" ca="1" si="2"/>
        <v>#VALUE!</v>
      </c>
    </row>
    <row r="38" spans="1:10" x14ac:dyDescent="0.25">
      <c r="A38" s="13" t="s">
        <v>89</v>
      </c>
      <c r="B38" s="15" t="e" cm="1">
        <f t="array" aca="1" ref="B38" ca="1">SUMIFS(Surface,Type_prod,"Tubercules tropicaux",Certifcation,"NON",Province,"Sud")</f>
        <v>#VALUE!</v>
      </c>
      <c r="D38" t="s">
        <v>89</v>
      </c>
      <c r="E38" s="26">
        <f>SUMIFS('Exploitation non cartographiées'!C$2:C$16,'Exploitation non cartographiées'!D$2:D$16,"Tubercules tropicaux",'Exploitation non cartographiées'!E$2:E$16,"NON",'Exploitation non cartographiées'!G2:G16,"Sud")</f>
        <v>0</v>
      </c>
      <c r="G38" s="13" t="s">
        <v>89</v>
      </c>
      <c r="H38" s="26" t="e">
        <f t="shared" ca="1" si="2"/>
        <v>#VALUE!</v>
      </c>
    </row>
    <row r="39" spans="1:10" x14ac:dyDescent="0.25">
      <c r="A39" s="13" t="s">
        <v>41</v>
      </c>
      <c r="B39" s="15" t="e" cm="1">
        <f t="array" aca="1" ref="B39" ca="1">SUMIFS(Surface,Type_prod,"Horticulture",Certifcation,"NON",Province,"Sud")</f>
        <v>#VALUE!</v>
      </c>
      <c r="D39" t="s">
        <v>41</v>
      </c>
      <c r="E39" s="26">
        <f>SUMIFS('Exploitation non cartographiées'!C$2:C$16,'Exploitation non cartographiées'!D$2:D$16,"Horticulture",'Exploitation non cartographiées'!E$2:E$16,"NON",'Exploitation non cartographiées'!G2:G16,"Sud")</f>
        <v>0</v>
      </c>
      <c r="G39" t="s">
        <v>41</v>
      </c>
      <c r="H39" s="26" t="e">
        <f t="shared" ca="1" si="2"/>
        <v>#VALUE!</v>
      </c>
    </row>
    <row r="40" spans="1:10" x14ac:dyDescent="0.25">
      <c r="A40" t="s">
        <v>707</v>
      </c>
      <c r="B40" s="15" t="e" cm="1">
        <f t="array" aca="1" ref="B40" ca="1">SUMIFS(Surface,Type_prod,"Prairies et paturages",Certifcation,"NON",Province,"Sud")</f>
        <v>#VALUE!</v>
      </c>
      <c r="D40" t="s">
        <v>707</v>
      </c>
      <c r="E40" s="26">
        <f>SUMIFS('Exploitation non cartographiées'!C$2:C$16,'Exploitation non cartographiées'!D$2:D$16,"Prairies et pâturages",'Exploitation non cartographiées'!E$2:E$16,"NON",'Exploitation non cartographiées'!G2:G16,"Sud")</f>
        <v>0</v>
      </c>
      <c r="G40" t="s">
        <v>707</v>
      </c>
      <c r="H40" s="26" t="e">
        <f t="shared" ca="1" si="2"/>
        <v>#VALUE!</v>
      </c>
    </row>
    <row r="41" spans="1:10" x14ac:dyDescent="0.25">
      <c r="A41" s="13" t="s">
        <v>357</v>
      </c>
      <c r="B41" s="15" t="e" cm="1">
        <f t="array" aca="1" ref="B41" ca="1">SUMIFS(Surface,Type_prod,"Autres",Certifcation,"NON",Province,"Sud")</f>
        <v>#VALUE!</v>
      </c>
      <c r="D41" t="s">
        <v>357</v>
      </c>
      <c r="E41" s="26">
        <f>SUMIFS('Exploitation non cartographiées'!C$2:C$16,'Exploitation non cartographiées'!D$2:D$16,"Autres",'Exploitation non cartographiées'!E$2:E$16,"NON",'Exploitation non cartographiées'!G2:G16,"Sud")</f>
        <v>0</v>
      </c>
      <c r="G41" s="13" t="s">
        <v>357</v>
      </c>
      <c r="H41" s="26" t="e">
        <f t="shared" ca="1" si="2"/>
        <v>#VALUE!</v>
      </c>
    </row>
    <row r="42" spans="1:10" ht="13.8" x14ac:dyDescent="0.25">
      <c r="A42" s="14" t="s">
        <v>656</v>
      </c>
      <c r="B42" s="27" t="e">
        <f ca="1">SUM(B34:B41)</f>
        <v>#VALUE!</v>
      </c>
      <c r="D42" s="5" t="s">
        <v>656</v>
      </c>
      <c r="E42" s="27">
        <f>SUM(E34:E41)</f>
        <v>4.7700000000000005</v>
      </c>
      <c r="G42" s="14" t="s">
        <v>656</v>
      </c>
      <c r="H42" s="27" t="e">
        <f ca="1">SUM(H34:H41)</f>
        <v>#VALUE!</v>
      </c>
    </row>
    <row r="43" spans="1:10" x14ac:dyDescent="0.25">
      <c r="A43" s="13" t="s">
        <v>658</v>
      </c>
      <c r="B43" s="4">
        <v>4</v>
      </c>
      <c r="D43" t="s">
        <v>691</v>
      </c>
      <c r="E43" s="29">
        <v>7</v>
      </c>
      <c r="G43" s="13" t="s">
        <v>697</v>
      </c>
      <c r="H43" s="18">
        <f>B43+E43</f>
        <v>11</v>
      </c>
    </row>
    <row r="44" spans="1:10" x14ac:dyDescent="0.25">
      <c r="A44" s="13"/>
      <c r="B44" s="4"/>
      <c r="E44" s="15"/>
      <c r="G44" s="13"/>
      <c r="H44" s="17"/>
    </row>
    <row r="45" spans="1:10" x14ac:dyDescent="0.25">
      <c r="A45" s="136"/>
      <c r="B45" s="137"/>
      <c r="C45" s="138"/>
      <c r="D45" s="138"/>
      <c r="E45" s="139"/>
      <c r="F45" s="138"/>
      <c r="G45" s="136"/>
      <c r="H45" s="140"/>
    </row>
    <row r="46" spans="1:10" x14ac:dyDescent="0.25">
      <c r="A46" s="13"/>
      <c r="B46" s="4"/>
      <c r="E46" s="15"/>
      <c r="G46" s="13"/>
      <c r="H46" s="17"/>
      <c r="J46" s="26"/>
    </row>
    <row r="47" spans="1:10" ht="13.8" x14ac:dyDescent="0.25">
      <c r="A47" s="25" t="s">
        <v>711</v>
      </c>
      <c r="B47" s="25"/>
      <c r="D47" s="25" t="s">
        <v>711</v>
      </c>
      <c r="E47" s="22"/>
      <c r="G47" s="25" t="s">
        <v>711</v>
      </c>
      <c r="H47" s="25"/>
      <c r="J47" s="26"/>
    </row>
    <row r="48" spans="1:10" ht="15.6" x14ac:dyDescent="0.3">
      <c r="A48" s="23" t="s">
        <v>1190</v>
      </c>
      <c r="B48" s="24"/>
      <c r="D48" s="23" t="s">
        <v>1190</v>
      </c>
      <c r="E48" s="24"/>
      <c r="G48" s="23" t="s">
        <v>1190</v>
      </c>
      <c r="H48" s="24"/>
      <c r="J48" s="26"/>
    </row>
    <row r="49" spans="1:10" x14ac:dyDescent="0.25">
      <c r="A49" s="2" t="s">
        <v>650</v>
      </c>
      <c r="B49" s="2" t="s">
        <v>655</v>
      </c>
      <c r="D49" s="2" t="s">
        <v>650</v>
      </c>
      <c r="E49" s="2" t="s">
        <v>655</v>
      </c>
      <c r="G49" s="2" t="s">
        <v>650</v>
      </c>
      <c r="H49" s="2" t="s">
        <v>655</v>
      </c>
      <c r="J49" s="26"/>
    </row>
    <row r="50" spans="1:10" x14ac:dyDescent="0.25">
      <c r="A50" t="s">
        <v>652</v>
      </c>
      <c r="B50" s="15" t="e" cm="1">
        <f t="array" aca="1" ref="B50" ca="1">SUMIFS(Surface,Type_prod,"Cultures fruitieres",Certifcation,"AR",Province,"Nord")</f>
        <v>#VALUE!</v>
      </c>
      <c r="D50" t="s">
        <v>652</v>
      </c>
      <c r="E50" s="26">
        <f>SUMIFS('Exploitation non cartographiées'!C$2:C$16,'Exploitation non cartographiées'!D$2:D$16,"Cultures fruitières",'Exploitation non cartographiées'!E$2:E$16,"AR",'Exploitation non cartographiées'!G$2:G$16,"Nord")</f>
        <v>0</v>
      </c>
      <c r="G50" s="13" t="s">
        <v>652</v>
      </c>
      <c r="H50" s="30" t="e">
        <f ca="1">B50+E50</f>
        <v>#VALUE!</v>
      </c>
      <c r="J50" s="26"/>
    </row>
    <row r="51" spans="1:10" x14ac:dyDescent="0.25">
      <c r="A51" t="s">
        <v>706</v>
      </c>
      <c r="B51" s="15" t="e" cm="1">
        <f t="array" aca="1" ref="B51" ca="1">SUMIFS(Surface,Type_prod,"Cereales",Certifcation,"AR",Province,"Nord")</f>
        <v>#VALUE!</v>
      </c>
      <c r="D51" t="s">
        <v>706</v>
      </c>
      <c r="E51" s="26">
        <f>SUMIFS('Exploitation non cartographiées'!C$2:C$16,'Exploitation non cartographiées'!D$2:D$16,"Céréales",'Exploitation non cartographiées'!E$2:E$16,"AR",'Exploitation non cartographiées'!G$2:G$16,"Nord")</f>
        <v>0</v>
      </c>
      <c r="G51" s="13" t="s">
        <v>706</v>
      </c>
      <c r="H51" s="30" t="e">
        <f t="shared" ref="H51:H57" ca="1" si="3">E51+B51</f>
        <v>#VALUE!</v>
      </c>
      <c r="J51" s="26"/>
    </row>
    <row r="52" spans="1:10" x14ac:dyDescent="0.25">
      <c r="A52" t="s">
        <v>653</v>
      </c>
      <c r="B52" s="15" t="e" cm="1">
        <f t="array" aca="1" ref="B52" ca="1">SUMIFS(Surface,Type_prod,"Maraichage",Certifcation,"AR",Province,"Nord",HS,"NON")</f>
        <v>#VALUE!</v>
      </c>
      <c r="D52" t="s">
        <v>653</v>
      </c>
      <c r="E52" s="26">
        <f>SUMIFS('Exploitation non cartographiées'!C$2:C$16,'Exploitation non cartographiées'!D$2:D$16,"Maraichage",'Exploitation non cartographiées'!E$2:E$16,"AR",'Exploitation non cartographiées'!F$2:F$16,"NON",'Exploitation non cartographiées'!G$2:G$16,"Nord")</f>
        <v>0</v>
      </c>
      <c r="G52" s="13" t="s">
        <v>653</v>
      </c>
      <c r="H52" s="30" t="e">
        <f t="shared" ca="1" si="3"/>
        <v>#VALUE!</v>
      </c>
      <c r="J52" s="26"/>
    </row>
    <row r="53" spans="1:10" x14ac:dyDescent="0.25">
      <c r="A53" t="s">
        <v>654</v>
      </c>
      <c r="B53" s="15" t="e" cm="1">
        <f t="array" aca="1" ref="B53" ca="1">SUMIFS(Surface,Type_prod,"Maraichage",Certifcation,"AR",Province,"Nord",HS,"OUI")</f>
        <v>#VALUE!</v>
      </c>
      <c r="D53" t="s">
        <v>654</v>
      </c>
      <c r="E53" s="26">
        <f>SUMIFS('Exploitation non cartographiées'!C$2:C$16,'Exploitation non cartographiées'!D$2:D$16,"Maraichage",'Exploitation non cartographiées'!E$2:E$16,"AR",'Exploitation non cartographiées'!F$2:F$16,"OUI",'Exploitation non cartographiées'!G$2:G$16,"Nord")</f>
        <v>0</v>
      </c>
      <c r="G53" s="13" t="s">
        <v>654</v>
      </c>
      <c r="H53" s="30" t="e">
        <f t="shared" ca="1" si="3"/>
        <v>#VALUE!</v>
      </c>
      <c r="J53" s="26"/>
    </row>
    <row r="54" spans="1:10" x14ac:dyDescent="0.25">
      <c r="A54" t="s">
        <v>89</v>
      </c>
      <c r="B54" s="15" t="e" cm="1">
        <f t="array" aca="1" ref="B54" ca="1">SUMIFS(Surface,Type_prod,"Tubercules tropicaux",Certifcation,"AR",Province,"Nord")</f>
        <v>#VALUE!</v>
      </c>
      <c r="D54" t="s">
        <v>89</v>
      </c>
      <c r="E54" s="26">
        <f>SUMIFS('Exploitation non cartographiées'!C$2:C$16,'Exploitation non cartographiées'!D$2:D$16,"Tubercules tropicaux",'Exploitation non cartographiées'!E$2:E$16,"AR",'Exploitation non cartographiées'!G$2:G$16,"Nord")</f>
        <v>0</v>
      </c>
      <c r="G54" s="13" t="s">
        <v>89</v>
      </c>
      <c r="H54" s="30" t="e">
        <f t="shared" ca="1" si="3"/>
        <v>#VALUE!</v>
      </c>
    </row>
    <row r="55" spans="1:10" x14ac:dyDescent="0.25">
      <c r="A55" t="s">
        <v>41</v>
      </c>
      <c r="B55" s="15" t="e" cm="1">
        <f t="array" aca="1" ref="B55" ca="1">SUMIFS(Surface,Type_prod,"Horticulture",Certifcation,"AR",Province,"Nord")</f>
        <v>#VALUE!</v>
      </c>
      <c r="D55" t="s">
        <v>41</v>
      </c>
      <c r="E55" s="26">
        <f>SUMIFS('Exploitation non cartographiées'!C$2:C$16,'Exploitation non cartographiées'!D$2:D$16,"Horticulture",'Exploitation non cartographiées'!E$2:E$16,"AR",'Exploitation non cartographiées'!G$2:G$16,"Nord")</f>
        <v>0</v>
      </c>
      <c r="G55" t="s">
        <v>41</v>
      </c>
      <c r="H55" s="30" t="e">
        <f t="shared" ca="1" si="3"/>
        <v>#VALUE!</v>
      </c>
    </row>
    <row r="56" spans="1:10" x14ac:dyDescent="0.25">
      <c r="A56" t="s">
        <v>707</v>
      </c>
      <c r="B56" s="15" t="e" cm="1">
        <f t="array" aca="1" ref="B56" ca="1">SUMIFS(Surface,Type_prod,"Prairies et paturages",Certifcation,"AR",Province,"Nord")</f>
        <v>#VALUE!</v>
      </c>
      <c r="D56" t="s">
        <v>707</v>
      </c>
      <c r="E56" s="26">
        <f>SUMIFS('Exploitation non cartographiées'!C$2:C$16,'Exploitation non cartographiées'!D$2:D$16,"Prairies et pâturages",'Exploitation non cartographiées'!E$2:E$16,"AR",'Exploitation non cartographiées'!G$2:G$16,"Nord")</f>
        <v>0</v>
      </c>
      <c r="G56" t="s">
        <v>707</v>
      </c>
      <c r="H56" s="30" t="e">
        <f t="shared" ca="1" si="3"/>
        <v>#VALUE!</v>
      </c>
    </row>
    <row r="57" spans="1:10" x14ac:dyDescent="0.25">
      <c r="A57" t="s">
        <v>357</v>
      </c>
      <c r="B57" s="15" t="e" cm="1">
        <f t="array" aca="1" ref="B57" ca="1">SUMIFS(Surface,Type_prod,"Autres",Certifcation,"AR",Province,"Nord")</f>
        <v>#VALUE!</v>
      </c>
      <c r="D57" t="s">
        <v>357</v>
      </c>
      <c r="E57" s="26">
        <f>SUMIFS('Exploitation non cartographiées'!C$2:C$16,'Exploitation non cartographiées'!D$2:D$16,"Autres",'Exploitation non cartographiées'!E$2:E$16,"AR",'Exploitation non cartographiées'!G$2:G$16,"Nord")</f>
        <v>0</v>
      </c>
      <c r="G57" s="13" t="s">
        <v>357</v>
      </c>
      <c r="H57" s="30" t="e">
        <f t="shared" ca="1" si="3"/>
        <v>#VALUE!</v>
      </c>
      <c r="J57" s="83" t="e">
        <f ca="1">H58+H71+H28+H14-H56-H69-H26-H12</f>
        <v>#VALUE!</v>
      </c>
    </row>
    <row r="58" spans="1:10" ht="13.8" x14ac:dyDescent="0.25">
      <c r="A58" s="5" t="s">
        <v>656</v>
      </c>
      <c r="B58" s="27" t="e">
        <f ca="1">SUM(B50:B57)</f>
        <v>#VALUE!</v>
      </c>
      <c r="D58" s="5" t="s">
        <v>656</v>
      </c>
      <c r="E58" s="16">
        <f>SUM(E50:E57)</f>
        <v>0</v>
      </c>
      <c r="G58" s="14" t="s">
        <v>656</v>
      </c>
      <c r="H58" s="27" t="e">
        <f ca="1">SUM(H50:H57)</f>
        <v>#VALUE!</v>
      </c>
      <c r="I58" s="83"/>
      <c r="J58" t="e">
        <f ca="1">J57/(H97-H95)</f>
        <v>#VALUE!</v>
      </c>
    </row>
    <row r="59" spans="1:10" x14ac:dyDescent="0.25">
      <c r="A59" t="s">
        <v>658</v>
      </c>
      <c r="B59" s="4">
        <v>5</v>
      </c>
      <c r="D59" t="s">
        <v>694</v>
      </c>
      <c r="E59" s="28">
        <v>0</v>
      </c>
      <c r="G59" t="s">
        <v>691</v>
      </c>
      <c r="H59" s="29">
        <f>E59+B59</f>
        <v>5</v>
      </c>
    </row>
    <row r="61" spans="1:10" ht="15.6" x14ac:dyDescent="0.3">
      <c r="A61" s="23" t="s">
        <v>1212</v>
      </c>
      <c r="B61" s="23"/>
      <c r="D61" s="163" t="s">
        <v>1212</v>
      </c>
      <c r="E61" s="163"/>
      <c r="G61" s="163" t="s">
        <v>1212</v>
      </c>
      <c r="H61" s="163"/>
    </row>
    <row r="62" spans="1:10" x14ac:dyDescent="0.25">
      <c r="A62" s="2" t="s">
        <v>650</v>
      </c>
      <c r="B62" s="128" t="s">
        <v>655</v>
      </c>
      <c r="D62" s="2" t="s">
        <v>650</v>
      </c>
      <c r="E62" s="2" t="s">
        <v>655</v>
      </c>
      <c r="G62" s="2" t="s">
        <v>650</v>
      </c>
      <c r="H62" s="128" t="s">
        <v>655</v>
      </c>
    </row>
    <row r="63" spans="1:10" x14ac:dyDescent="0.25">
      <c r="A63" t="s">
        <v>652</v>
      </c>
      <c r="B63" s="15" t="e" cm="1">
        <f t="array" aca="1" ref="B63" ca="1">SUMIFS(Surface,Type_prod,"Cultures fruitieres",Certifcation,"BIO",Province,"Nord")</f>
        <v>#VALUE!</v>
      </c>
      <c r="D63" t="s">
        <v>652</v>
      </c>
      <c r="E63" s="26">
        <f>SUMIFS('Exploitation non cartographiées'!C$2:C$16,'Exploitation non cartographiées'!D$2:D$16,"Cultures fruitières",'Exploitation non cartographiées'!E$2:E$16,"BIO",'Exploitation non cartographiées'!G$2:G$16,"Nord")</f>
        <v>0</v>
      </c>
      <c r="G63" t="s">
        <v>652</v>
      </c>
      <c r="H63" s="26" t="e">
        <f t="shared" ref="H63:H70" ca="1" si="4">E63+B63</f>
        <v>#VALUE!</v>
      </c>
    </row>
    <row r="64" spans="1:10" x14ac:dyDescent="0.25">
      <c r="A64" t="s">
        <v>706</v>
      </c>
      <c r="B64" s="15" t="e" cm="1">
        <f t="array" aca="1" ref="B64" ca="1">SUMIFS(Surface,Type_prod,"Cereales",Certifcation,"BIO",Province,"Nord")</f>
        <v>#VALUE!</v>
      </c>
      <c r="D64" t="s">
        <v>706</v>
      </c>
      <c r="E64" s="26">
        <f>SUMIFS('Exploitation non cartographiées'!C$2:C$16,'Exploitation non cartographiées'!D$2:D$16,"Céréales",'Exploitation non cartographiées'!E$2:E$16,"BIO",'Exploitation non cartographiées'!G$2:G$16,"Nord")</f>
        <v>0</v>
      </c>
      <c r="G64" t="s">
        <v>706</v>
      </c>
      <c r="H64" s="26" t="e">
        <f t="shared" ca="1" si="4"/>
        <v>#VALUE!</v>
      </c>
    </row>
    <row r="65" spans="1:8" x14ac:dyDescent="0.25">
      <c r="A65" t="s">
        <v>653</v>
      </c>
      <c r="B65" s="15" t="e" cm="1">
        <f t="array" aca="1" ref="B65" ca="1">SUMIFS(Surface,Type_prod,"Maraichage",Certifcation,"BIO",Province,"Nord",HS,"NON")</f>
        <v>#VALUE!</v>
      </c>
      <c r="D65" t="s">
        <v>653</v>
      </c>
      <c r="E65" s="26">
        <f>SUMIFS('Exploitation non cartographiées'!C$2:C$16,'Exploitation non cartographiées'!D$2:D$16,"Maraichage",'Exploitation non cartographiées'!E$2:E$16,"BIO",'Exploitation non cartographiées'!F$2:F$16,"NON",'Exploitation non cartographiées'!G$2:G$16,"Nord")</f>
        <v>0</v>
      </c>
      <c r="G65" t="s">
        <v>653</v>
      </c>
      <c r="H65" s="26" t="e">
        <f t="shared" ca="1" si="4"/>
        <v>#VALUE!</v>
      </c>
    </row>
    <row r="66" spans="1:8" x14ac:dyDescent="0.25">
      <c r="A66" t="s">
        <v>654</v>
      </c>
      <c r="B66" s="15" t="e" cm="1">
        <f t="array" aca="1" ref="B66" ca="1">SUMIFS(Surface,Type_prod,"Maraichage",Certifcation,"BIO",Province,"Nord",HS,"OUI")</f>
        <v>#VALUE!</v>
      </c>
      <c r="D66" t="s">
        <v>654</v>
      </c>
      <c r="E66" s="26">
        <f>SUMIFS('Exploitation non cartographiées'!C$2:C$16,'Exploitation non cartographiées'!D$2:D$16,"Maraichage",'Exploitation non cartographiées'!E$2:E$16,"BIO",'Exploitation non cartographiées'!F$2:F$16,"OUI",'Exploitation non cartographiées'!G$2:G$16,"Nord")</f>
        <v>0</v>
      </c>
      <c r="G66" t="s">
        <v>654</v>
      </c>
      <c r="H66" s="26" t="e">
        <f t="shared" ca="1" si="4"/>
        <v>#VALUE!</v>
      </c>
    </row>
    <row r="67" spans="1:8" x14ac:dyDescent="0.25">
      <c r="A67" t="s">
        <v>89</v>
      </c>
      <c r="B67" s="15" t="e" cm="1">
        <f t="array" aca="1" ref="B67" ca="1">SUMIFS(Surface,Type_prod,"Tubercules tropicaux",Certifcation,"BIO",Province,"Nord")</f>
        <v>#VALUE!</v>
      </c>
      <c r="D67" t="s">
        <v>89</v>
      </c>
      <c r="E67" s="26">
        <f>SUMIFS('Exploitation non cartographiées'!C$2:C$16,'Exploitation non cartographiées'!D$2:D$16,"Tubercules tropicaux",'Exploitation non cartographiées'!E$2:E$16,"BIO",'Exploitation non cartographiées'!G$2:G$16,"Nord")</f>
        <v>0</v>
      </c>
      <c r="G67" t="s">
        <v>89</v>
      </c>
      <c r="H67" s="26" t="e">
        <f t="shared" ca="1" si="4"/>
        <v>#VALUE!</v>
      </c>
    </row>
    <row r="68" spans="1:8" x14ac:dyDescent="0.25">
      <c r="A68" t="s">
        <v>41</v>
      </c>
      <c r="B68" s="15" t="e" cm="1">
        <f t="array" aca="1" ref="B68" ca="1">SUMIFS(Surface,Type_prod,"Horticulture",Certifcation,"BIO",Province,"Nord")</f>
        <v>#VALUE!</v>
      </c>
      <c r="D68" t="s">
        <v>41</v>
      </c>
      <c r="E68" s="26">
        <f>SUMIFS('Exploitation non cartographiées'!C$2:C$16,'Exploitation non cartographiées'!D$2:D$16,"Horticulture",'Exploitation non cartographiées'!E$2:E$16,"BIO",'Exploitation non cartographiées'!G$2:G$16,"Nord")</f>
        <v>0</v>
      </c>
      <c r="G68" t="s">
        <v>41</v>
      </c>
      <c r="H68" s="26" t="e">
        <f t="shared" ca="1" si="4"/>
        <v>#VALUE!</v>
      </c>
    </row>
    <row r="69" spans="1:8" x14ac:dyDescent="0.25">
      <c r="A69" t="s">
        <v>707</v>
      </c>
      <c r="B69" s="15" t="e" cm="1">
        <f t="array" aca="1" ref="B69" ca="1">SUMIFS(Surface,Type_prod,"Prairies et paturages",Certifcation,"BIO",Province,"Nord")</f>
        <v>#VALUE!</v>
      </c>
      <c r="D69" t="s">
        <v>707</v>
      </c>
      <c r="E69" s="26">
        <f>SUMIFS('Exploitation non cartographiées'!C$2:C$16,'Exploitation non cartographiées'!D$2:D$16,"Prairies et pâturages",'Exploitation non cartographiées'!E$2:E$16,"BIO",'Exploitation non cartographiées'!G$2:G$16,"Nord")</f>
        <v>0</v>
      </c>
      <c r="G69" t="s">
        <v>707</v>
      </c>
      <c r="H69" s="26" t="e">
        <f t="shared" ca="1" si="4"/>
        <v>#VALUE!</v>
      </c>
    </row>
    <row r="70" spans="1:8" x14ac:dyDescent="0.25">
      <c r="A70" t="s">
        <v>357</v>
      </c>
      <c r="B70" s="15" t="e" cm="1">
        <f t="array" aca="1" ref="B70" ca="1">SUMIFS(Surface,Type_prod,"Autres",Certifcation,"BIO",Province,"Nord")</f>
        <v>#VALUE!</v>
      </c>
      <c r="D70" t="s">
        <v>357</v>
      </c>
      <c r="E70" s="26">
        <f>SUMIFS('Exploitation non cartographiées'!C$2:C$16,'Exploitation non cartographiées'!D$2:D$16,"Autres",'Exploitation non cartographiées'!E$2:E$16,"BIO",'Exploitation non cartographiées'!G$2:G$16,"Nord")</f>
        <v>0</v>
      </c>
      <c r="G70" t="s">
        <v>357</v>
      </c>
      <c r="H70" s="26" t="e">
        <f t="shared" ca="1" si="4"/>
        <v>#VALUE!</v>
      </c>
    </row>
    <row r="71" spans="1:8" ht="13.8" x14ac:dyDescent="0.25">
      <c r="A71" s="5" t="s">
        <v>656</v>
      </c>
      <c r="B71" s="15" t="e">
        <f ca="1">SUM(B63:B70)</f>
        <v>#VALUE!</v>
      </c>
      <c r="D71" s="5" t="s">
        <v>656</v>
      </c>
      <c r="E71" s="16">
        <f>SUM(E63:E70)</f>
        <v>0</v>
      </c>
      <c r="G71" s="5" t="s">
        <v>656</v>
      </c>
      <c r="H71" s="26" t="e">
        <f ca="1">SUM(H63:H70)</f>
        <v>#VALUE!</v>
      </c>
    </row>
    <row r="72" spans="1:8" x14ac:dyDescent="0.25">
      <c r="A72" t="s">
        <v>658</v>
      </c>
      <c r="B72" s="4">
        <v>1</v>
      </c>
      <c r="D72" t="s">
        <v>694</v>
      </c>
      <c r="E72" s="28">
        <v>0</v>
      </c>
      <c r="G72" t="s">
        <v>1213</v>
      </c>
      <c r="H72" s="28">
        <f>E72+B72</f>
        <v>1</v>
      </c>
    </row>
    <row r="73" spans="1:8" x14ac:dyDescent="0.25">
      <c r="B73" s="4"/>
      <c r="E73" s="28"/>
      <c r="H73" s="29"/>
    </row>
    <row r="74" spans="1:8" ht="15.6" x14ac:dyDescent="0.3">
      <c r="A74" s="23" t="s">
        <v>657</v>
      </c>
      <c r="B74" s="23"/>
      <c r="D74" s="23" t="s">
        <v>657</v>
      </c>
      <c r="E74" s="24"/>
      <c r="G74" s="23" t="s">
        <v>657</v>
      </c>
      <c r="H74" s="24"/>
    </row>
    <row r="75" spans="1:8" x14ac:dyDescent="0.25">
      <c r="A75" s="2" t="s">
        <v>650</v>
      </c>
      <c r="B75" s="2" t="s">
        <v>655</v>
      </c>
      <c r="D75" s="2" t="s">
        <v>650</v>
      </c>
      <c r="E75" s="2" t="s">
        <v>655</v>
      </c>
      <c r="G75" s="2" t="s">
        <v>650</v>
      </c>
      <c r="H75" s="2" t="s">
        <v>655</v>
      </c>
    </row>
    <row r="76" spans="1:8" x14ac:dyDescent="0.25">
      <c r="A76" s="13" t="s">
        <v>652</v>
      </c>
      <c r="B76" s="15" t="e" cm="1">
        <f t="array" aca="1" ref="B76" ca="1">SUMIFS(Surface,Type_prod,"Cultures fruitieres",Certifcation,"NON",Province,"Nord")</f>
        <v>#VALUE!</v>
      </c>
      <c r="D76" t="s">
        <v>652</v>
      </c>
      <c r="E76" s="26">
        <f>SUMIFS('Exploitation non cartographiées'!C$2:C$16,'Exploitation non cartographiées'!D$2:D$16,"Cultures fruitières",'Exploitation non cartographiées'!E$2:E$16,"NON",'Exploitation non cartographiées'!G2:G16,"Nord")</f>
        <v>0</v>
      </c>
      <c r="G76" t="s">
        <v>652</v>
      </c>
      <c r="H76" s="30" t="e">
        <f ca="1">E76+B76</f>
        <v>#VALUE!</v>
      </c>
    </row>
    <row r="77" spans="1:8" x14ac:dyDescent="0.25">
      <c r="A77" s="13" t="s">
        <v>706</v>
      </c>
      <c r="B77" s="15" t="e" cm="1">
        <f t="array" aca="1" ref="B77" ca="1">SUMIFS(Surface,Type_prod,"Cereales",Certifcation,"NON",Province,"Nord")</f>
        <v>#VALUE!</v>
      </c>
      <c r="D77" s="13" t="s">
        <v>706</v>
      </c>
      <c r="E77" s="26">
        <f>SUMIFS('Exploitation non cartographiées'!C$2:C$16,'Exploitation non cartographiées'!D$2:D$16,"Céréales",'Exploitation non cartographiées'!E$2:E$16,"NON",'Exploitation non cartographiées'!G2:G16,"Nord")</f>
        <v>0</v>
      </c>
      <c r="G77" s="13" t="s">
        <v>706</v>
      </c>
      <c r="H77" s="30" t="e">
        <f ca="1">E77+B77</f>
        <v>#VALUE!</v>
      </c>
    </row>
    <row r="78" spans="1:8" x14ac:dyDescent="0.25">
      <c r="A78" s="13" t="s">
        <v>653</v>
      </c>
      <c r="B78" s="15" t="e" cm="1">
        <f t="array" aca="1" ref="B78" ca="1">SUMIFS(Surface,Type_prod,"Maraichage",Certifcation,"NON",Province,"Nord",HS,"NON")</f>
        <v>#VALUE!</v>
      </c>
      <c r="D78" t="s">
        <v>653</v>
      </c>
      <c r="E78" s="26">
        <f>SUMIFS('Exploitation non cartographiées'!C$2:C$16,'Exploitation non cartographiées'!D$2:D$16,"Maraichage",'Exploitation non cartographiées'!E$2:E$16,"NON",'Exploitation non cartographiées'!F2:F16,"NON",'Exploitation non cartographiées'!G2:G16,"Nord")</f>
        <v>4</v>
      </c>
      <c r="G78" t="s">
        <v>653</v>
      </c>
      <c r="H78" s="30" t="e">
        <f ca="1">E78+B78</f>
        <v>#VALUE!</v>
      </c>
    </row>
    <row r="79" spans="1:8" x14ac:dyDescent="0.25">
      <c r="A79" s="13" t="s">
        <v>654</v>
      </c>
      <c r="B79" s="15" t="e" cm="1">
        <f t="array" aca="1" ref="B79" ca="1">SUMIFS(Surface,Type_prod,"Maraichage",Certifcation,"NON",Province,"Nord",HS,"OUI")</f>
        <v>#VALUE!</v>
      </c>
      <c r="D79" t="s">
        <v>654</v>
      </c>
      <c r="E79" s="26">
        <f>SUMIFS('Exploitation non cartographiées'!C$2:C$16,'Exploitation non cartographiées'!D$2:D$16,"Maraichage",'Exploitation non cartographiées'!E$2:E$16,"NON",'Exploitation non cartographiées'!F2:F16,"OUI",'Exploitation non cartographiées'!G2:G16,"Nord")</f>
        <v>0</v>
      </c>
      <c r="G79" t="s">
        <v>654</v>
      </c>
      <c r="H79" s="30" t="e">
        <f ca="1">E79+B79</f>
        <v>#VALUE!</v>
      </c>
    </row>
    <row r="80" spans="1:8" x14ac:dyDescent="0.25">
      <c r="A80" s="13" t="s">
        <v>89</v>
      </c>
      <c r="B80" s="15" t="e" cm="1">
        <f t="array" aca="1" ref="B80" ca="1">SUMIFS(Surface,Type_prod,"Tubercules tropicaux",Certifcation,"NON",Province,"Nord")</f>
        <v>#VALUE!</v>
      </c>
      <c r="D80" t="s">
        <v>89</v>
      </c>
      <c r="E80" s="26">
        <f>SUMIFS('Exploitation non cartographiées'!C$2:C$16,'Exploitation non cartographiées'!D$2:D$16,"Tubercules tropicaux",'Exploitation non cartographiées'!E$2:E$16,"NON",'Exploitation non cartographiées'!G2:G16,"Nord")</f>
        <v>0</v>
      </c>
      <c r="G80" t="s">
        <v>89</v>
      </c>
      <c r="H80" s="30" t="e">
        <f ca="1">E80+B80</f>
        <v>#VALUE!</v>
      </c>
    </row>
    <row r="81" spans="1:11" x14ac:dyDescent="0.25">
      <c r="A81" s="13" t="s">
        <v>41</v>
      </c>
      <c r="B81" s="15" t="e" cm="1">
        <f t="array" aca="1" ref="B81" ca="1">SUMIFS(Surface,Type_prod,"Horticulture",Certifcation,"NON",Province,"Nord")</f>
        <v>#VALUE!</v>
      </c>
      <c r="D81" t="s">
        <v>41</v>
      </c>
      <c r="E81" s="26">
        <f>SUMIFS('Exploitation non cartographiées'!C$2:C$16,'Exploitation non cartographiées'!D$2:D$16,"Horticulture",'Exploitation non cartographiées'!E$2:E$16,"NON",'Exploitation non cartographiées'!G2:G16,"Nord")</f>
        <v>0</v>
      </c>
      <c r="G81" t="s">
        <v>41</v>
      </c>
      <c r="H81" s="30" t="e">
        <f t="shared" ref="H81:H83" ca="1" si="5">E81+B81</f>
        <v>#VALUE!</v>
      </c>
    </row>
    <row r="82" spans="1:11" x14ac:dyDescent="0.25">
      <c r="A82" t="s">
        <v>707</v>
      </c>
      <c r="B82" s="15" t="e" cm="1">
        <f t="array" aca="1" ref="B82" ca="1">SUMIFS(Surface,Type_prod,"Prairies et paturages",Certifcation,"NON",Province,"Nord")</f>
        <v>#VALUE!</v>
      </c>
      <c r="D82" t="s">
        <v>707</v>
      </c>
      <c r="E82" s="26">
        <f>SUMIFS('Exploitation non cartographiées'!C$2:C$16,'Exploitation non cartographiées'!D$2:D$16,"Prairies et pâturages",'Exploitation non cartographiées'!E$2:E$16,"NON",'Exploitation non cartographiées'!G2:G16,"Nord")</f>
        <v>0</v>
      </c>
      <c r="G82" t="s">
        <v>707</v>
      </c>
      <c r="H82" s="30" t="e">
        <f t="shared" ca="1" si="5"/>
        <v>#VALUE!</v>
      </c>
    </row>
    <row r="83" spans="1:11" x14ac:dyDescent="0.25">
      <c r="A83" s="13" t="s">
        <v>357</v>
      </c>
      <c r="B83" s="15" t="e" cm="1">
        <f t="array" aca="1" ref="B83" ca="1">SUMIFS(Surface,Type_prod,"Autres",Certifcation,"NON",Province,"Nord")</f>
        <v>#VALUE!</v>
      </c>
      <c r="D83" t="s">
        <v>357</v>
      </c>
      <c r="E83" s="26">
        <f>SUMIFS('Exploitation non cartographiées'!C$2:C$16,'Exploitation non cartographiées'!D$2:D$16,"Autres",'Exploitation non cartographiées'!E$2:E$16,"NON",'Exploitation non cartographiées'!G2:G16,"Nord")</f>
        <v>0</v>
      </c>
      <c r="G83" t="s">
        <v>357</v>
      </c>
      <c r="H83" s="30" t="e">
        <f t="shared" ca="1" si="5"/>
        <v>#VALUE!</v>
      </c>
    </row>
    <row r="84" spans="1:11" ht="13.8" x14ac:dyDescent="0.25">
      <c r="A84" s="14" t="s">
        <v>656</v>
      </c>
      <c r="B84" s="27" t="e">
        <f ca="1">SUM(B76:B83)</f>
        <v>#VALUE!</v>
      </c>
      <c r="D84" s="5" t="s">
        <v>656</v>
      </c>
      <c r="E84" s="27">
        <f>SUM(E76:E83)</f>
        <v>4</v>
      </c>
      <c r="G84" s="5" t="s">
        <v>656</v>
      </c>
      <c r="H84" s="27" t="e">
        <f ca="1">E84+B84</f>
        <v>#VALUE!</v>
      </c>
      <c r="I84" s="83" t="e">
        <f ca="1">H84-H82</f>
        <v>#VALUE!</v>
      </c>
    </row>
    <row r="85" spans="1:11" x14ac:dyDescent="0.25">
      <c r="A85" s="13" t="s">
        <v>658</v>
      </c>
      <c r="B85" s="4">
        <v>3</v>
      </c>
      <c r="D85" t="s">
        <v>691</v>
      </c>
      <c r="E85" s="29">
        <v>1</v>
      </c>
      <c r="G85" t="s">
        <v>691</v>
      </c>
      <c r="H85" s="29">
        <f>E85+B85</f>
        <v>4</v>
      </c>
    </row>
    <row r="86" spans="1:11" x14ac:dyDescent="0.25">
      <c r="A86" s="13"/>
      <c r="B86" s="4"/>
      <c r="G86" s="13"/>
      <c r="H86" s="17"/>
    </row>
    <row r="87" spans="1:11" ht="15" customHeight="1" x14ac:dyDescent="0.3">
      <c r="A87" s="25" t="s">
        <v>693</v>
      </c>
      <c r="B87" s="25"/>
      <c r="D87" s="25" t="s">
        <v>693</v>
      </c>
      <c r="E87" s="25"/>
      <c r="G87" s="20" t="s">
        <v>698</v>
      </c>
      <c r="H87" s="20"/>
    </row>
    <row r="88" spans="1:11" ht="15.6" x14ac:dyDescent="0.3">
      <c r="A88" s="23" t="s">
        <v>651</v>
      </c>
      <c r="B88" s="23"/>
      <c r="D88" s="23" t="s">
        <v>651</v>
      </c>
      <c r="E88" s="23"/>
      <c r="G88" s="2" t="s">
        <v>650</v>
      </c>
      <c r="H88" s="2" t="s">
        <v>655</v>
      </c>
      <c r="I88" s="128" t="s">
        <v>827</v>
      </c>
      <c r="J88" s="128" t="s">
        <v>828</v>
      </c>
      <c r="K88" s="125" t="s">
        <v>834</v>
      </c>
    </row>
    <row r="89" spans="1:11" x14ac:dyDescent="0.25">
      <c r="A89" s="2" t="s">
        <v>650</v>
      </c>
      <c r="B89" s="2" t="s">
        <v>655</v>
      </c>
      <c r="D89" s="2" t="s">
        <v>650</v>
      </c>
      <c r="E89" s="2" t="s">
        <v>655</v>
      </c>
      <c r="G89" s="13" t="s">
        <v>652</v>
      </c>
      <c r="H89" s="11" t="e">
        <f ca="1">H34+H6+H50+H76+H20+H63</f>
        <v>#VALUE!</v>
      </c>
      <c r="I89" s="26" t="e">
        <f t="shared" ref="I89:I96" ca="1" si="6">H34+H6+H20</f>
        <v>#VALUE!</v>
      </c>
      <c r="J89" s="26" t="e">
        <f t="shared" ref="J89:J96" ca="1" si="7">H76+H50+H63</f>
        <v>#VALUE!</v>
      </c>
      <c r="K89" s="127" t="e">
        <f ca="1">I89+J89-H89</f>
        <v>#VALUE!</v>
      </c>
    </row>
    <row r="90" spans="1:11" x14ac:dyDescent="0.25">
      <c r="A90" t="s">
        <v>654</v>
      </c>
      <c r="B90">
        <v>3.2050000000000001</v>
      </c>
      <c r="D90" t="s">
        <v>654</v>
      </c>
      <c r="E90">
        <v>3</v>
      </c>
      <c r="G90" s="13" t="s">
        <v>706</v>
      </c>
      <c r="H90" s="11" t="e">
        <f ca="1">H35+H7+H51+H77+H21+H64</f>
        <v>#VALUE!</v>
      </c>
      <c r="I90" s="26" t="e">
        <f t="shared" ca="1" si="6"/>
        <v>#VALUE!</v>
      </c>
      <c r="J90" s="26" t="e">
        <f t="shared" ca="1" si="7"/>
        <v>#VALUE!</v>
      </c>
      <c r="K90" s="127" t="e">
        <f t="shared" ref="K90:K96" ca="1" si="8">I90+J90-H90</f>
        <v>#VALUE!</v>
      </c>
    </row>
    <row r="91" spans="1:11" ht="13.8" x14ac:dyDescent="0.25">
      <c r="A91" t="s">
        <v>653</v>
      </c>
      <c r="B91">
        <v>1.282</v>
      </c>
      <c r="D91" s="5" t="s">
        <v>656</v>
      </c>
      <c r="E91" s="5">
        <v>3</v>
      </c>
      <c r="G91" s="13" t="s">
        <v>653</v>
      </c>
      <c r="H91" s="11" t="e">
        <f ca="1">H36+H8+H52+H78+H22+H65</f>
        <v>#VALUE!</v>
      </c>
      <c r="I91" s="26" t="e">
        <f t="shared" ca="1" si="6"/>
        <v>#VALUE!</v>
      </c>
      <c r="J91" s="26" t="e">
        <f t="shared" ca="1" si="7"/>
        <v>#VALUE!</v>
      </c>
      <c r="K91" s="127" t="e">
        <f t="shared" ca="1" si="8"/>
        <v>#VALUE!</v>
      </c>
    </row>
    <row r="92" spans="1:11" ht="13.8" x14ac:dyDescent="0.25">
      <c r="A92" s="5" t="s">
        <v>656</v>
      </c>
      <c r="B92" s="5">
        <f>SUM(B90:B91)</f>
        <v>4.4870000000000001</v>
      </c>
      <c r="D92" t="s">
        <v>691</v>
      </c>
      <c r="E92">
        <v>1</v>
      </c>
      <c r="G92" s="13" t="s">
        <v>654</v>
      </c>
      <c r="H92" s="11" t="e">
        <f ca="1">H37+H9+H79+H53+H23+H66</f>
        <v>#VALUE!</v>
      </c>
      <c r="I92" s="26" t="e">
        <f t="shared" ca="1" si="6"/>
        <v>#VALUE!</v>
      </c>
      <c r="J92" s="26" t="e">
        <f t="shared" ca="1" si="7"/>
        <v>#VALUE!</v>
      </c>
      <c r="K92" s="127" t="e">
        <f t="shared" ca="1" si="8"/>
        <v>#VALUE!</v>
      </c>
    </row>
    <row r="93" spans="1:11" ht="15.6" x14ac:dyDescent="0.3">
      <c r="A93" t="s">
        <v>691</v>
      </c>
      <c r="B93">
        <v>1</v>
      </c>
      <c r="D93" s="23" t="s">
        <v>657</v>
      </c>
      <c r="E93" s="23"/>
      <c r="G93" s="13" t="s">
        <v>89</v>
      </c>
      <c r="H93" s="11" t="e">
        <f ca="1">H38+H10+H54+H80+H24+H67</f>
        <v>#VALUE!</v>
      </c>
      <c r="I93" s="26" t="e">
        <f t="shared" ca="1" si="6"/>
        <v>#VALUE!</v>
      </c>
      <c r="J93" s="26" t="e">
        <f t="shared" ca="1" si="7"/>
        <v>#VALUE!</v>
      </c>
      <c r="K93" s="127" t="e">
        <f t="shared" ca="1" si="8"/>
        <v>#VALUE!</v>
      </c>
    </row>
    <row r="94" spans="1:11" ht="15.6" x14ac:dyDescent="0.3">
      <c r="A94" s="23" t="s">
        <v>657</v>
      </c>
      <c r="B94" s="23"/>
      <c r="D94" s="2" t="s">
        <v>650</v>
      </c>
      <c r="E94" s="2" t="s">
        <v>655</v>
      </c>
      <c r="G94" s="13" t="s">
        <v>41</v>
      </c>
      <c r="H94" s="11" t="e">
        <f ca="1">H39+H11+H55+H25+H68+H81</f>
        <v>#VALUE!</v>
      </c>
      <c r="I94" s="26" t="e">
        <f t="shared" ca="1" si="6"/>
        <v>#VALUE!</v>
      </c>
      <c r="J94" s="26" t="e">
        <f t="shared" ca="1" si="7"/>
        <v>#VALUE!</v>
      </c>
      <c r="K94" s="127" t="e">
        <f t="shared" ca="1" si="8"/>
        <v>#VALUE!</v>
      </c>
    </row>
    <row r="95" spans="1:11" x14ac:dyDescent="0.25">
      <c r="A95" s="2" t="s">
        <v>650</v>
      </c>
      <c r="B95" s="2" t="s">
        <v>655</v>
      </c>
      <c r="D95" t="s">
        <v>687</v>
      </c>
      <c r="E95">
        <v>320</v>
      </c>
      <c r="G95" s="13" t="s">
        <v>707</v>
      </c>
      <c r="H95" s="26" t="e">
        <f ca="1">H12+H40+H56+H82+H69+H26</f>
        <v>#VALUE!</v>
      </c>
      <c r="I95" s="26" t="e">
        <f t="shared" ca="1" si="6"/>
        <v>#VALUE!</v>
      </c>
      <c r="J95" s="26" t="e">
        <f t="shared" ca="1" si="7"/>
        <v>#VALUE!</v>
      </c>
      <c r="K95" s="127" t="e">
        <f ca="1">I96+J96-H96</f>
        <v>#VALUE!</v>
      </c>
    </row>
    <row r="96" spans="1:11" ht="13.8" x14ac:dyDescent="0.25">
      <c r="A96" s="5" t="s">
        <v>695</v>
      </c>
      <c r="B96" s="5">
        <v>0</v>
      </c>
      <c r="D96" s="5" t="s">
        <v>695</v>
      </c>
      <c r="E96" s="5">
        <f>SUM(E95:E95)</f>
        <v>320</v>
      </c>
      <c r="G96" s="13" t="s">
        <v>357</v>
      </c>
      <c r="H96" s="11" t="e">
        <f ca="1">H41+H13+H83+H57+H70+H27</f>
        <v>#VALUE!</v>
      </c>
      <c r="I96" s="26" t="e">
        <f t="shared" ca="1" si="6"/>
        <v>#VALUE!</v>
      </c>
      <c r="J96" s="26" t="e">
        <f t="shared" ca="1" si="7"/>
        <v>#VALUE!</v>
      </c>
      <c r="K96" s="127" t="e">
        <f t="shared" ca="1" si="8"/>
        <v>#VALUE!</v>
      </c>
    </row>
    <row r="97" spans="1:13" ht="13.8" x14ac:dyDescent="0.25">
      <c r="A97" t="s">
        <v>694</v>
      </c>
      <c r="B97">
        <v>0</v>
      </c>
      <c r="D97" t="s">
        <v>694</v>
      </c>
      <c r="E97">
        <v>1</v>
      </c>
      <c r="G97" s="14" t="s">
        <v>656</v>
      </c>
      <c r="H97" s="12" t="e">
        <f ca="1">SUM(H89:H96)</f>
        <v>#VALUE!</v>
      </c>
      <c r="I97" s="83" t="e">
        <f ca="1">SUM(I89:I96)</f>
        <v>#VALUE!</v>
      </c>
      <c r="J97" s="83" t="e">
        <f ca="1">SUM(J89:J96)</f>
        <v>#VALUE!</v>
      </c>
    </row>
    <row r="98" spans="1:13" x14ac:dyDescent="0.25">
      <c r="G98" s="13" t="s">
        <v>697</v>
      </c>
      <c r="H98" s="18">
        <f>H43+H15+H59+H85+H72+H29</f>
        <v>63</v>
      </c>
      <c r="I98" s="21">
        <f>H15+H43+H29</f>
        <v>53</v>
      </c>
      <c r="J98" s="68">
        <f>H59+H85+H72</f>
        <v>10</v>
      </c>
    </row>
    <row r="99" spans="1:13" ht="15.6" x14ac:dyDescent="0.3">
      <c r="D99" s="1"/>
      <c r="G99" s="67" t="s">
        <v>1214</v>
      </c>
      <c r="H99" s="17"/>
    </row>
    <row r="100" spans="1:13" ht="15.6" x14ac:dyDescent="0.3">
      <c r="D100" s="10"/>
    </row>
    <row r="101" spans="1:13" x14ac:dyDescent="0.25">
      <c r="A101" s="2" t="s">
        <v>700</v>
      </c>
      <c r="B101" s="21" t="s">
        <v>789</v>
      </c>
      <c r="D101" s="2"/>
      <c r="E101" s="2"/>
      <c r="G101" s="19" t="s">
        <v>762</v>
      </c>
      <c r="H101" s="19"/>
    </row>
    <row r="102" spans="1:13" x14ac:dyDescent="0.25">
      <c r="A102" t="s">
        <v>699</v>
      </c>
      <c r="B102">
        <f>SUM('Extraction carto QGIS'!G2:G1247)</f>
        <v>852.96099999999876</v>
      </c>
      <c r="D102" s="26"/>
      <c r="G102" s="2" t="s">
        <v>650</v>
      </c>
      <c r="H102" s="2" t="s">
        <v>776</v>
      </c>
      <c r="I102" s="75" t="s">
        <v>777</v>
      </c>
      <c r="J102" s="73" t="s">
        <v>775</v>
      </c>
      <c r="L102" s="55">
        <v>1004.9</v>
      </c>
      <c r="M102" s="67" t="s">
        <v>1195</v>
      </c>
    </row>
    <row r="103" spans="1:13" ht="13.8" x14ac:dyDescent="0.25">
      <c r="A103" t="s">
        <v>713</v>
      </c>
      <c r="B103">
        <f>SUMIF('Extraction carto QGIS'!F2:F1247,"Sans production",'Extraction carto QGIS'!G2:G1247)</f>
        <v>64.162000000000006</v>
      </c>
      <c r="D103" s="5"/>
      <c r="E103" s="5"/>
      <c r="G103" s="13" t="s">
        <v>760</v>
      </c>
      <c r="H103" s="53">
        <f>966.3+(290.7+146.9+57.4)</f>
        <v>1461.3</v>
      </c>
      <c r="I103" s="68" t="e">
        <f ca="1">H89</f>
        <v>#VALUE!</v>
      </c>
      <c r="J103" s="71" t="e">
        <f ca="1">I103/H103</f>
        <v>#VALUE!</v>
      </c>
      <c r="L103">
        <v>966.3</v>
      </c>
      <c r="M103" s="62"/>
    </row>
    <row r="104" spans="1:13" x14ac:dyDescent="0.25">
      <c r="A104" t="s">
        <v>1194</v>
      </c>
      <c r="B104">
        <f>SUMIF('Extraction carto QGIS'!E2:E1247,"PF",'Extraction carto QGIS'!G2:G1247)</f>
        <v>0</v>
      </c>
      <c r="G104" s="13" t="s">
        <v>706</v>
      </c>
      <c r="H104" s="53">
        <f>1004.9</f>
        <v>1004.9</v>
      </c>
      <c r="I104" s="68" t="e">
        <f ca="1">H90</f>
        <v>#VALUE!</v>
      </c>
      <c r="J104" s="71" t="e">
        <f t="shared" ref="J104:J118" ca="1" si="9">I104/H104</f>
        <v>#VALUE!</v>
      </c>
      <c r="M104" s="63"/>
    </row>
    <row r="105" spans="1:13" x14ac:dyDescent="0.25">
      <c r="A105" t="s">
        <v>1193</v>
      </c>
      <c r="B105">
        <f>B102-B103-B104</f>
        <v>788.79899999999873</v>
      </c>
      <c r="G105" s="13" t="s">
        <v>12</v>
      </c>
      <c r="H105" s="57">
        <f>520.2+546.9+(605.9-290.7-146.9-57.4)</f>
        <v>1178</v>
      </c>
      <c r="I105" s="69" t="e">
        <f ca="1">H91+H92</f>
        <v>#VALUE!</v>
      </c>
      <c r="J105" s="71" t="e">
        <f ca="1">I106/H106</f>
        <v>#VALUE!</v>
      </c>
      <c r="L105">
        <v>605.9</v>
      </c>
    </row>
    <row r="106" spans="1:13" ht="15.6" x14ac:dyDescent="0.3">
      <c r="A106" t="s">
        <v>701</v>
      </c>
      <c r="B106" s="21" t="e">
        <f ca="1">B14+B42+B58+B84+B71+B28</f>
        <v>#VALUE!</v>
      </c>
      <c r="D106" s="10"/>
      <c r="G106" s="50" t="s">
        <v>761</v>
      </c>
      <c r="H106" s="51">
        <f>(67.4+69.6+161.3+39.3)*39%</f>
        <v>131.66400000000002</v>
      </c>
      <c r="I106" s="70" t="e">
        <f ca="1">H92</f>
        <v>#VALUE!</v>
      </c>
      <c r="J106" s="71" t="e">
        <f t="shared" ca="1" si="9"/>
        <v>#VALUE!</v>
      </c>
      <c r="L106">
        <v>546.9</v>
      </c>
      <c r="M106" t="s">
        <v>1196</v>
      </c>
    </row>
    <row r="107" spans="1:13" ht="15.6" x14ac:dyDescent="0.3">
      <c r="A107" t="s">
        <v>702</v>
      </c>
      <c r="B107" s="21" t="e">
        <f ca="1">B105-B106</f>
        <v>#VALUE!</v>
      </c>
      <c r="D107" s="10"/>
      <c r="G107" s="13" t="s">
        <v>89</v>
      </c>
      <c r="H107" s="56">
        <v>463.5</v>
      </c>
      <c r="I107" s="68" t="e">
        <f ca="1">H93</f>
        <v>#VALUE!</v>
      </c>
      <c r="J107" s="71">
        <f>I117/H117</f>
        <v>0</v>
      </c>
      <c r="L107">
        <v>520.20000000000005</v>
      </c>
    </row>
    <row r="108" spans="1:13" ht="15.6" x14ac:dyDescent="0.3">
      <c r="A108" s="13"/>
      <c r="B108" s="4"/>
      <c r="D108" s="10"/>
      <c r="G108" s="13" t="s">
        <v>41</v>
      </c>
      <c r="H108" s="53">
        <f>96+13.7</f>
        <v>109.7</v>
      </c>
      <c r="I108" s="68" t="e">
        <f ca="1">H94</f>
        <v>#VALUE!</v>
      </c>
      <c r="J108" s="71">
        <f t="shared" ref="J108" si="10">I118/H118</f>
        <v>0</v>
      </c>
      <c r="L108" s="55">
        <v>463.5</v>
      </c>
    </row>
    <row r="109" spans="1:13" x14ac:dyDescent="0.25">
      <c r="A109" s="13"/>
      <c r="B109" s="4"/>
      <c r="D109" s="2"/>
      <c r="E109" s="2"/>
      <c r="G109" s="13" t="s">
        <v>764</v>
      </c>
      <c r="H109" s="53">
        <f>175167</f>
        <v>175167</v>
      </c>
      <c r="I109" s="68" t="e">
        <f ca="1">H96</f>
        <v>#VALUE!</v>
      </c>
      <c r="J109" s="71" t="e">
        <f ca="1">I109/H109</f>
        <v>#VALUE!</v>
      </c>
      <c r="L109" s="55">
        <v>434.9</v>
      </c>
    </row>
    <row r="110" spans="1:13" x14ac:dyDescent="0.25">
      <c r="A110" s="75" t="s">
        <v>788</v>
      </c>
      <c r="B110" s="4" t="s">
        <v>789</v>
      </c>
      <c r="G110" s="13" t="s">
        <v>763</v>
      </c>
      <c r="H110" s="53">
        <v>1793</v>
      </c>
      <c r="I110" s="68">
        <v>0</v>
      </c>
      <c r="J110" s="71">
        <f>I110/H110</f>
        <v>0</v>
      </c>
      <c r="L110" s="55">
        <v>122.9</v>
      </c>
    </row>
    <row r="111" spans="1:13" x14ac:dyDescent="0.25">
      <c r="A111" s="13" t="s">
        <v>695</v>
      </c>
      <c r="B111" s="26">
        <f>E14+E42+E58+E84+E28+E71</f>
        <v>33.17</v>
      </c>
      <c r="G111" s="13" t="s">
        <v>357</v>
      </c>
      <c r="H111" s="53">
        <f>122.9</f>
        <v>122.9</v>
      </c>
      <c r="I111" s="68" t="e">
        <f ca="1">H96</f>
        <v>#VALUE!</v>
      </c>
      <c r="J111" s="71" t="e">
        <f ca="1">I111/H111</f>
        <v>#VALUE!</v>
      </c>
      <c r="L111" s="55">
        <v>120.3</v>
      </c>
    </row>
    <row r="112" spans="1:13" x14ac:dyDescent="0.25">
      <c r="A112" s="13" t="s">
        <v>790</v>
      </c>
      <c r="B112" s="84" t="e">
        <f ca="1">B111/H97</f>
        <v>#VALUE!</v>
      </c>
      <c r="C112" t="s">
        <v>965</v>
      </c>
      <c r="G112" s="13" t="s">
        <v>754</v>
      </c>
      <c r="H112" s="52">
        <f>H103+H104+H105+H107+H108+H109+H110+H111</f>
        <v>181300.3</v>
      </c>
      <c r="I112" s="52" t="e">
        <f ca="1">+I103+I104+I105+I107+I108+I109+I110+I111</f>
        <v>#VALUE!</v>
      </c>
      <c r="J112" s="72" t="e">
        <f ca="1">I112/H112</f>
        <v>#VALUE!</v>
      </c>
      <c r="L112" s="55">
        <v>96</v>
      </c>
    </row>
    <row r="113" spans="3:13" ht="13.8" x14ac:dyDescent="0.25">
      <c r="C113" s="68">
        <f>E85+E43+E15+E59+E29+E72</f>
        <v>14</v>
      </c>
      <c r="D113" s="5"/>
      <c r="E113" s="5"/>
      <c r="G113" s="61" t="s">
        <v>771</v>
      </c>
      <c r="H113" s="59"/>
      <c r="L113" s="55">
        <v>13.7</v>
      </c>
    </row>
    <row r="114" spans="3:13" x14ac:dyDescent="0.25">
      <c r="C114" s="71">
        <f>C113/H98</f>
        <v>0.22222222222222221</v>
      </c>
      <c r="G114" s="58" t="s">
        <v>767</v>
      </c>
      <c r="H114" s="60">
        <v>120.3</v>
      </c>
      <c r="I114">
        <v>0</v>
      </c>
      <c r="J114" s="71">
        <f>I114/H114</f>
        <v>0</v>
      </c>
      <c r="L114" s="2">
        <f ca="1">SUM(L102:L123)</f>
        <v>0</v>
      </c>
      <c r="M114" t="s">
        <v>768</v>
      </c>
    </row>
    <row r="115" spans="3:13" x14ac:dyDescent="0.25">
      <c r="G115" s="58" t="s">
        <v>766</v>
      </c>
      <c r="H115" s="60">
        <v>663.9</v>
      </c>
      <c r="I115">
        <v>0</v>
      </c>
      <c r="J115" s="71">
        <f>I115/H115</f>
        <v>0</v>
      </c>
      <c r="L115" s="54"/>
    </row>
    <row r="116" spans="3:13" x14ac:dyDescent="0.25">
      <c r="G116" s="58" t="s">
        <v>769</v>
      </c>
      <c r="H116" s="60">
        <v>434.9</v>
      </c>
      <c r="I116">
        <v>0</v>
      </c>
      <c r="J116" s="71">
        <f>I116/H116</f>
        <v>0</v>
      </c>
      <c r="K116" t="s">
        <v>771</v>
      </c>
      <c r="L116" s="55">
        <f>175167</f>
        <v>175167</v>
      </c>
      <c r="M116" t="s">
        <v>772</v>
      </c>
    </row>
    <row r="117" spans="3:13" x14ac:dyDescent="0.25">
      <c r="G117" s="58" t="s">
        <v>774</v>
      </c>
      <c r="H117">
        <f>SUM(H114:H116)</f>
        <v>1219.0999999999999</v>
      </c>
      <c r="I117">
        <f>SUM(I114:I116)</f>
        <v>0</v>
      </c>
      <c r="J117" s="71">
        <f t="shared" si="9"/>
        <v>0</v>
      </c>
      <c r="K117" t="s">
        <v>765</v>
      </c>
      <c r="L117" s="55">
        <v>663.9</v>
      </c>
    </row>
    <row r="118" spans="3:13" x14ac:dyDescent="0.25">
      <c r="G118" s="64" t="s">
        <v>770</v>
      </c>
      <c r="H118" s="66">
        <f>H112+H117</f>
        <v>182519.4</v>
      </c>
      <c r="I118" s="66">
        <f>I122+I117</f>
        <v>0</v>
      </c>
      <c r="J118" s="74">
        <f t="shared" si="9"/>
        <v>0</v>
      </c>
      <c r="K118" t="s">
        <v>766</v>
      </c>
      <c r="L118" s="55">
        <v>1793</v>
      </c>
    </row>
    <row r="119" spans="3:13" x14ac:dyDescent="0.25">
      <c r="K119" t="s">
        <v>763</v>
      </c>
    </row>
    <row r="120" spans="3:13" x14ac:dyDescent="0.25">
      <c r="L120" s="65" t="s">
        <v>773</v>
      </c>
      <c r="M120" s="65">
        <f>L124+L126+L117+L118</f>
        <v>2456.9</v>
      </c>
    </row>
  </sheetData>
  <mergeCells count="6">
    <mergeCell ref="A1:B1"/>
    <mergeCell ref="D1:E1"/>
    <mergeCell ref="D18:E18"/>
    <mergeCell ref="G18:H18"/>
    <mergeCell ref="D61:E61"/>
    <mergeCell ref="G61:H61"/>
  </mergeCells>
  <phoneticPr fontId="21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1950D-4C1C-4237-8C16-68AD40D5AABD}">
  <sheetPr>
    <pageSetUpPr fitToPage="1"/>
  </sheetPr>
  <dimension ref="A1:M121"/>
  <sheetViews>
    <sheetView view="pageBreakPreview" zoomScale="90" zoomScaleNormal="41" zoomScaleSheetLayoutView="90" workbookViewId="0">
      <pane ySplit="2" topLeftCell="A3" activePane="bottomLeft" state="frozen"/>
      <selection pane="bottomLeft" activeCell="D21" sqref="D21"/>
    </sheetView>
  </sheetViews>
  <sheetFormatPr baseColWidth="10" defaultRowHeight="13.2" x14ac:dyDescent="0.25"/>
  <cols>
    <col min="1" max="1" width="45.77734375" bestFit="1" customWidth="1"/>
    <col min="2" max="2" width="17.77734375" bestFit="1" customWidth="1"/>
    <col min="4" max="4" width="20.5546875" customWidth="1"/>
    <col min="5" max="5" width="17.77734375" bestFit="1" customWidth="1"/>
    <col min="7" max="7" width="38.44140625" bestFit="1" customWidth="1"/>
    <col min="8" max="8" width="17.77734375" bestFit="1" customWidth="1"/>
    <col min="9" max="9" width="23.77734375" customWidth="1"/>
    <col min="10" max="10" width="23.21875" customWidth="1"/>
    <col min="11" max="12" width="29" customWidth="1"/>
    <col min="13" max="13" width="17.77734375" bestFit="1" customWidth="1"/>
  </cols>
  <sheetData>
    <row r="1" spans="1:11" ht="118.5" customHeight="1" x14ac:dyDescent="0.25">
      <c r="A1" s="165" t="s">
        <v>1222</v>
      </c>
      <c r="B1" s="165"/>
      <c r="C1" s="165"/>
      <c r="D1" s="165"/>
      <c r="E1" s="165"/>
      <c r="F1" s="165"/>
      <c r="G1" s="165"/>
      <c r="H1" s="165"/>
      <c r="I1" s="165"/>
    </row>
    <row r="2" spans="1:11" ht="79.05" customHeight="1" x14ac:dyDescent="0.25">
      <c r="A2" s="166" t="s">
        <v>689</v>
      </c>
      <c r="B2" s="166"/>
      <c r="C2" s="160"/>
      <c r="D2" s="166" t="s">
        <v>690</v>
      </c>
      <c r="E2" s="166"/>
      <c r="F2" s="160"/>
      <c r="G2" s="161" t="s">
        <v>696</v>
      </c>
    </row>
    <row r="3" spans="1:11" ht="15.6" x14ac:dyDescent="0.3">
      <c r="A3" s="141"/>
      <c r="B3" s="141"/>
      <c r="D3" s="141"/>
      <c r="E3" s="141"/>
      <c r="G3" s="1"/>
    </row>
    <row r="4" spans="1:11" ht="15.6" x14ac:dyDescent="0.3">
      <c r="A4" s="25" t="s">
        <v>703</v>
      </c>
      <c r="B4" s="25"/>
      <c r="C4" s="13"/>
      <c r="D4" s="25" t="s">
        <v>703</v>
      </c>
      <c r="E4" s="22"/>
      <c r="G4" s="20" t="s">
        <v>703</v>
      </c>
    </row>
    <row r="5" spans="1:11" ht="15.6" x14ac:dyDescent="0.3">
      <c r="A5" s="23" t="s">
        <v>1190</v>
      </c>
      <c r="B5" s="24"/>
      <c r="D5" s="23" t="s">
        <v>1190</v>
      </c>
      <c r="E5" s="24"/>
      <c r="G5" s="23" t="s">
        <v>1190</v>
      </c>
      <c r="H5" s="24"/>
      <c r="I5" s="55"/>
      <c r="J5" s="55"/>
      <c r="K5" s="55"/>
    </row>
    <row r="6" spans="1:11" x14ac:dyDescent="0.25">
      <c r="A6" s="2" t="s">
        <v>650</v>
      </c>
      <c r="B6" s="2" t="s">
        <v>655</v>
      </c>
      <c r="D6" s="2" t="s">
        <v>650</v>
      </c>
      <c r="E6" s="2" t="s">
        <v>655</v>
      </c>
      <c r="G6" s="2" t="s">
        <v>650</v>
      </c>
      <c r="H6" s="2" t="s">
        <v>655</v>
      </c>
      <c r="I6" s="112"/>
      <c r="J6" s="113"/>
      <c r="K6" s="113"/>
    </row>
    <row r="7" spans="1:11" x14ac:dyDescent="0.25">
      <c r="A7" t="s">
        <v>652</v>
      </c>
      <c r="B7" s="15">
        <f>SUMIFS('Extraction carto QGIS'!G$2:G$1247,'Extraction carto QGIS'!F$2:F$1247,"Cultures fruitieres",'Extraction carto QGIS'!L$2:L$1247,"AR",'Extraction carto QGIS'!E$2:E$1247,"Sud")</f>
        <v>79.290999999999968</v>
      </c>
      <c r="D7" t="s">
        <v>652</v>
      </c>
      <c r="E7" s="26">
        <f>SUMIFS('Exploitation non cartographiées'!C$2:C$16,'Exploitation non cartographiées'!D$2:D$16,"Cultures fruitières",'Exploitation non cartographiées'!E$2:E$16,"AR",'Exploitation non cartographiées'!G$2:G$16,"Sud")</f>
        <v>12</v>
      </c>
      <c r="G7" t="s">
        <v>652</v>
      </c>
      <c r="H7" s="15">
        <f>B7+E7</f>
        <v>91.290999999999968</v>
      </c>
      <c r="I7" s="112"/>
      <c r="J7" s="55"/>
      <c r="K7" s="114"/>
    </row>
    <row r="8" spans="1:11" x14ac:dyDescent="0.25">
      <c r="A8" t="s">
        <v>706</v>
      </c>
      <c r="B8" s="15">
        <f>SUMIFS('Extraction carto QGIS'!G$2:G$1247,'Extraction carto QGIS'!F$2:F$1247,"Cereales",'Extraction carto QGIS'!L$2:L$1247,"AR",'Extraction carto QGIS'!E$2:E$1247,"Sud")</f>
        <v>39.180999999999997</v>
      </c>
      <c r="D8" t="s">
        <v>706</v>
      </c>
      <c r="E8" s="26">
        <f>SUMIFS('Exploitation non cartographiées'!C$2:C$16,'Exploitation non cartographiées'!D$2:D$16,"Céréales",'Exploitation non cartographiées'!E$2:E$16,"AR",'Exploitation non cartographiées'!G$2:G$16,"Sud")</f>
        <v>0</v>
      </c>
      <c r="G8" t="s">
        <v>706</v>
      </c>
      <c r="H8" s="15">
        <f t="shared" ref="H8:H10" si="0">B8+E8</f>
        <v>39.180999999999997</v>
      </c>
      <c r="I8" s="115"/>
      <c r="J8" s="116"/>
      <c r="K8" s="116"/>
    </row>
    <row r="9" spans="1:11" x14ac:dyDescent="0.25">
      <c r="A9" t="s">
        <v>653</v>
      </c>
      <c r="B9" s="15">
        <f>SUMIFS('Extraction carto QGIS'!G$2:G$1247,'Extraction carto QGIS'!F$2:F$1247,"Maraichage",'Extraction carto QGIS'!L$2:L$1247,"AR",'Extraction carto QGIS'!E$2:E$1247,"Sud",'Extraction carto QGIS'!K$2:K$1247,"NON")</f>
        <v>65.734999999999985</v>
      </c>
      <c r="D9" t="s">
        <v>653</v>
      </c>
      <c r="E9" s="26">
        <f>SUMIFS('Exploitation non cartographiées'!C$2:C$16,'Exploitation non cartographiées'!D$2:D$16,"Maraichage",'Exploitation non cartographiées'!E$2:E$16,"AR",'Exploitation non cartographiées'!F$2:F$16,"NON",'Exploitation non cartographiées'!G$2:G$16,"Sud")</f>
        <v>0</v>
      </c>
      <c r="G9" t="s">
        <v>653</v>
      </c>
      <c r="H9" s="15">
        <f>B9+E9</f>
        <v>65.734999999999985</v>
      </c>
    </row>
    <row r="10" spans="1:11" x14ac:dyDescent="0.25">
      <c r="A10" t="s">
        <v>654</v>
      </c>
      <c r="B10" s="15">
        <f>SUMIFS('Extraction carto QGIS'!G$2:G$1247,'Extraction carto QGIS'!F$2:F$1247,"Maraichage",'Extraction carto QGIS'!L$2:L$1247,"AR",'Extraction carto QGIS'!E$2:E$1247,"Sud",'Extraction carto QGIS'!K$2:K$1247,"OUI")</f>
        <v>3.572999999999996</v>
      </c>
      <c r="D10" t="s">
        <v>654</v>
      </c>
      <c r="E10" s="26">
        <f>SUMIFS('Exploitation non cartographiées'!C$2:C$16,'Exploitation non cartographiées'!D$2:D$16,"Maraichage",'Exploitation non cartographiées'!E$2:E$16,"AR",'Exploitation non cartographiées'!F$2:F$16,"OUI",'Exploitation non cartographiées'!G$2:G$16,"Sud")</f>
        <v>10.5</v>
      </c>
      <c r="G10" t="s">
        <v>654</v>
      </c>
      <c r="H10" s="15">
        <f t="shared" si="0"/>
        <v>14.072999999999997</v>
      </c>
      <c r="J10" s="68"/>
      <c r="K10" s="117"/>
    </row>
    <row r="11" spans="1:11" x14ac:dyDescent="0.25">
      <c r="A11" t="s">
        <v>89</v>
      </c>
      <c r="B11" s="15">
        <f>SUMIFS('Extraction carto QGIS'!G$2:G1247,'Extraction carto QGIS'!F$2:F$1247,"Tubercules tropicaux",'Extraction carto QGIS'!L$2:L$1247,"AR",'Extraction carto QGIS'!E$2:E$1247,"Sud")</f>
        <v>2.6500000000000004</v>
      </c>
      <c r="D11" t="s">
        <v>89</v>
      </c>
      <c r="E11" s="26">
        <f>SUMIFS('Exploitation non cartographiées'!C$2:C$16,'Exploitation non cartographiées'!D$2:D$16,"Tubercules tropicaux",'Exploitation non cartographiées'!E$2:E$16,"AR",'Exploitation non cartographiées'!G$2:G$16,"Sud")</f>
        <v>0</v>
      </c>
      <c r="G11" t="s">
        <v>89</v>
      </c>
      <c r="H11" s="15">
        <f>B11+E11</f>
        <v>2.6500000000000004</v>
      </c>
      <c r="J11" s="68"/>
      <c r="K11" s="117"/>
    </row>
    <row r="12" spans="1:11" x14ac:dyDescent="0.25">
      <c r="A12" t="s">
        <v>41</v>
      </c>
      <c r="B12" s="15">
        <f>SUMIFS('Extraction carto QGIS'!G$2:G$1247,'Extraction carto QGIS'!F$2:F$1247,"Horticulture",'Extraction carto QGIS'!L$2:L$1247,"AR",'Extraction carto QGIS'!E$2:E$1247,"Sud")</f>
        <v>9.8649999999999913</v>
      </c>
      <c r="D12" t="s">
        <v>41</v>
      </c>
      <c r="E12" s="26">
        <f>SUMIFS('Exploitation non cartographiées'!C$2:C$16,'Exploitation non cartographiées'!D$2:D$16,"Horticulture",'Exploitation non cartographiées'!E$2:E$16,"AR",'Exploitation non cartographiées'!G$2:G$16,"Sud")</f>
        <v>0</v>
      </c>
      <c r="G12" t="s">
        <v>41</v>
      </c>
      <c r="H12" s="15">
        <f>B12+E12</f>
        <v>9.8649999999999913</v>
      </c>
    </row>
    <row r="13" spans="1:11" x14ac:dyDescent="0.25">
      <c r="A13" t="s">
        <v>707</v>
      </c>
      <c r="B13" s="15">
        <f>SUMIFS('Extraction carto QGIS'!G$2:G$1247,'Extraction carto QGIS'!F$2:F$1247,"Prairies et paturages",'Extraction carto QGIS'!L$2:L$1247,"AR",'Extraction carto QGIS'!E$2:E$1247,"Sud")</f>
        <v>0</v>
      </c>
      <c r="D13" t="s">
        <v>707</v>
      </c>
      <c r="E13" s="26">
        <f>SUMIFS('Exploitation non cartographiées'!C$2:C$16,'Exploitation non cartographiées'!D$2:D$16,"Prairies et pâturages",'Exploitation non cartographiées'!E$2:E$16,"AR",'Exploitation non cartographiées'!G$2:G$16,"Sud")</f>
        <v>0</v>
      </c>
      <c r="G13" t="s">
        <v>707</v>
      </c>
      <c r="H13" s="15">
        <f>E13+B13</f>
        <v>0</v>
      </c>
    </row>
    <row r="14" spans="1:11" x14ac:dyDescent="0.25">
      <c r="A14" t="s">
        <v>357</v>
      </c>
      <c r="B14" s="15">
        <f>SUMIFS('Extraction carto QGIS'!G$2:G$1247,'Extraction carto QGIS'!F$2:F$1247,"Autres",'Extraction carto QGIS'!L$2:L$1247,"AR",'Extraction carto QGIS'!E$2:E$1247,"Sud")</f>
        <v>0</v>
      </c>
      <c r="D14" t="s">
        <v>357</v>
      </c>
      <c r="E14" s="26">
        <f>SUMIFS('Exploitation non cartographiées'!C$2:C$16,'Exploitation non cartographiées'!D$2:D$16,"Autres",'Exploitation non cartographiées'!E$2:E$16,"AR",'Exploitation non cartographiées'!G$2:G$16,"Sud")</f>
        <v>0</v>
      </c>
      <c r="G14" t="s">
        <v>357</v>
      </c>
      <c r="H14" s="15">
        <f>B14+E14</f>
        <v>0</v>
      </c>
    </row>
    <row r="15" spans="1:11" ht="13.8" x14ac:dyDescent="0.25">
      <c r="A15" s="5" t="s">
        <v>656</v>
      </c>
      <c r="B15" s="16">
        <f>SUM(B7:B14)</f>
        <v>200.29499999999993</v>
      </c>
      <c r="D15" s="5" t="s">
        <v>656</v>
      </c>
      <c r="E15" s="27">
        <f>SUM(E7:E14)</f>
        <v>22.5</v>
      </c>
      <c r="G15" s="5" t="s">
        <v>656</v>
      </c>
      <c r="H15" s="16">
        <f>SUM(H7:H14)</f>
        <v>222.79499999999996</v>
      </c>
    </row>
    <row r="16" spans="1:11" x14ac:dyDescent="0.25">
      <c r="A16" t="s">
        <v>658</v>
      </c>
      <c r="B16" s="4">
        <v>31</v>
      </c>
      <c r="D16" t="s">
        <v>694</v>
      </c>
      <c r="E16" s="28">
        <v>3</v>
      </c>
      <c r="G16" t="s">
        <v>697</v>
      </c>
      <c r="H16" s="15">
        <f>B16+E16</f>
        <v>34</v>
      </c>
    </row>
    <row r="17" spans="1:10" x14ac:dyDescent="0.25">
      <c r="B17" s="4"/>
      <c r="E17" s="28"/>
      <c r="H17" s="15"/>
    </row>
    <row r="18" spans="1:10" x14ac:dyDescent="0.25">
      <c r="B18" s="4"/>
      <c r="E18" s="28"/>
      <c r="H18" s="15"/>
    </row>
    <row r="19" spans="1:10" ht="15.6" x14ac:dyDescent="0.3">
      <c r="A19" s="23" t="s">
        <v>1212</v>
      </c>
      <c r="B19" s="23"/>
      <c r="D19" s="163" t="s">
        <v>1212</v>
      </c>
      <c r="E19" s="163"/>
      <c r="G19" s="163" t="s">
        <v>1212</v>
      </c>
      <c r="H19" s="163"/>
    </row>
    <row r="20" spans="1:10" x14ac:dyDescent="0.25">
      <c r="A20" s="2" t="s">
        <v>650</v>
      </c>
      <c r="B20" s="128" t="s">
        <v>655</v>
      </c>
      <c r="D20" s="2" t="s">
        <v>650</v>
      </c>
      <c r="E20" s="128" t="s">
        <v>655</v>
      </c>
      <c r="G20" s="2" t="s">
        <v>650</v>
      </c>
      <c r="H20" s="128" t="s">
        <v>655</v>
      </c>
    </row>
    <row r="21" spans="1:10" x14ac:dyDescent="0.25">
      <c r="A21" t="s">
        <v>652</v>
      </c>
      <c r="B21" s="15">
        <f>SUMIFS('Extraction carto QGIS'!G$2:G$1247,'Extraction carto QGIS'!F$2:F$1247,"Cultures fruitieres",'Extraction carto QGIS'!L$2:L$1247,"BIO",'Extraction carto QGIS'!E$2:E$1247,"Sud")</f>
        <v>6.7340000000000009</v>
      </c>
      <c r="D21" t="s">
        <v>652</v>
      </c>
      <c r="E21" s="26">
        <f>SUMIFS('Exploitation non cartographiées'!C$2:C$16,'Exploitation non cartographiées'!D$2:D$16,"Cultures fruitières",'Exploitation non cartographiées'!E$2:E$16,"BIO",'Exploitation non cartographiées'!G$2:G$16,"Sud")</f>
        <v>0</v>
      </c>
      <c r="G21" t="s">
        <v>652</v>
      </c>
      <c r="H21" s="26">
        <f t="shared" ref="H21:H28" si="1">E21+B21</f>
        <v>6.7340000000000009</v>
      </c>
    </row>
    <row r="22" spans="1:10" x14ac:dyDescent="0.25">
      <c r="A22" t="s">
        <v>706</v>
      </c>
      <c r="B22" s="15">
        <f>SUMIFS('Extraction carto QGIS'!G$2:G$1247,'Extraction carto QGIS'!F$2:F$1247,"Cereales",'Extraction carto QGIS'!L$2:L$1247,"BIO",'Extraction carto QGIS'!E$2:E$1247,"Sud")</f>
        <v>0</v>
      </c>
      <c r="D22" t="s">
        <v>706</v>
      </c>
      <c r="E22" s="26">
        <f>SUMIFS('Exploitation non cartographiées'!C$2:C$16,'Exploitation non cartographiées'!D$2:D$16,"Céréales",'Exploitation non cartographiées'!E$2:E$16,"BIO",'Exploitation non cartographiées'!G$2:G$16,"Sud")</f>
        <v>0</v>
      </c>
      <c r="G22" t="s">
        <v>706</v>
      </c>
      <c r="H22" s="26">
        <f t="shared" si="1"/>
        <v>0</v>
      </c>
    </row>
    <row r="23" spans="1:10" x14ac:dyDescent="0.25">
      <c r="A23" t="s">
        <v>653</v>
      </c>
      <c r="B23" s="15">
        <f>SUMIFS('Extraction carto QGIS'!G$2:G$1247,'Extraction carto QGIS'!F$2:F$1247,"Maraichage",'Extraction carto QGIS'!L$2:L$1247,"BIO",'Extraction carto QGIS'!E$2:E$1247,"Sud",'Extraction carto QGIS'!K$2:K$1247,"NON")</f>
        <v>10.009</v>
      </c>
      <c r="D23" t="s">
        <v>653</v>
      </c>
      <c r="E23" s="26">
        <f>SUMIFS('Exploitation non cartographiées'!C$2:C$16,'Exploitation non cartographiées'!D$2:D$16,"Maraichage",'Exploitation non cartographiées'!E$2:E$16,"BIO",'Exploitation non cartographiées'!F$2:F$16,"NON",'Exploitation non cartographiées'!G$2:G$16,"Sud")</f>
        <v>1.3</v>
      </c>
      <c r="G23" t="s">
        <v>653</v>
      </c>
      <c r="H23" s="26">
        <f t="shared" si="1"/>
        <v>11.309000000000001</v>
      </c>
    </row>
    <row r="24" spans="1:10" x14ac:dyDescent="0.25">
      <c r="A24" t="s">
        <v>654</v>
      </c>
      <c r="B24" s="15">
        <f>SUMIFS('Extraction carto QGIS'!G$2:G$1247,'Extraction carto QGIS'!F$2:F$1247,"Maraichage",'Extraction carto QGIS'!L$2:L$1247,"BIO",'Extraction carto QGIS'!E$2:E$1247,"Sud",'Extraction carto QGIS'!K$2:K$1247,"OUI")</f>
        <v>0</v>
      </c>
      <c r="D24" t="s">
        <v>654</v>
      </c>
      <c r="E24" s="26">
        <f>SUMIFS('Exploitation non cartographiées'!C$2:C$16,'Exploitation non cartographiées'!D$2:D$16,"Maraichage",'Exploitation non cartographiées'!E$2:E$16,"BIO",'Exploitation non cartographiées'!F$2:F$16,"OUI",'Exploitation non cartographiées'!G$2:G$16,"Sud")</f>
        <v>0</v>
      </c>
      <c r="G24" t="s">
        <v>654</v>
      </c>
      <c r="H24" s="26">
        <f t="shared" si="1"/>
        <v>0</v>
      </c>
    </row>
    <row r="25" spans="1:10" x14ac:dyDescent="0.25">
      <c r="A25" t="s">
        <v>89</v>
      </c>
      <c r="B25" s="15">
        <f>SUMIFS('Extraction carto QGIS'!G$2:G$1247,'Extraction carto QGIS'!F$2:F$1247,"Tubercules tropicaux",'Extraction carto QGIS'!L$2:L$1247,"BIO",'Extraction carto QGIS'!E$2:E$1247,"Sud")</f>
        <v>0</v>
      </c>
      <c r="D25" t="s">
        <v>89</v>
      </c>
      <c r="E25" s="26">
        <f>SUMIFS('Exploitation non cartographiées'!C$2:C$16,'Exploitation non cartographiées'!D$2:D$16,"Tubercules tropicaux",'Exploitation non cartographiées'!E$2:E$16,"BIO",'Exploitation non cartographiées'!G$2:G$16,"Sud")</f>
        <v>0.1</v>
      </c>
      <c r="G25" t="s">
        <v>89</v>
      </c>
      <c r="H25" s="26">
        <f t="shared" si="1"/>
        <v>0.1</v>
      </c>
      <c r="J25" s="21"/>
    </row>
    <row r="26" spans="1:10" x14ac:dyDescent="0.25">
      <c r="A26" t="s">
        <v>41</v>
      </c>
      <c r="B26" s="15">
        <f>SUMIFS('Extraction carto QGIS'!G$2:G$1247,'Extraction carto QGIS'!F$2:F$1247,"Horticulture",'Extraction carto QGIS'!L$2:L$1247,"BIO",'Extraction carto QGIS'!E$2:E$1247,"Sud")</f>
        <v>6.0000000000000001E-3</v>
      </c>
      <c r="D26" t="s">
        <v>41</v>
      </c>
      <c r="E26" s="26">
        <f>SUMIFS('Exploitation non cartographiées'!C$2:C$16,'Exploitation non cartographiées'!D$2:D$16,"Horticulture",'Exploitation non cartographiées'!E$2:E$16,"BIO",'Exploitation non cartographiées'!G$2:G$16,"Sud")</f>
        <v>0</v>
      </c>
      <c r="G26" t="s">
        <v>41</v>
      </c>
      <c r="H26" s="26">
        <f t="shared" si="1"/>
        <v>6.0000000000000001E-3</v>
      </c>
    </row>
    <row r="27" spans="1:10" x14ac:dyDescent="0.25">
      <c r="A27" t="s">
        <v>707</v>
      </c>
      <c r="B27" s="15">
        <f>SUMIFS('Extraction carto QGIS'!G$2:G$1247,'Extraction carto QGIS'!F$2:F$1247,"Prairies et paturages",'Extraction carto QGIS'!L$2:L$1247,"BIO",'Extraction carto QGIS'!E$2:E$1247,"Sud")</f>
        <v>0</v>
      </c>
      <c r="D27" t="s">
        <v>707</v>
      </c>
      <c r="E27" s="26">
        <f>SUMIFS('Exploitation non cartographiées'!C$2:C$16,'Exploitation non cartographiées'!D$2:D$16,"Prairies et pâturages",'Exploitation non cartographiées'!E$2:E$16,"BIO",'Exploitation non cartographiées'!G$2:G$16,"Sud")</f>
        <v>0</v>
      </c>
      <c r="G27" t="s">
        <v>707</v>
      </c>
      <c r="H27" s="26">
        <f t="shared" si="1"/>
        <v>0</v>
      </c>
    </row>
    <row r="28" spans="1:10" x14ac:dyDescent="0.25">
      <c r="A28" t="s">
        <v>357</v>
      </c>
      <c r="B28" s="15">
        <f>SUMIFS('Extraction carto QGIS'!G$2:G$1247,'Extraction carto QGIS'!F$2:F$1247,"Autres",'Extraction carto QGIS'!L$2:L$1247,"BIO",'Extraction carto QGIS'!E$2:E$1247,"Sud")</f>
        <v>0</v>
      </c>
      <c r="D28" t="s">
        <v>357</v>
      </c>
      <c r="E28" s="26">
        <f>SUMIFS('Exploitation non cartographiées'!C$2:C$16,'Exploitation non cartographiées'!D$2:D$16,"Autres",'Exploitation non cartographiées'!E$2:E$16,"BIO",'Exploitation non cartographiées'!G$2:G$16,"Sud")</f>
        <v>0.5</v>
      </c>
      <c r="G28" t="s">
        <v>357</v>
      </c>
      <c r="H28" s="26">
        <f t="shared" si="1"/>
        <v>0.5</v>
      </c>
    </row>
    <row r="29" spans="1:10" ht="13.8" x14ac:dyDescent="0.25">
      <c r="A29" s="5" t="s">
        <v>656</v>
      </c>
      <c r="B29" s="15">
        <f>SUM(B21:B28)</f>
        <v>16.749000000000002</v>
      </c>
      <c r="D29" s="5" t="s">
        <v>656</v>
      </c>
      <c r="E29" s="26">
        <f>SUM(E21:E28)</f>
        <v>1.9000000000000001</v>
      </c>
      <c r="G29" s="5" t="s">
        <v>656</v>
      </c>
      <c r="H29" s="26">
        <f>SUM(H21:H28)</f>
        <v>18.649000000000004</v>
      </c>
    </row>
    <row r="30" spans="1:10" x14ac:dyDescent="0.25">
      <c r="A30" t="s">
        <v>658</v>
      </c>
      <c r="B30" s="4">
        <v>5</v>
      </c>
      <c r="D30" t="s">
        <v>1213</v>
      </c>
      <c r="E30" s="4">
        <v>3</v>
      </c>
      <c r="G30" t="s">
        <v>1213</v>
      </c>
      <c r="H30" s="4">
        <f>E30+B30</f>
        <v>8</v>
      </c>
    </row>
    <row r="31" spans="1:10" x14ac:dyDescent="0.25">
      <c r="B31" s="4"/>
      <c r="E31" s="28"/>
      <c r="H31" s="15"/>
    </row>
    <row r="33" spans="1:10" ht="15.6" x14ac:dyDescent="0.3">
      <c r="A33" s="23" t="s">
        <v>657</v>
      </c>
      <c r="B33" s="23"/>
      <c r="D33" s="23" t="s">
        <v>657</v>
      </c>
      <c r="E33" s="24"/>
      <c r="G33" s="23" t="s">
        <v>657</v>
      </c>
      <c r="H33" s="23"/>
    </row>
    <row r="34" spans="1:10" x14ac:dyDescent="0.25">
      <c r="A34" s="2" t="s">
        <v>650</v>
      </c>
      <c r="B34" s="2" t="s">
        <v>655</v>
      </c>
      <c r="D34" s="2" t="s">
        <v>650</v>
      </c>
      <c r="E34" s="2" t="s">
        <v>655</v>
      </c>
      <c r="G34" s="2" t="s">
        <v>650</v>
      </c>
      <c r="H34" s="2" t="s">
        <v>655</v>
      </c>
    </row>
    <row r="35" spans="1:10" x14ac:dyDescent="0.25">
      <c r="A35" s="13" t="s">
        <v>652</v>
      </c>
      <c r="B35" s="26">
        <f>SUMIFS('Extraction carto QGIS'!G2:G1247,'Extraction carto QGIS'!F2:F1247,"Cultures fruitieres",'Extraction carto QGIS'!L2:L1247,"NON",'Extraction carto QGIS'!E2:E1247,"Sud")</f>
        <v>1.1000000000000001</v>
      </c>
      <c r="D35" t="s">
        <v>652</v>
      </c>
      <c r="E35" s="26">
        <f>SUMIFS('Exploitation non cartographiées'!C$2:C$16,'Exploitation non cartographiées'!D$2:D$16,"Cultures fruitières",'Exploitation non cartographiées'!E$2:E$16,"NON",'Exploitation non cartographiées'!G2:G16,"Sud")</f>
        <v>3.8000000000000003</v>
      </c>
      <c r="G35" s="13" t="s">
        <v>652</v>
      </c>
      <c r="H35" s="26">
        <f t="shared" ref="H35:H42" si="2">B35+E35</f>
        <v>4.9000000000000004</v>
      </c>
    </row>
    <row r="36" spans="1:10" x14ac:dyDescent="0.25">
      <c r="A36" s="13" t="s">
        <v>706</v>
      </c>
      <c r="B36" s="26">
        <f>SUMIFS('Extraction carto QGIS'!G2:G1247,'Extraction carto QGIS'!F2:F1247,"Cereales",'Extraction carto QGIS'!L2:L1247,"NON",'Extraction carto QGIS'!E2:E1247,"Sud")</f>
        <v>0</v>
      </c>
      <c r="D36" t="s">
        <v>706</v>
      </c>
      <c r="E36" s="26">
        <f>SUMIFS('Exploitation non cartographiées'!C$2:C$16,'Exploitation non cartographiées'!D$2:D$16,"Céréales",'Exploitation non cartographiées'!E$2:E$16,"NON",'Exploitation non cartographiées'!G2:G16,"Sud")</f>
        <v>0</v>
      </c>
      <c r="F36" t="s">
        <v>712</v>
      </c>
      <c r="G36" s="13" t="s">
        <v>706</v>
      </c>
      <c r="H36" s="26">
        <f t="shared" si="2"/>
        <v>0</v>
      </c>
    </row>
    <row r="37" spans="1:10" x14ac:dyDescent="0.25">
      <c r="A37" s="13" t="s">
        <v>653</v>
      </c>
      <c r="B37" s="26">
        <f>SUMIFS('Extraction carto QGIS'!G$2:G1247,'Extraction carto QGIS'!F$2:F1247,"Maraichage",'Extraction carto QGIS'!L$2:L1247,"NON",'Extraction carto QGIS'!E$2:E1247,"Sud",'Extraction carto QGIS'!K2:K1247,"NON")</f>
        <v>1.1230000000000002</v>
      </c>
      <c r="D37" t="s">
        <v>653</v>
      </c>
      <c r="E37" s="26">
        <f>SUMIFS('Exploitation non cartographiées'!C$2:C$16,'Exploitation non cartographiées'!D$2:D$16,"Maraichage",'Exploitation non cartographiées'!E$2:E$16,"NON",'Exploitation non cartographiées'!F2:F16,"NON",'Exploitation non cartographiées'!G2:G16,"Sud")</f>
        <v>0.6</v>
      </c>
      <c r="G37" s="13" t="s">
        <v>653</v>
      </c>
      <c r="H37" s="26">
        <f t="shared" si="2"/>
        <v>1.7230000000000003</v>
      </c>
    </row>
    <row r="38" spans="1:10" x14ac:dyDescent="0.25">
      <c r="A38" s="13" t="s">
        <v>654</v>
      </c>
      <c r="B38" s="26">
        <f>SUMIFS('Extraction carto QGIS'!G$2:G1247,'Extraction carto QGIS'!F$2:F1247,"Maraichage",'Extraction carto QGIS'!L$2:L1247,"NON",'Extraction carto QGIS'!E$2:E1247,"Sud",'Extraction carto QGIS'!K2:K1247,"OUI")</f>
        <v>0.17199999999999999</v>
      </c>
      <c r="D38" t="s">
        <v>654</v>
      </c>
      <c r="E38" s="26">
        <f>SUMIFS('Exploitation non cartographiées'!C$2:C$16,'Exploitation non cartographiées'!D$2:D$16,"Maraichage",'Exploitation non cartographiées'!E$2:E$16,"NON",'Exploitation non cartographiées'!F2:F16,"OUI",'Exploitation non cartographiées'!G2:G16,"Sud")</f>
        <v>0.37</v>
      </c>
      <c r="G38" s="13" t="s">
        <v>654</v>
      </c>
      <c r="H38" s="26">
        <f t="shared" si="2"/>
        <v>0.54200000000000004</v>
      </c>
    </row>
    <row r="39" spans="1:10" x14ac:dyDescent="0.25">
      <c r="A39" s="13" t="s">
        <v>89</v>
      </c>
      <c r="B39" s="26">
        <f>SUMIFS('Extraction carto QGIS'!G2:G1247,'Extraction carto QGIS'!F2:F1247,"Tubercules tropicaux",'Extraction carto QGIS'!L2:L1247,"NON",'Extraction carto QGIS'!E2:E1247,"Sud")</f>
        <v>0.215</v>
      </c>
      <c r="D39" t="s">
        <v>89</v>
      </c>
      <c r="E39" s="26">
        <f>SUMIFS('Exploitation non cartographiées'!C$2:C$16,'Exploitation non cartographiées'!D$2:D$16,"Tubercules tropicaux",'Exploitation non cartographiées'!E$2:E$16,"NON",'Exploitation non cartographiées'!G2:G16,"Sud")</f>
        <v>0</v>
      </c>
      <c r="G39" s="13" t="s">
        <v>89</v>
      </c>
      <c r="H39" s="26">
        <f t="shared" si="2"/>
        <v>0.215</v>
      </c>
    </row>
    <row r="40" spans="1:10" x14ac:dyDescent="0.25">
      <c r="A40" s="13" t="s">
        <v>41</v>
      </c>
      <c r="B40" s="26">
        <f>SUMIFS('Extraction carto QGIS'!G2:G1247,'Extraction carto QGIS'!F2:F1247,"Horticulture",'Extraction carto QGIS'!L2:L1247,"NON",'Extraction carto QGIS'!E2:E1247,"Sud")</f>
        <v>0</v>
      </c>
      <c r="D40" t="s">
        <v>41</v>
      </c>
      <c r="E40" s="26">
        <f>SUMIFS('Exploitation non cartographiées'!C$2:C$16,'Exploitation non cartographiées'!D$2:D$16,"Horticulture",'Exploitation non cartographiées'!E$2:E$16,"NON",'Exploitation non cartographiées'!G2:G16,"Sud")</f>
        <v>0</v>
      </c>
      <c r="G40" t="s">
        <v>41</v>
      </c>
      <c r="H40" s="26">
        <f t="shared" si="2"/>
        <v>0</v>
      </c>
    </row>
    <row r="41" spans="1:10" x14ac:dyDescent="0.25">
      <c r="A41" t="s">
        <v>707</v>
      </c>
      <c r="B41" s="26">
        <f>SUMIFS('Extraction carto QGIS'!G2:G1247,'Extraction carto QGIS'!F2:F1247,"Prairies et paturages",'Extraction carto QGIS'!L2:L1247,"NON",'Extraction carto QGIS'!E2:E1247,"Sud")</f>
        <v>0</v>
      </c>
      <c r="D41" t="s">
        <v>707</v>
      </c>
      <c r="E41" s="26">
        <f>SUMIFS('Exploitation non cartographiées'!C$2:C$16,'Exploitation non cartographiées'!D$2:D$16,"Prairies et pâturages",'Exploitation non cartographiées'!E$2:E$16,"NON",'Exploitation non cartographiées'!G2:G16,"Sud")</f>
        <v>0</v>
      </c>
      <c r="G41" t="s">
        <v>707</v>
      </c>
      <c r="H41" s="26">
        <f t="shared" si="2"/>
        <v>0</v>
      </c>
    </row>
    <row r="42" spans="1:10" x14ac:dyDescent="0.25">
      <c r="A42" s="13" t="s">
        <v>357</v>
      </c>
      <c r="B42" s="26">
        <f>SUMIFS('Extraction carto QGIS'!G2:G1247,'Extraction carto QGIS'!F2:F1247,"Autres",'Extraction carto QGIS'!L2:L1247,"NON",'Extraction carto QGIS'!E2:E1247,"Sud")</f>
        <v>0</v>
      </c>
      <c r="D42" t="s">
        <v>357</v>
      </c>
      <c r="E42" s="26">
        <f>SUMIFS('Exploitation non cartographiées'!C$2:C$16,'Exploitation non cartographiées'!D$2:D$16,"Autres",'Exploitation non cartographiées'!E$2:E$16,"NON",'Exploitation non cartographiées'!G2:G16,"Sud")</f>
        <v>0</v>
      </c>
      <c r="G42" s="13" t="s">
        <v>357</v>
      </c>
      <c r="H42" s="26">
        <f t="shared" si="2"/>
        <v>0</v>
      </c>
    </row>
    <row r="43" spans="1:10" ht="13.8" x14ac:dyDescent="0.25">
      <c r="A43" s="14" t="s">
        <v>656</v>
      </c>
      <c r="B43" s="27">
        <f>SUM(B35:B42)</f>
        <v>2.6100000000000003</v>
      </c>
      <c r="D43" s="5" t="s">
        <v>656</v>
      </c>
      <c r="E43" s="27">
        <f>SUM(E35:E42)</f>
        <v>4.7700000000000005</v>
      </c>
      <c r="G43" s="14" t="s">
        <v>656</v>
      </c>
      <c r="H43" s="27">
        <f>SUM(H35:H42)</f>
        <v>7.3800000000000008</v>
      </c>
    </row>
    <row r="44" spans="1:10" x14ac:dyDescent="0.25">
      <c r="A44" s="13" t="s">
        <v>658</v>
      </c>
      <c r="B44" s="4">
        <v>4</v>
      </c>
      <c r="D44" t="s">
        <v>691</v>
      </c>
      <c r="E44" s="29">
        <v>7</v>
      </c>
      <c r="G44" s="13" t="s">
        <v>697</v>
      </c>
      <c r="H44" s="18">
        <f>B44+E44</f>
        <v>11</v>
      </c>
    </row>
    <row r="45" spans="1:10" x14ac:dyDescent="0.25">
      <c r="A45" s="13"/>
      <c r="B45" s="4"/>
      <c r="E45" s="15"/>
      <c r="G45" s="13"/>
      <c r="H45" s="17"/>
    </row>
    <row r="46" spans="1:10" x14ac:dyDescent="0.25">
      <c r="A46" s="13"/>
      <c r="B46" s="4"/>
      <c r="E46" s="15"/>
      <c r="G46" s="13"/>
      <c r="H46" s="17"/>
    </row>
    <row r="47" spans="1:10" x14ac:dyDescent="0.25">
      <c r="A47" s="13"/>
      <c r="B47" s="4"/>
      <c r="E47" s="15"/>
      <c r="G47" s="13"/>
      <c r="H47" s="17"/>
      <c r="J47" s="26"/>
    </row>
    <row r="48" spans="1:10" ht="13.8" x14ac:dyDescent="0.25">
      <c r="B48" s="159"/>
      <c r="D48" s="159"/>
      <c r="E48" s="141"/>
      <c r="G48" s="159"/>
      <c r="H48" s="159"/>
      <c r="J48" s="26"/>
    </row>
    <row r="49" spans="1:10" ht="15.6" x14ac:dyDescent="0.3">
      <c r="A49" s="10"/>
      <c r="D49" s="10"/>
      <c r="G49" s="10"/>
      <c r="J49" s="26"/>
    </row>
    <row r="50" spans="1:10" x14ac:dyDescent="0.25">
      <c r="A50" s="2"/>
      <c r="B50" s="2"/>
      <c r="D50" s="2"/>
      <c r="E50" s="2"/>
      <c r="G50" s="2"/>
      <c r="H50" s="2"/>
      <c r="J50" s="26"/>
    </row>
    <row r="51" spans="1:10" x14ac:dyDescent="0.25">
      <c r="B51" s="26"/>
      <c r="E51" s="26"/>
      <c r="G51" s="13"/>
      <c r="H51" s="30"/>
      <c r="J51" s="26"/>
    </row>
    <row r="52" spans="1:10" x14ac:dyDescent="0.25">
      <c r="B52" s="26"/>
      <c r="E52" s="26"/>
      <c r="G52" s="13"/>
      <c r="H52" s="30"/>
      <c r="J52" s="26"/>
    </row>
    <row r="53" spans="1:10" x14ac:dyDescent="0.25">
      <c r="B53" s="26"/>
      <c r="E53" s="26"/>
      <c r="G53" s="13"/>
      <c r="H53" s="30"/>
      <c r="J53" s="26"/>
    </row>
    <row r="54" spans="1:10" x14ac:dyDescent="0.25">
      <c r="B54" s="26"/>
      <c r="E54" s="26"/>
      <c r="G54" s="13"/>
      <c r="H54" s="30"/>
      <c r="J54" s="26"/>
    </row>
    <row r="55" spans="1:10" x14ac:dyDescent="0.25">
      <c r="B55" s="26"/>
      <c r="E55" s="26"/>
      <c r="G55" s="13"/>
      <c r="H55" s="30"/>
    </row>
    <row r="56" spans="1:10" x14ac:dyDescent="0.25">
      <c r="B56" s="26"/>
      <c r="E56" s="26"/>
      <c r="H56" s="30"/>
    </row>
    <row r="57" spans="1:10" x14ac:dyDescent="0.25">
      <c r="B57" s="26"/>
      <c r="E57" s="26"/>
      <c r="H57" s="30"/>
    </row>
    <row r="58" spans="1:10" x14ac:dyDescent="0.25">
      <c r="B58" s="26"/>
      <c r="E58" s="26"/>
      <c r="G58" s="13"/>
      <c r="H58" s="30"/>
    </row>
    <row r="59" spans="1:10" ht="13.8" x14ac:dyDescent="0.25">
      <c r="A59" s="5"/>
      <c r="B59" s="27"/>
      <c r="D59" s="5"/>
      <c r="E59" s="16"/>
      <c r="G59" s="14"/>
      <c r="H59" s="27"/>
      <c r="I59" s="83"/>
    </row>
    <row r="60" spans="1:10" x14ac:dyDescent="0.25">
      <c r="B60" s="4"/>
      <c r="E60" s="28"/>
      <c r="H60" s="29"/>
    </row>
    <row r="62" spans="1:10" ht="15.6" x14ac:dyDescent="0.3">
      <c r="A62" s="10"/>
      <c r="B62" s="10"/>
      <c r="D62" s="164"/>
      <c r="E62" s="164"/>
      <c r="G62" s="164"/>
      <c r="H62" s="164"/>
    </row>
    <row r="63" spans="1:10" x14ac:dyDescent="0.25">
      <c r="A63" s="2"/>
      <c r="B63" s="128"/>
      <c r="D63" s="2"/>
      <c r="E63" s="2"/>
      <c r="G63" s="2"/>
      <c r="H63" s="128"/>
    </row>
    <row r="64" spans="1:10" x14ac:dyDescent="0.25">
      <c r="B64" s="15"/>
      <c r="E64" s="26"/>
      <c r="H64" s="26"/>
    </row>
    <row r="65" spans="1:8" x14ac:dyDescent="0.25">
      <c r="B65" s="15"/>
      <c r="E65" s="26"/>
      <c r="H65" s="26"/>
    </row>
    <row r="66" spans="1:8" x14ac:dyDescent="0.25">
      <c r="B66" s="15"/>
      <c r="E66" s="26"/>
      <c r="H66" s="26"/>
    </row>
    <row r="67" spans="1:8" x14ac:dyDescent="0.25">
      <c r="B67" s="15"/>
      <c r="E67" s="26"/>
      <c r="H67" s="26"/>
    </row>
    <row r="68" spans="1:8" x14ac:dyDescent="0.25">
      <c r="B68" s="15"/>
      <c r="E68" s="26"/>
      <c r="H68" s="26"/>
    </row>
    <row r="69" spans="1:8" x14ac:dyDescent="0.25">
      <c r="B69" s="15"/>
      <c r="E69" s="26"/>
      <c r="H69" s="26"/>
    </row>
    <row r="70" spans="1:8" x14ac:dyDescent="0.25">
      <c r="B70" s="15"/>
      <c r="E70" s="26"/>
      <c r="H70" s="26"/>
    </row>
    <row r="71" spans="1:8" x14ac:dyDescent="0.25">
      <c r="B71" s="15"/>
      <c r="E71" s="26"/>
      <c r="H71" s="26"/>
    </row>
    <row r="72" spans="1:8" ht="13.8" x14ac:dyDescent="0.25">
      <c r="A72" s="5"/>
      <c r="B72" s="15"/>
      <c r="D72" s="5"/>
      <c r="E72" s="16"/>
      <c r="G72" s="5"/>
      <c r="H72" s="26"/>
    </row>
    <row r="73" spans="1:8" x14ac:dyDescent="0.25">
      <c r="B73" s="4"/>
      <c r="E73" s="28"/>
      <c r="H73" s="28"/>
    </row>
    <row r="74" spans="1:8" x14ac:dyDescent="0.25">
      <c r="B74" s="4"/>
      <c r="E74" s="28"/>
      <c r="H74" s="29"/>
    </row>
    <row r="75" spans="1:8" ht="15.6" x14ac:dyDescent="0.3">
      <c r="A75" s="10"/>
      <c r="B75" s="10"/>
      <c r="D75" s="10"/>
      <c r="G75" s="10"/>
    </row>
    <row r="76" spans="1:8" x14ac:dyDescent="0.25">
      <c r="A76" s="2"/>
      <c r="B76" s="2"/>
      <c r="D76" s="2"/>
      <c r="E76" s="2"/>
      <c r="G76" s="2"/>
      <c r="H76" s="2"/>
    </row>
    <row r="77" spans="1:8" x14ac:dyDescent="0.25">
      <c r="A77" s="13"/>
      <c r="B77" s="26"/>
      <c r="E77" s="26"/>
      <c r="H77" s="30"/>
    </row>
    <row r="78" spans="1:8" x14ac:dyDescent="0.25">
      <c r="A78" s="13"/>
      <c r="B78" s="26"/>
      <c r="D78" s="13"/>
      <c r="E78" s="26"/>
      <c r="G78" s="13"/>
      <c r="H78" s="30"/>
    </row>
    <row r="79" spans="1:8" x14ac:dyDescent="0.25">
      <c r="A79" s="13"/>
      <c r="B79" s="26"/>
      <c r="E79" s="26"/>
      <c r="H79" s="30"/>
    </row>
    <row r="80" spans="1:8" x14ac:dyDescent="0.25">
      <c r="A80" s="13"/>
      <c r="B80" s="26"/>
      <c r="E80" s="26"/>
      <c r="H80" s="30"/>
    </row>
    <row r="81" spans="1:11" x14ac:dyDescent="0.25">
      <c r="A81" s="13"/>
      <c r="B81" s="26"/>
      <c r="E81" s="26"/>
      <c r="H81" s="30"/>
    </row>
    <row r="82" spans="1:11" x14ac:dyDescent="0.25">
      <c r="A82" s="13"/>
      <c r="B82" s="26"/>
      <c r="E82" s="26"/>
      <c r="H82" s="30"/>
    </row>
    <row r="83" spans="1:11" x14ac:dyDescent="0.25">
      <c r="B83" s="26"/>
      <c r="E83" s="26"/>
      <c r="H83" s="30"/>
    </row>
    <row r="84" spans="1:11" x14ac:dyDescent="0.25">
      <c r="A84" s="13"/>
      <c r="B84" s="26"/>
      <c r="E84" s="26"/>
      <c r="H84" s="30"/>
    </row>
    <row r="85" spans="1:11" ht="13.8" x14ac:dyDescent="0.25">
      <c r="A85" s="14"/>
      <c r="B85" s="27"/>
      <c r="D85" s="5"/>
      <c r="E85" s="27"/>
      <c r="G85" s="5"/>
      <c r="H85" s="27"/>
      <c r="I85" s="83"/>
    </row>
    <row r="86" spans="1:11" x14ac:dyDescent="0.25">
      <c r="A86" s="13"/>
      <c r="B86" s="4"/>
      <c r="E86" s="29"/>
      <c r="H86" s="29"/>
    </row>
    <row r="87" spans="1:11" x14ac:dyDescent="0.25">
      <c r="A87" s="13"/>
      <c r="B87" s="4"/>
      <c r="G87" s="13"/>
      <c r="H87" s="17"/>
    </row>
    <row r="88" spans="1:11" ht="15" customHeight="1" x14ac:dyDescent="0.3">
      <c r="A88" s="159"/>
      <c r="B88" s="159"/>
      <c r="D88" s="159"/>
      <c r="E88" s="159"/>
      <c r="G88" s="1"/>
      <c r="H88" s="1"/>
    </row>
    <row r="89" spans="1:11" ht="15.6" x14ac:dyDescent="0.3">
      <c r="A89" s="10"/>
      <c r="B89" s="10"/>
      <c r="D89" s="10"/>
      <c r="E89" s="10"/>
      <c r="G89" s="2"/>
      <c r="H89" s="2"/>
      <c r="I89" s="128"/>
      <c r="J89" s="128"/>
      <c r="K89" s="125"/>
    </row>
    <row r="90" spans="1:11" x14ac:dyDescent="0.25">
      <c r="A90" s="2"/>
      <c r="B90" s="2"/>
      <c r="D90" s="2"/>
      <c r="E90" s="2"/>
      <c r="G90" s="13"/>
      <c r="H90" s="11"/>
      <c r="I90" s="26"/>
      <c r="J90" s="26"/>
      <c r="K90" s="127"/>
    </row>
    <row r="91" spans="1:11" x14ac:dyDescent="0.25">
      <c r="G91" s="13"/>
      <c r="H91" s="11"/>
      <c r="I91" s="26"/>
      <c r="J91" s="26"/>
      <c r="K91" s="127"/>
    </row>
    <row r="92" spans="1:11" ht="13.8" x14ac:dyDescent="0.25">
      <c r="D92" s="5"/>
      <c r="E92" s="5"/>
      <c r="G92" s="13"/>
      <c r="H92" s="11"/>
      <c r="I92" s="26"/>
      <c r="J92" s="26"/>
      <c r="K92" s="127"/>
    </row>
    <row r="93" spans="1:11" ht="13.8" x14ac:dyDescent="0.25">
      <c r="A93" s="5"/>
      <c r="B93" s="5"/>
      <c r="G93" s="13"/>
      <c r="H93" s="11"/>
      <c r="I93" s="26"/>
      <c r="J93" s="26"/>
      <c r="K93" s="127"/>
    </row>
    <row r="94" spans="1:11" ht="15.6" x14ac:dyDescent="0.3">
      <c r="D94" s="10"/>
      <c r="E94" s="10"/>
      <c r="G94" s="13"/>
      <c r="H94" s="11"/>
      <c r="I94" s="26"/>
      <c r="J94" s="26"/>
      <c r="K94" s="127"/>
    </row>
    <row r="95" spans="1:11" ht="15.6" x14ac:dyDescent="0.3">
      <c r="A95" s="10"/>
      <c r="B95" s="10"/>
      <c r="D95" s="2"/>
      <c r="E95" s="2"/>
      <c r="G95" s="13"/>
      <c r="H95" s="11"/>
      <c r="I95" s="26"/>
      <c r="J95" s="26"/>
      <c r="K95" s="127"/>
    </row>
    <row r="96" spans="1:11" x14ac:dyDescent="0.25">
      <c r="A96" s="2"/>
      <c r="B96" s="2"/>
      <c r="G96" s="13"/>
      <c r="H96" s="26"/>
      <c r="I96" s="26"/>
      <c r="J96" s="26"/>
      <c r="K96" s="127"/>
    </row>
    <row r="97" spans="1:13" ht="13.8" x14ac:dyDescent="0.25">
      <c r="A97" s="5"/>
      <c r="B97" s="5"/>
      <c r="D97" s="5"/>
      <c r="E97" s="5"/>
      <c r="G97" s="13"/>
      <c r="H97" s="11"/>
      <c r="I97" s="26"/>
      <c r="J97" s="26"/>
      <c r="K97" s="127"/>
    </row>
    <row r="98" spans="1:13" ht="13.8" x14ac:dyDescent="0.25">
      <c r="G98" s="14"/>
      <c r="H98" s="12"/>
      <c r="I98" s="83"/>
      <c r="J98" s="83"/>
    </row>
    <row r="99" spans="1:13" x14ac:dyDescent="0.25">
      <c r="G99" s="13"/>
      <c r="H99" s="18"/>
      <c r="I99" s="21"/>
      <c r="J99" s="68"/>
    </row>
    <row r="100" spans="1:13" ht="15.6" x14ac:dyDescent="0.3">
      <c r="D100" s="1"/>
      <c r="G100" s="67"/>
      <c r="H100" s="17"/>
    </row>
    <row r="101" spans="1:13" ht="15.6" x14ac:dyDescent="0.3">
      <c r="D101" s="10"/>
    </row>
    <row r="102" spans="1:13" x14ac:dyDescent="0.25">
      <c r="A102" s="2"/>
      <c r="B102" s="21"/>
      <c r="D102" s="2"/>
      <c r="E102" s="2"/>
      <c r="G102" s="2"/>
      <c r="H102" s="2"/>
    </row>
    <row r="103" spans="1:13" x14ac:dyDescent="0.25">
      <c r="D103" s="26"/>
      <c r="G103" s="2"/>
      <c r="H103" s="2"/>
      <c r="I103" s="75"/>
      <c r="J103" s="73"/>
      <c r="L103" s="55"/>
      <c r="M103" s="67"/>
    </row>
    <row r="104" spans="1:13" ht="13.8" x14ac:dyDescent="0.25">
      <c r="D104" s="5"/>
      <c r="E104" s="5"/>
      <c r="G104" s="13"/>
      <c r="H104" s="53"/>
      <c r="I104" s="68"/>
      <c r="J104" s="71"/>
      <c r="M104" s="62"/>
    </row>
    <row r="105" spans="1:13" x14ac:dyDescent="0.25">
      <c r="G105" s="13"/>
      <c r="H105" s="53"/>
      <c r="I105" s="68"/>
      <c r="J105" s="71"/>
      <c r="M105" s="63"/>
    </row>
    <row r="106" spans="1:13" x14ac:dyDescent="0.25">
      <c r="G106" s="13"/>
      <c r="H106" s="57"/>
      <c r="I106" s="69"/>
      <c r="J106" s="71"/>
    </row>
    <row r="107" spans="1:13" ht="15.6" x14ac:dyDescent="0.3">
      <c r="B107" s="21"/>
      <c r="D107" s="10"/>
      <c r="G107" s="50"/>
      <c r="H107" s="51"/>
      <c r="I107" s="70"/>
      <c r="J107" s="71"/>
    </row>
    <row r="108" spans="1:13" ht="15.6" x14ac:dyDescent="0.3">
      <c r="B108" s="21"/>
      <c r="D108" s="10"/>
      <c r="G108" s="13"/>
      <c r="H108" s="56"/>
      <c r="I108" s="68"/>
      <c r="J108" s="71"/>
    </row>
    <row r="109" spans="1:13" ht="15.6" x14ac:dyDescent="0.3">
      <c r="A109" s="13"/>
      <c r="B109" s="4"/>
      <c r="D109" s="10"/>
      <c r="G109" s="13"/>
      <c r="H109" s="53"/>
      <c r="I109" s="68"/>
      <c r="J109" s="71"/>
      <c r="L109" s="55"/>
    </row>
    <row r="110" spans="1:13" x14ac:dyDescent="0.25">
      <c r="A110" s="13"/>
      <c r="B110" s="4"/>
      <c r="D110" s="2"/>
      <c r="E110" s="2"/>
      <c r="G110" s="13"/>
      <c r="H110" s="53"/>
      <c r="I110" s="68"/>
      <c r="J110" s="71"/>
      <c r="L110" s="55"/>
    </row>
    <row r="111" spans="1:13" x14ac:dyDescent="0.25">
      <c r="A111" s="75"/>
      <c r="B111" s="4"/>
      <c r="G111" s="13"/>
      <c r="H111" s="53"/>
      <c r="I111" s="68"/>
      <c r="J111" s="71"/>
      <c r="L111" s="55"/>
    </row>
    <row r="112" spans="1:13" x14ac:dyDescent="0.25">
      <c r="A112" s="13"/>
      <c r="B112" s="26"/>
      <c r="G112" s="13"/>
      <c r="H112" s="53"/>
      <c r="I112" s="68"/>
      <c r="J112" s="71"/>
      <c r="L112" s="55"/>
    </row>
    <row r="113" spans="1:13" x14ac:dyDescent="0.25">
      <c r="A113" s="13"/>
      <c r="B113" s="84"/>
      <c r="G113" s="13"/>
      <c r="H113" s="52"/>
      <c r="I113" s="52"/>
      <c r="J113" s="72"/>
      <c r="L113" s="55"/>
    </row>
    <row r="114" spans="1:13" ht="13.8" x14ac:dyDescent="0.25">
      <c r="C114" s="68"/>
      <c r="D114" s="5"/>
      <c r="E114" s="5"/>
      <c r="G114" s="61"/>
      <c r="H114" s="59"/>
      <c r="L114" s="55"/>
    </row>
    <row r="115" spans="1:13" x14ac:dyDescent="0.25">
      <c r="C115" s="71"/>
      <c r="G115" s="58"/>
      <c r="H115" s="60"/>
      <c r="J115" s="71"/>
      <c r="L115" s="2"/>
    </row>
    <row r="116" spans="1:13" x14ac:dyDescent="0.25">
      <c r="G116" s="58"/>
      <c r="H116" s="60"/>
      <c r="J116" s="71"/>
      <c r="L116" s="54"/>
    </row>
    <row r="117" spans="1:13" x14ac:dyDescent="0.25">
      <c r="G117" s="58"/>
      <c r="H117" s="60"/>
      <c r="J117" s="71"/>
      <c r="L117" s="55"/>
    </row>
    <row r="118" spans="1:13" x14ac:dyDescent="0.25">
      <c r="G118" s="58"/>
      <c r="J118" s="71"/>
      <c r="L118" s="55"/>
    </row>
    <row r="119" spans="1:13" x14ac:dyDescent="0.25">
      <c r="G119" s="64"/>
      <c r="H119" s="66"/>
      <c r="I119" s="66"/>
      <c r="J119" s="74"/>
      <c r="L119" s="55"/>
    </row>
    <row r="121" spans="1:13" x14ac:dyDescent="0.25">
      <c r="L121" s="65"/>
      <c r="M121" s="65">
        <f>L125+L127+L118+L119</f>
        <v>0</v>
      </c>
    </row>
  </sheetData>
  <mergeCells count="7">
    <mergeCell ref="D62:E62"/>
    <mergeCell ref="G62:H62"/>
    <mergeCell ref="A1:I1"/>
    <mergeCell ref="A2:B2"/>
    <mergeCell ref="D2:E2"/>
    <mergeCell ref="D19:E19"/>
    <mergeCell ref="G19:H19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FDD1-E08B-4CDB-A13D-8977ABAA6C26}">
  <dimension ref="B1:W31"/>
  <sheetViews>
    <sheetView zoomScale="65" zoomScaleNormal="6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M34" sqref="M34"/>
    </sheetView>
  </sheetViews>
  <sheetFormatPr baseColWidth="10" defaultRowHeight="13.2" x14ac:dyDescent="0.25"/>
  <cols>
    <col min="2" max="2" width="29.21875" customWidth="1"/>
    <col min="3" max="3" width="34" customWidth="1"/>
    <col min="4" max="4" width="22.21875" customWidth="1"/>
    <col min="5" max="5" width="20.5546875" customWidth="1"/>
    <col min="6" max="6" width="20.44140625" bestFit="1" customWidth="1"/>
    <col min="7" max="7" width="24" bestFit="1" customWidth="1"/>
    <col min="8" max="8" width="24" customWidth="1"/>
    <col min="9" max="10" width="20.44140625" customWidth="1"/>
    <col min="11" max="11" width="23.77734375" customWidth="1"/>
    <col min="12" max="12" width="16.44140625" customWidth="1"/>
    <col min="15" max="15" width="16.5546875" customWidth="1"/>
    <col min="16" max="16" width="22.77734375" bestFit="1" customWidth="1"/>
    <col min="17" max="17" width="26.77734375" bestFit="1" customWidth="1"/>
    <col min="18" max="18" width="30.21875" bestFit="1" customWidth="1"/>
    <col min="19" max="19" width="22.77734375" bestFit="1" customWidth="1"/>
    <col min="20" max="20" width="26.77734375" bestFit="1" customWidth="1"/>
    <col min="21" max="21" width="23.21875" customWidth="1"/>
    <col min="22" max="22" width="21.21875" customWidth="1"/>
    <col min="23" max="23" width="23.77734375" bestFit="1" customWidth="1"/>
  </cols>
  <sheetData>
    <row r="1" spans="2:23" x14ac:dyDescent="0.25">
      <c r="F1" s="2" t="s">
        <v>791</v>
      </c>
      <c r="P1" t="s">
        <v>787</v>
      </c>
      <c r="U1" t="s">
        <v>652</v>
      </c>
      <c r="V1">
        <v>16.799999999999997</v>
      </c>
    </row>
    <row r="2" spans="2:23" x14ac:dyDescent="0.25">
      <c r="F2" t="s">
        <v>792</v>
      </c>
      <c r="G2" s="82">
        <f>(C7-966.3)+C8+C9+C10+C13+C12</f>
        <v>5046.3999999999996</v>
      </c>
      <c r="H2" s="82"/>
      <c r="I2" s="82"/>
      <c r="J2" s="82"/>
      <c r="P2" t="s">
        <v>785</v>
      </c>
      <c r="Q2" t="s">
        <v>786</v>
      </c>
      <c r="R2" t="s">
        <v>778</v>
      </c>
      <c r="U2" t="s">
        <v>706</v>
      </c>
      <c r="V2">
        <v>60.168000000000006</v>
      </c>
    </row>
    <row r="3" spans="2:23" x14ac:dyDescent="0.25">
      <c r="F3" t="s">
        <v>775</v>
      </c>
      <c r="G3" s="71">
        <f>C12/G2</f>
        <v>0.35332117945466079</v>
      </c>
      <c r="H3" s="71"/>
      <c r="I3" s="71"/>
      <c r="J3" s="71"/>
      <c r="P3" s="75" t="s">
        <v>12</v>
      </c>
      <c r="Q3" s="78">
        <v>1187.8</v>
      </c>
      <c r="R3" s="76">
        <v>166.57449999999997</v>
      </c>
      <c r="S3" s="81">
        <v>0.14023783465229836</v>
      </c>
      <c r="U3" t="s">
        <v>653</v>
      </c>
      <c r="V3">
        <v>75.698000000000036</v>
      </c>
    </row>
    <row r="4" spans="2:23" ht="13.8" thickBot="1" x14ac:dyDescent="0.3">
      <c r="B4" s="19" t="s">
        <v>779</v>
      </c>
      <c r="C4" s="19"/>
      <c r="D4" s="19"/>
      <c r="E4" s="19"/>
      <c r="P4" s="75"/>
      <c r="Q4" s="78"/>
      <c r="R4" s="76"/>
      <c r="S4" s="81"/>
      <c r="U4" t="s">
        <v>654</v>
      </c>
      <c r="V4">
        <v>0.03</v>
      </c>
    </row>
    <row r="5" spans="2:23" ht="26.4" x14ac:dyDescent="0.25">
      <c r="B5" s="129" t="s">
        <v>650</v>
      </c>
      <c r="C5" s="129" t="s">
        <v>776</v>
      </c>
      <c r="D5" s="129" t="s">
        <v>796</v>
      </c>
      <c r="E5" s="148" t="s">
        <v>776</v>
      </c>
      <c r="F5" s="147" t="s">
        <v>968</v>
      </c>
      <c r="G5" s="149" t="s">
        <v>777</v>
      </c>
      <c r="H5" s="150" t="s">
        <v>777</v>
      </c>
      <c r="I5" s="150" t="s">
        <v>777</v>
      </c>
      <c r="J5" s="150" t="s">
        <v>895</v>
      </c>
      <c r="K5" s="151" t="s">
        <v>781</v>
      </c>
      <c r="L5" s="151" t="s">
        <v>777</v>
      </c>
      <c r="M5" s="129" t="s">
        <v>778</v>
      </c>
      <c r="P5" s="13" t="s">
        <v>784</v>
      </c>
      <c r="Q5" s="51">
        <v>130.88400000000001</v>
      </c>
      <c r="R5" s="79">
        <v>15.121499999999996</v>
      </c>
      <c r="S5" s="80">
        <v>0.11553360227376909</v>
      </c>
      <c r="U5" t="s">
        <v>89</v>
      </c>
      <c r="V5">
        <v>6.444</v>
      </c>
    </row>
    <row r="6" spans="2:23" x14ac:dyDescent="0.25">
      <c r="B6" s="2"/>
      <c r="C6" s="2"/>
      <c r="D6" s="2"/>
      <c r="E6" s="87" t="s">
        <v>794</v>
      </c>
      <c r="F6" s="102" t="s">
        <v>793</v>
      </c>
      <c r="G6" s="88">
        <v>2022</v>
      </c>
      <c r="H6" s="134">
        <v>2021</v>
      </c>
      <c r="I6" s="134">
        <v>2020</v>
      </c>
      <c r="J6" s="134">
        <v>2019</v>
      </c>
      <c r="K6" s="75"/>
      <c r="L6" s="75"/>
      <c r="M6" s="2"/>
      <c r="P6" t="s">
        <v>783</v>
      </c>
      <c r="Q6" s="82">
        <f>Q3-Q5</f>
        <v>1056.9159999999999</v>
      </c>
      <c r="R6" s="68">
        <f>R3-R5</f>
        <v>151.45299999999997</v>
      </c>
      <c r="S6">
        <f>R6/Q6</f>
        <v>0.14329710213489055</v>
      </c>
      <c r="U6" t="s">
        <v>41</v>
      </c>
      <c r="V6">
        <v>0</v>
      </c>
    </row>
    <row r="7" spans="2:23" x14ac:dyDescent="0.25">
      <c r="B7" s="13" t="s">
        <v>760</v>
      </c>
      <c r="C7" s="69">
        <f>966.3+(280.7+146.9+57.4)</f>
        <v>1451.3</v>
      </c>
      <c r="D7" s="103">
        <v>0</v>
      </c>
      <c r="E7" s="104">
        <f>C7</f>
        <v>1451.3</v>
      </c>
      <c r="F7" s="105" t="e">
        <f ca="1">E7-G7</f>
        <v>#VALUE!</v>
      </c>
      <c r="G7" s="144" t="e">
        <f ca="1">'Synthèse globale '!H89</f>
        <v>#VALUE!</v>
      </c>
      <c r="H7" s="152">
        <v>129.602</v>
      </c>
      <c r="I7" s="57">
        <v>124.34399999999998</v>
      </c>
      <c r="J7" s="57">
        <v>127.56900000000005</v>
      </c>
      <c r="K7" s="68">
        <v>0</v>
      </c>
      <c r="L7" s="68" t="e">
        <f ca="1">G7-K7</f>
        <v>#VALUE!</v>
      </c>
      <c r="M7" s="146" t="e">
        <f t="shared" ref="M7:M13" ca="1" si="0">G7/E7</f>
        <v>#VALUE!</v>
      </c>
    </row>
    <row r="8" spans="2:23" x14ac:dyDescent="0.25">
      <c r="B8" s="13" t="s">
        <v>706</v>
      </c>
      <c r="C8" s="69">
        <f>1004.8</f>
        <v>1004.8</v>
      </c>
      <c r="D8" s="103">
        <f>C8/C15</f>
        <v>0.36164699107399945</v>
      </c>
      <c r="E8" s="104">
        <f>C8+(D8*C12)</f>
        <v>1649.6165850849411</v>
      </c>
      <c r="F8" s="105" t="e">
        <f t="shared" ref="F8:F12" ca="1" si="1">E8-G8</f>
        <v>#VALUE!</v>
      </c>
      <c r="G8" s="144" t="e">
        <f ca="1">'Synthèse globale '!H90</f>
        <v>#VALUE!</v>
      </c>
      <c r="H8" s="152">
        <v>123.03299999999999</v>
      </c>
      <c r="I8" s="57">
        <v>102.63500000000001</v>
      </c>
      <c r="J8" s="57">
        <v>128.09700000000001</v>
      </c>
      <c r="K8" s="68" t="e">
        <f ca="1">G8*29%</f>
        <v>#VALUE!</v>
      </c>
      <c r="L8" s="68" t="e">
        <f ca="1">G8-K8</f>
        <v>#VALUE!</v>
      </c>
      <c r="M8" s="146" t="e">
        <f t="shared" ca="1" si="0"/>
        <v>#VALUE!</v>
      </c>
      <c r="U8" t="s">
        <v>357</v>
      </c>
      <c r="V8">
        <v>0.17699999999999999</v>
      </c>
    </row>
    <row r="9" spans="2:23" s="2" customFormat="1" x14ac:dyDescent="0.25">
      <c r="B9" s="75" t="s">
        <v>12</v>
      </c>
      <c r="C9" s="76">
        <f>520.2+546.8+(605.8-280.7-146.9-57.4)</f>
        <v>1187.8</v>
      </c>
      <c r="D9" s="85">
        <f>C9/C15</f>
        <v>0.42751223725885407</v>
      </c>
      <c r="E9" s="123">
        <f>C9+(D9*C12)</f>
        <v>1950.0543190325368</v>
      </c>
      <c r="F9" s="124" t="e">
        <f t="shared" ca="1" si="1"/>
        <v>#VALUE!</v>
      </c>
      <c r="G9" s="145" t="e">
        <f ca="1">'Synthèse globale '!I105</f>
        <v>#VALUE!</v>
      </c>
      <c r="H9" s="153">
        <v>143.00700000000001</v>
      </c>
      <c r="I9" s="135">
        <v>162.42800000000003</v>
      </c>
      <c r="J9" s="135">
        <v>172.22149999999999</v>
      </c>
      <c r="K9" s="76" t="e">
        <f ca="1">(G9-15)*29%</f>
        <v>#VALUE!</v>
      </c>
      <c r="L9" s="76" t="e">
        <f ca="1">G9-K9</f>
        <v>#VALUE!</v>
      </c>
      <c r="M9" s="72" t="e">
        <f t="shared" ca="1" si="0"/>
        <v>#VALUE!</v>
      </c>
      <c r="N9"/>
      <c r="P9" s="2" t="s">
        <v>650</v>
      </c>
      <c r="Q9" s="2" t="s">
        <v>655</v>
      </c>
      <c r="R9" s="2" t="s">
        <v>827</v>
      </c>
      <c r="S9" s="2" t="s">
        <v>828</v>
      </c>
      <c r="T9" s="125" t="s">
        <v>834</v>
      </c>
    </row>
    <row r="10" spans="2:23" x14ac:dyDescent="0.25">
      <c r="B10" s="13" t="s">
        <v>89</v>
      </c>
      <c r="C10" s="106">
        <v>463</v>
      </c>
      <c r="D10" s="103">
        <f>C10/C15</f>
        <v>0.16664267204146274</v>
      </c>
      <c r="E10" s="107">
        <f>C10+(D10*C12)</f>
        <v>760.1238842499281</v>
      </c>
      <c r="F10" s="105" t="e">
        <f t="shared" ca="1" si="1"/>
        <v>#VALUE!</v>
      </c>
      <c r="G10" s="144" t="e">
        <f ca="1">'Synthèse globale '!H93</f>
        <v>#VALUE!</v>
      </c>
      <c r="H10" s="152">
        <v>13.129999999999995</v>
      </c>
      <c r="I10" s="57">
        <v>13.471999999999996</v>
      </c>
      <c r="J10" s="57">
        <v>12.698</v>
      </c>
      <c r="K10" s="68" t="e">
        <f ca="1">G10*29%</f>
        <v>#VALUE!</v>
      </c>
      <c r="L10" s="68" t="e">
        <f ca="1">G10-K10</f>
        <v>#VALUE!</v>
      </c>
      <c r="M10" s="146" t="e">
        <f t="shared" ca="1" si="0"/>
        <v>#VALUE!</v>
      </c>
      <c r="P10" s="118" t="s">
        <v>652</v>
      </c>
      <c r="Q10" s="121" t="e">
        <f ca="1">'Synthèse globale '!H89</f>
        <v>#VALUE!</v>
      </c>
      <c r="R10" s="68" t="e">
        <f ca="1">'Synthèse globale '!I89</f>
        <v>#VALUE!</v>
      </c>
      <c r="S10" s="68" t="e">
        <f ca="1">'Synthèse globale '!J89</f>
        <v>#VALUE!</v>
      </c>
      <c r="T10" s="126" t="e">
        <f t="shared" ref="T10:T15" ca="1" si="2">S10+R10-Q10</f>
        <v>#VALUE!</v>
      </c>
      <c r="U10" s="2"/>
      <c r="V10" s="119"/>
      <c r="W10" s="82"/>
    </row>
    <row r="11" spans="2:23" x14ac:dyDescent="0.25">
      <c r="B11" s="13" t="s">
        <v>41</v>
      </c>
      <c r="C11" s="69">
        <f>86+13.7</f>
        <v>99.7</v>
      </c>
      <c r="D11" s="103">
        <v>0</v>
      </c>
      <c r="E11" s="104">
        <f>C11</f>
        <v>99.7</v>
      </c>
      <c r="F11" s="105" t="e">
        <f t="shared" ca="1" si="1"/>
        <v>#VALUE!</v>
      </c>
      <c r="G11" s="144" t="e">
        <f ca="1">'Synthèse globale '!H94</f>
        <v>#VALUE!</v>
      </c>
      <c r="H11" s="152">
        <v>11.98</v>
      </c>
      <c r="I11" s="57">
        <v>11.307</v>
      </c>
      <c r="J11" s="57">
        <v>14.034000000000001</v>
      </c>
      <c r="K11" s="68">
        <v>0</v>
      </c>
      <c r="L11" s="68" t="e">
        <f t="shared" ref="L11:L13" ca="1" si="3">G11-K11</f>
        <v>#VALUE!</v>
      </c>
      <c r="M11" s="146" t="e">
        <f t="shared" ca="1" si="0"/>
        <v>#VALUE!</v>
      </c>
      <c r="P11" s="118" t="s">
        <v>706</v>
      </c>
      <c r="Q11" s="121" t="e">
        <f ca="1">'Synthèse globale '!H90</f>
        <v>#VALUE!</v>
      </c>
      <c r="R11" s="68" t="e">
        <f ca="1">'Synthèse globale '!I90</f>
        <v>#VALUE!</v>
      </c>
      <c r="S11" s="68" t="e">
        <f ca="1">'Synthèse globale '!J90</f>
        <v>#VALUE!</v>
      </c>
      <c r="T11" s="126" t="e">
        <f t="shared" ca="1" si="2"/>
        <v>#VALUE!</v>
      </c>
      <c r="U11" s="2"/>
      <c r="V11" s="119"/>
      <c r="W11" s="82"/>
    </row>
    <row r="12" spans="2:23" ht="14.25" customHeight="1" x14ac:dyDescent="0.25">
      <c r="B12" s="13" t="s">
        <v>763</v>
      </c>
      <c r="C12" s="69">
        <v>1783</v>
      </c>
      <c r="D12" s="103"/>
      <c r="E12" s="104">
        <v>0</v>
      </c>
      <c r="F12" s="105">
        <f t="shared" si="1"/>
        <v>0</v>
      </c>
      <c r="G12" s="144">
        <v>0</v>
      </c>
      <c r="H12" s="152">
        <v>0</v>
      </c>
      <c r="I12" s="57">
        <v>0</v>
      </c>
      <c r="J12" s="57">
        <v>0</v>
      </c>
      <c r="K12" s="68">
        <v>0</v>
      </c>
      <c r="L12" s="68" t="e">
        <f ca="1">K7+K8+K9+K10+K11+K12+K13</f>
        <v>#VALUE!</v>
      </c>
      <c r="M12" s="146" t="e">
        <f t="shared" si="0"/>
        <v>#DIV/0!</v>
      </c>
      <c r="P12" s="118" t="s">
        <v>653</v>
      </c>
      <c r="Q12" s="121" t="e">
        <f ca="1">'Synthèse globale '!H91</f>
        <v>#VALUE!</v>
      </c>
      <c r="R12" s="68" t="e">
        <f ca="1">'Synthèse globale '!I91</f>
        <v>#VALUE!</v>
      </c>
      <c r="S12" s="68" t="e">
        <f ca="1">'Synthèse globale '!J91</f>
        <v>#VALUE!</v>
      </c>
      <c r="T12" s="126" t="e">
        <f t="shared" ca="1" si="2"/>
        <v>#VALUE!</v>
      </c>
      <c r="U12" s="2"/>
      <c r="V12" s="119"/>
      <c r="W12" s="82"/>
    </row>
    <row r="13" spans="2:23" x14ac:dyDescent="0.25">
      <c r="B13" s="13" t="s">
        <v>782</v>
      </c>
      <c r="C13" s="69">
        <f>122.8</f>
        <v>122.8</v>
      </c>
      <c r="D13" s="103">
        <f>C13/C15</f>
        <v>4.419809962568385E-2</v>
      </c>
      <c r="E13" s="104">
        <f>C13+(D13*C12)</f>
        <v>201.60521163259432</v>
      </c>
      <c r="F13" s="105" t="e">
        <f ca="1">E13-G13</f>
        <v>#VALUE!</v>
      </c>
      <c r="G13" s="144" t="e">
        <f ca="1">'Synthèse globale '!H96</f>
        <v>#VALUE!</v>
      </c>
      <c r="H13" s="152">
        <v>7.0330000000000004</v>
      </c>
      <c r="I13" s="57">
        <v>6.2770000000000001</v>
      </c>
      <c r="J13" s="57">
        <v>3.6320000000000001</v>
      </c>
      <c r="K13" s="68" t="e">
        <f ca="1">G13*29%</f>
        <v>#VALUE!</v>
      </c>
      <c r="L13" s="68" t="e">
        <f t="shared" ca="1" si="3"/>
        <v>#VALUE!</v>
      </c>
      <c r="M13" s="146" t="e">
        <f t="shared" ca="1" si="0"/>
        <v>#VALUE!</v>
      </c>
      <c r="P13" s="118" t="s">
        <v>654</v>
      </c>
      <c r="Q13" s="121" t="e">
        <f ca="1">'Synthèse globale '!H92</f>
        <v>#VALUE!</v>
      </c>
      <c r="R13" s="68" t="e">
        <f ca="1">'Synthèse globale '!I92</f>
        <v>#VALUE!</v>
      </c>
      <c r="S13" s="68" t="e">
        <f ca="1">'Synthèse globale '!J92</f>
        <v>#VALUE!</v>
      </c>
      <c r="T13" s="126" t="e">
        <f t="shared" ca="1" si="2"/>
        <v>#VALUE!</v>
      </c>
      <c r="U13" s="2"/>
      <c r="V13" s="119"/>
      <c r="W13" s="82"/>
    </row>
    <row r="14" spans="2:23" ht="13.8" thickBot="1" x14ac:dyDescent="0.3">
      <c r="B14" s="75" t="s">
        <v>695</v>
      </c>
      <c r="C14" s="86">
        <f>SUM(C7:C13)</f>
        <v>6112.4</v>
      </c>
      <c r="D14" s="85">
        <f>SUM(D7:D13)</f>
        <v>1</v>
      </c>
      <c r="E14" s="89">
        <f>SUM(E7:E13)</f>
        <v>6112.4000000000005</v>
      </c>
      <c r="F14" s="90" t="e">
        <f ca="1">SUM(F7:F9,F10:F13)</f>
        <v>#VALUE!</v>
      </c>
      <c r="G14" s="91" t="e">
        <f ca="1">SUM(G7:G13)</f>
        <v>#VALUE!</v>
      </c>
      <c r="H14" s="124">
        <v>427.78500000000003</v>
      </c>
      <c r="I14" s="124">
        <v>420.46300000000002</v>
      </c>
      <c r="J14" s="124">
        <v>458.25150000000002</v>
      </c>
      <c r="K14" s="86" t="e">
        <f t="shared" ref="K14:L14" ca="1" si="4">SUM(K7:K13)</f>
        <v>#VALUE!</v>
      </c>
      <c r="L14" s="86" t="e">
        <f t="shared" ca="1" si="4"/>
        <v>#VALUE!</v>
      </c>
      <c r="M14" s="72" t="e">
        <f ca="1">G14/E21</f>
        <v>#VALUE!</v>
      </c>
      <c r="P14" s="118" t="s">
        <v>89</v>
      </c>
      <c r="Q14" s="121" t="e">
        <f ca="1">'Synthèse globale '!H93</f>
        <v>#VALUE!</v>
      </c>
      <c r="R14" s="68" t="e">
        <f ca="1">'Synthèse globale '!I93</f>
        <v>#VALUE!</v>
      </c>
      <c r="S14" s="68" t="e">
        <f ca="1">'Synthèse globale '!J93</f>
        <v>#VALUE!</v>
      </c>
      <c r="T14" s="126" t="e">
        <f t="shared" ca="1" si="2"/>
        <v>#VALUE!</v>
      </c>
      <c r="U14" s="2"/>
      <c r="V14" s="119"/>
      <c r="W14" s="82"/>
    </row>
    <row r="15" spans="2:23" x14ac:dyDescent="0.25">
      <c r="B15" s="75" t="s">
        <v>795</v>
      </c>
      <c r="C15" s="86">
        <f>C14-C12-C7-C11</f>
        <v>2778.3999999999996</v>
      </c>
      <c r="D15" s="78"/>
      <c r="E15" s="86"/>
      <c r="F15" s="86"/>
      <c r="G15" s="86"/>
      <c r="H15" s="86"/>
      <c r="I15" s="86"/>
      <c r="J15" s="86"/>
      <c r="K15" s="86"/>
      <c r="L15" s="86"/>
      <c r="M15" s="72"/>
      <c r="P15" s="118" t="s">
        <v>41</v>
      </c>
      <c r="Q15" s="121" t="e">
        <f ca="1">'Synthèse globale '!H94</f>
        <v>#VALUE!</v>
      </c>
      <c r="R15" s="68" t="e">
        <f ca="1">'Synthèse globale '!I94</f>
        <v>#VALUE!</v>
      </c>
      <c r="S15" s="68" t="e">
        <f ca="1">'Synthèse globale '!J94</f>
        <v>#VALUE!</v>
      </c>
      <c r="T15" s="126" t="e">
        <f t="shared" ca="1" si="2"/>
        <v>#VALUE!</v>
      </c>
      <c r="U15" s="2"/>
      <c r="V15" s="119"/>
      <c r="W15" s="82"/>
    </row>
    <row r="16" spans="2:23" x14ac:dyDescent="0.25">
      <c r="B16" s="61" t="s">
        <v>771</v>
      </c>
      <c r="C16" s="108"/>
      <c r="D16" s="108"/>
      <c r="E16" s="109"/>
      <c r="F16" s="68"/>
      <c r="G16" s="68"/>
      <c r="H16" s="68"/>
      <c r="I16" s="68"/>
      <c r="J16" s="68"/>
      <c r="K16" s="68"/>
      <c r="N16" t="s">
        <v>357</v>
      </c>
      <c r="P16" s="118" t="s">
        <v>357</v>
      </c>
      <c r="Q16" s="83" t="e">
        <f ca="1">'Synthèse globale '!H96</f>
        <v>#VALUE!</v>
      </c>
      <c r="R16" s="68" t="e">
        <f ca="1">'Synthèse globale '!I96</f>
        <v>#VALUE!</v>
      </c>
      <c r="S16" s="68" t="e">
        <f ca="1">'Synthèse globale '!J96</f>
        <v>#VALUE!</v>
      </c>
      <c r="T16" s="126" t="e">
        <f ca="1">S16+R16-Q16</f>
        <v>#VALUE!</v>
      </c>
      <c r="U16" s="2"/>
      <c r="V16" s="119"/>
      <c r="W16" s="82"/>
    </row>
    <row r="17" spans="2:23" s="2" customFormat="1" x14ac:dyDescent="0.25">
      <c r="B17" s="77" t="s">
        <v>767</v>
      </c>
      <c r="C17" s="77"/>
      <c r="D17" s="77"/>
      <c r="E17" s="78">
        <v>120.3</v>
      </c>
      <c r="G17" s="76">
        <v>0</v>
      </c>
      <c r="H17" s="76"/>
      <c r="I17" s="76"/>
      <c r="J17" s="76"/>
      <c r="K17" s="76"/>
      <c r="L17" s="81">
        <f>G17/E17</f>
        <v>0</v>
      </c>
      <c r="P17"/>
      <c r="Q17" s="122" t="e">
        <f ca="1">SUM(Q10:Q16)</f>
        <v>#VALUE!</v>
      </c>
      <c r="R17" s="2" t="e">
        <f ca="1">SUM(R10:R16)</f>
        <v>#VALUE!</v>
      </c>
      <c r="S17" s="2" t="e">
        <f ca="1">SUM(S10:S16)</f>
        <v>#VALUE!</v>
      </c>
      <c r="T17" s="126" t="e">
        <f ca="1">S17+R17-Q17</f>
        <v>#VALUE!</v>
      </c>
      <c r="V17" s="120"/>
      <c r="W17" s="120"/>
    </row>
    <row r="18" spans="2:23" x14ac:dyDescent="0.25">
      <c r="B18" s="58" t="s">
        <v>766</v>
      </c>
      <c r="C18" s="77"/>
      <c r="D18" s="77"/>
      <c r="E18" s="109">
        <v>663.9</v>
      </c>
      <c r="G18" s="68">
        <v>0</v>
      </c>
      <c r="H18" s="68"/>
      <c r="I18" s="68"/>
      <c r="J18" s="68"/>
      <c r="K18" s="68"/>
      <c r="L18" s="71">
        <f>G18/E18</f>
        <v>0</v>
      </c>
    </row>
    <row r="19" spans="2:23" x14ac:dyDescent="0.25">
      <c r="B19" s="58" t="s">
        <v>769</v>
      </c>
      <c r="C19" s="77"/>
      <c r="D19" s="77"/>
      <c r="E19" s="109">
        <v>434.9</v>
      </c>
      <c r="G19" s="68">
        <v>0</v>
      </c>
      <c r="H19" s="68"/>
      <c r="I19" s="68"/>
      <c r="J19" s="68"/>
      <c r="K19" s="68"/>
      <c r="L19" s="71">
        <f>G19/E19</f>
        <v>0</v>
      </c>
      <c r="N19" s="2"/>
      <c r="O19" s="2"/>
      <c r="T19" s="2"/>
    </row>
    <row r="20" spans="2:23" s="2" customFormat="1" x14ac:dyDescent="0.25">
      <c r="B20" s="77" t="s">
        <v>774</v>
      </c>
      <c r="C20"/>
      <c r="D20"/>
      <c r="E20" s="78">
        <f>SUM(E17:E19)</f>
        <v>1219.0999999999999</v>
      </c>
      <c r="G20" s="76">
        <v>0</v>
      </c>
      <c r="H20" s="76"/>
      <c r="I20" s="76"/>
      <c r="J20" s="76"/>
      <c r="K20" s="76"/>
      <c r="L20" s="81">
        <f>G20/E20</f>
        <v>0</v>
      </c>
      <c r="N20"/>
      <c r="O20"/>
      <c r="P20"/>
      <c r="Q20"/>
      <c r="R20"/>
      <c r="S20"/>
      <c r="T20"/>
      <c r="V20"/>
      <c r="W20"/>
    </row>
    <row r="21" spans="2:23" x14ac:dyDescent="0.25">
      <c r="B21" s="77" t="s">
        <v>780</v>
      </c>
      <c r="E21" s="78">
        <f>E14+E20</f>
        <v>7331.5</v>
      </c>
      <c r="G21" s="76" t="e">
        <f ca="1">G14+G20</f>
        <v>#VALUE!</v>
      </c>
      <c r="H21" s="76"/>
      <c r="I21" s="76"/>
      <c r="J21" s="76"/>
      <c r="K21" s="76"/>
      <c r="L21" s="72" t="e">
        <f ca="1">G21/E21</f>
        <v>#VALUE!</v>
      </c>
    </row>
    <row r="27" spans="2:23" ht="15.6" x14ac:dyDescent="0.3">
      <c r="B27" s="1" t="s">
        <v>1215</v>
      </c>
      <c r="C27" t="s">
        <v>1216</v>
      </c>
      <c r="D27" t="s">
        <v>1217</v>
      </c>
      <c r="E27" t="s">
        <v>695</v>
      </c>
    </row>
    <row r="28" spans="2:23" x14ac:dyDescent="0.25">
      <c r="B28" t="s">
        <v>936</v>
      </c>
      <c r="C28" s="68" t="e">
        <f ca="1">'Synthèse globale '!H14</f>
        <v>#VALUE!</v>
      </c>
      <c r="D28" s="68" t="e">
        <f ca="1">'Synthèse globale '!H58</f>
        <v>#VALUE!</v>
      </c>
      <c r="E28" s="68" t="e">
        <f ca="1">C28+D28</f>
        <v>#VALUE!</v>
      </c>
    </row>
    <row r="29" spans="2:23" x14ac:dyDescent="0.25">
      <c r="B29" t="s">
        <v>1221</v>
      </c>
      <c r="C29" s="21" t="e">
        <f ca="1">'Synthèse globale '!H28</f>
        <v>#VALUE!</v>
      </c>
      <c r="D29" s="82" t="e">
        <f ca="1">'Synthèse globale '!H71</f>
        <v>#VALUE!</v>
      </c>
      <c r="E29" s="21" t="e">
        <f ca="1">C29+D29</f>
        <v>#VALUE!</v>
      </c>
    </row>
    <row r="30" spans="2:23" x14ac:dyDescent="0.25">
      <c r="B30" t="s">
        <v>1218</v>
      </c>
      <c r="C30" s="68" t="e">
        <f ca="1">'Synthèse globale '!H42</f>
        <v>#VALUE!</v>
      </c>
      <c r="D30" s="68" t="e">
        <f ca="1">'Synthèse globale '!H84</f>
        <v>#VALUE!</v>
      </c>
      <c r="E30" s="68" t="e">
        <f ca="1">C30+D30</f>
        <v>#VALUE!</v>
      </c>
    </row>
    <row r="31" spans="2:23" x14ac:dyDescent="0.25">
      <c r="C31" s="68"/>
      <c r="D31" s="68"/>
      <c r="E31" s="68" t="e">
        <f ca="1">SUM(E28:E30)</f>
        <v>#VALUE!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C9699-F965-45C5-8446-BB780C69139E}">
  <dimension ref="A1:G460"/>
  <sheetViews>
    <sheetView workbookViewId="0">
      <selection activeCell="C15" sqref="C15"/>
    </sheetView>
  </sheetViews>
  <sheetFormatPr baseColWidth="10" defaultRowHeight="13.2" x14ac:dyDescent="0.25"/>
  <cols>
    <col min="1" max="1" width="24.77734375" bestFit="1" customWidth="1"/>
    <col min="2" max="2" width="18.21875" bestFit="1" customWidth="1"/>
    <col min="3" max="3" width="14" customWidth="1"/>
    <col min="6" max="6" width="27.21875" customWidth="1"/>
  </cols>
  <sheetData>
    <row r="1" spans="1:7" x14ac:dyDescent="0.25">
      <c r="B1" s="168" t="s">
        <v>822</v>
      </c>
      <c r="C1" s="168"/>
    </row>
    <row r="2" spans="1:7" x14ac:dyDescent="0.25">
      <c r="A2" t="s">
        <v>819</v>
      </c>
      <c r="B2" t="s">
        <v>820</v>
      </c>
      <c r="C2" s="3"/>
    </row>
    <row r="3" spans="1:7" x14ac:dyDescent="0.25">
      <c r="A3" t="s">
        <v>653</v>
      </c>
      <c r="B3" s="83">
        <f>AVERAGEIFS('Extraction carto QGIS'!G2:G903,'Extraction carto QGIS'!F2:F903,"Maraichage",'Extraction carto QGIS'!K2:K903,"NON")</f>
        <v>0.22975842696629234</v>
      </c>
    </row>
    <row r="4" spans="1:7" x14ac:dyDescent="0.25">
      <c r="A4" t="s">
        <v>654</v>
      </c>
      <c r="B4" s="83">
        <f>AVERAGEIFS('Extraction carto QGIS'!G2:G903,'Extraction carto QGIS'!F2:F903,"Maraichage",'Extraction carto QGIS'!K2:K903,"OUI")</f>
        <v>3.6424870466321174E-2</v>
      </c>
    </row>
    <row r="5" spans="1:7" x14ac:dyDescent="0.25">
      <c r="A5" t="s">
        <v>837</v>
      </c>
      <c r="B5" s="83">
        <f>AVERAGEIF('Extraction carto QGIS'!F2:F1018,"Cultures fruitieres",'Extraction carto QGIS'!G2:G1018)</f>
        <v>0.30807633587786265</v>
      </c>
    </row>
    <row r="6" spans="1:7" x14ac:dyDescent="0.25">
      <c r="A6" t="s">
        <v>843</v>
      </c>
      <c r="B6" s="83">
        <f>AVERAGEIF('Extraction carto QGIS'!F2:F1018,"Cereales",'Extraction carto QGIS'!G2:G1018)</f>
        <v>6.4472857142857132</v>
      </c>
    </row>
    <row r="7" spans="1:7" x14ac:dyDescent="0.25">
      <c r="A7" t="s">
        <v>89</v>
      </c>
      <c r="B7" s="83">
        <f>AVERAGEIF('Extraction carto QGIS'!F2:F903,"Tubercules tropicaux",'Extraction carto QGIS'!G2:G903)</f>
        <v>0.25487500000000002</v>
      </c>
    </row>
    <row r="8" spans="1:7" x14ac:dyDescent="0.25">
      <c r="A8" t="s">
        <v>41</v>
      </c>
      <c r="B8" s="83">
        <f>AVERAGEIF('Extraction carto QGIS'!F2:F903,"Horticulture",'Extraction carto QGIS'!G2:G903)</f>
        <v>6.8158620689655114E-2</v>
      </c>
    </row>
    <row r="9" spans="1:7" x14ac:dyDescent="0.25">
      <c r="A9" t="s">
        <v>821</v>
      </c>
      <c r="B9" s="83" t="e">
        <f>AVERAGEIF('Extraction carto QGIS'!F2:F1018,"Prairies et paturages",'Extraction carto QGIS'!G2:G1018)</f>
        <v>#DIV/0!</v>
      </c>
    </row>
    <row r="10" spans="1:7" x14ac:dyDescent="0.25">
      <c r="A10" t="s">
        <v>357</v>
      </c>
      <c r="B10" s="83" t="e">
        <f>AVERAGEIF('Extraction carto QGIS'!F2:F903,"Autres",'Extraction carto QGIS'!G2:G903)</f>
        <v>#DIV/0!</v>
      </c>
    </row>
    <row r="11" spans="1:7" ht="33" customHeight="1" x14ac:dyDescent="0.25">
      <c r="F11" s="169" t="s">
        <v>825</v>
      </c>
      <c r="G11" s="169"/>
    </row>
    <row r="12" spans="1:7" x14ac:dyDescent="0.25">
      <c r="A12" t="s">
        <v>824</v>
      </c>
      <c r="B12" t="s">
        <v>819</v>
      </c>
      <c r="F12" s="110" t="s">
        <v>819</v>
      </c>
      <c r="G12" s="110" t="s">
        <v>826</v>
      </c>
    </row>
    <row r="13" spans="1:7" x14ac:dyDescent="0.25">
      <c r="A13" s="167" t="s">
        <v>409</v>
      </c>
      <c r="B13" t="s">
        <v>653</v>
      </c>
      <c r="C13">
        <f>SUMIFS('Extraction carto QGIS'!G$2:G$1018,'Extraction carto QGIS'!A$2:A$1018,"AGRIPRO",'Extraction carto QGIS'!F$2:F$1018,"Maraichage",'Extraction carto QGIS'!K$2:K$1018,"NON")</f>
        <v>0</v>
      </c>
      <c r="F13" t="s">
        <v>357</v>
      </c>
      <c r="G13" s="21" t="e">
        <f>AVERAGEIFS(C$13:C$452,B$13:B$452,"Autres",C$13:C$452,"&lt;&gt;0")</f>
        <v>#DIV/0!</v>
      </c>
    </row>
    <row r="14" spans="1:7" x14ac:dyDescent="0.25">
      <c r="A14" s="167"/>
      <c r="B14" t="s">
        <v>654</v>
      </c>
      <c r="C14">
        <f>SUMIFS('Extraction carto QGIS'!G$2:G$1018,'Extraction carto QGIS'!A$2:A$1018,"AGRIPRO",'Extraction carto QGIS'!F$2:F$1018,"Maraichage",'Extraction carto QGIS'!K$2:K$1018,"OUI")</f>
        <v>0</v>
      </c>
      <c r="F14" t="s">
        <v>654</v>
      </c>
      <c r="G14" s="21">
        <f>AVERAGEIFS(C$13:C$452,B$13:B$452,"Maraichage HS",C$13:C$452,"&lt;&gt;0")</f>
        <v>0.81023529411764705</v>
      </c>
    </row>
    <row r="15" spans="1:7" x14ac:dyDescent="0.25">
      <c r="A15" s="167"/>
      <c r="B15" t="s">
        <v>837</v>
      </c>
      <c r="C15">
        <f>SUMIFS('Extraction carto QGIS'!G$2:G$1018,'Extraction carto QGIS'!A$2:A$1018,"AGRIPRO",'Extraction carto QGIS'!F$2:F$1018,"Cultures fruitieres")</f>
        <v>0</v>
      </c>
      <c r="F15" t="s">
        <v>41</v>
      </c>
      <c r="G15" s="21">
        <f>AVERAGEIFS(C$13:C$452,B$13:B$452,"Horticulture",C$13:C$452,"&lt;&gt;0")</f>
        <v>2.4177999999999984</v>
      </c>
    </row>
    <row r="16" spans="1:7" x14ac:dyDescent="0.25">
      <c r="A16" s="167"/>
      <c r="B16" t="s">
        <v>843</v>
      </c>
      <c r="C16">
        <f>SUMIFS('Extraction carto QGIS'!G$2:G$1018,'Extraction carto QGIS'!A$2:A$1018,"AGRIPRO",'Extraction carto QGIS'!F$2:F$1018,"Cereales")</f>
        <v>0</v>
      </c>
      <c r="F16" t="s">
        <v>89</v>
      </c>
      <c r="G16" s="21">
        <f>AVERAGEIFS(C$13:C$452,B$13:B$452,"Tubercules tropicaux",C$13:C$452,"&lt;&gt;0")</f>
        <v>0.95000000000000018</v>
      </c>
    </row>
    <row r="17" spans="1:7" x14ac:dyDescent="0.25">
      <c r="A17" s="167"/>
      <c r="B17" t="s">
        <v>89</v>
      </c>
      <c r="C17">
        <f>SUMIFS('Extraction carto QGIS'!G$2:G$1018,'Extraction carto QGIS'!A$2:A$1018,"AGRIPRO",'Extraction carto QGIS'!F$2:F$1018,"Tubercules tropicaux")</f>
        <v>0</v>
      </c>
      <c r="F17" t="s">
        <v>837</v>
      </c>
      <c r="G17" s="21">
        <f>AVERAGEIFS(C$13:C$452,B$13:B$452,"Cultures fruitieres",C$13:C$452,"&lt;&gt;0")</f>
        <v>1.3602000000000001</v>
      </c>
    </row>
    <row r="18" spans="1:7" x14ac:dyDescent="0.25">
      <c r="A18" s="167"/>
      <c r="B18" t="s">
        <v>41</v>
      </c>
      <c r="C18">
        <f>SUMIFS('Extraction carto QGIS'!G$2:G$1018,'Extraction carto QGIS'!A$2:A$1018,"AGRIPRO",'Extraction carto QGIS'!F$2:F$1018,"Horticulture")</f>
        <v>0</v>
      </c>
      <c r="F18" t="s">
        <v>653</v>
      </c>
      <c r="G18" s="21">
        <f>AVERAGEIFS(C$13:C$452,B$13:B$452,"Maraichage PC",C$13:C$452,"&lt;&gt;0")</f>
        <v>2.8449999999999998</v>
      </c>
    </row>
    <row r="19" spans="1:7" x14ac:dyDescent="0.25">
      <c r="A19" s="167"/>
      <c r="B19" t="s">
        <v>821</v>
      </c>
      <c r="C19">
        <f>SUMIFS('Extraction carto QGIS'!G$2:G$1018,'Extraction carto QGIS'!A$2:A$1018,"AGRIPRO",'Extraction carto QGIS'!F$2:F$1018,"Prairies et paturages")</f>
        <v>0</v>
      </c>
      <c r="F19" t="s">
        <v>843</v>
      </c>
      <c r="G19" s="21">
        <f>AVERAGEIFS(C$13:C$452,B$13:B$452,"Cereales",C$13:C$452,"&lt;&gt;0")</f>
        <v>31.28275</v>
      </c>
    </row>
    <row r="20" spans="1:7" x14ac:dyDescent="0.25">
      <c r="A20" s="167"/>
      <c r="B20" t="s">
        <v>357</v>
      </c>
      <c r="C20">
        <f>SUMIFS('Extraction carto QGIS'!G$2:G$1018,'Extraction carto QGIS'!A$2:A$1018,"AGRIPRO",'Extraction carto QGIS'!F$2:F$1018,"Autres")</f>
        <v>0</v>
      </c>
      <c r="F20" t="s">
        <v>821</v>
      </c>
      <c r="G20" s="21" t="e">
        <f>AVERAGEIFS(C$13:C$452,B$13:B$452,"Prairies et paturages",C$13:C$452,"&lt;&gt;0")</f>
        <v>#DIV/0!</v>
      </c>
    </row>
    <row r="21" spans="1:7" x14ac:dyDescent="0.25">
      <c r="A21" s="167" t="s">
        <v>659</v>
      </c>
      <c r="B21" t="s">
        <v>653</v>
      </c>
      <c r="C21">
        <f>SUMIFS('Exploitation non cartographiées'!C2:C7,'Exploitation non cartographiées'!A2:A7,"BARO",'Exploitation non cartographiées'!D2:D7,"Maraichage",'Exploitation non cartographiées'!F2:F7,"NON")</f>
        <v>0</v>
      </c>
    </row>
    <row r="22" spans="1:7" x14ac:dyDescent="0.25">
      <c r="A22" s="167"/>
      <c r="B22" t="s">
        <v>654</v>
      </c>
      <c r="C22">
        <f>SUMIFS('Exploitation non cartographiées'!C$2:C$7,'Exploitation non cartographiées'!A$2:A$7,"BARO",'Exploitation non cartographiées'!D$2:D$7,"Maraichage",'Exploitation non cartographiées'!F$2:F$7,"OUI")</f>
        <v>0</v>
      </c>
    </row>
    <row r="23" spans="1:7" x14ac:dyDescent="0.25">
      <c r="A23" s="167"/>
      <c r="B23" t="s">
        <v>837</v>
      </c>
      <c r="C23">
        <f>SUMIFS('Exploitation non cartographiées'!C$2:C$7,'Exploitation non cartographiées'!A$2:A$7,"BARO",'Exploitation non cartographiées'!D$2:D$7,"Cultures fruitieres")</f>
        <v>0</v>
      </c>
    </row>
    <row r="24" spans="1:7" x14ac:dyDescent="0.25">
      <c r="A24" s="167"/>
      <c r="B24" t="s">
        <v>843</v>
      </c>
      <c r="C24">
        <f>SUMIFS('Exploitation non cartographiées'!C$2:C$7,'Exploitation non cartographiées'!A$2:A$7,"BARO",'Exploitation non cartographiées'!D$2:D$7,"Cereales")</f>
        <v>0</v>
      </c>
    </row>
    <row r="25" spans="1:7" x14ac:dyDescent="0.25">
      <c r="A25" s="167"/>
      <c r="B25" t="s">
        <v>89</v>
      </c>
      <c r="C25">
        <f>SUMIFS('Exploitation non cartographiées'!C$2:C$7,'Exploitation non cartographiées'!A$2:A$7,"BARO",'Exploitation non cartographiées'!D$2:D$7,"Tubercules tropicaux")</f>
        <v>0</v>
      </c>
    </row>
    <row r="26" spans="1:7" x14ac:dyDescent="0.25">
      <c r="A26" s="167"/>
      <c r="B26" t="s">
        <v>41</v>
      </c>
      <c r="C26">
        <f>SUMIFS('Exploitation non cartographiées'!C$2:C$7,'Exploitation non cartographiées'!A$2:A$7,"BARO",'Exploitation non cartographiées'!D$2:D$7,"Horticulture")</f>
        <v>0</v>
      </c>
    </row>
    <row r="27" spans="1:7" x14ac:dyDescent="0.25">
      <c r="A27" s="167"/>
      <c r="B27" t="s">
        <v>821</v>
      </c>
      <c r="C27">
        <f>SUMIFS('Exploitation non cartographiées'!C$2:C$7,'Exploitation non cartographiées'!A$2:A$7,"BARO",'Exploitation non cartographiées'!D$2:D$7,"Prairies et paturages")</f>
        <v>0</v>
      </c>
    </row>
    <row r="28" spans="1:7" x14ac:dyDescent="0.25">
      <c r="A28" s="167"/>
      <c r="B28" t="s">
        <v>357</v>
      </c>
      <c r="C28">
        <f>SUMIFS('Exploitation non cartographiées'!C$2:C$7,'Exploitation non cartographiées'!A$2:A$7,"BARO",'Exploitation non cartographiées'!D$2:D$7,"Autres")</f>
        <v>0</v>
      </c>
    </row>
    <row r="29" spans="1:7" x14ac:dyDescent="0.25">
      <c r="A29" s="167" t="s">
        <v>335</v>
      </c>
      <c r="B29" t="s">
        <v>653</v>
      </c>
      <c r="C29">
        <f>SUMIFS('Extraction carto QGIS'!G$2:G$1018,'Extraction carto QGIS'!A$2:A$1018,"BENARD",'Extraction carto QGIS'!F$2:F$1018,"Maraichage",'Extraction carto QGIS'!K$2:K$1018,"NON")</f>
        <v>5.8659999999999997</v>
      </c>
    </row>
    <row r="30" spans="1:7" x14ac:dyDescent="0.25">
      <c r="A30" s="167"/>
      <c r="B30" t="s">
        <v>654</v>
      </c>
      <c r="C30">
        <f>SUMIFS('Extraction carto QGIS'!G$2:G$1018,'Extraction carto QGIS'!A$2:A$1018,"BENARD",'Extraction carto QGIS'!F$2:F$1018,"Maraichage",'Extraction carto QGIS'!K$2:K$1018,"OUI")</f>
        <v>0.96700000000000041</v>
      </c>
    </row>
    <row r="31" spans="1:7" x14ac:dyDescent="0.25">
      <c r="A31" s="167"/>
      <c r="B31" t="s">
        <v>837</v>
      </c>
      <c r="C31">
        <f>SUMIFS('Extraction carto QGIS'!G$2:G$1018,'Extraction carto QGIS'!A$2:A$1018,"BENARD",'Extraction carto QGIS'!F$2:F$1018,"Cultures fruitieres")</f>
        <v>1.6819999999999999</v>
      </c>
    </row>
    <row r="32" spans="1:7" x14ac:dyDescent="0.25">
      <c r="A32" s="167"/>
      <c r="B32" t="s">
        <v>843</v>
      </c>
      <c r="C32">
        <f>SUMIFS('Extraction carto QGIS'!G$2:G$1018,'Extraction carto QGIS'!A$2:A$1018,"BENARD",'Extraction carto QGIS'!F$2:F$1018,"Cereales")</f>
        <v>0</v>
      </c>
    </row>
    <row r="33" spans="1:3" x14ac:dyDescent="0.25">
      <c r="A33" s="167"/>
      <c r="B33" t="s">
        <v>89</v>
      </c>
      <c r="C33">
        <f>SUMIFS('Extraction carto QGIS'!G$2:G$1018,'Extraction carto QGIS'!A$2:A$1018,"BENARD",'Extraction carto QGIS'!F$2:F$1018,"Tubercules tropicaux")</f>
        <v>0</v>
      </c>
    </row>
    <row r="34" spans="1:3" x14ac:dyDescent="0.25">
      <c r="A34" s="167"/>
      <c r="B34" t="s">
        <v>41</v>
      </c>
      <c r="C34">
        <f>SUMIFS('Extraction carto QGIS'!G$2:G$1018,'Extraction carto QGIS'!A$2:A$1018,"BENARD",'Extraction carto QGIS'!F$2:F$1018,"Horticulture")</f>
        <v>0.40100000000000002</v>
      </c>
    </row>
    <row r="35" spans="1:3" x14ac:dyDescent="0.25">
      <c r="A35" s="167"/>
      <c r="B35" t="s">
        <v>821</v>
      </c>
      <c r="C35">
        <f>SUMIFS('Extraction carto QGIS'!G$2:G$1018,'Extraction carto QGIS'!A$2:A$1018,"BENARD",'Extraction carto QGIS'!F$2:F$1018,"Prairies et paturages")</f>
        <v>0</v>
      </c>
    </row>
    <row r="36" spans="1:3" x14ac:dyDescent="0.25">
      <c r="A36" s="167"/>
      <c r="B36" t="s">
        <v>357</v>
      </c>
      <c r="C36">
        <f>SUMIFS('Extraction carto QGIS'!G$2:G$1018,'Extraction carto QGIS'!A$2:A$1018,"BENARD",'Extraction carto QGIS'!F$2:F$1018,"Autres")</f>
        <v>0</v>
      </c>
    </row>
    <row r="37" spans="1:3" x14ac:dyDescent="0.25">
      <c r="A37" s="167" t="s">
        <v>608</v>
      </c>
      <c r="B37" t="s">
        <v>653</v>
      </c>
      <c r="C37">
        <f>SUMIFS('Extraction carto QGIS'!G$2:G$1018,'Extraction carto QGIS'!A$2:A$1018,"BURGUIERE",'Extraction carto QGIS'!F$2:F$1018,"Maraichage",'Extraction carto QGIS'!K$2:K$1018,"NON")</f>
        <v>0</v>
      </c>
    </row>
    <row r="38" spans="1:3" x14ac:dyDescent="0.25">
      <c r="A38" s="167"/>
      <c r="B38" t="s">
        <v>654</v>
      </c>
      <c r="C38">
        <f>SUMIFS('Extraction carto QGIS'!G$2:G$1018,'Extraction carto QGIS'!A$2:A$1018,"BURGUIERE",'Extraction carto QGIS'!F$2:F$1018,"Maraichage",'Extraction carto QGIS'!K$2:K$1018,"OUI")</f>
        <v>5.3999999999999999E-2</v>
      </c>
    </row>
    <row r="39" spans="1:3" x14ac:dyDescent="0.25">
      <c r="A39" s="167"/>
      <c r="B39" t="s">
        <v>837</v>
      </c>
      <c r="C39">
        <f>SUMIFS('Extraction carto QGIS'!G$2:G$1018,'Extraction carto QGIS'!A$2:A$1018,"BURGUIERE",'Extraction carto QGIS'!F$2:F$1018,"Cultures fruitieres")</f>
        <v>0</v>
      </c>
    </row>
    <row r="40" spans="1:3" x14ac:dyDescent="0.25">
      <c r="A40" s="167"/>
      <c r="B40" t="s">
        <v>843</v>
      </c>
      <c r="C40">
        <f>SUMIFS('Extraction carto QGIS'!G$2:G$1018,'Extraction carto QGIS'!A$2:A$1018,"BURGUIERE",'Extraction carto QGIS'!F$2:F$1018,"Cereales")</f>
        <v>0</v>
      </c>
    </row>
    <row r="41" spans="1:3" x14ac:dyDescent="0.25">
      <c r="A41" s="167"/>
      <c r="B41" t="s">
        <v>89</v>
      </c>
      <c r="C41">
        <f>SUMIFS('Extraction carto QGIS'!G$2:G$1018,'Extraction carto QGIS'!A$2:A$1018,"BBURGUIERE",'Extraction carto QGIS'!F$2:F$1018,"Tubercules tropicaux")</f>
        <v>0</v>
      </c>
    </row>
    <row r="42" spans="1:3" x14ac:dyDescent="0.25">
      <c r="A42" s="167"/>
      <c r="B42" t="s">
        <v>41</v>
      </c>
      <c r="C42">
        <f>SUMIFS('Extraction carto QGIS'!G$2:G$1018,'Extraction carto QGIS'!A$2:A$1018,"BURGUIERE",'Extraction carto QGIS'!F$2:F$1018,"Horticulture")</f>
        <v>0</v>
      </c>
    </row>
    <row r="43" spans="1:3" x14ac:dyDescent="0.25">
      <c r="A43" s="167"/>
      <c r="B43" t="s">
        <v>821</v>
      </c>
      <c r="C43">
        <f>SUMIFS('Extraction carto QGIS'!G$2:G$1018,'Extraction carto QGIS'!A$2:A$1018,"BURGUIERE",'Extraction carto QGIS'!F$2:F$1018,"Prairies et pâturages")</f>
        <v>0</v>
      </c>
    </row>
    <row r="44" spans="1:3" x14ac:dyDescent="0.25">
      <c r="A44" s="167"/>
      <c r="B44" t="s">
        <v>357</v>
      </c>
      <c r="C44">
        <f>SUMIFS('Extraction carto QGIS'!G$2:G$1018,'Extraction carto QGIS'!A$2:A$1018,"BURGUIERE",'Extraction carto QGIS'!F$2:F$1018,"Autres")</f>
        <v>0</v>
      </c>
    </row>
    <row r="45" spans="1:3" x14ac:dyDescent="0.25">
      <c r="A45" s="167" t="s">
        <v>551</v>
      </c>
      <c r="B45" t="s">
        <v>653</v>
      </c>
      <c r="C45">
        <f>SUMIFS('Extraction carto QGIS'!G$2:G$1018,'Extraction carto QGIS'!A$2:A$1018,"BLOMME",'Extraction carto QGIS'!F$2:F$1018,"Maraichage",'Extraction carto QGIS'!K$2:K$1018,"NON")</f>
        <v>0.2350000000000001</v>
      </c>
    </row>
    <row r="46" spans="1:3" x14ac:dyDescent="0.25">
      <c r="A46" s="167"/>
      <c r="B46" t="s">
        <v>654</v>
      </c>
      <c r="C46">
        <f>SUMIFS('Extraction carto QGIS'!G$2:G$1018,'Extraction carto QGIS'!A$2:A$1018,"BLOMME",'Extraction carto QGIS'!F$2:F$1018,"Maraichage",'Extraction carto QGIS'!K$2:K$1018,"OUI")</f>
        <v>4.0000000000000001E-3</v>
      </c>
    </row>
    <row r="47" spans="1:3" x14ac:dyDescent="0.25">
      <c r="A47" s="167"/>
      <c r="B47" t="s">
        <v>837</v>
      </c>
      <c r="C47">
        <f>SUMIFS('Extraction carto QGIS'!G$2:G$1018,'Extraction carto QGIS'!A$2:A$1018,"BLOMME",'Extraction carto QGIS'!F$2:F$1018,"Cultures fruitieres")</f>
        <v>3.7000000000000005E-2</v>
      </c>
    </row>
    <row r="48" spans="1:3" x14ac:dyDescent="0.25">
      <c r="A48" s="167"/>
      <c r="B48" t="s">
        <v>843</v>
      </c>
      <c r="C48">
        <f>SUMIFS('Extraction carto QGIS'!G$2:G$1018,'Extraction carto QGIS'!A$2:A$1018,"BLOMME",'Extraction carto QGIS'!F$2:F$1018,"Cereales")</f>
        <v>5.95</v>
      </c>
    </row>
    <row r="49" spans="1:3" x14ac:dyDescent="0.25">
      <c r="A49" s="167"/>
      <c r="B49" t="s">
        <v>89</v>
      </c>
      <c r="C49">
        <f>SUMIFS('Extraction carto QGIS'!G$2:G$1018,'Extraction carto QGIS'!A$2:A$1018,"BLOMME",'Extraction carto QGIS'!F$2:F$1018,"Tubercules tropicaux")</f>
        <v>0</v>
      </c>
    </row>
    <row r="50" spans="1:3" x14ac:dyDescent="0.25">
      <c r="A50" s="167"/>
      <c r="B50" t="s">
        <v>41</v>
      </c>
      <c r="C50">
        <f>SUMIFS('Extraction carto QGIS'!G$2:G$1018,'Extraction carto QGIS'!A$2:A$1018,"BLOMME",'Extraction carto QGIS'!F$2:F$1018,"Horticulture")</f>
        <v>0</v>
      </c>
    </row>
    <row r="51" spans="1:3" x14ac:dyDescent="0.25">
      <c r="A51" s="167"/>
      <c r="B51" t="s">
        <v>821</v>
      </c>
      <c r="C51">
        <f>SUMIFS('Extraction carto QGIS'!G$2:G$1018,'Extraction carto QGIS'!A$2:A$1018,"BLOMME",'Extraction carto QGIS'!F$2:F$1018,"Prairies et paturages")</f>
        <v>0</v>
      </c>
    </row>
    <row r="52" spans="1:3" x14ac:dyDescent="0.25">
      <c r="A52" s="167"/>
      <c r="B52" t="s">
        <v>357</v>
      </c>
      <c r="C52">
        <f>SUMIFS('Extraction carto QGIS'!G$2:G$1018,'Extraction carto QGIS'!A$2:A$1018,"BLOMME",'Extraction carto QGIS'!F$2:F$1018,"Autres")</f>
        <v>0</v>
      </c>
    </row>
    <row r="53" spans="1:3" x14ac:dyDescent="0.25">
      <c r="A53" s="167" t="s">
        <v>80</v>
      </c>
      <c r="B53" t="s">
        <v>653</v>
      </c>
      <c r="C53">
        <f>SUMIFS('Extraction carto QGIS'!G$2:G$1018,'Extraction carto QGIS'!A$2:A$1018,"BOEUF",'Extraction carto QGIS'!F$2:F$1018,"Maraichage",'Extraction carto QGIS'!K$2:K$1018,"NON")</f>
        <v>0</v>
      </c>
    </row>
    <row r="54" spans="1:3" x14ac:dyDescent="0.25">
      <c r="A54" s="167"/>
      <c r="B54" t="s">
        <v>654</v>
      </c>
      <c r="C54">
        <f>SUMIFS('Extraction carto QGIS'!G$2:G$1018,'Extraction carto QGIS'!A$2:A$1018,"BOEUF",'Extraction carto QGIS'!F$2:F$1018,"Maraichage",'Extraction carto QGIS'!K$2:K$1018,"OUI")</f>
        <v>0</v>
      </c>
    </row>
    <row r="55" spans="1:3" x14ac:dyDescent="0.25">
      <c r="A55" s="167"/>
      <c r="B55" t="s">
        <v>837</v>
      </c>
      <c r="C55">
        <f>SUMIFS('Extraction carto QGIS'!G$2:G$1018,'Extraction carto QGIS'!A$2:A$1018,"BOEUF",'Extraction carto QGIS'!F$2:F$1018,"Cultures fruitieres")</f>
        <v>0</v>
      </c>
    </row>
    <row r="56" spans="1:3" x14ac:dyDescent="0.25">
      <c r="A56" s="167"/>
      <c r="B56" t="s">
        <v>843</v>
      </c>
      <c r="C56">
        <f>SUMIFS('Extraction carto QGIS'!G$2:G$1018,'Extraction carto QGIS'!A$2:A$1018,"BOEUF",'Extraction carto QGIS'!F$2:F$1018,"Cereales")</f>
        <v>0</v>
      </c>
    </row>
    <row r="57" spans="1:3" x14ac:dyDescent="0.25">
      <c r="A57" s="167"/>
      <c r="B57" t="s">
        <v>89</v>
      </c>
      <c r="C57">
        <f>SUMIFS('Extraction carto QGIS'!G$2:G$1018,'Extraction carto QGIS'!A$2:A$1018,"BOEUF",'Extraction carto QGIS'!F$2:F$1018,"Tubercules tropicaux")</f>
        <v>0</v>
      </c>
    </row>
    <row r="58" spans="1:3" x14ac:dyDescent="0.25">
      <c r="A58" s="167"/>
      <c r="B58" t="s">
        <v>41</v>
      </c>
      <c r="C58">
        <f>SUMIFS('Extraction carto QGIS'!G$2:G$1018,'Extraction carto QGIS'!A$2:A$1018,"BOEUF",'Extraction carto QGIS'!F$2:F$1018,"Horticulture")</f>
        <v>0</v>
      </c>
    </row>
    <row r="59" spans="1:3" x14ac:dyDescent="0.25">
      <c r="A59" s="167"/>
      <c r="B59" t="s">
        <v>821</v>
      </c>
      <c r="C59">
        <f>SUMIFS('Extraction carto QGIS'!G$2:G$1018,'Extraction carto QGIS'!A$2:A$1018,"BOEUF",'Extraction carto QGIS'!F$2:F$1018,"Prairies et paturages")</f>
        <v>0</v>
      </c>
    </row>
    <row r="60" spans="1:3" x14ac:dyDescent="0.25">
      <c r="A60" s="167"/>
      <c r="B60" t="s">
        <v>357</v>
      </c>
      <c r="C60">
        <f>SUMIFS('Extraction carto QGIS'!G$2:G$1018,'Extraction carto QGIS'!A$2:A$1018,"BOEUF",'Extraction carto QGIS'!F$2:F$1018,"Autres")</f>
        <v>0</v>
      </c>
    </row>
    <row r="61" spans="1:3" x14ac:dyDescent="0.25">
      <c r="A61" s="167" t="s">
        <v>799</v>
      </c>
      <c r="B61" t="s">
        <v>653</v>
      </c>
      <c r="C61">
        <f>SUMIFS('Exploitation non cartographiées'!C$2:C$7,'Exploitation non cartographiées'!A$2:A$7,"BOSSARD",'Exploitation non cartographiées'!D$2:D$7,"Maraichage",'Exploitation non cartographiées'!F$2:F$7,"NON")</f>
        <v>0</v>
      </c>
    </row>
    <row r="62" spans="1:3" x14ac:dyDescent="0.25">
      <c r="A62" s="167"/>
      <c r="B62" t="s">
        <v>654</v>
      </c>
      <c r="C62">
        <f>SUMIFS('Exploitation non cartographiées'!C$2:C$7,'Exploitation non cartographiées'!A$2:A$7,"BOSSARD",'Exploitation non cartographiées'!D$2:D$7,"Maraichage",'Exploitation non cartographiées'!F$2:F$7,"OUI")</f>
        <v>8.5</v>
      </c>
    </row>
    <row r="63" spans="1:3" x14ac:dyDescent="0.25">
      <c r="A63" s="167"/>
      <c r="B63" t="s">
        <v>837</v>
      </c>
      <c r="C63">
        <v>0</v>
      </c>
    </row>
    <row r="64" spans="1:3" x14ac:dyDescent="0.25">
      <c r="A64" s="167"/>
      <c r="B64" t="s">
        <v>843</v>
      </c>
      <c r="C64">
        <v>0</v>
      </c>
    </row>
    <row r="65" spans="1:3" x14ac:dyDescent="0.25">
      <c r="A65" s="167"/>
      <c r="B65" t="s">
        <v>89</v>
      </c>
      <c r="C65">
        <v>0</v>
      </c>
    </row>
    <row r="66" spans="1:3" x14ac:dyDescent="0.25">
      <c r="A66" s="167"/>
      <c r="B66" t="s">
        <v>41</v>
      </c>
      <c r="C66">
        <v>0</v>
      </c>
    </row>
    <row r="67" spans="1:3" x14ac:dyDescent="0.25">
      <c r="A67" s="167"/>
      <c r="B67" t="s">
        <v>821</v>
      </c>
      <c r="C67">
        <v>0</v>
      </c>
    </row>
    <row r="68" spans="1:3" x14ac:dyDescent="0.25">
      <c r="A68" s="167"/>
      <c r="B68" t="s">
        <v>357</v>
      </c>
      <c r="C68">
        <v>0</v>
      </c>
    </row>
    <row r="69" spans="1:3" x14ac:dyDescent="0.25">
      <c r="A69" s="167" t="s">
        <v>798</v>
      </c>
      <c r="B69" t="s">
        <v>653</v>
      </c>
      <c r="C69">
        <v>0</v>
      </c>
    </row>
    <row r="70" spans="1:3" x14ac:dyDescent="0.25">
      <c r="A70" s="167"/>
      <c r="B70" t="s">
        <v>654</v>
      </c>
      <c r="C70">
        <v>0</v>
      </c>
    </row>
    <row r="71" spans="1:3" x14ac:dyDescent="0.25">
      <c r="A71" s="167"/>
      <c r="B71" t="s">
        <v>837</v>
      </c>
      <c r="C71">
        <f>SUMIFS('Exploitation non cartographiées'!C$2:C$7,'Exploitation non cartographiées'!A$2:A$7,"BOSSARD",'Exploitation non cartographiées'!D$2:D$7,"Cultures fruitieres")</f>
        <v>0</v>
      </c>
    </row>
    <row r="72" spans="1:3" x14ac:dyDescent="0.25">
      <c r="A72" s="167"/>
      <c r="B72" t="s">
        <v>843</v>
      </c>
      <c r="C72">
        <v>0</v>
      </c>
    </row>
    <row r="73" spans="1:3" x14ac:dyDescent="0.25">
      <c r="A73" s="167"/>
      <c r="B73" t="s">
        <v>89</v>
      </c>
      <c r="C73">
        <v>0</v>
      </c>
    </row>
    <row r="74" spans="1:3" x14ac:dyDescent="0.25">
      <c r="A74" s="167"/>
      <c r="B74" t="s">
        <v>41</v>
      </c>
      <c r="C74">
        <v>0</v>
      </c>
    </row>
    <row r="75" spans="1:3" x14ac:dyDescent="0.25">
      <c r="A75" s="167"/>
      <c r="B75" t="s">
        <v>821</v>
      </c>
      <c r="C75">
        <v>0</v>
      </c>
    </row>
    <row r="76" spans="1:3" x14ac:dyDescent="0.25">
      <c r="A76" s="167"/>
      <c r="B76" t="s">
        <v>357</v>
      </c>
      <c r="C76">
        <v>0</v>
      </c>
    </row>
    <row r="77" spans="1:3" x14ac:dyDescent="0.25">
      <c r="A77" s="167" t="s">
        <v>279</v>
      </c>
      <c r="B77" t="s">
        <v>653</v>
      </c>
      <c r="C77">
        <f>SUMIFS('Extraction carto QGIS'!G$2:G$1018,'Extraction carto QGIS'!A$2:A$1018,"BOSSY",'Extraction carto QGIS'!F$2:F$1018,"Maraichage",'Extraction carto QGIS'!K$2:K$1018,"NON")</f>
        <v>0.69500000000000006</v>
      </c>
    </row>
    <row r="78" spans="1:3" x14ac:dyDescent="0.25">
      <c r="A78" s="167"/>
      <c r="B78" t="s">
        <v>654</v>
      </c>
      <c r="C78">
        <f>SUMIFS('Extraction carto QGIS'!G$2:G$1018,'Extraction carto QGIS'!A$2:A$1018,"BOSSY",'Extraction carto QGIS'!F$2:F$1018,"Maraichage",'Extraction carto QGIS'!K$2:K$1018,"OUI")</f>
        <v>0</v>
      </c>
    </row>
    <row r="79" spans="1:3" x14ac:dyDescent="0.25">
      <c r="A79" s="167"/>
      <c r="B79" t="s">
        <v>837</v>
      </c>
      <c r="C79">
        <f>SUMIFS('Extraction carto QGIS'!G$2:G$1018,'Extraction carto QGIS'!A$2:A$1018,"BOSSY",'Extraction carto QGIS'!F$2:F$1018,"Cultures fruitieres")</f>
        <v>0.251</v>
      </c>
    </row>
    <row r="80" spans="1:3" x14ac:dyDescent="0.25">
      <c r="A80" s="167"/>
      <c r="B80" t="s">
        <v>843</v>
      </c>
      <c r="C80">
        <f>SUMIFS('Extraction carto QGIS'!G$2:G$1018,'Extraction carto QGIS'!A$2:A$1018,"BOSSY",'Extraction carto QGIS'!F$2:F$1018,"Cereales")</f>
        <v>0</v>
      </c>
    </row>
    <row r="81" spans="1:3" x14ac:dyDescent="0.25">
      <c r="A81" s="167"/>
      <c r="B81" t="s">
        <v>89</v>
      </c>
      <c r="C81">
        <f>SUMIFS('Extraction carto QGIS'!G$2:G$1018,'Extraction carto QGIS'!A$2:A$1018,"BOSSY",'Extraction carto QGIS'!F$2:F$1018,"Tubercules tropicaux")</f>
        <v>0</v>
      </c>
    </row>
    <row r="82" spans="1:3" x14ac:dyDescent="0.25">
      <c r="A82" s="167"/>
      <c r="B82" t="s">
        <v>41</v>
      </c>
      <c r="C82">
        <f>SUMIFS('Extraction carto QGIS'!G$2:G$1018,'Extraction carto QGIS'!A$2:A$1018,"BOSSY",'Extraction carto QGIS'!F$2:F$1018,"Horticulture")</f>
        <v>0</v>
      </c>
    </row>
    <row r="83" spans="1:3" x14ac:dyDescent="0.25">
      <c r="A83" s="167"/>
      <c r="B83" t="s">
        <v>821</v>
      </c>
      <c r="C83">
        <f>SUMIFS('Extraction carto QGIS'!G$2:G$1018,'Extraction carto QGIS'!A$2:A$1018,"BOSSY",'Extraction carto QGIS'!F$2:F$1018,"Prairies et paturages")</f>
        <v>0</v>
      </c>
    </row>
    <row r="84" spans="1:3" x14ac:dyDescent="0.25">
      <c r="A84" s="167"/>
      <c r="B84" t="s">
        <v>357</v>
      </c>
      <c r="C84">
        <f>SUMIFS('Extraction carto QGIS'!G$2:G$1018,'Extraction carto QGIS'!A$2:A$1018,"BOSSY",'Extraction carto QGIS'!F$2:F$1018,"Autres")</f>
        <v>0</v>
      </c>
    </row>
    <row r="85" spans="1:3" x14ac:dyDescent="0.25">
      <c r="A85" s="167" t="s">
        <v>454</v>
      </c>
      <c r="B85" t="s">
        <v>653</v>
      </c>
      <c r="C85">
        <f>SUMIFS('Extraction carto QGIS'!G$2:G$1018,'Extraction carto QGIS'!A$2:A$1018,"BOUGAULT",'Extraction carto QGIS'!F$2:F$1018,"Maraichage",'Extraction carto QGIS'!K$2:K$1018,"NON")</f>
        <v>0</v>
      </c>
    </row>
    <row r="86" spans="1:3" x14ac:dyDescent="0.25">
      <c r="A86" s="167"/>
      <c r="B86" t="s">
        <v>654</v>
      </c>
      <c r="C86">
        <f>SUMIFS('Extraction carto QGIS'!G$2:G$1018,'Extraction carto QGIS'!A$2:A$1018,"BOUGAULT",'Extraction carto QGIS'!F$2:F$1018,"Maraichage",'Extraction carto QGIS'!K$2:K$1018,"OUI")</f>
        <v>0</v>
      </c>
    </row>
    <row r="87" spans="1:3" x14ac:dyDescent="0.25">
      <c r="A87" s="167"/>
      <c r="B87" t="s">
        <v>837</v>
      </c>
      <c r="C87">
        <f>SUMIFS('Extraction carto QGIS'!G$2:G$1018,'Extraction carto QGIS'!A$2:A$1018,"BOUGAULT",'Extraction carto QGIS'!F$2:F$1018,"Cultures fruitieres")</f>
        <v>0.06</v>
      </c>
    </row>
    <row r="88" spans="1:3" x14ac:dyDescent="0.25">
      <c r="A88" s="167"/>
      <c r="B88" t="s">
        <v>843</v>
      </c>
      <c r="C88">
        <f>SUMIFS('Extraction carto QGIS'!G$2:G$1018,'Extraction carto QGIS'!A$2:A$1018,"BOUGAULT",'Extraction carto QGIS'!F$2:F$1018,"Cereales")</f>
        <v>0</v>
      </c>
    </row>
    <row r="89" spans="1:3" x14ac:dyDescent="0.25">
      <c r="A89" s="167"/>
      <c r="B89" t="s">
        <v>89</v>
      </c>
      <c r="C89">
        <f>SUMIFS('Extraction carto QGIS'!G$2:G$1018,'Extraction carto QGIS'!A$2:A$1018,"BOUGAULT",'Extraction carto QGIS'!F$2:F$1018,"Tubercules tropicaux")</f>
        <v>0</v>
      </c>
    </row>
    <row r="90" spans="1:3" x14ac:dyDescent="0.25">
      <c r="A90" s="167"/>
      <c r="B90" t="s">
        <v>41</v>
      </c>
      <c r="C90">
        <f>SUMIFS('Extraction carto QGIS'!G$2:G$1018,'Extraction carto QGIS'!A$2:A$1018,"BOUGAULT",'Extraction carto QGIS'!F$2:F$1018,"Horticulture")</f>
        <v>0.23000000000000004</v>
      </c>
    </row>
    <row r="91" spans="1:3" x14ac:dyDescent="0.25">
      <c r="A91" s="167"/>
      <c r="B91" t="s">
        <v>821</v>
      </c>
      <c r="C91">
        <f>SUMIFS('Extraction carto QGIS'!G$2:G$1018,'Extraction carto QGIS'!A$2:A$1018,"BOUGAULT",'Extraction carto QGIS'!F$2:F$1018,"Prairies et paturages")</f>
        <v>0</v>
      </c>
    </row>
    <row r="92" spans="1:3" x14ac:dyDescent="0.25">
      <c r="A92" s="167"/>
      <c r="B92" t="s">
        <v>357</v>
      </c>
      <c r="C92">
        <f>SUMIFS('Extraction carto QGIS'!G$2:G$1018,'Extraction carto QGIS'!A$2:A$1018,"BOUGAULT",'Extraction carto QGIS'!F$2:F$1018,"Autres")</f>
        <v>0</v>
      </c>
    </row>
    <row r="93" spans="1:3" x14ac:dyDescent="0.25">
      <c r="A93" s="167" t="s">
        <v>661</v>
      </c>
      <c r="B93" t="s">
        <v>653</v>
      </c>
      <c r="C93">
        <v>0</v>
      </c>
    </row>
    <row r="94" spans="1:3" x14ac:dyDescent="0.25">
      <c r="A94" s="167"/>
      <c r="B94" t="s">
        <v>654</v>
      </c>
      <c r="C94">
        <v>2</v>
      </c>
    </row>
    <row r="95" spans="1:3" x14ac:dyDescent="0.25">
      <c r="A95" s="167"/>
      <c r="B95" t="s">
        <v>837</v>
      </c>
      <c r="C95">
        <v>2</v>
      </c>
    </row>
    <row r="96" spans="1:3" x14ac:dyDescent="0.25">
      <c r="A96" s="167"/>
      <c r="B96" t="s">
        <v>843</v>
      </c>
      <c r="C96">
        <v>0</v>
      </c>
    </row>
    <row r="97" spans="1:3" x14ac:dyDescent="0.25">
      <c r="A97" s="167"/>
      <c r="B97" t="s">
        <v>89</v>
      </c>
      <c r="C97">
        <v>0</v>
      </c>
    </row>
    <row r="98" spans="1:3" x14ac:dyDescent="0.25">
      <c r="A98" s="167"/>
      <c r="B98" t="s">
        <v>41</v>
      </c>
      <c r="C98">
        <v>0</v>
      </c>
    </row>
    <row r="99" spans="1:3" x14ac:dyDescent="0.25">
      <c r="A99" s="167"/>
      <c r="B99" t="s">
        <v>821</v>
      </c>
      <c r="C99">
        <v>0</v>
      </c>
    </row>
    <row r="100" spans="1:3" x14ac:dyDescent="0.25">
      <c r="A100" s="167"/>
      <c r="B100" t="s">
        <v>357</v>
      </c>
      <c r="C100">
        <v>0</v>
      </c>
    </row>
    <row r="101" spans="1:3" x14ac:dyDescent="0.25">
      <c r="A101" s="167" t="s">
        <v>608</v>
      </c>
      <c r="B101" t="s">
        <v>653</v>
      </c>
      <c r="C101">
        <f>SUMIFS('Extraction carto QGIS'!G$2:G$1018,'Extraction carto QGIS'!A$2:A$1018,"BURGUIERE",'Extraction carto QGIS'!F$2:F$1018,"Maraichage",'Extraction carto QGIS'!K$2:K$1018,"NON")</f>
        <v>0</v>
      </c>
    </row>
    <row r="102" spans="1:3" x14ac:dyDescent="0.25">
      <c r="A102" s="167"/>
      <c r="B102" t="s">
        <v>654</v>
      </c>
      <c r="C102">
        <f>SUMIFS('Extraction carto QGIS'!G$2:G$9853,'Extraction carto QGIS'!A$2:A$9853,"BURGUIERE",'Extraction carto QGIS'!F$2:F$9853,"Maraichage",'Extraction carto QGIS'!K$2:K$9853,"OUI")</f>
        <v>5.3999999999999999E-2</v>
      </c>
    </row>
    <row r="103" spans="1:3" x14ac:dyDescent="0.25">
      <c r="A103" s="167"/>
      <c r="B103" t="s">
        <v>837</v>
      </c>
      <c r="C103">
        <f>SUMIFS('Extraction carto QGIS'!G$2:G$9853,'Extraction carto QGIS'!A$2:A$9853,"BURGUIERE",'Extraction carto QGIS'!F$2:F$9853,"Cultures fruitieres")</f>
        <v>0</v>
      </c>
    </row>
    <row r="104" spans="1:3" x14ac:dyDescent="0.25">
      <c r="A104" s="167"/>
      <c r="B104" t="s">
        <v>843</v>
      </c>
      <c r="C104">
        <f>SUMIFS('Extraction carto QGIS'!G$2:G$9853,'Extraction carto QGIS'!A$2:A$9853,"BURGUIERE",'Extraction carto QGIS'!F$2:F$9853,"Cereales")</f>
        <v>0</v>
      </c>
    </row>
    <row r="105" spans="1:3" x14ac:dyDescent="0.25">
      <c r="A105" s="167"/>
      <c r="B105" t="s">
        <v>89</v>
      </c>
      <c r="C105">
        <f>SUMIFS('Extraction carto QGIS'!G$2:G$9853,'Extraction carto QGIS'!A$2:A$9853,"BURGUIERE",'Extraction carto QGIS'!F$2:F$9853,"Tubercules tropicaux")</f>
        <v>0</v>
      </c>
    </row>
    <row r="106" spans="1:3" x14ac:dyDescent="0.25">
      <c r="A106" s="167"/>
      <c r="B106" t="s">
        <v>41</v>
      </c>
      <c r="C106">
        <f>SUMIFS('Extraction carto QGIS'!G$2:G$9853,'Extraction carto QGIS'!A$2:A$9853,"BURGUIERE",'Extraction carto QGIS'!F$2:F$9853,"Horticulture")</f>
        <v>0</v>
      </c>
    </row>
    <row r="107" spans="1:3" x14ac:dyDescent="0.25">
      <c r="A107" s="167"/>
      <c r="B107" t="s">
        <v>821</v>
      </c>
      <c r="C107">
        <f>SUMIFS('Extraction carto QGIS'!G$2:G$9853,'Extraction carto QGIS'!A$2:A$9853,"BURGUIERE",'Extraction carto QGIS'!F$2:F$9853,B107)</f>
        <v>0</v>
      </c>
    </row>
    <row r="108" spans="1:3" x14ac:dyDescent="0.25">
      <c r="A108" s="167"/>
      <c r="B108" t="s">
        <v>357</v>
      </c>
      <c r="C108">
        <f>SUMIFS('Extraction carto QGIS'!G$2:G$9853,'Extraction carto QGIS'!A$2:A$9853,"BURGUIERE",'Extraction carto QGIS'!F$2:F$9853,B108)</f>
        <v>0</v>
      </c>
    </row>
    <row r="109" spans="1:3" x14ac:dyDescent="0.25">
      <c r="A109" s="167" t="s">
        <v>278</v>
      </c>
      <c r="B109" t="s">
        <v>653</v>
      </c>
      <c r="C109">
        <f>SUMIFS('Extraction carto QGIS'!G$2:G$9853,'Extraction carto QGIS'!A$2:A$9853,"CALMELS",'Extraction carto QGIS'!F$2:F$9853,"Maraichage",'Extraction carto QGIS'!K$2:K$9853,"NON")</f>
        <v>0</v>
      </c>
    </row>
    <row r="110" spans="1:3" x14ac:dyDescent="0.25">
      <c r="A110" s="167"/>
      <c r="B110" t="s">
        <v>654</v>
      </c>
      <c r="C110">
        <f>SUMIFS('Extraction carto QGIS'!G$2:G$9853,'Extraction carto QGIS'!A$2:A$9853,"CALMELS",'Extraction carto QGIS'!F$2:F$9853,"Maraichage",'Extraction carto QGIS'!K$2:K$9853,"OUI")</f>
        <v>0</v>
      </c>
    </row>
    <row r="111" spans="1:3" x14ac:dyDescent="0.25">
      <c r="A111" s="167"/>
      <c r="B111" t="s">
        <v>837</v>
      </c>
      <c r="C111">
        <f>SUMIFS('Extraction carto QGIS'!G$2:G$9853,'Extraction carto QGIS'!A$2:A$9853,"CALMELS",'Extraction carto QGIS'!F$2:F$9853,B111)</f>
        <v>0</v>
      </c>
    </row>
    <row r="112" spans="1:3" x14ac:dyDescent="0.25">
      <c r="A112" s="167"/>
      <c r="B112" t="s">
        <v>843</v>
      </c>
      <c r="C112">
        <f>SUMIFS('Extraction carto QGIS'!G$2:G$9853,'Extraction carto QGIS'!A$2:A$9853,"CALMELS",'Extraction carto QGIS'!F$2:F$9853,B112)</f>
        <v>0</v>
      </c>
    </row>
    <row r="113" spans="1:3" x14ac:dyDescent="0.25">
      <c r="A113" s="167"/>
      <c r="B113" t="s">
        <v>89</v>
      </c>
      <c r="C113">
        <f>SUMIFS('Extraction carto QGIS'!G$2:G$9853,'Extraction carto QGIS'!A$2:A$9853,"CALMELS",'Extraction carto QGIS'!F$2:F$9853,B113)</f>
        <v>0</v>
      </c>
    </row>
    <row r="114" spans="1:3" x14ac:dyDescent="0.25">
      <c r="A114" s="167"/>
      <c r="B114" t="s">
        <v>41</v>
      </c>
      <c r="C114">
        <f>SUMIFS('Extraction carto QGIS'!G$2:G$9853,'Extraction carto QGIS'!A$2:A$9853,"CALMELS",'Extraction carto QGIS'!F$2:F$9853,B114)</f>
        <v>0</v>
      </c>
    </row>
    <row r="115" spans="1:3" x14ac:dyDescent="0.25">
      <c r="A115" s="167"/>
      <c r="B115" t="s">
        <v>821</v>
      </c>
      <c r="C115">
        <f>SUMIFS('Extraction carto QGIS'!G$2:G$9853,'Extraction carto QGIS'!A$2:A$9853,"CALMELS",'Extraction carto QGIS'!F$2:F$9853,B115)</f>
        <v>0</v>
      </c>
    </row>
    <row r="116" spans="1:3" x14ac:dyDescent="0.25">
      <c r="A116" s="167"/>
      <c r="B116" t="s">
        <v>357</v>
      </c>
      <c r="C116">
        <f>SUMIFS('Extraction carto QGIS'!G$2:G$9853,'Extraction carto QGIS'!A$2:A$9853,"CALMELS",'Extraction carto QGIS'!F$2:F$9853,B116)</f>
        <v>0</v>
      </c>
    </row>
    <row r="117" spans="1:3" x14ac:dyDescent="0.25">
      <c r="A117" s="167" t="s">
        <v>618</v>
      </c>
      <c r="B117" t="s">
        <v>653</v>
      </c>
      <c r="C117">
        <f>SUMIFS('Extraction carto QGIS'!G$2:G$9853,'Extraction carto QGIS'!A$2:A$9853,"CALMELS Yvann",'Extraction carto QGIS'!F$2:F$9853,"Maraichage",'Extraction carto QGIS'!K$2:K$9853,"NON")</f>
        <v>0.33500000000000002</v>
      </c>
    </row>
    <row r="118" spans="1:3" x14ac:dyDescent="0.25">
      <c r="A118" s="167"/>
      <c r="B118" t="s">
        <v>654</v>
      </c>
      <c r="C118">
        <f>SUMIFS('Extraction carto QGIS'!G$2:G$9853,'Extraction carto QGIS'!A$2:A$9853,"CALMELS Yvann",'Extraction carto QGIS'!F$2:F$9853,"Maraichage",'Extraction carto QGIS'!K$2:K$9853,"OUI")</f>
        <v>0.46100000000000002</v>
      </c>
    </row>
    <row r="119" spans="1:3" x14ac:dyDescent="0.25">
      <c r="A119" s="167"/>
      <c r="B119" t="s">
        <v>837</v>
      </c>
      <c r="C119">
        <f>SUMIFS('Extraction carto QGIS'!G$2:G$9853,'Extraction carto QGIS'!A$2:A$9853,"CALMELS Yvann",'Extraction carto QGIS'!F$2:F$9853,B119)</f>
        <v>0.27400000000000002</v>
      </c>
    </row>
    <row r="120" spans="1:3" x14ac:dyDescent="0.25">
      <c r="A120" s="167"/>
      <c r="B120" t="s">
        <v>843</v>
      </c>
      <c r="C120">
        <f>SUMIFS('Extraction carto QGIS'!G$2:G$9853,'Extraction carto QGIS'!A$2:A$9853,"CALMELS Yvann",'Extraction carto QGIS'!F$2:F$9853,B120)</f>
        <v>0</v>
      </c>
    </row>
    <row r="121" spans="1:3" x14ac:dyDescent="0.25">
      <c r="A121" s="167"/>
      <c r="B121" t="s">
        <v>89</v>
      </c>
      <c r="C121">
        <f>SUMIFS('Extraction carto QGIS'!G$2:G$9853,'Extraction carto QGIS'!A$2:A$9853,"CALMELS Yvann",'Extraction carto QGIS'!F$2:F$9853,B121)</f>
        <v>0</v>
      </c>
    </row>
    <row r="122" spans="1:3" x14ac:dyDescent="0.25">
      <c r="A122" s="167"/>
      <c r="B122" t="s">
        <v>41</v>
      </c>
      <c r="C122">
        <f>SUMIFS('Extraction carto QGIS'!G$2:G$9853,'Extraction carto QGIS'!A$2:A$9853,"CALMELS Yvann",'Extraction carto QGIS'!F$2:F$9853,B122)</f>
        <v>0</v>
      </c>
    </row>
    <row r="123" spans="1:3" x14ac:dyDescent="0.25">
      <c r="A123" s="167"/>
      <c r="B123" t="s">
        <v>821</v>
      </c>
      <c r="C123">
        <f>SUMIFS('Extraction carto QGIS'!G$2:G$9853,'Extraction carto QGIS'!A$2:A$9853,"CALMELS Yvann",'Extraction carto QGIS'!F$2:F$9853,B123)</f>
        <v>0</v>
      </c>
    </row>
    <row r="124" spans="1:3" x14ac:dyDescent="0.25">
      <c r="A124" s="167"/>
      <c r="B124" t="s">
        <v>357</v>
      </c>
      <c r="C124">
        <f>SUMIFS('Extraction carto QGIS'!G$2:G$9853,'Extraction carto QGIS'!A$2:A$9853,"CALMELS Yvann",'Extraction carto QGIS'!F$2:F$9853,B124)</f>
        <v>0</v>
      </c>
    </row>
    <row r="125" spans="1:3" x14ac:dyDescent="0.25">
      <c r="A125" s="167" t="s">
        <v>609</v>
      </c>
      <c r="B125" t="s">
        <v>653</v>
      </c>
      <c r="C125">
        <f>SUMIFS('Extraction carto QGIS'!G$2:G$9853,'Extraction carto QGIS'!A$2:A$9853,"CHATELAIN",'Extraction carto QGIS'!F$2:F$9853,"Maraichage",'Extraction carto QGIS'!K$2:K$9853,"NON")</f>
        <v>0.44800000000000001</v>
      </c>
    </row>
    <row r="126" spans="1:3" x14ac:dyDescent="0.25">
      <c r="A126" s="167"/>
      <c r="B126" t="s">
        <v>654</v>
      </c>
      <c r="C126">
        <f>SUMIFS('Extraction carto QGIS'!G$2:G$9853,'Extraction carto QGIS'!A$2:A$9853,"CHATELAIN",'Extraction carto QGIS'!F$2:F$9853,"Maraichage",'Extraction carto QGIS'!K$2:K$9853,"OUI")</f>
        <v>1.2E-2</v>
      </c>
    </row>
    <row r="127" spans="1:3" x14ac:dyDescent="0.25">
      <c r="A127" s="167"/>
      <c r="B127" t="s">
        <v>837</v>
      </c>
      <c r="C127">
        <f>SUMIFS('Extraction carto QGIS'!G$2:G$9853,'Extraction carto QGIS'!A$2:A$9853,"CHATELAIN",'Extraction carto QGIS'!F$2:F$9853,B127)</f>
        <v>0.41299999999999998</v>
      </c>
    </row>
    <row r="128" spans="1:3" x14ac:dyDescent="0.25">
      <c r="A128" s="167"/>
      <c r="B128" t="s">
        <v>843</v>
      </c>
      <c r="C128">
        <f>SUMIFS('Extraction carto QGIS'!G$2:G$9853,'Extraction carto QGIS'!A$2:A$9853,"CHATELAIN",'Extraction carto QGIS'!F$2:F$9853,B128)</f>
        <v>0</v>
      </c>
    </row>
    <row r="129" spans="1:3" x14ac:dyDescent="0.25">
      <c r="A129" s="167"/>
      <c r="B129" t="s">
        <v>89</v>
      </c>
      <c r="C129">
        <f>SUMIFS('Extraction carto QGIS'!G$2:G$9853,'Extraction carto QGIS'!A$2:A$9853,"CHATELAIN",'Extraction carto QGIS'!F$2:F$9853,B129)</f>
        <v>0</v>
      </c>
    </row>
    <row r="130" spans="1:3" x14ac:dyDescent="0.25">
      <c r="A130" s="167"/>
      <c r="B130" t="s">
        <v>41</v>
      </c>
      <c r="C130">
        <f>SUMIFS('Extraction carto QGIS'!G$2:G$9853,'Extraction carto QGIS'!A$2:A$9853,"CHATELAIN",'Extraction carto QGIS'!F$2:F$9853,B130)</f>
        <v>0</v>
      </c>
    </row>
    <row r="131" spans="1:3" x14ac:dyDescent="0.25">
      <c r="A131" s="167"/>
      <c r="B131" t="s">
        <v>821</v>
      </c>
      <c r="C131">
        <f>SUMIFS('Extraction carto QGIS'!G$2:G$9853,'Extraction carto QGIS'!A$2:A$9853,"CHATELAIN",'Extraction carto QGIS'!F$2:F$9853,B131)</f>
        <v>0</v>
      </c>
    </row>
    <row r="132" spans="1:3" x14ac:dyDescent="0.25">
      <c r="A132" s="167"/>
      <c r="B132" t="s">
        <v>357</v>
      </c>
      <c r="C132">
        <f>SUMIFS('Extraction carto QGIS'!G$2:G$9853,'Extraction carto QGIS'!A$2:A$9853,"CHATELAIN",'Extraction carto QGIS'!F$2:F$9853,B132)</f>
        <v>0</v>
      </c>
    </row>
    <row r="133" spans="1:3" x14ac:dyDescent="0.25">
      <c r="A133" s="167" t="s">
        <v>662</v>
      </c>
      <c r="B133" t="s">
        <v>653</v>
      </c>
      <c r="C133">
        <f>SUMIFS('Extraction carto QGIS'!G$2:G$9853,'Extraction carto QGIS'!A$2:A$9853,"CHRISTY",'Extraction carto QGIS'!F$2:F$9853,"Maraichage",'Extraction carto QGIS'!K$2:K$9853,"NON")</f>
        <v>2.5100000000000002</v>
      </c>
    </row>
    <row r="134" spans="1:3" x14ac:dyDescent="0.25">
      <c r="A134" s="167"/>
      <c r="B134" t="s">
        <v>654</v>
      </c>
      <c r="C134">
        <f>SUMIFS('Extraction carto QGIS'!G$2:G$9853,'Extraction carto QGIS'!A$2:A$9853,"CHRISTY",'Extraction carto QGIS'!F$2:F$9853,"Maraichage",'Extraction carto QGIS'!K$2:K$9853,"OUI")</f>
        <v>2.4000000000000007E-2</v>
      </c>
    </row>
    <row r="135" spans="1:3" x14ac:dyDescent="0.25">
      <c r="A135" s="167"/>
      <c r="B135" t="s">
        <v>837</v>
      </c>
      <c r="C135">
        <f>SUMIFS('Extraction carto QGIS'!G$2:G$9853,'Extraction carto QGIS'!A$2:A$9853,"CHRISTY",'Extraction carto QGIS'!F$2:F$9853,B135)</f>
        <v>0</v>
      </c>
    </row>
    <row r="136" spans="1:3" x14ac:dyDescent="0.25">
      <c r="A136" s="167"/>
      <c r="B136" t="s">
        <v>843</v>
      </c>
      <c r="C136">
        <f>SUMIFS('Extraction carto QGIS'!G$2:G$9853,'Extraction carto QGIS'!A$2:A$9853,"CHRISTY",'Extraction carto QGIS'!F$2:F$9853,B136)</f>
        <v>0</v>
      </c>
    </row>
    <row r="137" spans="1:3" x14ac:dyDescent="0.25">
      <c r="A137" s="167"/>
      <c r="B137" t="s">
        <v>89</v>
      </c>
      <c r="C137">
        <f>SUMIFS('Extraction carto QGIS'!G$2:G$9853,'Extraction carto QGIS'!A$2:A$9853,"CHRISTY",'Extraction carto QGIS'!F$2:F$9853,B137)</f>
        <v>0</v>
      </c>
    </row>
    <row r="138" spans="1:3" x14ac:dyDescent="0.25">
      <c r="A138" s="167"/>
      <c r="B138" t="s">
        <v>41</v>
      </c>
      <c r="C138">
        <f>SUMIFS('Extraction carto QGIS'!G$2:G$9853,'Extraction carto QGIS'!A$2:A$9853,"CHRISTY",'Extraction carto QGIS'!F$2:F$9853,B138)</f>
        <v>0</v>
      </c>
    </row>
    <row r="139" spans="1:3" x14ac:dyDescent="0.25">
      <c r="A139" s="167"/>
      <c r="B139" t="s">
        <v>821</v>
      </c>
      <c r="C139">
        <f>SUMIFS('Extraction carto QGIS'!G$2:G$9853,'Extraction carto QGIS'!A$2:A$9853,"CHRISTY",'Extraction carto QGIS'!F$2:F$9853,B139)</f>
        <v>0</v>
      </c>
    </row>
    <row r="140" spans="1:3" x14ac:dyDescent="0.25">
      <c r="A140" s="167"/>
      <c r="B140" t="s">
        <v>357</v>
      </c>
      <c r="C140">
        <f>SUMIFS('Extraction carto QGIS'!G$2:G$9853,'Extraction carto QGIS'!A$2:A$9853,"CHRISTY",'Extraction carto QGIS'!F$2:F$9853,B140)</f>
        <v>0</v>
      </c>
    </row>
    <row r="141" spans="1:3" x14ac:dyDescent="0.25">
      <c r="A141" s="167" t="s">
        <v>86</v>
      </c>
      <c r="B141" t="s">
        <v>653</v>
      </c>
      <c r="C141">
        <f>SUMIFS('Extraction carto QGIS'!G$2:G$9853,'Extraction carto QGIS'!A$2:A$9853,"COLOMINA",'Extraction carto QGIS'!F$2:F$9853,"Maraichage",'Extraction carto QGIS'!K$2:K$9853,"NON")</f>
        <v>0</v>
      </c>
    </row>
    <row r="142" spans="1:3" x14ac:dyDescent="0.25">
      <c r="A142" s="167"/>
      <c r="B142" t="s">
        <v>654</v>
      </c>
      <c r="C142">
        <f>SUMIFS('Extraction carto QGIS'!G$2:G$9853,'Extraction carto QGIS'!A$2:A$9853,"COLOMINA",'Extraction carto QGIS'!F$2:F$9853,"Maraichage",'Extraction carto QGIS'!K$2:K$9853,"OUI")</f>
        <v>0</v>
      </c>
    </row>
    <row r="143" spans="1:3" x14ac:dyDescent="0.25">
      <c r="A143" s="167"/>
      <c r="B143" t="s">
        <v>837</v>
      </c>
      <c r="C143">
        <f>SUMIFS('Extraction carto QGIS'!G$2:G$9853,'Extraction carto QGIS'!A$2:A$9853,"COLOMINA",'Extraction carto QGIS'!F$2:F$9853,B143)</f>
        <v>0</v>
      </c>
    </row>
    <row r="144" spans="1:3" x14ac:dyDescent="0.25">
      <c r="A144" s="167"/>
      <c r="B144" t="s">
        <v>843</v>
      </c>
      <c r="C144">
        <f>SUMIFS('Extraction carto QGIS'!G$2:G$9853,'Extraction carto QGIS'!A$2:A$9853,"COLOMINA",'Extraction carto QGIS'!F$2:F$9853,B144)</f>
        <v>0</v>
      </c>
    </row>
    <row r="145" spans="1:3" x14ac:dyDescent="0.25">
      <c r="A145" s="167"/>
      <c r="B145" t="s">
        <v>89</v>
      </c>
      <c r="C145">
        <f>SUMIFS('Extraction carto QGIS'!G$2:G$9853,'Extraction carto QGIS'!A$2:A$9853,"COLOMINA",'Extraction carto QGIS'!F$2:F$9853,B145)</f>
        <v>0</v>
      </c>
    </row>
    <row r="146" spans="1:3" x14ac:dyDescent="0.25">
      <c r="A146" s="167"/>
      <c r="B146" t="s">
        <v>41</v>
      </c>
      <c r="C146">
        <f>SUMIFS('Extraction carto QGIS'!G$2:G$9853,'Extraction carto QGIS'!A$2:A$9853,"COLOMINA",'Extraction carto QGIS'!F$2:F$9853,B146)</f>
        <v>0</v>
      </c>
    </row>
    <row r="147" spans="1:3" x14ac:dyDescent="0.25">
      <c r="A147" s="167"/>
      <c r="B147" t="s">
        <v>821</v>
      </c>
      <c r="C147">
        <f>SUMIFS('Extraction carto QGIS'!G$2:G$9853,'Extraction carto QGIS'!A$2:A$9853,"COLOMINA",'Extraction carto QGIS'!F$2:F$9853,B147)</f>
        <v>0</v>
      </c>
    </row>
    <row r="148" spans="1:3" x14ac:dyDescent="0.25">
      <c r="A148" s="167"/>
      <c r="B148" t="s">
        <v>357</v>
      </c>
      <c r="C148">
        <f>SUMIFS('Extraction carto QGIS'!G$2:G$9853,'Extraction carto QGIS'!A$2:A$9853,"COLOMINA",'Extraction carto QGIS'!F$2:F$9853,B148)</f>
        <v>0</v>
      </c>
    </row>
    <row r="149" spans="1:3" x14ac:dyDescent="0.25">
      <c r="A149" s="167" t="s">
        <v>663</v>
      </c>
      <c r="B149" t="s">
        <v>653</v>
      </c>
      <c r="C149">
        <f>SUMIFS('Extraction carto QGIS'!G$2:G$9853,'Extraction carto QGIS'!A$2:A$9853,"CRAYSSAC",'Extraction carto QGIS'!F$2:F$9853,"Maraichage",'Extraction carto QGIS'!K$2:K$9853,"NON")</f>
        <v>0</v>
      </c>
    </row>
    <row r="150" spans="1:3" x14ac:dyDescent="0.25">
      <c r="A150" s="167"/>
      <c r="B150" t="s">
        <v>654</v>
      </c>
      <c r="C150">
        <f>SUMIFS('Extraction carto QGIS'!G$2:G$9853,'Extraction carto QGIS'!A$2:A$9853,"CRAYSSAC",'Extraction carto QGIS'!F$2:F$9853,"Maraichage",'Extraction carto QGIS'!K$2:K$9853,"OUI")</f>
        <v>0</v>
      </c>
    </row>
    <row r="151" spans="1:3" x14ac:dyDescent="0.25">
      <c r="A151" s="167"/>
      <c r="B151" t="s">
        <v>837</v>
      </c>
      <c r="C151">
        <f>SUMIFS('Extraction carto QGIS'!G$2:G$9853,'Extraction carto QGIS'!A$2:A$9853,"CRAYSSAC",'Extraction carto QGIS'!F$2:F$9853,B151)</f>
        <v>0</v>
      </c>
    </row>
    <row r="152" spans="1:3" x14ac:dyDescent="0.25">
      <c r="A152" s="167"/>
      <c r="B152" t="s">
        <v>843</v>
      </c>
      <c r="C152">
        <f>SUMIFS('Extraction carto QGIS'!G$2:G$9853,'Extraction carto QGIS'!A$2:A$9853,"CRAYSSAC",'Extraction carto QGIS'!F$2:F$9853,B152)</f>
        <v>0</v>
      </c>
    </row>
    <row r="153" spans="1:3" x14ac:dyDescent="0.25">
      <c r="A153" s="167"/>
      <c r="B153" t="s">
        <v>89</v>
      </c>
      <c r="C153">
        <f>SUMIFS('Extraction carto QGIS'!G$2:G$9853,'Extraction carto QGIS'!A$2:A$9853,"CRAYSSAC",'Extraction carto QGIS'!F$2:F$9853,B153)</f>
        <v>0</v>
      </c>
    </row>
    <row r="154" spans="1:3" x14ac:dyDescent="0.25">
      <c r="A154" s="167"/>
      <c r="B154" t="s">
        <v>41</v>
      </c>
      <c r="C154">
        <f>SUMIFS('Extraction carto QGIS'!G$2:G$9853,'Extraction carto QGIS'!A$2:A$9853,"CRAYSSAC",'Extraction carto QGIS'!F$2:F$9853,B154)</f>
        <v>0</v>
      </c>
    </row>
    <row r="155" spans="1:3" x14ac:dyDescent="0.25">
      <c r="A155" s="167"/>
      <c r="B155" t="s">
        <v>821</v>
      </c>
      <c r="C155">
        <f>SUMIFS('Extraction carto QGIS'!G$2:G$9853,'Extraction carto QGIS'!A$2:A$9853,"CRAYSSAC",'Extraction carto QGIS'!F$2:F$9853,B155)</f>
        <v>0</v>
      </c>
    </row>
    <row r="156" spans="1:3" x14ac:dyDescent="0.25">
      <c r="A156" s="167"/>
      <c r="B156" t="s">
        <v>357</v>
      </c>
      <c r="C156">
        <f>SUMIFS('Extraction carto QGIS'!G$2:G$9853,'Extraction carto QGIS'!A$2:A$9853,"CRAYSSAC",'Extraction carto QGIS'!F$2:F$9853,B156)</f>
        <v>0</v>
      </c>
    </row>
    <row r="157" spans="1:3" x14ac:dyDescent="0.25">
      <c r="A157" s="167" t="s">
        <v>296</v>
      </c>
      <c r="B157" t="s">
        <v>653</v>
      </c>
      <c r="C157">
        <f>SUMIFS('Extraction carto QGIS'!G$2:G$9853,'Extraction carto QGIS'!A$2:A$9853,"CUGOLA",'Extraction carto QGIS'!F$2:F$9853,"Maraichage",'Extraction carto QGIS'!K$2:K$9853,"NON")</f>
        <v>6.2169999999999987</v>
      </c>
    </row>
    <row r="158" spans="1:3" x14ac:dyDescent="0.25">
      <c r="A158" s="167"/>
      <c r="B158" t="s">
        <v>654</v>
      </c>
      <c r="C158">
        <f>SUMIFS('Extraction carto QGIS'!G$2:G$9853,'Extraction carto QGIS'!A$2:A$9853,"CUGOLA",'Extraction carto QGIS'!F$2:F$9853,"Maraichage",'Extraction carto QGIS'!K$2:K$9853,"OUI")</f>
        <v>0</v>
      </c>
    </row>
    <row r="159" spans="1:3" x14ac:dyDescent="0.25">
      <c r="A159" s="167"/>
      <c r="B159" t="s">
        <v>837</v>
      </c>
      <c r="C159">
        <f>SUMIFS('Extraction carto QGIS'!G$2:G$9853,'Extraction carto QGIS'!A$2:A$9853,"CUGOLA",'Extraction carto QGIS'!F$2:F$9853,B159)</f>
        <v>2.2000000000000002</v>
      </c>
    </row>
    <row r="160" spans="1:3" x14ac:dyDescent="0.25">
      <c r="A160" s="167"/>
      <c r="B160" t="s">
        <v>843</v>
      </c>
      <c r="C160">
        <f>SUMIFS('Extraction carto QGIS'!G$2:G$9853,'Extraction carto QGIS'!A$2:A$9853,"CUGOLA",'Extraction carto QGIS'!F$2:F$9853,B160)</f>
        <v>0</v>
      </c>
    </row>
    <row r="161" spans="1:3" x14ac:dyDescent="0.25">
      <c r="A161" s="167"/>
      <c r="B161" t="s">
        <v>89</v>
      </c>
      <c r="C161">
        <f>SUMIFS('Extraction carto QGIS'!G$2:G$9853,'Extraction carto QGIS'!A$2:A$9853,"CUGOLA",'Extraction carto QGIS'!F$2:F$9853,B161)</f>
        <v>0</v>
      </c>
    </row>
    <row r="162" spans="1:3" x14ac:dyDescent="0.25">
      <c r="A162" s="167"/>
      <c r="B162" t="s">
        <v>41</v>
      </c>
      <c r="C162">
        <f>SUMIFS('Extraction carto QGIS'!G$2:G$9853,'Extraction carto QGIS'!A$2:A$9853,"CUGOLA",'Extraction carto QGIS'!F$2:F$9853,B162)</f>
        <v>0</v>
      </c>
    </row>
    <row r="163" spans="1:3" x14ac:dyDescent="0.25">
      <c r="A163" s="167"/>
      <c r="B163" t="s">
        <v>821</v>
      </c>
      <c r="C163">
        <f>SUMIFS('Extraction carto QGIS'!G$2:G$9853,'Extraction carto QGIS'!A$2:A$9853,"CUGOLA",'Extraction carto QGIS'!F$2:F$9853,B163)</f>
        <v>0</v>
      </c>
    </row>
    <row r="164" spans="1:3" x14ac:dyDescent="0.25">
      <c r="A164" s="167"/>
      <c r="B164" t="s">
        <v>357</v>
      </c>
      <c r="C164">
        <f>SUMIFS('Extraction carto QGIS'!G$2:G$9853,'Extraction carto QGIS'!A$2:A$9853,"CUGOLA",'Extraction carto QGIS'!F$2:F$9853,B164)</f>
        <v>0</v>
      </c>
    </row>
    <row r="165" spans="1:3" x14ac:dyDescent="0.25">
      <c r="A165" s="167" t="s">
        <v>891</v>
      </c>
      <c r="B165" t="s">
        <v>653</v>
      </c>
      <c r="C165">
        <v>0</v>
      </c>
    </row>
    <row r="166" spans="1:3" x14ac:dyDescent="0.25">
      <c r="A166" s="167"/>
      <c r="B166" t="s">
        <v>654</v>
      </c>
      <c r="C166">
        <v>4.0000000000000001E-3</v>
      </c>
    </row>
    <row r="167" spans="1:3" x14ac:dyDescent="0.25">
      <c r="A167" s="167"/>
      <c r="B167" t="s">
        <v>837</v>
      </c>
      <c r="C167">
        <v>0</v>
      </c>
    </row>
    <row r="168" spans="1:3" x14ac:dyDescent="0.25">
      <c r="A168" s="167"/>
      <c r="B168" t="s">
        <v>843</v>
      </c>
      <c r="C168">
        <v>0</v>
      </c>
    </row>
    <row r="169" spans="1:3" x14ac:dyDescent="0.25">
      <c r="A169" s="167"/>
      <c r="B169" t="s">
        <v>89</v>
      </c>
      <c r="C169">
        <v>0</v>
      </c>
    </row>
    <row r="170" spans="1:3" x14ac:dyDescent="0.25">
      <c r="A170" s="167"/>
      <c r="B170" t="s">
        <v>41</v>
      </c>
      <c r="C170">
        <v>0</v>
      </c>
    </row>
    <row r="171" spans="1:3" x14ac:dyDescent="0.25">
      <c r="A171" s="167"/>
      <c r="B171" t="s">
        <v>821</v>
      </c>
      <c r="C171">
        <v>0</v>
      </c>
    </row>
    <row r="172" spans="1:3" x14ac:dyDescent="0.25">
      <c r="A172" s="167"/>
      <c r="B172" t="s">
        <v>357</v>
      </c>
      <c r="C172">
        <v>0</v>
      </c>
    </row>
    <row r="173" spans="1:3" x14ac:dyDescent="0.25">
      <c r="A173" s="167" t="s">
        <v>29</v>
      </c>
      <c r="B173" t="s">
        <v>653</v>
      </c>
      <c r="C173">
        <f>SUMIFS('Extraction carto QGIS'!G$2:G$9853,'Extraction carto QGIS'!A$2:A$9853,"DELATHIERE",'Extraction carto QGIS'!F$2:F$9853,"Maraichage",'Extraction carto QGIS'!K$2:K$9853,"NON")</f>
        <v>0.77100000000000002</v>
      </c>
    </row>
    <row r="174" spans="1:3" x14ac:dyDescent="0.25">
      <c r="A174" s="167"/>
      <c r="B174" t="s">
        <v>654</v>
      </c>
      <c r="C174">
        <f>SUMIFS('Extraction carto QGIS'!G$2:G$9853,'Extraction carto QGIS'!A$2:A$9853,"DELATHIERE",'Extraction carto QGIS'!F$2:F$9853,"Maraichage",'Extraction carto QGIS'!K$2:K$9853,"OUI")</f>
        <v>0</v>
      </c>
    </row>
    <row r="175" spans="1:3" x14ac:dyDescent="0.25">
      <c r="A175" s="167"/>
      <c r="B175" t="s">
        <v>837</v>
      </c>
      <c r="C175">
        <f>SUMIFS('Extraction carto QGIS'!G$2:G$9853,'Extraction carto QGIS'!A$2:A$9853,"DELATHIERE",'Extraction carto QGIS'!F$2:F$9853,B175)</f>
        <v>0.496</v>
      </c>
    </row>
    <row r="176" spans="1:3" x14ac:dyDescent="0.25">
      <c r="A176" s="167"/>
      <c r="B176" t="s">
        <v>843</v>
      </c>
      <c r="C176">
        <f>SUMIFS('Extraction carto QGIS'!G$2:G$9853,'Extraction carto QGIS'!A$2:A$9853,"DELATHIERE",'Extraction carto QGIS'!F$2:F$9853,B176)</f>
        <v>0</v>
      </c>
    </row>
    <row r="177" spans="1:3" x14ac:dyDescent="0.25">
      <c r="A177" s="167"/>
      <c r="B177" t="s">
        <v>89</v>
      </c>
      <c r="C177">
        <f>SUMIFS('Extraction carto QGIS'!G$2:G$9853,'Extraction carto QGIS'!A$2:A$9853,"DELATHIERE",'Extraction carto QGIS'!F$2:F$9853,B177)</f>
        <v>2.6500000000000004</v>
      </c>
    </row>
    <row r="178" spans="1:3" x14ac:dyDescent="0.25">
      <c r="A178" s="167"/>
      <c r="B178" t="s">
        <v>41</v>
      </c>
      <c r="C178">
        <f>SUMIFS('Extraction carto QGIS'!G$2:G$9853,'Extraction carto QGIS'!A$2:A$9853,"DELATHIERE",'Extraction carto QGIS'!F$2:F$9853,B178)</f>
        <v>0</v>
      </c>
    </row>
    <row r="179" spans="1:3" x14ac:dyDescent="0.25">
      <c r="A179" s="167"/>
      <c r="B179" t="s">
        <v>821</v>
      </c>
      <c r="C179">
        <f>SUMIFS('Extraction carto QGIS'!G$2:G$9853,'Extraction carto QGIS'!A$2:A$9853,"DELATHIERE",'Extraction carto QGIS'!F$2:F$9853,B179)</f>
        <v>0</v>
      </c>
    </row>
    <row r="180" spans="1:3" x14ac:dyDescent="0.25">
      <c r="A180" s="167"/>
      <c r="B180" t="s">
        <v>357</v>
      </c>
      <c r="C180">
        <f>SUMIFS('Extraction carto QGIS'!G$2:G$9853,'Extraction carto QGIS'!A$2:A$9853,"DELATHIERE",'Extraction carto QGIS'!F$2:F$9853,B180)</f>
        <v>0</v>
      </c>
    </row>
    <row r="181" spans="1:3" x14ac:dyDescent="0.25">
      <c r="A181" s="167" t="s">
        <v>605</v>
      </c>
      <c r="B181" t="s">
        <v>653</v>
      </c>
      <c r="C181">
        <f>SUMIFS('Extraction carto QGIS'!G$2:G$9853,'Extraction carto QGIS'!A$2:A$9853,"DUSSIREY",'Extraction carto QGIS'!F$2:F$9853,"Maraichage",'Extraction carto QGIS'!K$2:K$9853,"NON")</f>
        <v>2.4550000000000001</v>
      </c>
    </row>
    <row r="182" spans="1:3" x14ac:dyDescent="0.25">
      <c r="A182" s="167"/>
      <c r="B182" t="s">
        <v>654</v>
      </c>
      <c r="C182">
        <f>SUMIFS('Extraction carto QGIS'!G$2:G$9853,'Extraction carto QGIS'!A$2:A$9853,"DUSSIREY",'Extraction carto QGIS'!F$2:F$9853,"Maraichage",'Extraction carto QGIS'!K$2:K$9853,"OUI")</f>
        <v>0</v>
      </c>
    </row>
    <row r="183" spans="1:3" x14ac:dyDescent="0.25">
      <c r="A183" s="167"/>
      <c r="B183" t="s">
        <v>837</v>
      </c>
      <c r="C183">
        <f>SUMIFS('Extraction carto QGIS'!G$2:G$9853,'Extraction carto QGIS'!A$2:A$9853,"DUSSIREY",'Extraction carto QGIS'!F$2:F$9853,B183)</f>
        <v>0.27100000000000002</v>
      </c>
    </row>
    <row r="184" spans="1:3" x14ac:dyDescent="0.25">
      <c r="A184" s="167"/>
      <c r="B184" t="s">
        <v>843</v>
      </c>
      <c r="C184">
        <f>SUMIFS('Extraction carto QGIS'!G$2:G$9853,'Extraction carto QGIS'!A$2:A$9853,"DUSSIREY",'Extraction carto QGIS'!F$2:F$9853,B184)</f>
        <v>0</v>
      </c>
    </row>
    <row r="185" spans="1:3" x14ac:dyDescent="0.25">
      <c r="A185" s="167"/>
      <c r="B185" t="s">
        <v>89</v>
      </c>
      <c r="C185">
        <f>SUMIFS('Extraction carto QGIS'!G$2:G$9853,'Extraction carto QGIS'!A$2:A$9853,"DUSSIREY",'Extraction carto QGIS'!F$2:F$9853,B185)</f>
        <v>0</v>
      </c>
    </row>
    <row r="186" spans="1:3" x14ac:dyDescent="0.25">
      <c r="A186" s="167"/>
      <c r="B186" t="s">
        <v>41</v>
      </c>
      <c r="C186">
        <f>SUMIFS('Extraction carto QGIS'!G$2:G$9853,'Extraction carto QGIS'!A$2:A$9853,"DUSSIREY",'Extraction carto QGIS'!F$2:F$9853,B186)</f>
        <v>0</v>
      </c>
    </row>
    <row r="187" spans="1:3" x14ac:dyDescent="0.25">
      <c r="A187" s="167"/>
      <c r="B187" t="s">
        <v>821</v>
      </c>
      <c r="C187">
        <f>SUMIFS('Extraction carto QGIS'!G$2:G$9853,'Extraction carto QGIS'!A$2:A$9853,"DUSSIREY",'Extraction carto QGIS'!F$2:F$9853,B187)</f>
        <v>0</v>
      </c>
    </row>
    <row r="188" spans="1:3" x14ac:dyDescent="0.25">
      <c r="A188" s="167"/>
      <c r="B188" t="s">
        <v>357</v>
      </c>
      <c r="C188">
        <f>SUMIFS('Extraction carto QGIS'!G$2:G$9853,'Extraction carto QGIS'!A$2:A$9853,"DUSSIREY",'Extraction carto QGIS'!F$2:F$9853,B188)</f>
        <v>0</v>
      </c>
    </row>
    <row r="189" spans="1:3" x14ac:dyDescent="0.25">
      <c r="A189" s="167" t="s">
        <v>18</v>
      </c>
      <c r="B189" t="s">
        <v>653</v>
      </c>
      <c r="C189">
        <f>SUMIFS('Extraction carto QGIS'!G$2:G$9853,'Extraction carto QGIS'!A$2:A$9853,"EYSSERIC",'Extraction carto QGIS'!F$2:F$9853,"Maraichage",'Extraction carto QGIS'!K$2:K$9853,"NON")</f>
        <v>0</v>
      </c>
    </row>
    <row r="190" spans="1:3" x14ac:dyDescent="0.25">
      <c r="A190" s="167"/>
      <c r="B190" t="s">
        <v>654</v>
      </c>
      <c r="C190">
        <f>SUMIFS('Extraction carto QGIS'!G$2:G$9853,'Extraction carto QGIS'!A$2:A$9853,"EYSSERIC",'Extraction carto QGIS'!F$2:F$9853,"Maraichage",'Extraction carto QGIS'!K$2:K$9853,"OUI")</f>
        <v>0</v>
      </c>
    </row>
    <row r="191" spans="1:3" x14ac:dyDescent="0.25">
      <c r="A191" s="167"/>
      <c r="B191" t="s">
        <v>837</v>
      </c>
      <c r="C191">
        <f>SUMIFS('Extraction carto QGIS'!G$2:G$9853,'Extraction carto QGIS'!A$2:A$9853,"EYSSERIC",'Extraction carto QGIS'!F$2:F$9853,B191)</f>
        <v>0</v>
      </c>
    </row>
    <row r="192" spans="1:3" x14ac:dyDescent="0.25">
      <c r="A192" s="167"/>
      <c r="B192" t="s">
        <v>843</v>
      </c>
      <c r="C192">
        <f>SUMIFS('Extraction carto QGIS'!G$2:G$9853,'Extraction carto QGIS'!A$2:A$9853,"EYSSERIC",'Extraction carto QGIS'!F$2:F$9853,B192)</f>
        <v>0</v>
      </c>
    </row>
    <row r="193" spans="1:3" x14ac:dyDescent="0.25">
      <c r="A193" s="167"/>
      <c r="B193" t="s">
        <v>89</v>
      </c>
      <c r="C193">
        <f>SUMIFS('Extraction carto QGIS'!G$2:G$9853,'Extraction carto QGIS'!A$2:A$9853,"EYSSERIC",'Extraction carto QGIS'!F$2:F$9853,B193)</f>
        <v>0</v>
      </c>
    </row>
    <row r="194" spans="1:3" x14ac:dyDescent="0.25">
      <c r="A194" s="167"/>
      <c r="B194" t="s">
        <v>41</v>
      </c>
      <c r="C194">
        <f>SUMIFS('Extraction carto QGIS'!G$2:G$9853,'Extraction carto QGIS'!A$2:A$9853,"EYSSERIC",'Extraction carto QGIS'!F$2:F$9853,B194)</f>
        <v>0</v>
      </c>
    </row>
    <row r="195" spans="1:3" x14ac:dyDescent="0.25">
      <c r="A195" s="167"/>
      <c r="B195" t="s">
        <v>821</v>
      </c>
      <c r="C195">
        <f>SUMIFS('Extraction carto QGIS'!G$2:G$9853,'Extraction carto QGIS'!A$2:A$9853,"EYSSERIC",'Extraction carto QGIS'!F$2:F$9853,B195)</f>
        <v>0</v>
      </c>
    </row>
    <row r="196" spans="1:3" x14ac:dyDescent="0.25">
      <c r="A196" s="167"/>
      <c r="B196" t="s">
        <v>357</v>
      </c>
      <c r="C196">
        <f>SUMIFS('Extraction carto QGIS'!G$2:G$9853,'Extraction carto QGIS'!A$2:A$9853,"EYSSERIC",'Extraction carto QGIS'!F$2:F$9853,B196)</f>
        <v>0</v>
      </c>
    </row>
    <row r="197" spans="1:3" x14ac:dyDescent="0.25">
      <c r="A197" s="167" t="s">
        <v>638</v>
      </c>
      <c r="B197" t="s">
        <v>653</v>
      </c>
      <c r="C197">
        <f>SUMIFS('Extraction carto QGIS'!G$2:G$9853,'Extraction carto QGIS'!A$2:A$9853,"HATTE",'Extraction carto QGIS'!F$2:F$9853,"Maraichage",'Extraction carto QGIS'!K$2:K$9853,"NON")</f>
        <v>0</v>
      </c>
    </row>
    <row r="198" spans="1:3" x14ac:dyDescent="0.25">
      <c r="A198" s="167"/>
      <c r="B198" t="s">
        <v>654</v>
      </c>
      <c r="C198">
        <f>SUMIFS('Extraction carto QGIS'!G$2:G$9853,'Extraction carto QGIS'!A$2:A$9853,"HATTE",'Extraction carto QGIS'!F$2:F$9853,"Maraichage",'Extraction carto QGIS'!K$2:K$9853,"OUI")</f>
        <v>2.0999999999999998E-2</v>
      </c>
    </row>
    <row r="199" spans="1:3" x14ac:dyDescent="0.25">
      <c r="A199" s="167"/>
      <c r="B199" t="s">
        <v>837</v>
      </c>
      <c r="C199">
        <f>SUMIFS('Extraction carto QGIS'!G$2:G$9853,'Extraction carto QGIS'!A$2:A$9853,"HATTE",'Extraction carto QGIS'!F$2:F$9853,B199)</f>
        <v>0</v>
      </c>
    </row>
    <row r="200" spans="1:3" x14ac:dyDescent="0.25">
      <c r="A200" s="167"/>
      <c r="B200" t="s">
        <v>843</v>
      </c>
      <c r="C200">
        <f>SUMIFS('Extraction carto QGIS'!G$2:G$9853,'Extraction carto QGIS'!A$2:A$9853,"HATTE",'Extraction carto QGIS'!F$2:F$9853,B200)</f>
        <v>0</v>
      </c>
    </row>
    <row r="201" spans="1:3" x14ac:dyDescent="0.25">
      <c r="A201" s="167"/>
      <c r="B201" t="s">
        <v>89</v>
      </c>
      <c r="C201">
        <f>SUMIFS('Extraction carto QGIS'!G$2:G$9853,'Extraction carto QGIS'!A$2:A$9853,"HATTE",'Extraction carto QGIS'!F$2:F$9853,B201)</f>
        <v>0</v>
      </c>
    </row>
    <row r="202" spans="1:3" x14ac:dyDescent="0.25">
      <c r="A202" s="167"/>
      <c r="B202" t="s">
        <v>41</v>
      </c>
      <c r="C202">
        <f>SUMIFS('Extraction carto QGIS'!G$2:G$9853,'Extraction carto QGIS'!A$2:A$9853,"HATTE",'Extraction carto QGIS'!F$2:F$9853,B202)</f>
        <v>0</v>
      </c>
    </row>
    <row r="203" spans="1:3" x14ac:dyDescent="0.25">
      <c r="A203" s="167"/>
      <c r="B203" t="s">
        <v>821</v>
      </c>
      <c r="C203">
        <f>SUMIFS('Extraction carto QGIS'!G$2:G$9853,'Extraction carto QGIS'!A$2:A$9853,"HATTE",'Extraction carto QGIS'!F$2:F$9853,B203)</f>
        <v>0</v>
      </c>
    </row>
    <row r="204" spans="1:3" x14ac:dyDescent="0.25">
      <c r="A204" s="167"/>
      <c r="B204" t="s">
        <v>357</v>
      </c>
      <c r="C204">
        <f>SUMIFS('Extraction carto QGIS'!G$2:G$9853,'Extraction carto QGIS'!A$2:A$9853,"HATTE",'Extraction carto QGIS'!F$2:F$9853,B204)</f>
        <v>0</v>
      </c>
    </row>
    <row r="205" spans="1:3" x14ac:dyDescent="0.25">
      <c r="A205" s="167" t="s">
        <v>666</v>
      </c>
      <c r="B205" t="s">
        <v>653</v>
      </c>
      <c r="C205">
        <v>0</v>
      </c>
    </row>
    <row r="206" spans="1:3" x14ac:dyDescent="0.25">
      <c r="A206" s="167"/>
      <c r="B206" t="s">
        <v>654</v>
      </c>
      <c r="C206">
        <v>0</v>
      </c>
    </row>
    <row r="207" spans="1:3" x14ac:dyDescent="0.25">
      <c r="A207" s="167"/>
      <c r="B207" t="s">
        <v>837</v>
      </c>
      <c r="C207">
        <v>0.18</v>
      </c>
    </row>
    <row r="208" spans="1:3" x14ac:dyDescent="0.25">
      <c r="A208" s="167"/>
      <c r="B208" t="s">
        <v>843</v>
      </c>
      <c r="C208">
        <v>0</v>
      </c>
    </row>
    <row r="209" spans="1:3" x14ac:dyDescent="0.25">
      <c r="A209" s="167"/>
      <c r="B209" t="s">
        <v>89</v>
      </c>
      <c r="C209">
        <v>0</v>
      </c>
    </row>
    <row r="210" spans="1:3" x14ac:dyDescent="0.25">
      <c r="A210" s="167"/>
      <c r="B210" t="s">
        <v>41</v>
      </c>
      <c r="C210">
        <v>0</v>
      </c>
    </row>
    <row r="211" spans="1:3" x14ac:dyDescent="0.25">
      <c r="A211" s="167"/>
      <c r="B211" t="s">
        <v>821</v>
      </c>
      <c r="C211">
        <v>0</v>
      </c>
    </row>
    <row r="212" spans="1:3" x14ac:dyDescent="0.25">
      <c r="A212" s="167"/>
      <c r="B212" t="s">
        <v>357</v>
      </c>
      <c r="C212">
        <v>0</v>
      </c>
    </row>
    <row r="213" spans="1:3" x14ac:dyDescent="0.25">
      <c r="A213" s="167" t="s">
        <v>665</v>
      </c>
      <c r="B213" t="s">
        <v>653</v>
      </c>
      <c r="C213">
        <f>SUMIFS('Extraction carto QGIS'!G$2:G$9853,'Extraction carto QGIS'!A$2:A$9853,"KHAC",'Extraction carto QGIS'!F$2:F$9853,"Maraichage",'Extraction carto QGIS'!K$2:K$9853,"NON")</f>
        <v>0</v>
      </c>
    </row>
    <row r="214" spans="1:3" x14ac:dyDescent="0.25">
      <c r="A214" s="167"/>
      <c r="B214" t="s">
        <v>654</v>
      </c>
      <c r="C214">
        <f>SUMIFS('Extraction carto QGIS'!G$2:G$9853,'Extraction carto QGIS'!A$2:A$9853,"KHAC",'Extraction carto QGIS'!F$2:F$9853,"Maraichage",'Extraction carto QGIS'!K$2:K$9853,"OUI")</f>
        <v>0</v>
      </c>
    </row>
    <row r="215" spans="1:3" x14ac:dyDescent="0.25">
      <c r="A215" s="167"/>
      <c r="B215" t="s">
        <v>837</v>
      </c>
      <c r="C215">
        <f>SUMIFS('Extraction carto QGIS'!G$2:G$9853,'Extraction carto QGIS'!A$2:A$9853,"KHAC",'Extraction carto QGIS'!F$2:F$9853,B215)</f>
        <v>0</v>
      </c>
    </row>
    <row r="216" spans="1:3" x14ac:dyDescent="0.25">
      <c r="A216" s="167"/>
      <c r="B216" t="s">
        <v>843</v>
      </c>
      <c r="C216">
        <f>SUMIFS('Extraction carto QGIS'!G$2:G$9853,'Extraction carto QGIS'!A$2:A$9853,"KHAC",'Extraction carto QGIS'!F$2:F$9853,B216)</f>
        <v>0</v>
      </c>
    </row>
    <row r="217" spans="1:3" x14ac:dyDescent="0.25">
      <c r="A217" s="167"/>
      <c r="B217" t="s">
        <v>89</v>
      </c>
      <c r="C217">
        <f>SUMIFS('Extraction carto QGIS'!G$2:G$9853,'Extraction carto QGIS'!A$2:A$9853,"KHAC",'Extraction carto QGIS'!F$2:F$9853,B217)</f>
        <v>0</v>
      </c>
    </row>
    <row r="218" spans="1:3" x14ac:dyDescent="0.25">
      <c r="A218" s="167"/>
      <c r="B218" t="s">
        <v>41</v>
      </c>
      <c r="C218">
        <f>SUMIFS('Extraction carto QGIS'!G$2:G$9853,'Extraction carto QGIS'!A$2:A$9853,"KHAC",'Extraction carto QGIS'!F$2:F$9853,B218)</f>
        <v>0</v>
      </c>
    </row>
    <row r="219" spans="1:3" x14ac:dyDescent="0.25">
      <c r="A219" s="167"/>
      <c r="B219" t="s">
        <v>821</v>
      </c>
      <c r="C219">
        <f>SUMIFS('Extraction carto QGIS'!G$2:G$9853,'Extraction carto QGIS'!A$2:A$9853,"KHAC",'Extraction carto QGIS'!F$2:F$9853,B219)</f>
        <v>0</v>
      </c>
    </row>
    <row r="220" spans="1:3" x14ac:dyDescent="0.25">
      <c r="A220" s="167"/>
      <c r="B220" t="s">
        <v>357</v>
      </c>
      <c r="C220">
        <f>SUMIFS('Extraction carto QGIS'!G$2:G$9853,'Extraction carto QGIS'!A$2:A$9853,"KHAC",'Extraction carto QGIS'!F$2:F$9853,B220)</f>
        <v>0</v>
      </c>
    </row>
    <row r="221" spans="1:3" x14ac:dyDescent="0.25">
      <c r="A221" s="167" t="s">
        <v>87</v>
      </c>
      <c r="B221" t="s">
        <v>653</v>
      </c>
      <c r="C221">
        <f>SUMIFS('Extraction carto QGIS'!G$2:G$9853,'Extraction carto QGIS'!A$2:A$9853,"LA BROMELIADE",'Extraction carto QGIS'!F$2:F$9853,"Maraichage",'Extraction carto QGIS'!K$2:K$9853,"NON")</f>
        <v>0</v>
      </c>
    </row>
    <row r="222" spans="1:3" x14ac:dyDescent="0.25">
      <c r="A222" s="167"/>
      <c r="B222" t="s">
        <v>654</v>
      </c>
      <c r="C222">
        <f>SUMIFS('Extraction carto QGIS'!G$2:G$9853,'Extraction carto QGIS'!A$2:A$9853,"LA BROMELIADE",'Extraction carto QGIS'!F$2:F$9853,"Maraichage",'Extraction carto QGIS'!K$2:K$9853,"OUI")</f>
        <v>0</v>
      </c>
    </row>
    <row r="223" spans="1:3" x14ac:dyDescent="0.25">
      <c r="A223" s="167"/>
      <c r="B223" t="s">
        <v>837</v>
      </c>
      <c r="C223">
        <f>SUMIFS('Extraction carto QGIS'!G$2:G$9853,'Extraction carto QGIS'!A$2:A$9853,"LA BROMELIADE",'Extraction carto QGIS'!F$2:F$9853,B223)</f>
        <v>0</v>
      </c>
    </row>
    <row r="224" spans="1:3" x14ac:dyDescent="0.25">
      <c r="A224" s="167"/>
      <c r="B224" t="s">
        <v>843</v>
      </c>
      <c r="C224">
        <f>SUMIFS('Extraction carto QGIS'!G$2:G$9853,'Extraction carto QGIS'!A$2:A$9853,"LA BROMELIADE",'Extraction carto QGIS'!F$2:F$9853,B224)</f>
        <v>0</v>
      </c>
    </row>
    <row r="225" spans="1:3" x14ac:dyDescent="0.25">
      <c r="A225" s="167"/>
      <c r="B225" t="s">
        <v>89</v>
      </c>
      <c r="C225">
        <f>SUMIFS('Extraction carto QGIS'!G$2:G$9853,'Extraction carto QGIS'!A$2:A$9853,"LA BROMELIADE",'Extraction carto QGIS'!F$2:F$9853,B225)</f>
        <v>0</v>
      </c>
    </row>
    <row r="226" spans="1:3" x14ac:dyDescent="0.25">
      <c r="A226" s="167"/>
      <c r="B226" t="s">
        <v>41</v>
      </c>
      <c r="C226">
        <f>SUMIFS('Extraction carto QGIS'!G$2:G$9853,'Extraction carto QGIS'!A$2:A$9853,"LA BROMELIADE",'Extraction carto QGIS'!F$2:F$9853,B226)</f>
        <v>0</v>
      </c>
    </row>
    <row r="227" spans="1:3" x14ac:dyDescent="0.25">
      <c r="A227" s="167"/>
      <c r="B227" t="s">
        <v>821</v>
      </c>
      <c r="C227">
        <f>SUMIFS('Extraction carto QGIS'!G$2:G$9853,'Extraction carto QGIS'!A$2:A$9853,"LA BROMELIADE",'Extraction carto QGIS'!F$2:F$9853,B227)</f>
        <v>0</v>
      </c>
    </row>
    <row r="228" spans="1:3" x14ac:dyDescent="0.25">
      <c r="A228" s="167"/>
      <c r="B228" t="s">
        <v>357</v>
      </c>
      <c r="C228">
        <f>SUMIFS('Extraction carto QGIS'!G$2:G$9853,'Extraction carto QGIS'!A$2:A$9853,"LA BROMELIADE",'Extraction carto QGIS'!F$2:F$9853,B228)</f>
        <v>0</v>
      </c>
    </row>
    <row r="229" spans="1:3" x14ac:dyDescent="0.25">
      <c r="A229" s="167" t="s">
        <v>889</v>
      </c>
      <c r="B229" t="s">
        <v>653</v>
      </c>
      <c r="C229">
        <v>5</v>
      </c>
    </row>
    <row r="230" spans="1:3" x14ac:dyDescent="0.25">
      <c r="A230" s="167"/>
      <c r="B230" t="s">
        <v>654</v>
      </c>
      <c r="C230">
        <v>0</v>
      </c>
    </row>
    <row r="231" spans="1:3" x14ac:dyDescent="0.25">
      <c r="A231" s="167"/>
      <c r="B231" t="s">
        <v>837</v>
      </c>
      <c r="C231">
        <v>0</v>
      </c>
    </row>
    <row r="232" spans="1:3" x14ac:dyDescent="0.25">
      <c r="A232" s="167"/>
      <c r="B232" t="s">
        <v>843</v>
      </c>
      <c r="C232">
        <v>80</v>
      </c>
    </row>
    <row r="233" spans="1:3" x14ac:dyDescent="0.25">
      <c r="A233" s="167"/>
      <c r="B233" t="s">
        <v>89</v>
      </c>
      <c r="C233">
        <v>0</v>
      </c>
    </row>
    <row r="234" spans="1:3" x14ac:dyDescent="0.25">
      <c r="A234" s="167"/>
      <c r="B234" t="s">
        <v>41</v>
      </c>
      <c r="C234">
        <v>0</v>
      </c>
    </row>
    <row r="235" spans="1:3" x14ac:dyDescent="0.25">
      <c r="A235" s="167"/>
      <c r="B235" t="s">
        <v>821</v>
      </c>
      <c r="C235">
        <v>0</v>
      </c>
    </row>
    <row r="236" spans="1:3" x14ac:dyDescent="0.25">
      <c r="A236" s="167"/>
      <c r="B236" t="s">
        <v>357</v>
      </c>
      <c r="C236">
        <v>0</v>
      </c>
    </row>
    <row r="237" spans="1:3" x14ac:dyDescent="0.25">
      <c r="A237" s="167" t="s">
        <v>668</v>
      </c>
      <c r="B237" t="s">
        <v>653</v>
      </c>
      <c r="C237">
        <v>0</v>
      </c>
    </row>
    <row r="238" spans="1:3" x14ac:dyDescent="0.25">
      <c r="A238" s="167"/>
      <c r="B238" t="s">
        <v>654</v>
      </c>
      <c r="C238">
        <v>0.02</v>
      </c>
    </row>
    <row r="239" spans="1:3" x14ac:dyDescent="0.25">
      <c r="A239" s="167"/>
      <c r="B239" t="s">
        <v>837</v>
      </c>
      <c r="C239">
        <v>0</v>
      </c>
    </row>
    <row r="240" spans="1:3" x14ac:dyDescent="0.25">
      <c r="A240" s="167"/>
      <c r="B240" t="s">
        <v>843</v>
      </c>
      <c r="C240">
        <v>0</v>
      </c>
    </row>
    <row r="241" spans="1:3" x14ac:dyDescent="0.25">
      <c r="A241" s="167"/>
      <c r="B241" t="s">
        <v>89</v>
      </c>
      <c r="C241">
        <v>0</v>
      </c>
    </row>
    <row r="242" spans="1:3" x14ac:dyDescent="0.25">
      <c r="A242" s="167"/>
      <c r="B242" t="s">
        <v>41</v>
      </c>
      <c r="C242">
        <v>0</v>
      </c>
    </row>
    <row r="243" spans="1:3" x14ac:dyDescent="0.25">
      <c r="A243" s="167"/>
      <c r="B243" t="s">
        <v>821</v>
      </c>
      <c r="C243">
        <v>0</v>
      </c>
    </row>
    <row r="244" spans="1:3" x14ac:dyDescent="0.25">
      <c r="A244" s="167"/>
      <c r="B244" t="s">
        <v>357</v>
      </c>
      <c r="C244">
        <v>0</v>
      </c>
    </row>
    <row r="245" spans="1:3" x14ac:dyDescent="0.25">
      <c r="A245" s="167" t="s">
        <v>669</v>
      </c>
      <c r="B245" t="s">
        <v>653</v>
      </c>
      <c r="C245">
        <v>0</v>
      </c>
    </row>
    <row r="246" spans="1:3" x14ac:dyDescent="0.25">
      <c r="A246" s="167"/>
      <c r="B246" t="s">
        <v>654</v>
      </c>
      <c r="C246">
        <v>0</v>
      </c>
    </row>
    <row r="247" spans="1:3" x14ac:dyDescent="0.25">
      <c r="A247" s="167"/>
      <c r="B247" t="s">
        <v>837</v>
      </c>
      <c r="C247">
        <v>0</v>
      </c>
    </row>
    <row r="248" spans="1:3" x14ac:dyDescent="0.25">
      <c r="A248" s="167"/>
      <c r="B248" t="s">
        <v>843</v>
      </c>
      <c r="C248">
        <v>0</v>
      </c>
    </row>
    <row r="249" spans="1:3" x14ac:dyDescent="0.25">
      <c r="A249" s="167"/>
      <c r="B249" t="s">
        <v>89</v>
      </c>
      <c r="C249">
        <v>0.1</v>
      </c>
    </row>
    <row r="250" spans="1:3" x14ac:dyDescent="0.25">
      <c r="A250" s="167"/>
      <c r="B250" t="s">
        <v>41</v>
      </c>
      <c r="C250">
        <v>0</v>
      </c>
    </row>
    <row r="251" spans="1:3" x14ac:dyDescent="0.25">
      <c r="A251" s="167"/>
      <c r="B251" t="s">
        <v>821</v>
      </c>
      <c r="C251">
        <v>0</v>
      </c>
    </row>
    <row r="252" spans="1:3" x14ac:dyDescent="0.25">
      <c r="A252" s="167"/>
      <c r="B252" t="s">
        <v>357</v>
      </c>
      <c r="C252">
        <v>0</v>
      </c>
    </row>
    <row r="253" spans="1:3" x14ac:dyDescent="0.25">
      <c r="A253" s="167" t="s">
        <v>536</v>
      </c>
      <c r="B253" t="s">
        <v>653</v>
      </c>
      <c r="C253">
        <f>SUMIFS('Extraction carto QGIS'!G$2:G$9853,'Extraction carto QGIS'!A$2:A$9853,"MOGLIA",'Extraction carto QGIS'!F$2:F$9853,"Maraichage",'Extraction carto QGIS'!K$2:K$9853,"NON")</f>
        <v>7.0039999999999987</v>
      </c>
    </row>
    <row r="254" spans="1:3" x14ac:dyDescent="0.25">
      <c r="A254" s="167"/>
      <c r="B254" t="s">
        <v>654</v>
      </c>
      <c r="C254">
        <f>SUMIFS('Extraction carto QGIS'!G$2:G$9853,'Extraction carto QGIS'!A$2:A$9853,"MOGLIA",'Extraction carto QGIS'!F$2:F$9853,"Maraichage",'Extraction carto QGIS'!K$2:K$9853,"OUI")</f>
        <v>3.800000000000002E-2</v>
      </c>
    </row>
    <row r="255" spans="1:3" x14ac:dyDescent="0.25">
      <c r="A255" s="167"/>
      <c r="B255" t="s">
        <v>837</v>
      </c>
      <c r="C255">
        <f>SUMIFS('Extraction carto QGIS'!G$2:G$9853,'Extraction carto QGIS'!A$2:A$9853,"MOGLIA",'Extraction carto QGIS'!F$2:F$9853,"Cultures fruitieres")</f>
        <v>0</v>
      </c>
    </row>
    <row r="256" spans="1:3" x14ac:dyDescent="0.25">
      <c r="A256" s="167"/>
      <c r="B256" t="s">
        <v>843</v>
      </c>
      <c r="C256">
        <f>SUMIFS('Extraction carto QGIS'!G$2:G$903,'Extraction carto QGIS'!A$2:A$903,"MOGLIA",'Extraction carto QGIS'!F$2:F$903,"Cereales")</f>
        <v>0</v>
      </c>
    </row>
    <row r="257" spans="1:4" x14ac:dyDescent="0.25">
      <c r="A257" s="167"/>
      <c r="B257" t="s">
        <v>89</v>
      </c>
      <c r="C257">
        <f>SUMIFS('Extraction carto QGIS'!G$2:G$9853,'Extraction carto QGIS'!A$2:A$9853,"MOGLIA",'Extraction carto QGIS'!F$2:F$9853,"Tubercules tropicaux")</f>
        <v>0</v>
      </c>
    </row>
    <row r="258" spans="1:4" x14ac:dyDescent="0.25">
      <c r="A258" s="167"/>
      <c r="B258" t="s">
        <v>41</v>
      </c>
      <c r="C258">
        <f>SUMIFS('Extraction carto QGIS'!G$2:G$9853,'Extraction carto QGIS'!A$2:A$9853,"MOGLIA",'Extraction carto QGIS'!F$2:F$9853,"Horticulture")</f>
        <v>0</v>
      </c>
    </row>
    <row r="259" spans="1:4" x14ac:dyDescent="0.25">
      <c r="A259" s="167"/>
      <c r="B259" t="s">
        <v>821</v>
      </c>
      <c r="C259">
        <f>SUMIFS('Extraction carto QGIS'!G$2:G$9853,'Extraction carto QGIS'!A$2:A$9853,"MOGLIA",'Extraction carto QGIS'!F$2:F$9853,"Prairies et pâturages")</f>
        <v>0</v>
      </c>
      <c r="D259" t="s">
        <v>823</v>
      </c>
    </row>
    <row r="260" spans="1:4" x14ac:dyDescent="0.25">
      <c r="A260" s="167"/>
      <c r="B260" t="s">
        <v>357</v>
      </c>
      <c r="C260">
        <f>SUMIFS('Extraction carto QGIS'!G$2:G$9853,'Extraction carto QGIS'!A$2:A$9853,"MOGLIA",'Extraction carto QGIS'!F$2:F$9853,"Autres")</f>
        <v>0</v>
      </c>
    </row>
    <row r="261" spans="1:4" x14ac:dyDescent="0.25">
      <c r="A261" s="167" t="s">
        <v>526</v>
      </c>
      <c r="B261" t="s">
        <v>653</v>
      </c>
      <c r="C261">
        <f>SUMIFS('Extraction carto QGIS'!G$2:G$9853,'Extraction carto QGIS'!A$2:A$9853,"MOISSON",'Extraction carto QGIS'!F$2:F$9853,"Maraichage",'Extraction carto QGIS'!K$2:K$9853,"NON")</f>
        <v>0</v>
      </c>
    </row>
    <row r="262" spans="1:4" x14ac:dyDescent="0.25">
      <c r="A262" s="167"/>
      <c r="B262" t="s">
        <v>654</v>
      </c>
      <c r="C262">
        <f>SUMIFS('Extraction carto QGIS'!G$2:G$9853,'Extraction carto QGIS'!A$2:A$9853,"MOISSON",'Extraction carto QGIS'!F$2:F$9853,"Maraichage",'Extraction carto QGIS'!K$2:K$9853,"OUI")</f>
        <v>0.10299999999999999</v>
      </c>
    </row>
    <row r="263" spans="1:4" x14ac:dyDescent="0.25">
      <c r="A263" s="167"/>
      <c r="B263" t="s">
        <v>837</v>
      </c>
      <c r="C263">
        <f>SUMIFS('Extraction carto QGIS'!G$2:G$9853,'Extraction carto QGIS'!A$2:A$9853,"MOISSON",'Extraction carto QGIS'!F$2:F$9853,"Cultures fruitieres")</f>
        <v>0</v>
      </c>
    </row>
    <row r="264" spans="1:4" x14ac:dyDescent="0.25">
      <c r="A264" s="167"/>
      <c r="B264" t="s">
        <v>843</v>
      </c>
      <c r="C264">
        <f>SUMIFS('Extraction carto QGIS'!G$2:G$9853,'Extraction carto QGIS'!A$2:A$9853,"MOISSON",'Extraction carto QGIS'!F$2:F$9853,"Cereales")</f>
        <v>0</v>
      </c>
    </row>
    <row r="265" spans="1:4" x14ac:dyDescent="0.25">
      <c r="A265" s="167"/>
      <c r="B265" t="s">
        <v>89</v>
      </c>
      <c r="C265">
        <f>SUMIFS('Extraction carto QGIS'!G$2:G$9853,'Extraction carto QGIS'!A$2:A$9853,"MOISSON",'Extraction carto QGIS'!F$2:F$9853,"Tubercules tropicaux")</f>
        <v>0</v>
      </c>
    </row>
    <row r="266" spans="1:4" x14ac:dyDescent="0.25">
      <c r="A266" s="167"/>
      <c r="B266" t="s">
        <v>41</v>
      </c>
      <c r="C266">
        <f>SUMIFS('Extraction carto QGIS'!G$2:G$9853,'Extraction carto QGIS'!A$2:A$9853,"MOISSON",'Extraction carto QGIS'!F$2:F$9853,"Horticulture")</f>
        <v>0</v>
      </c>
    </row>
    <row r="267" spans="1:4" x14ac:dyDescent="0.25">
      <c r="A267" s="167"/>
      <c r="B267" t="s">
        <v>821</v>
      </c>
      <c r="C267">
        <f>SUMIFS('Extraction carto QGIS'!G$2:G$9853,'Extraction carto QGIS'!A$2:A$9853,"MOISSON",'Extraction carto QGIS'!F$2:F$9853,"Prairies et pâturages")</f>
        <v>0</v>
      </c>
    </row>
    <row r="268" spans="1:4" x14ac:dyDescent="0.25">
      <c r="A268" s="167"/>
      <c r="B268" t="s">
        <v>357</v>
      </c>
      <c r="C268">
        <f>SUMIFS('Extraction carto QGIS'!G$2:G$9853,'Extraction carto QGIS'!A$2:A$9853,"MOISSON",'Extraction carto QGIS'!F$2:F$9853,"Autres")</f>
        <v>0</v>
      </c>
    </row>
    <row r="269" spans="1:4" x14ac:dyDescent="0.25">
      <c r="A269" s="167" t="s">
        <v>356</v>
      </c>
      <c r="B269" t="s">
        <v>653</v>
      </c>
      <c r="C269">
        <f>SUMIFS('Extraction carto QGIS'!G$2:G9853,'Extraction carto QGIS'!A$2:A$9853,"MOURINET",'Extraction carto QGIS'!F$2:F$9853,"Maraichage",'Extraction carto QGIS'!K$2:K$9853,"NON")</f>
        <v>1.1059999999999999</v>
      </c>
    </row>
    <row r="270" spans="1:4" x14ac:dyDescent="0.25">
      <c r="A270" s="167"/>
      <c r="B270" t="s">
        <v>654</v>
      </c>
      <c r="C270">
        <f>SUMIFS('Extraction carto QGIS'!G$2:G$9853,'Extraction carto QGIS'!A$2:A$9853,"MOURINET",'Extraction carto QGIS'!F$2:F$9853,"Maraichage",'Extraction carto QGIS'!K$2:K$9853,"OUI")</f>
        <v>0</v>
      </c>
    </row>
    <row r="271" spans="1:4" x14ac:dyDescent="0.25">
      <c r="A271" s="167"/>
      <c r="B271" t="s">
        <v>837</v>
      </c>
      <c r="C271">
        <f>SUMIFS('Extraction carto QGIS'!G$2:G$9853,'Extraction carto QGIS'!A$2:A$9853,"MOURINET",'Extraction carto QGIS'!F$2:F$9853,"Cultures fruitieres")</f>
        <v>1.1679999999999999</v>
      </c>
    </row>
    <row r="272" spans="1:4" x14ac:dyDescent="0.25">
      <c r="A272" s="167"/>
      <c r="B272" t="s">
        <v>843</v>
      </c>
      <c r="C272">
        <f>SUMIFS('Extraction carto QGIS'!G$2:G$9853,'Extraction carto QGIS'!A$2:A$9853,"MOURINET",'Extraction carto QGIS'!F$2:F$9853,"Cereales")</f>
        <v>0</v>
      </c>
    </row>
    <row r="273" spans="1:3" x14ac:dyDescent="0.25">
      <c r="A273" s="167"/>
      <c r="B273" t="s">
        <v>89</v>
      </c>
      <c r="C273">
        <f>SUMIFS('Extraction carto QGIS'!G$2:G$9853,'Extraction carto QGIS'!A$2:A$9853,"MOURINET",'Extraction carto QGIS'!F$2:F$9853,"Tubercules tropicaux")</f>
        <v>0</v>
      </c>
    </row>
    <row r="274" spans="1:3" x14ac:dyDescent="0.25">
      <c r="A274" s="167"/>
      <c r="B274" t="s">
        <v>41</v>
      </c>
      <c r="C274">
        <f>SUMIFS('Extraction carto QGIS'!G$2:G$9853,'Extraction carto QGIS'!A$2:A$9853,"MOURINET",'Extraction carto QGIS'!F$2:F$9853,"Horticulture")</f>
        <v>0</v>
      </c>
    </row>
    <row r="275" spans="1:3" x14ac:dyDescent="0.25">
      <c r="A275" s="167"/>
      <c r="B275" t="s">
        <v>821</v>
      </c>
      <c r="C275">
        <f>SUMIFS('Extraction carto QGIS'!G$2:G$9853,'Extraction carto QGIS'!A$2:A$9853,"MOURINET",'Extraction carto QGIS'!F$2:F$9853,"Prairies et pâturages")</f>
        <v>0</v>
      </c>
    </row>
    <row r="276" spans="1:3" x14ac:dyDescent="0.25">
      <c r="A276" s="167"/>
      <c r="B276" t="s">
        <v>357</v>
      </c>
      <c r="C276">
        <f>SUMIFS('Extraction carto QGIS'!G$2:G$9853,'Extraction carto QGIS'!A$2:A$9853,"MOURINET",'Extraction carto QGIS'!F$2:F$9853,"Autres")</f>
        <v>0</v>
      </c>
    </row>
    <row r="277" spans="1:3" x14ac:dyDescent="0.25">
      <c r="A277" s="167" t="s">
        <v>575</v>
      </c>
      <c r="B277" t="s">
        <v>653</v>
      </c>
      <c r="C277">
        <f>SUMIFS('Extraction carto QGIS'!G$2:G$9853,'Extraction carto QGIS'!A$2:A$9853,"NIAUTOU",'Extraction carto QGIS'!F$2:F$9853,"Maraichage",'Extraction carto QGIS'!K$2:K$9853,"NON")</f>
        <v>2.2800000000000007</v>
      </c>
    </row>
    <row r="278" spans="1:3" x14ac:dyDescent="0.25">
      <c r="A278" s="167"/>
      <c r="B278" t="s">
        <v>654</v>
      </c>
      <c r="C278">
        <f>SUMIFS('Extraction carto QGIS'!G$2:G$9853,'Extraction carto QGIS'!A$2:A$9853,"NIAUTOU",'Extraction carto QGIS'!F$2:F$9853,"Maraichage",'Extraction carto QGIS'!K$2:K$9853,"OUI")</f>
        <v>1.4629999999999999</v>
      </c>
    </row>
    <row r="279" spans="1:3" x14ac:dyDescent="0.25">
      <c r="A279" s="167"/>
      <c r="B279" t="s">
        <v>837</v>
      </c>
      <c r="C279">
        <f>SUMIFS('Extraction carto QGIS'!G$2:G$9853,'Extraction carto QGIS'!A$2:A$9853,"NIAUTOU",'Extraction carto QGIS'!F$2:F$9853,"Cultures fruitieres")</f>
        <v>0.34799999999999998</v>
      </c>
    </row>
    <row r="280" spans="1:3" x14ac:dyDescent="0.25">
      <c r="A280" s="167"/>
      <c r="B280" t="s">
        <v>843</v>
      </c>
      <c r="C280">
        <f>SUMIFS('Extraction carto QGIS'!G$2:G$9853,'Extraction carto QGIS'!A$2:A$9853,"NIAUTOU",'Extraction carto QGIS'!F$2:F$9853,"Cereales")</f>
        <v>0</v>
      </c>
    </row>
    <row r="281" spans="1:3" x14ac:dyDescent="0.25">
      <c r="A281" s="167"/>
      <c r="B281" t="s">
        <v>89</v>
      </c>
      <c r="C281">
        <f>SUMIFS('Extraction carto QGIS'!G$2:G$9853,'Extraction carto QGIS'!A$2:A$9853,"NIAUTOU",'Extraction carto QGIS'!F$2:F$9853,"Tubercules tropicaux")</f>
        <v>0</v>
      </c>
    </row>
    <row r="282" spans="1:3" x14ac:dyDescent="0.25">
      <c r="A282" s="167"/>
      <c r="B282" t="s">
        <v>41</v>
      </c>
      <c r="C282">
        <f>SUMIFS('Extraction carto QGIS'!G$2:G$9853,'Extraction carto QGIS'!A$2:A$9853,"NIAUTOU",'Extraction carto QGIS'!F$2:F$9853,"Horticulture")</f>
        <v>0</v>
      </c>
    </row>
    <row r="283" spans="1:3" x14ac:dyDescent="0.25">
      <c r="A283" s="167"/>
      <c r="B283" t="s">
        <v>821</v>
      </c>
      <c r="C283">
        <f>SUMIFS('Extraction carto QGIS'!G$2:G$9853,'Extraction carto QGIS'!A$2:A$9853,"NIAUTOU",'Extraction carto QGIS'!F$2:F$9853,"Prairies et pâturages")</f>
        <v>0</v>
      </c>
    </row>
    <row r="284" spans="1:3" x14ac:dyDescent="0.25">
      <c r="A284" s="167"/>
      <c r="B284" t="s">
        <v>357</v>
      </c>
      <c r="C284">
        <f>SUMIFS('Extraction carto QGIS'!G$2:G$9853,'Extraction carto QGIS'!A$2:A$9853,"NIAUTOU",'Extraction carto QGIS'!F$2:F$9853,"Autres")</f>
        <v>0</v>
      </c>
    </row>
    <row r="285" spans="1:3" x14ac:dyDescent="0.25">
      <c r="A285" s="167" t="s">
        <v>569</v>
      </c>
      <c r="B285" t="s">
        <v>653</v>
      </c>
      <c r="C285">
        <f>SUMIFS('Extraction carto QGIS'!G$2:G$9853,'Extraction carto QGIS'!A$2:A$9853,"OLLIVIER",'Extraction carto QGIS'!F$2:F$9853,"Maraichage",'Extraction carto QGIS'!K$2:K$9853,"NON")</f>
        <v>6.1789999999999994</v>
      </c>
    </row>
    <row r="286" spans="1:3" x14ac:dyDescent="0.25">
      <c r="A286" s="167"/>
      <c r="B286" t="s">
        <v>654</v>
      </c>
      <c r="C286">
        <f>SUMIFS('Extraction carto QGIS'!G$2:G$9853,'Extraction carto QGIS'!A$2:A$9853,"OLLIVIER",'Extraction carto QGIS'!F$2:F$9853,"Maraichage",'Extraction carto QGIS'!K$2:K$9853,"OUI")</f>
        <v>0</v>
      </c>
    </row>
    <row r="287" spans="1:3" x14ac:dyDescent="0.25">
      <c r="A287" s="167"/>
      <c r="B287" t="s">
        <v>837</v>
      </c>
      <c r="C287">
        <f>SUMIFS('Extraction carto QGIS'!G$2:G$9853,'Extraction carto QGIS'!A$2:A$9853,"OLLIVIER",'Extraction carto QGIS'!F$2:F$9853,"Cultures fruitieres")</f>
        <v>0.42699999999999999</v>
      </c>
    </row>
    <row r="288" spans="1:3" x14ac:dyDescent="0.25">
      <c r="A288" s="167"/>
      <c r="B288" t="s">
        <v>843</v>
      </c>
      <c r="C288">
        <f>SUMIFS('Extraction carto QGIS'!G$2:G$9853,'Extraction carto QGIS'!A$2:A$9853,"OLLIVIER",'Extraction carto QGIS'!F$2:F$9853,"Cereales")</f>
        <v>2</v>
      </c>
    </row>
    <row r="289" spans="1:3" x14ac:dyDescent="0.25">
      <c r="A289" s="167"/>
      <c r="B289" t="s">
        <v>89</v>
      </c>
      <c r="C289">
        <f>SUMIFS('Extraction carto QGIS'!G$2:G$9853,'Extraction carto QGIS'!A$2:A$9853,"OLLIVIER",'Extraction carto QGIS'!F$2:F$9853,"Tubercules tropicaux")</f>
        <v>0</v>
      </c>
    </row>
    <row r="290" spans="1:3" x14ac:dyDescent="0.25">
      <c r="A290" s="167"/>
      <c r="B290" t="s">
        <v>41</v>
      </c>
      <c r="C290">
        <f>SUMIFS('Extraction carto QGIS'!G$2:G$9853,'Extraction carto QGIS'!A$2:A$9853,"OLLIVIER",'Extraction carto QGIS'!F$2:F$9853,"Horticulture")</f>
        <v>0</v>
      </c>
    </row>
    <row r="291" spans="1:3" x14ac:dyDescent="0.25">
      <c r="A291" s="167"/>
      <c r="B291" t="s">
        <v>821</v>
      </c>
      <c r="C291">
        <f>SUMIFS('Extraction carto QGIS'!G$2:G$9853,'Extraction carto QGIS'!A$2:A$9853,"OLLIVIER",'Extraction carto QGIS'!F$2:F$9853,"Prairies et pâturages")</f>
        <v>0</v>
      </c>
    </row>
    <row r="292" spans="1:3" x14ac:dyDescent="0.25">
      <c r="A292" s="167"/>
      <c r="B292" t="s">
        <v>357</v>
      </c>
      <c r="C292">
        <f>SUMIFS('Extraction carto QGIS'!G$2:G$9853,'Extraction carto QGIS'!A$2:A$9853,"OLLIVIER",'Extraction carto QGIS'!F$2:F$9853,"Autres")</f>
        <v>0</v>
      </c>
    </row>
    <row r="293" spans="1:3" x14ac:dyDescent="0.25">
      <c r="A293" s="167" t="s">
        <v>328</v>
      </c>
      <c r="B293" t="s">
        <v>653</v>
      </c>
      <c r="C293">
        <f>SUMIFS('Extraction carto QGIS'!G$2:G$9853,'Extraction carto QGIS'!A$2:A$9853,"OLLIVIER C",'Extraction carto QGIS'!F$2:F$9853,"Maraichage",'Extraction carto QGIS'!K$2:K$9853,"NON")</f>
        <v>0</v>
      </c>
    </row>
    <row r="294" spans="1:3" x14ac:dyDescent="0.25">
      <c r="A294" s="167"/>
      <c r="B294" t="s">
        <v>654</v>
      </c>
      <c r="C294">
        <f>SUMIFS('Extraction carto QGIS'!G$2:G$9853,'Extraction carto QGIS'!A$2:A$9853,"OLLIVIER C",'Extraction carto QGIS'!F$2:F$9853,"Maraichage",'Extraction carto QGIS'!K$2:K$9853,"OUI")</f>
        <v>0</v>
      </c>
    </row>
    <row r="295" spans="1:3" x14ac:dyDescent="0.25">
      <c r="A295" s="167"/>
      <c r="B295" t="s">
        <v>837</v>
      </c>
      <c r="C295">
        <f>SUMIFS('Extraction carto QGIS'!G$2:G$9853,'Extraction carto QGIS'!A$2:A$9853,"OLLIVIER C",'Extraction carto QGIS'!F$2:F$9853,"Cultures fruitieres")</f>
        <v>3.6669999999999998</v>
      </c>
    </row>
    <row r="296" spans="1:3" x14ac:dyDescent="0.25">
      <c r="A296" s="167"/>
      <c r="B296" t="s">
        <v>843</v>
      </c>
      <c r="C296">
        <f>SUMIFS('Extraction carto QGIS'!G$2:G$9853,'Extraction carto QGIS'!A$2:A$9853,"OLLIVIER C",'Extraction carto QGIS'!F$2:F$9853,"Cereales")</f>
        <v>37.180999999999997</v>
      </c>
    </row>
    <row r="297" spans="1:3" x14ac:dyDescent="0.25">
      <c r="A297" s="167"/>
      <c r="B297" t="s">
        <v>89</v>
      </c>
      <c r="C297">
        <f>SUMIFS('Extraction carto QGIS'!G$2:G$9853,'Extraction carto QGIS'!A$2:A$9853,"OLLIVIER C",'Extraction carto QGIS'!F$2:F$9853,"Tubercules tropicaux")</f>
        <v>0</v>
      </c>
    </row>
    <row r="298" spans="1:3" x14ac:dyDescent="0.25">
      <c r="A298" s="167"/>
      <c r="B298" t="s">
        <v>41</v>
      </c>
      <c r="C298">
        <f>SUMIFS('Extraction carto QGIS'!G$2:G$9853,'Extraction carto QGIS'!A$2:A$9853,"OLLIVIER C",'Extraction carto QGIS'!F$2:F$9853,"Horticulture")</f>
        <v>0</v>
      </c>
    </row>
    <row r="299" spans="1:3" x14ac:dyDescent="0.25">
      <c r="A299" s="167"/>
      <c r="B299" t="s">
        <v>821</v>
      </c>
      <c r="C299">
        <f>SUMIFS('Extraction carto QGIS'!G$2:G$9853,'Extraction carto QGIS'!A$2:A$9853,"OLLIVIER C",'Extraction carto QGIS'!F$2:F$9853,"Prairies et pâturages")</f>
        <v>0</v>
      </c>
    </row>
    <row r="300" spans="1:3" x14ac:dyDescent="0.25">
      <c r="A300" s="167"/>
      <c r="B300" t="s">
        <v>357</v>
      </c>
      <c r="C300">
        <f>SUMIFS('Extraction carto QGIS'!G$2:G$9853,'Extraction carto QGIS'!A$2:A$9853,"OLLIVIER C",'Extraction carto QGIS'!F$2:F$9853,"Autres")</f>
        <v>0</v>
      </c>
    </row>
    <row r="301" spans="1:3" x14ac:dyDescent="0.25">
      <c r="A301" s="167" t="s">
        <v>358</v>
      </c>
      <c r="B301" t="s">
        <v>653</v>
      </c>
      <c r="C301">
        <f>SUMIFS('Extraction carto QGIS'!G$2:G$9853,'Extraction carto QGIS'!A$2:A$9853,"ORANGERAIE",'Extraction carto QGIS'!F$2:F$9853,"Maraichage",'Extraction carto QGIS'!K$2:K$9853,"NON")</f>
        <v>0</v>
      </c>
    </row>
    <row r="302" spans="1:3" x14ac:dyDescent="0.25">
      <c r="A302" s="167"/>
      <c r="B302" t="s">
        <v>654</v>
      </c>
      <c r="C302">
        <f>SUMIFS('Extraction carto QGIS'!G$2:G$9853,'Extraction carto QGIS'!A$2:A$9853,"ORANGERAIE",'Extraction carto QGIS'!F$2:F$9853,"Maraichage",'Extraction carto QGIS'!K$2:K$9853,"OUI")</f>
        <v>0</v>
      </c>
    </row>
    <row r="303" spans="1:3" x14ac:dyDescent="0.25">
      <c r="A303" s="167"/>
      <c r="B303" t="s">
        <v>837</v>
      </c>
      <c r="C303">
        <f>SUMIFS('Extraction carto QGIS'!G$2:G$9853,'Extraction carto QGIS'!A$2:A$9853,"ORANGERAIE",'Extraction carto QGIS'!F$2:F$9853,"Cultures fruitieres")</f>
        <v>0</v>
      </c>
    </row>
    <row r="304" spans="1:3" x14ac:dyDescent="0.25">
      <c r="A304" s="167"/>
      <c r="B304" t="s">
        <v>843</v>
      </c>
      <c r="C304">
        <f>SUMIFS('Extraction carto QGIS'!G$2:G$9853,'Extraction carto QGIS'!A$2:A$9853,"ORANGERAIE",'Extraction carto QGIS'!F$2:F$9853,"Cereales")</f>
        <v>0</v>
      </c>
    </row>
    <row r="305" spans="1:3" x14ac:dyDescent="0.25">
      <c r="A305" s="167"/>
      <c r="B305" t="s">
        <v>89</v>
      </c>
      <c r="C305">
        <f>SUMIFS('Extraction carto QGIS'!G$2:G$9853,'Extraction carto QGIS'!A$2:A$9853,"ORANGERAIE",'Extraction carto QGIS'!F$2:F$9853,"Tubercules tropicaux")</f>
        <v>0</v>
      </c>
    </row>
    <row r="306" spans="1:3" x14ac:dyDescent="0.25">
      <c r="A306" s="167"/>
      <c r="B306" t="s">
        <v>41</v>
      </c>
      <c r="C306">
        <f>SUMIFS('Extraction carto QGIS'!G$2:G$9853,'Extraction carto QGIS'!A$2:A$9853,"ORANGERAIE",'Extraction carto QGIS'!F$2:F$9853,"Horticulture")</f>
        <v>0</v>
      </c>
    </row>
    <row r="307" spans="1:3" x14ac:dyDescent="0.25">
      <c r="A307" s="167"/>
      <c r="B307" t="s">
        <v>821</v>
      </c>
      <c r="C307">
        <f>SUMIFS('Extraction carto QGIS'!G$2:G$9853,'Extraction carto QGIS'!A$2:A$9853,"ORANGERAIE",'Extraction carto QGIS'!F$2:F$9853,"Prairies et pâturages")</f>
        <v>0</v>
      </c>
    </row>
    <row r="308" spans="1:3" x14ac:dyDescent="0.25">
      <c r="A308" s="167"/>
      <c r="B308" t="s">
        <v>357</v>
      </c>
      <c r="C308">
        <f>SUMIFS('Extraction carto QGIS'!G$2:G$9853,'Extraction carto QGIS'!A$2:A$9853,"ORANGERAIE",'Extraction carto QGIS'!F$2:F$9853,"Autres")</f>
        <v>0</v>
      </c>
    </row>
    <row r="309" spans="1:3" x14ac:dyDescent="0.25">
      <c r="A309" s="167" t="s">
        <v>405</v>
      </c>
      <c r="B309" t="s">
        <v>653</v>
      </c>
      <c r="C309">
        <f>SUMIFS('Extraction carto QGIS'!G$2:G$9853,'Extraction carto QGIS'!A$2:A$9853,"PASSION POPIDERY",'Extraction carto QGIS'!F$2:F$9853,"Maraichage",'Extraction carto QGIS'!K$2:K$9853,"NON")</f>
        <v>0</v>
      </c>
    </row>
    <row r="310" spans="1:3" x14ac:dyDescent="0.25">
      <c r="A310" s="167"/>
      <c r="B310" t="s">
        <v>654</v>
      </c>
      <c r="C310">
        <f>SUMIFS('Extraction carto QGIS'!G$2:G$9853,'Extraction carto QGIS'!A$2:A$9853,"PASSION POPIDERY",'Extraction carto QGIS'!F$2:F$9853,"Maraichage",'Extraction carto QGIS'!K$2:K$9853,"OUI")</f>
        <v>0</v>
      </c>
    </row>
    <row r="311" spans="1:3" x14ac:dyDescent="0.25">
      <c r="A311" s="167"/>
      <c r="B311" t="s">
        <v>837</v>
      </c>
      <c r="C311">
        <f>SUMIFS('Extraction carto QGIS'!G$2:G$9853,'Extraction carto QGIS'!A$2:A$9853,"PASSION POPIDERY",'Extraction carto QGIS'!F$2:F$9853,"Cultures fruitieres")</f>
        <v>0</v>
      </c>
    </row>
    <row r="312" spans="1:3" x14ac:dyDescent="0.25">
      <c r="A312" s="167"/>
      <c r="B312" t="s">
        <v>843</v>
      </c>
      <c r="C312">
        <f>SUMIFS('Extraction carto QGIS'!G$2:G$9853,'Extraction carto QGIS'!A$2:A$9853,"PASSION POPIDERY",'Extraction carto QGIS'!F$2:F$9853,"Cereales")</f>
        <v>0</v>
      </c>
    </row>
    <row r="313" spans="1:3" x14ac:dyDescent="0.25">
      <c r="A313" s="167"/>
      <c r="B313" t="s">
        <v>89</v>
      </c>
      <c r="C313">
        <f>SUMIFS('Extraction carto QGIS'!G$2:G$9853,'Extraction carto QGIS'!A$2:A$9853,"PASSION POPIDERY",'Extraction carto QGIS'!F$2:F$9853,"Tubercules tropicaux")</f>
        <v>0</v>
      </c>
    </row>
    <row r="314" spans="1:3" x14ac:dyDescent="0.25">
      <c r="A314" s="167"/>
      <c r="B314" t="s">
        <v>41</v>
      </c>
      <c r="C314">
        <f>SUMIFS('Extraction carto QGIS'!G$2:G$9853,'Extraction carto QGIS'!A$2:A$9853,"PASSION POPIDERY",'Extraction carto QGIS'!F$2:F$9853,"Horticulture")</f>
        <v>0</v>
      </c>
    </row>
    <row r="315" spans="1:3" x14ac:dyDescent="0.25">
      <c r="A315" s="167"/>
      <c r="B315" t="s">
        <v>821</v>
      </c>
      <c r="C315">
        <f>SUMIFS('Extraction carto QGIS'!G$2:G$9853,'Extraction carto QGIS'!A$2:A$9853,"PASSION POPIDERY",'Extraction carto QGIS'!F$2:F$9853,"Prairies et pâturages")</f>
        <v>0</v>
      </c>
    </row>
    <row r="316" spans="1:3" x14ac:dyDescent="0.25">
      <c r="A316" s="167"/>
      <c r="B316" t="s">
        <v>357</v>
      </c>
      <c r="C316">
        <f>SUMIFS('Extraction carto QGIS'!G$2:G$9853,'Extraction carto QGIS'!A$2:A$9853,"PASSION POPIDERY",'Extraction carto QGIS'!F$2:F$9853,"Autres")</f>
        <v>0</v>
      </c>
    </row>
    <row r="317" spans="1:3" x14ac:dyDescent="0.25">
      <c r="A317" s="167" t="s">
        <v>710</v>
      </c>
      <c r="B317" t="s">
        <v>653</v>
      </c>
      <c r="C317">
        <v>0</v>
      </c>
    </row>
    <row r="318" spans="1:3" x14ac:dyDescent="0.25">
      <c r="A318" s="167"/>
      <c r="B318" t="s">
        <v>654</v>
      </c>
      <c r="C318">
        <v>0</v>
      </c>
    </row>
    <row r="319" spans="1:3" x14ac:dyDescent="0.25">
      <c r="A319" s="167"/>
      <c r="B319" t="s">
        <v>837</v>
      </c>
      <c r="C319">
        <v>1</v>
      </c>
    </row>
    <row r="320" spans="1:3" x14ac:dyDescent="0.25">
      <c r="A320" s="167"/>
      <c r="B320" t="s">
        <v>843</v>
      </c>
      <c r="C320">
        <v>0</v>
      </c>
    </row>
    <row r="321" spans="1:3" x14ac:dyDescent="0.25">
      <c r="A321" s="167"/>
      <c r="B321" t="s">
        <v>89</v>
      </c>
      <c r="C321">
        <v>0</v>
      </c>
    </row>
    <row r="322" spans="1:3" x14ac:dyDescent="0.25">
      <c r="A322" s="167"/>
      <c r="B322" t="s">
        <v>41</v>
      </c>
      <c r="C322">
        <v>0</v>
      </c>
    </row>
    <row r="323" spans="1:3" x14ac:dyDescent="0.25">
      <c r="A323" s="167"/>
      <c r="B323" t="s">
        <v>821</v>
      </c>
      <c r="C323">
        <v>0</v>
      </c>
    </row>
    <row r="324" spans="1:3" x14ac:dyDescent="0.25">
      <c r="A324" s="167"/>
      <c r="B324" t="s">
        <v>357</v>
      </c>
      <c r="C324">
        <v>0</v>
      </c>
    </row>
    <row r="325" spans="1:3" x14ac:dyDescent="0.25">
      <c r="A325" s="167" t="s">
        <v>708</v>
      </c>
      <c r="B325" t="s">
        <v>653</v>
      </c>
      <c r="C325">
        <v>0</v>
      </c>
    </row>
    <row r="326" spans="1:3" x14ac:dyDescent="0.25">
      <c r="A326" s="167"/>
      <c r="B326" t="s">
        <v>654</v>
      </c>
      <c r="C326">
        <v>0</v>
      </c>
    </row>
    <row r="327" spans="1:3" x14ac:dyDescent="0.25">
      <c r="A327" s="167"/>
      <c r="B327" t="s">
        <v>837</v>
      </c>
      <c r="C327">
        <v>0</v>
      </c>
    </row>
    <row r="328" spans="1:3" x14ac:dyDescent="0.25">
      <c r="A328" s="167"/>
      <c r="B328" t="s">
        <v>843</v>
      </c>
      <c r="C328">
        <v>0</v>
      </c>
    </row>
    <row r="329" spans="1:3" x14ac:dyDescent="0.25">
      <c r="A329" s="167"/>
      <c r="B329" t="s">
        <v>89</v>
      </c>
      <c r="C329">
        <v>0.1</v>
      </c>
    </row>
    <row r="330" spans="1:3" x14ac:dyDescent="0.25">
      <c r="A330" s="167"/>
      <c r="B330" t="s">
        <v>41</v>
      </c>
      <c r="C330">
        <v>0</v>
      </c>
    </row>
    <row r="331" spans="1:3" x14ac:dyDescent="0.25">
      <c r="A331" s="167"/>
      <c r="B331" t="s">
        <v>821</v>
      </c>
      <c r="C331">
        <v>0</v>
      </c>
    </row>
    <row r="332" spans="1:3" x14ac:dyDescent="0.25">
      <c r="A332" s="167"/>
      <c r="B332" t="s">
        <v>357</v>
      </c>
      <c r="C332">
        <v>0</v>
      </c>
    </row>
    <row r="333" spans="1:3" x14ac:dyDescent="0.25">
      <c r="A333" s="167" t="s">
        <v>411</v>
      </c>
      <c r="B333" t="s">
        <v>653</v>
      </c>
      <c r="C333">
        <f>SUMIFS('Extraction carto QGIS'!G$2:G$9853,'Extraction carto QGIS'!A$2:A$9853,"PEPINIERE TAMOA",'Extraction carto QGIS'!F$2:F$9853,"Maraichage",'Extraction carto QGIS'!K$2:K$9853,"NON")</f>
        <v>0</v>
      </c>
    </row>
    <row r="334" spans="1:3" x14ac:dyDescent="0.25">
      <c r="A334" s="167"/>
      <c r="B334" t="s">
        <v>654</v>
      </c>
      <c r="C334">
        <f>SUMIFS('Extraction carto QGIS'!G$2:G$9853,'Extraction carto QGIS'!A$2:A$9853,"PEPINIERE TAMOA",'Extraction carto QGIS'!F$2:F$9853,"Maraichage",'Extraction carto QGIS'!K$2:K$9853,"OUI")</f>
        <v>0</v>
      </c>
    </row>
    <row r="335" spans="1:3" x14ac:dyDescent="0.25">
      <c r="A335" s="167"/>
      <c r="B335" t="s">
        <v>837</v>
      </c>
      <c r="C335">
        <f>SUMIFS('Extraction carto QGIS'!G$2:G$9853,'Extraction carto QGIS'!A$2:A$9853,"PEPINIERE TAMOA",'Extraction carto QGIS'!F$2:F$9853,"Cultures fruitieres")</f>
        <v>0</v>
      </c>
    </row>
    <row r="336" spans="1:3" x14ac:dyDescent="0.25">
      <c r="A336" s="167"/>
      <c r="B336" t="s">
        <v>843</v>
      </c>
      <c r="C336">
        <f>SUMIFS('Extraction carto QGIS'!G$2:G$9853,'Extraction carto QGIS'!A$2:A$9853,"PEPINIERE TAMOA",'Extraction carto QGIS'!F$2:F$9853,"Cereales")</f>
        <v>0</v>
      </c>
    </row>
    <row r="337" spans="1:3" x14ac:dyDescent="0.25">
      <c r="A337" s="167"/>
      <c r="B337" t="s">
        <v>89</v>
      </c>
      <c r="C337">
        <f>SUMIFS('Extraction carto QGIS'!G$2:G$9853,'Extraction carto QGIS'!A$2:A$9853,"PEPINIERE TAMOA",'Extraction carto QGIS'!F$2:F$9853,"Tubercules tropicaux")</f>
        <v>0</v>
      </c>
    </row>
    <row r="338" spans="1:3" x14ac:dyDescent="0.25">
      <c r="A338" s="167"/>
      <c r="B338" t="s">
        <v>41</v>
      </c>
      <c r="C338">
        <f>SUMIFS('Extraction carto QGIS'!G$2:G$9853,'Extraction carto QGIS'!A$2:A$9853,"PEPINIERE TAMOA",'Extraction carto QGIS'!F$2:F$9853,"Horticulture")</f>
        <v>8.9579999999999913</v>
      </c>
    </row>
    <row r="339" spans="1:3" x14ac:dyDescent="0.25">
      <c r="A339" s="167"/>
      <c r="B339" t="s">
        <v>821</v>
      </c>
      <c r="C339">
        <f>SUMIFS('Extraction carto QGIS'!G$2:G$9853,'Extraction carto QGIS'!A$2:A$9853,"PEPINIERE TAMOA",'Extraction carto QGIS'!F$2:F$9853,"Prairies et pâturages")</f>
        <v>0</v>
      </c>
    </row>
    <row r="340" spans="1:3" x14ac:dyDescent="0.25">
      <c r="A340" s="167"/>
      <c r="B340" t="s">
        <v>357</v>
      </c>
      <c r="C340">
        <f>SUMIFS('Extraction carto QGIS'!G$2:G$9853,'Extraction carto QGIS'!A$2:A$9853,"PEPINIERE TAMOA",'Extraction carto QGIS'!F$2:F$9853,"Autres")</f>
        <v>0</v>
      </c>
    </row>
    <row r="341" spans="1:3" x14ac:dyDescent="0.25">
      <c r="A341" s="167" t="s">
        <v>327</v>
      </c>
      <c r="B341" t="s">
        <v>653</v>
      </c>
      <c r="C341">
        <f>SUMIFS('Extraction carto QGIS'!G$2:G$9853,'Extraction carto QGIS'!A$2:A$9853,"RICHARD",'Extraction carto QGIS'!F$2:F$9853,"Maraichage",'Extraction carto QGIS'!K$2:K$9853,"NON")</f>
        <v>0</v>
      </c>
    </row>
    <row r="342" spans="1:3" x14ac:dyDescent="0.25">
      <c r="A342" s="167"/>
      <c r="B342" t="s">
        <v>654</v>
      </c>
      <c r="C342">
        <f>SUMIFS('Extraction carto QGIS'!G$2:G$9853,'Extraction carto QGIS'!A$2:A$9853,"RICHARD",'Extraction carto QGIS'!F$2:F$9853,"Maraichage",'Extraction carto QGIS'!K$2:K$9853,"OUI")</f>
        <v>0</v>
      </c>
    </row>
    <row r="343" spans="1:3" x14ac:dyDescent="0.25">
      <c r="A343" s="167"/>
      <c r="B343" t="s">
        <v>837</v>
      </c>
      <c r="C343">
        <f>SUMIFS('Extraction carto QGIS'!G$2:G$9853,'Extraction carto QGIS'!A$2:A$9853,"RICHARD",'Extraction carto QGIS'!F$2:F$9853,"Cultures fruitieres")</f>
        <v>0</v>
      </c>
    </row>
    <row r="344" spans="1:3" x14ac:dyDescent="0.25">
      <c r="A344" s="167"/>
      <c r="B344" t="s">
        <v>843</v>
      </c>
      <c r="C344">
        <f>SUMIFS('Extraction carto QGIS'!G$2:G$9853,'Extraction carto QGIS'!A$2:A$9853,"RICHARD",'Extraction carto QGIS'!F$2:F$9853,"Cereales")</f>
        <v>0</v>
      </c>
    </row>
    <row r="345" spans="1:3" x14ac:dyDescent="0.25">
      <c r="A345" s="167"/>
      <c r="B345" t="s">
        <v>89</v>
      </c>
      <c r="C345">
        <f>SUMIFS('Extraction carto QGIS'!G$2:G$9853,'Extraction carto QGIS'!A$2:A$9853,"RICHARD",'Extraction carto QGIS'!F$2:F$9853,"Tubercules tropicaux")</f>
        <v>0</v>
      </c>
    </row>
    <row r="346" spans="1:3" x14ac:dyDescent="0.25">
      <c r="A346" s="167"/>
      <c r="B346" t="s">
        <v>41</v>
      </c>
      <c r="C346">
        <f>SUMIFS('Extraction carto QGIS'!G$2:G$9853,'Extraction carto QGIS'!A$2:A$9853,"RICHARD",'Extraction carto QGIS'!F$2:F$9853,"Horticulture")</f>
        <v>0</v>
      </c>
    </row>
    <row r="347" spans="1:3" x14ac:dyDescent="0.25">
      <c r="A347" s="167"/>
      <c r="B347" t="s">
        <v>821</v>
      </c>
      <c r="C347">
        <f>SUMIFS('Extraction carto QGIS'!G$2:G$9853,'Extraction carto QGIS'!A$2:A$9853,"RICHARD",'Extraction carto QGIS'!F$2:F$9853,"Prairies et pâturages")</f>
        <v>0</v>
      </c>
    </row>
    <row r="348" spans="1:3" x14ac:dyDescent="0.25">
      <c r="A348" s="167"/>
      <c r="B348" t="s">
        <v>357</v>
      </c>
      <c r="C348">
        <f>SUMIFS('Extraction carto QGIS'!G$2:G$9853,'Extraction carto QGIS'!A$2:A$9853,"RICHARD",'Extraction carto QGIS'!F$2:F$9853,"Autres")</f>
        <v>0</v>
      </c>
    </row>
    <row r="349" spans="1:3" x14ac:dyDescent="0.25">
      <c r="A349" s="167" t="s">
        <v>679</v>
      </c>
      <c r="B349" t="s">
        <v>653</v>
      </c>
      <c r="C349">
        <v>0</v>
      </c>
    </row>
    <row r="350" spans="1:3" x14ac:dyDescent="0.25">
      <c r="A350" s="167"/>
      <c r="B350" t="s">
        <v>654</v>
      </c>
      <c r="C350">
        <v>0.04</v>
      </c>
    </row>
    <row r="351" spans="1:3" x14ac:dyDescent="0.25">
      <c r="A351" s="167"/>
      <c r="B351" t="s">
        <v>837</v>
      </c>
      <c r="C351">
        <v>0</v>
      </c>
    </row>
    <row r="352" spans="1:3" x14ac:dyDescent="0.25">
      <c r="A352" s="167"/>
      <c r="B352" t="s">
        <v>843</v>
      </c>
      <c r="C352">
        <v>0</v>
      </c>
    </row>
    <row r="353" spans="1:3" x14ac:dyDescent="0.25">
      <c r="A353" s="167"/>
      <c r="B353" t="s">
        <v>89</v>
      </c>
      <c r="C353">
        <v>0</v>
      </c>
    </row>
    <row r="354" spans="1:3" x14ac:dyDescent="0.25">
      <c r="A354" s="167"/>
      <c r="B354" t="s">
        <v>41</v>
      </c>
      <c r="C354">
        <v>0</v>
      </c>
    </row>
    <row r="355" spans="1:3" x14ac:dyDescent="0.25">
      <c r="A355" s="167"/>
      <c r="B355" t="s">
        <v>821</v>
      </c>
      <c r="C355">
        <v>0</v>
      </c>
    </row>
    <row r="356" spans="1:3" x14ac:dyDescent="0.25">
      <c r="A356" s="167"/>
      <c r="B356" t="s">
        <v>357</v>
      </c>
      <c r="C356">
        <v>0</v>
      </c>
    </row>
    <row r="357" spans="1:3" x14ac:dyDescent="0.25">
      <c r="A357" s="167" t="s">
        <v>471</v>
      </c>
      <c r="B357" t="s">
        <v>653</v>
      </c>
      <c r="C357">
        <f>SUMIFS('Extraction carto QGIS'!G$2:G$9853,'Extraction carto QGIS'!A$2:A$9853,"RIGOT",'Extraction carto QGIS'!F$2:F$9853,"Maraichage",'Extraction carto QGIS'!K$2:K$9853,"NON")</f>
        <v>0</v>
      </c>
    </row>
    <row r="358" spans="1:3" x14ac:dyDescent="0.25">
      <c r="A358" s="167"/>
      <c r="B358" t="s">
        <v>654</v>
      </c>
      <c r="C358">
        <f>SUMIFS('Extraction carto QGIS'!G$2:G$9853,'Extraction carto QGIS'!A$2:A$9853,"RIGOT",'Extraction carto QGIS'!F$2:F$9853,"Maraichage",'Extraction carto QGIS'!K$2:K$9853,"OUI")</f>
        <v>0</v>
      </c>
    </row>
    <row r="359" spans="1:3" x14ac:dyDescent="0.25">
      <c r="A359" s="167"/>
      <c r="B359" t="s">
        <v>837</v>
      </c>
      <c r="C359">
        <f>SUMIFS('Extraction carto QGIS'!G$2:G$9853,'Extraction carto QGIS'!A$2:A$9853,"RIGOT",'Extraction carto QGIS'!F$2:F$9853,"Cultures fruitieres")</f>
        <v>0</v>
      </c>
    </row>
    <row r="360" spans="1:3" x14ac:dyDescent="0.25">
      <c r="A360" s="167"/>
      <c r="B360" t="s">
        <v>843</v>
      </c>
      <c r="C360">
        <f>SUMIFS('Extraction carto QGIS'!G$2:G$9853,'Extraction carto QGIS'!A$2:A$9853,"RIGOT",'Extraction carto QGIS'!F$2:F$9853,"Cereales")</f>
        <v>0</v>
      </c>
    </row>
    <row r="361" spans="1:3" x14ac:dyDescent="0.25">
      <c r="A361" s="167"/>
      <c r="B361" t="s">
        <v>89</v>
      </c>
      <c r="C361">
        <f>SUMIFS('Extraction carto QGIS'!G$2:G$9853,'Extraction carto QGIS'!A$2:A$9853,"RIGOT",'Extraction carto QGIS'!F$2:F$9853,"Tubercules tropicaux")</f>
        <v>0</v>
      </c>
    </row>
    <row r="362" spans="1:3" x14ac:dyDescent="0.25">
      <c r="A362" s="167"/>
      <c r="B362" t="s">
        <v>41</v>
      </c>
      <c r="C362">
        <f>SUMIFS('Extraction carto QGIS'!G$2:G$9853,'Extraction carto QGIS'!A$2:A$9853,"RIGOT",'Extraction carto QGIS'!F$2:F$9853,"Horticulture")</f>
        <v>0</v>
      </c>
    </row>
    <row r="363" spans="1:3" x14ac:dyDescent="0.25">
      <c r="A363" s="167"/>
      <c r="B363" t="s">
        <v>821</v>
      </c>
      <c r="C363">
        <f>SUMIFS('Extraction carto QGIS'!G$2:G$9853,'Extraction carto QGIS'!A$2:A$9853,"RIGOT",'Extraction carto QGIS'!F$2:F$9853,"Prairies et pâturages")</f>
        <v>0</v>
      </c>
    </row>
    <row r="364" spans="1:3" x14ac:dyDescent="0.25">
      <c r="A364" s="167"/>
      <c r="B364" t="s">
        <v>357</v>
      </c>
      <c r="C364">
        <f>SUMIFS('Extraction carto QGIS'!G$2:G$9853,'Extraction carto QGIS'!A$2:A$9853,"RIGOT",'Extraction carto QGIS'!F$2:F$9853,"Autres")</f>
        <v>0</v>
      </c>
    </row>
    <row r="365" spans="1:3" x14ac:dyDescent="0.25">
      <c r="A365" s="167" t="s">
        <v>670</v>
      </c>
      <c r="B365" t="s">
        <v>653</v>
      </c>
      <c r="C365">
        <f>SUMIFS('Extraction carto QGIS'!G$2:G$9853,'Extraction carto QGIS'!A$2:A$9853,"RSMA",'Extraction carto QGIS'!F$2:F$9853,"Maraichage",'Extraction carto QGIS'!K$2:K$9853,"NON")</f>
        <v>0.13399999999999998</v>
      </c>
    </row>
    <row r="366" spans="1:3" x14ac:dyDescent="0.25">
      <c r="A366" s="167"/>
      <c r="B366" t="s">
        <v>654</v>
      </c>
      <c r="C366">
        <f>SUMIFS('Extraction carto QGIS'!G$2:G$9853,'Extraction carto QGIS'!A$2:A$9853,"RSMA",'Extraction carto QGIS'!F$2:F$9853,"Maraichage",'Extraction carto QGIS'!K$2:K$9853,"OUI")</f>
        <v>8.9999999999999993E-3</v>
      </c>
    </row>
    <row r="367" spans="1:3" x14ac:dyDescent="0.25">
      <c r="A367" s="167"/>
      <c r="B367" t="s">
        <v>837</v>
      </c>
      <c r="C367">
        <f>SUMIFS('Extraction carto QGIS'!G$2:G$9853,'Extraction carto QGIS'!A$2:A$9853,"RSMA",'Extraction carto QGIS'!F$2:F$9853,"Cultures fruitieres")</f>
        <v>0.154</v>
      </c>
    </row>
    <row r="368" spans="1:3" x14ac:dyDescent="0.25">
      <c r="A368" s="167"/>
      <c r="B368" t="s">
        <v>843</v>
      </c>
      <c r="C368">
        <f>SUMIFS('Extraction carto QGIS'!G$2:G$9853,'Extraction carto QGIS'!A$2:A$9853,"RSMA",'Extraction carto QGIS'!F$2:F$9853,"Cereales")</f>
        <v>0</v>
      </c>
    </row>
    <row r="369" spans="1:3" x14ac:dyDescent="0.25">
      <c r="A369" s="167"/>
      <c r="B369" t="s">
        <v>89</v>
      </c>
      <c r="C369">
        <f>SUMIFS('Extraction carto QGIS'!G$2:G$9853,'Extraction carto QGIS'!A$2:A$9853,"RSMA",'Extraction carto QGIS'!F$2:F$9853,"Tubercules tropicaux")</f>
        <v>0</v>
      </c>
    </row>
    <row r="370" spans="1:3" x14ac:dyDescent="0.25">
      <c r="A370" s="167"/>
      <c r="B370" t="s">
        <v>41</v>
      </c>
      <c r="C370">
        <f>SUMIFS('Extraction carto QGIS'!G$2:G$9853,'Extraction carto QGIS'!A$2:A$9853,"RSMA",'Extraction carto QGIS'!F$2:F$9853,"Horticulture")</f>
        <v>0</v>
      </c>
    </row>
    <row r="371" spans="1:3" x14ac:dyDescent="0.25">
      <c r="A371" s="167"/>
      <c r="B371" t="s">
        <v>821</v>
      </c>
      <c r="C371">
        <f>SUMIFS('Extraction carto QGIS'!G$2:G$9853,'Extraction carto QGIS'!A$2:A$9853,"RSMA",'Extraction carto QGIS'!F$2:F$9853,"Prairies et pâturages")</f>
        <v>0</v>
      </c>
    </row>
    <row r="372" spans="1:3" x14ac:dyDescent="0.25">
      <c r="A372" s="167"/>
      <c r="B372" t="s">
        <v>357</v>
      </c>
      <c r="C372">
        <f>SUMIFS('Extraction carto QGIS'!G$2:G$9853,'Extraction carto QGIS'!A$2:A$9853,"RSMA",'Extraction carto QGIS'!F$2:F$9853,"Autres")</f>
        <v>0</v>
      </c>
    </row>
    <row r="373" spans="1:3" x14ac:dyDescent="0.25">
      <c r="A373" s="167" t="s">
        <v>671</v>
      </c>
      <c r="B373" t="s">
        <v>653</v>
      </c>
      <c r="C373">
        <v>0.3</v>
      </c>
    </row>
    <row r="374" spans="1:3" x14ac:dyDescent="0.25">
      <c r="A374" s="167"/>
      <c r="B374" t="s">
        <v>654</v>
      </c>
      <c r="C374">
        <v>0</v>
      </c>
    </row>
    <row r="375" spans="1:3" x14ac:dyDescent="0.25">
      <c r="A375" s="167"/>
      <c r="B375" t="s">
        <v>837</v>
      </c>
      <c r="C375">
        <v>0</v>
      </c>
    </row>
    <row r="376" spans="1:3" x14ac:dyDescent="0.25">
      <c r="A376" s="167"/>
      <c r="B376" t="s">
        <v>843</v>
      </c>
      <c r="C376">
        <v>0</v>
      </c>
    </row>
    <row r="377" spans="1:3" x14ac:dyDescent="0.25">
      <c r="A377" s="167"/>
      <c r="B377" t="s">
        <v>89</v>
      </c>
      <c r="C377">
        <v>0</v>
      </c>
    </row>
    <row r="378" spans="1:3" x14ac:dyDescent="0.25">
      <c r="A378" s="167"/>
      <c r="B378" t="s">
        <v>41</v>
      </c>
      <c r="C378">
        <v>0</v>
      </c>
    </row>
    <row r="379" spans="1:3" x14ac:dyDescent="0.25">
      <c r="A379" s="167"/>
      <c r="B379" t="s">
        <v>821</v>
      </c>
      <c r="C379">
        <v>0</v>
      </c>
    </row>
    <row r="380" spans="1:3" x14ac:dyDescent="0.25">
      <c r="A380" s="167"/>
      <c r="B380" t="s">
        <v>357</v>
      </c>
      <c r="C380">
        <v>0</v>
      </c>
    </row>
    <row r="381" spans="1:3" x14ac:dyDescent="0.25">
      <c r="A381" s="167" t="s">
        <v>281</v>
      </c>
      <c r="B381" t="s">
        <v>653</v>
      </c>
      <c r="C381">
        <f>SUMIFS('Extraction carto QGIS'!G$2:G$9853,'Extraction carto QGIS'!A$2:A$9853,"SERAPHIN",'Extraction carto QGIS'!F$2:F$9853,"Maraichage",'Extraction carto QGIS'!K$2:K$9853,"NON")</f>
        <v>4.3120000000000003</v>
      </c>
    </row>
    <row r="382" spans="1:3" x14ac:dyDescent="0.25">
      <c r="A382" s="167"/>
      <c r="B382" t="s">
        <v>654</v>
      </c>
      <c r="C382">
        <f>SUMIFS('Extraction carto QGIS'!G$2:G$9853,'Extraction carto QGIS'!A$2:A$9853,"SERAPHIN",'Extraction carto QGIS'!F$2:F$9853,"Maraichage",'Extraction carto QGIS'!K$2:K$9853,"OUI")</f>
        <v>0</v>
      </c>
    </row>
    <row r="383" spans="1:3" x14ac:dyDescent="0.25">
      <c r="A383" s="167"/>
      <c r="B383" t="s">
        <v>837</v>
      </c>
      <c r="C383">
        <f>SUMIFS('Extraction carto QGIS'!G$2:G$9853,'Extraction carto QGIS'!A$2:A$9853,"SERAPHIN",'Extraction carto QGIS'!F$2:F$9853,"Cultures fruitieres")</f>
        <v>0.39800000000000002</v>
      </c>
    </row>
    <row r="384" spans="1:3" x14ac:dyDescent="0.25">
      <c r="A384" s="167"/>
      <c r="B384" t="s">
        <v>843</v>
      </c>
      <c r="C384">
        <f>SUMIFS('Extraction carto QGIS'!G$2:G$9853,'Extraction carto QGIS'!A$2:A$9853,"SERAPHIN",'Extraction carto QGIS'!F$2:F$9853,"Cereales")</f>
        <v>0</v>
      </c>
    </row>
    <row r="385" spans="1:3" x14ac:dyDescent="0.25">
      <c r="A385" s="167"/>
      <c r="B385" t="s">
        <v>89</v>
      </c>
      <c r="C385">
        <f>SUMIFS('Extraction carto QGIS'!G$2:G$9853,'Extraction carto QGIS'!A$2:A$9853,"SERAPHIN",'Extraction carto QGIS'!F$2:F$9853,"Tubercules tropicaux")</f>
        <v>0</v>
      </c>
    </row>
    <row r="386" spans="1:3" x14ac:dyDescent="0.25">
      <c r="A386" s="167"/>
      <c r="B386" t="s">
        <v>41</v>
      </c>
      <c r="C386">
        <f>SUMIFS('Extraction carto QGIS'!G$2:G$9853,'Extraction carto QGIS'!A$2:A$9853,"SERAPHIN",'Extraction carto QGIS'!F$2:F$9853,"Horticulture")</f>
        <v>0</v>
      </c>
    </row>
    <row r="387" spans="1:3" x14ac:dyDescent="0.25">
      <c r="A387" s="167"/>
      <c r="B387" t="s">
        <v>821</v>
      </c>
      <c r="C387">
        <f>SUMIFS('Extraction carto QGIS'!G$2:G$9853,'Extraction carto QGIS'!A$2:A$9853,"SERAPHIN",'Extraction carto QGIS'!F$2:F$9853,"Prairies et pâturages")</f>
        <v>0</v>
      </c>
    </row>
    <row r="388" spans="1:3" x14ac:dyDescent="0.25">
      <c r="A388" s="167"/>
      <c r="B388" t="s">
        <v>357</v>
      </c>
      <c r="C388">
        <f>SUMIFS('Extraction carto QGIS'!G$2:G$9853,'Extraction carto QGIS'!A$2:A$9853,"SERAPHIN",'Extraction carto QGIS'!F$2:F$9853,"Autres")</f>
        <v>0</v>
      </c>
    </row>
    <row r="389" spans="1:3" x14ac:dyDescent="0.25">
      <c r="A389" s="167" t="s">
        <v>806</v>
      </c>
      <c r="B389" t="s">
        <v>653</v>
      </c>
      <c r="C389">
        <f>SUMIFS('Extraction carto QGIS'!G$2:G$9853,'Extraction carto QGIS'!A$2:A$9853,"SIMONI",'Extraction carto QGIS'!F$2:F$9853,"Maraichage",'Extraction carto QGIS'!K$2:K$9853,"NON")</f>
        <v>5.3630000000000004</v>
      </c>
    </row>
    <row r="390" spans="1:3" x14ac:dyDescent="0.25">
      <c r="A390" s="167"/>
      <c r="B390" t="s">
        <v>654</v>
      </c>
      <c r="C390">
        <f>SUMIFS('Extraction carto QGIS'!G$2:G$9853,'Extraction carto QGIS'!A$2:A$9853,"SIMONI",'Extraction carto QGIS'!F$2:F$9853,"Maraichage",'Extraction carto QGIS'!K$2:K$9853,"OUI")</f>
        <v>0</v>
      </c>
    </row>
    <row r="391" spans="1:3" x14ac:dyDescent="0.25">
      <c r="A391" s="167"/>
      <c r="B391" t="s">
        <v>837</v>
      </c>
      <c r="C391">
        <f>SUMIFS('Extraction carto QGIS'!G$2:G$9853,'Extraction carto QGIS'!A$2:A$9853,"SIMONI",'Extraction carto QGIS'!F$2:F$9853,"Cultures fruitieres")</f>
        <v>6.1780000000000008</v>
      </c>
    </row>
    <row r="392" spans="1:3" x14ac:dyDescent="0.25">
      <c r="A392" s="167"/>
      <c r="B392" t="s">
        <v>843</v>
      </c>
      <c r="C392">
        <f>SUMIFS('Extraction carto QGIS'!G$2:G$9853,'Extraction carto QGIS'!A$2:A$9853,"SIMONI",'Extraction carto QGIS'!F$2:F$9853,"Cereales")</f>
        <v>0</v>
      </c>
    </row>
    <row r="393" spans="1:3" x14ac:dyDescent="0.25">
      <c r="A393" s="167"/>
      <c r="B393" t="s">
        <v>89</v>
      </c>
      <c r="C393">
        <f>SUMIFS('Extraction carto QGIS'!G$2:G$9853,'Extraction carto QGIS'!A$2:A$9853,"SIMONI",'Extraction carto QGIS'!F$2:F$9853,"Tubercules tropicaux")</f>
        <v>0</v>
      </c>
    </row>
    <row r="394" spans="1:3" x14ac:dyDescent="0.25">
      <c r="A394" s="167"/>
      <c r="B394" t="s">
        <v>41</v>
      </c>
      <c r="C394">
        <f>SUMIFS('Extraction carto QGIS'!G$2:G$9853,'Extraction carto QGIS'!A$2:A$9853,"SIMONI",'Extraction carto QGIS'!F$2:F$9853,"Horticulture")</f>
        <v>0</v>
      </c>
    </row>
    <row r="395" spans="1:3" x14ac:dyDescent="0.25">
      <c r="A395" s="167"/>
      <c r="B395" t="s">
        <v>821</v>
      </c>
      <c r="C395">
        <f>SUMIFS('Extraction carto QGIS'!G$2:G$9853,'Extraction carto QGIS'!A$2:A$9853,"SIMONI",'Extraction carto QGIS'!F$2:F$9853,"Prairies et pâturages")</f>
        <v>0</v>
      </c>
    </row>
    <row r="396" spans="1:3" x14ac:dyDescent="0.25">
      <c r="A396" s="167"/>
      <c r="B396" t="s">
        <v>357</v>
      </c>
      <c r="C396">
        <f>SUMIFS('Extraction carto QGIS'!G$2:G$9853,'Extraction carto QGIS'!A$2:A$9853,"SIMONI",'Extraction carto QGIS'!F$2:F$9853,"Autres")</f>
        <v>0</v>
      </c>
    </row>
    <row r="397" spans="1:3" x14ac:dyDescent="0.25">
      <c r="A397" s="167" t="s">
        <v>10</v>
      </c>
      <c r="B397" t="s">
        <v>653</v>
      </c>
      <c r="C397">
        <f>SUMIFS('Extraction carto QGIS'!G$2:G$9853,'Extraction carto QGIS'!A$2:A$9853,"THIRIET",'Extraction carto QGIS'!F$2:F$9853,"Maraichage",'Extraction carto QGIS'!K$2:K$9853,"NON")</f>
        <v>0</v>
      </c>
    </row>
    <row r="398" spans="1:3" x14ac:dyDescent="0.25">
      <c r="A398" s="167"/>
      <c r="B398" t="s">
        <v>654</v>
      </c>
      <c r="C398">
        <f>SUMIFS('Extraction carto QGIS'!G$2:G$9853,'Extraction carto QGIS'!A$2:A$9853,"THIRIET",'Extraction carto QGIS'!F$2:F$9853,"Maraichage",'Extraction carto QGIS'!K$2:K$9853,"OUI")</f>
        <v>0</v>
      </c>
    </row>
    <row r="399" spans="1:3" x14ac:dyDescent="0.25">
      <c r="A399" s="167"/>
      <c r="B399" t="s">
        <v>837</v>
      </c>
      <c r="C399">
        <f>SUMIFS('Extraction carto QGIS'!G$2:G$9853,'Extraction carto QGIS'!A$2:A$9853,"THIRIET",'Extraction carto QGIS'!F$2:F$9853,"Cultures fruitieres")</f>
        <v>0</v>
      </c>
    </row>
    <row r="400" spans="1:3" x14ac:dyDescent="0.25">
      <c r="A400" s="167"/>
      <c r="B400" t="s">
        <v>843</v>
      </c>
      <c r="C400">
        <f>SUMIFS('Extraction carto QGIS'!G$2:G$9853,'Extraction carto QGIS'!A$2:A$9853,"THIRIET",'Extraction carto QGIS'!F$2:F$9853,"Cereales")</f>
        <v>0</v>
      </c>
    </row>
    <row r="401" spans="1:3" x14ac:dyDescent="0.25">
      <c r="A401" s="167"/>
      <c r="B401" t="s">
        <v>89</v>
      </c>
      <c r="C401">
        <f>SUMIFS('Extraction carto QGIS'!G$2:G$9853,'Extraction carto QGIS'!A$2:A$9853,"THIRIET",'Extraction carto QGIS'!F$2:F$9853,"Tubercules tropicaux")</f>
        <v>0</v>
      </c>
    </row>
    <row r="402" spans="1:3" x14ac:dyDescent="0.25">
      <c r="A402" s="167"/>
      <c r="B402" t="s">
        <v>41</v>
      </c>
      <c r="C402">
        <f>SUMIFS('Extraction carto QGIS'!G$2:G$9853,'Extraction carto QGIS'!A$2:A$9853,"THIRIET",'Extraction carto QGIS'!F$2:F$9853,"Horticulture")</f>
        <v>0</v>
      </c>
    </row>
    <row r="403" spans="1:3" x14ac:dyDescent="0.25">
      <c r="A403" s="167"/>
      <c r="B403" t="s">
        <v>821</v>
      </c>
      <c r="C403">
        <f>SUMIFS('Extraction carto QGIS'!G$2:G$9853,'Extraction carto QGIS'!A$2:A$9853,"THIRIET",'Extraction carto QGIS'!F$2:F$9853,"Prairies et pâturages")</f>
        <v>0</v>
      </c>
    </row>
    <row r="404" spans="1:3" x14ac:dyDescent="0.25">
      <c r="A404" s="167"/>
      <c r="B404" t="s">
        <v>357</v>
      </c>
      <c r="C404">
        <f>SUMIFS('Extraction carto QGIS'!G$2:G$9853,'Extraction carto QGIS'!A$2:A$9853,"THIRIET",'Extraction carto QGIS'!F$2:F$9853,"Autres")</f>
        <v>0</v>
      </c>
    </row>
    <row r="405" spans="1:3" x14ac:dyDescent="0.25">
      <c r="A405" s="167" t="s">
        <v>55</v>
      </c>
      <c r="B405" t="s">
        <v>653</v>
      </c>
      <c r="C405">
        <f>SUMIFS('Extraction carto QGIS'!G$2:G$9853,'Extraction carto QGIS'!A$2:A$9853,"VENTRA",'Extraction carto QGIS'!F$2:F$9853,"Maraichage",'Extraction carto QGIS'!K$2:K$9853,"NON")</f>
        <v>0</v>
      </c>
    </row>
    <row r="406" spans="1:3" x14ac:dyDescent="0.25">
      <c r="A406" s="167"/>
      <c r="B406" t="s">
        <v>654</v>
      </c>
      <c r="C406">
        <f>SUMIFS('Extraction carto QGIS'!G$2:G$9853,'Extraction carto QGIS'!A$2:A$9853,"VENTRA",'Extraction carto QGIS'!F$2:F$9853,"Maraichage",'Extraction carto QGIS'!K$2:K$9853,"OUI")</f>
        <v>0</v>
      </c>
    </row>
    <row r="407" spans="1:3" x14ac:dyDescent="0.25">
      <c r="A407" s="167"/>
      <c r="B407" t="s">
        <v>837</v>
      </c>
      <c r="C407">
        <f>SUMIFS('Extraction carto QGIS'!G$2:G$9853,'Extraction carto QGIS'!A$2:A$9853,"VENTRA",'Extraction carto QGIS'!F$2:F$9853,"Cultures fruitieres")</f>
        <v>0</v>
      </c>
    </row>
    <row r="408" spans="1:3" x14ac:dyDescent="0.25">
      <c r="A408" s="167"/>
      <c r="B408" t="s">
        <v>843</v>
      </c>
      <c r="C408">
        <f>SUMIFS('Extraction carto QGIS'!G$2:G$9853,'Extraction carto QGIS'!A$2:A$9853,"VENTRA",'Extraction carto QGIS'!F$2:F$9853,"Cereales")</f>
        <v>0</v>
      </c>
    </row>
    <row r="409" spans="1:3" x14ac:dyDescent="0.25">
      <c r="A409" s="167"/>
      <c r="B409" t="s">
        <v>89</v>
      </c>
      <c r="C409">
        <f>SUMIFS('Extraction carto QGIS'!G$2:G$9853,'Extraction carto QGIS'!A$2:A$9853,"VENTRA",'Extraction carto QGIS'!F$2:F$9853,"Tubercules tropicaux")</f>
        <v>0</v>
      </c>
    </row>
    <row r="410" spans="1:3" x14ac:dyDescent="0.25">
      <c r="A410" s="167"/>
      <c r="B410" t="s">
        <v>41</v>
      </c>
      <c r="C410">
        <f>SUMIFS('Extraction carto QGIS'!G$2:G$9853,'Extraction carto QGIS'!A$2:A$9853,"VENTRA",'Extraction carto QGIS'!F$2:F$9853,"Horticulture")</f>
        <v>0</v>
      </c>
    </row>
    <row r="411" spans="1:3" x14ac:dyDescent="0.25">
      <c r="A411" s="167"/>
      <c r="B411" t="s">
        <v>821</v>
      </c>
      <c r="C411">
        <f>SUMIFS('Extraction carto QGIS'!G$2:G$9853,'Extraction carto QGIS'!A$2:A$9853,"VENTRA",'Extraction carto QGIS'!F$2:F$9853,"Prairies et pâturages")</f>
        <v>0</v>
      </c>
    </row>
    <row r="412" spans="1:3" x14ac:dyDescent="0.25">
      <c r="A412" s="167"/>
      <c r="B412" t="s">
        <v>357</v>
      </c>
      <c r="C412">
        <f>SUMIFS('Extraction carto QGIS'!G$2:G$9853,'Extraction carto QGIS'!A$2:A$9853,"VENTRA",'Extraction carto QGIS'!F$2:F$9853,"Autres")</f>
        <v>0</v>
      </c>
    </row>
    <row r="413" spans="1:3" x14ac:dyDescent="0.25">
      <c r="A413" s="167" t="s">
        <v>672</v>
      </c>
      <c r="B413" t="s">
        <v>653</v>
      </c>
      <c r="C413">
        <f>SUMIFS('Extraction carto QGIS'!G$2:G$9853,'Extraction carto QGIS'!A$2:A$9853,"VERNIER",'Extraction carto QGIS'!F$2:F$9853,"Maraichage",'Extraction carto QGIS'!K$2:K$9853,"NON")</f>
        <v>0</v>
      </c>
    </row>
    <row r="414" spans="1:3" x14ac:dyDescent="0.25">
      <c r="A414" s="167"/>
      <c r="B414" t="s">
        <v>654</v>
      </c>
      <c r="C414">
        <f>SUMIFS('Extraction carto QGIS'!G$2:G$9853,'Extraction carto QGIS'!A$2:A$9853,"VERNIER",'Extraction carto QGIS'!F$2:F$9853,"Maraichage",'Extraction carto QGIS'!K$2:K$9853,"OUI")</f>
        <v>0</v>
      </c>
    </row>
    <row r="415" spans="1:3" x14ac:dyDescent="0.25">
      <c r="A415" s="167"/>
      <c r="B415" t="s">
        <v>837</v>
      </c>
      <c r="C415">
        <f>SUMIFS('Extraction carto QGIS'!G$2:G$9853,'Extraction carto QGIS'!A$2:A$9853,"VERNIER",'Extraction carto QGIS'!F$2:F$9853,"Cultures fruitieres")</f>
        <v>0</v>
      </c>
    </row>
    <row r="416" spans="1:3" x14ac:dyDescent="0.25">
      <c r="A416" s="167"/>
      <c r="B416" t="s">
        <v>843</v>
      </c>
      <c r="C416">
        <f>SUMIFS('Extraction carto QGIS'!G$2:G$9853,'Extraction carto QGIS'!A$2:A$9853,"VERNIER",'Extraction carto QGIS'!F$2:F$9853,"Cereales")</f>
        <v>0</v>
      </c>
    </row>
    <row r="417" spans="1:3" x14ac:dyDescent="0.25">
      <c r="A417" s="167"/>
      <c r="B417" t="s">
        <v>89</v>
      </c>
      <c r="C417">
        <f>SUMIFS('Extraction carto QGIS'!G$2:G$9853,'Extraction carto QGIS'!A$2:A$9853,"VERNIER",'Extraction carto QGIS'!F$2:F$9853,"Tubercules tropicaux")</f>
        <v>0</v>
      </c>
    </row>
    <row r="418" spans="1:3" x14ac:dyDescent="0.25">
      <c r="A418" s="167"/>
      <c r="B418" t="s">
        <v>41</v>
      </c>
      <c r="C418">
        <f>SUMIFS('Extraction carto QGIS'!G$2:G$9853,'Extraction carto QGIS'!A$2:A$9853,"VERNIER",'Extraction carto QGIS'!F$2:F$9853,"Horticulture")</f>
        <v>0</v>
      </c>
    </row>
    <row r="419" spans="1:3" x14ac:dyDescent="0.25">
      <c r="A419" s="167"/>
      <c r="B419" t="s">
        <v>821</v>
      </c>
      <c r="C419">
        <f>SUMIFS('Extraction carto QGIS'!G$2:G$9853,'Extraction carto QGIS'!A$2:A$9853,"VERNIER",'Extraction carto QGIS'!F$2:F$9853,"Prairies et pâturages")</f>
        <v>0</v>
      </c>
    </row>
    <row r="420" spans="1:3" x14ac:dyDescent="0.25">
      <c r="A420" s="167"/>
      <c r="B420" t="s">
        <v>357</v>
      </c>
      <c r="C420">
        <f>SUMIFS('Extraction carto QGIS'!G$2:G$9853,'Extraction carto QGIS'!A$2:A$9853,"VERNIER",'Extraction carto QGIS'!F$2:F$9853,"Autres")</f>
        <v>0</v>
      </c>
    </row>
    <row r="421" spans="1:3" x14ac:dyDescent="0.25">
      <c r="A421" s="167" t="s">
        <v>807</v>
      </c>
      <c r="B421" t="s">
        <v>653</v>
      </c>
      <c r="C421">
        <f>SUMIFS('Extraction carto QGIS'!G$2:G$9853,'Extraction carto QGIS'!A$2:A$9853,"VERNIER Greg",'Extraction carto QGIS'!F$2:F$9853,"Maraichage",'Extraction carto QGIS'!K$2:K$9853,"NON")</f>
        <v>0</v>
      </c>
    </row>
    <row r="422" spans="1:3" x14ac:dyDescent="0.25">
      <c r="A422" s="167"/>
      <c r="B422" t="s">
        <v>654</v>
      </c>
      <c r="C422">
        <f>SUMIFS('Extraction carto QGIS'!G$2:G$9853,'Extraction carto QGIS'!A$2:A$9853,"VERNIER Greg",'Extraction carto QGIS'!F$2:F$9853,"Maraichage",'Extraction carto QGIS'!K$2:K$9853,"OUI")</f>
        <v>0</v>
      </c>
    </row>
    <row r="423" spans="1:3" x14ac:dyDescent="0.25">
      <c r="A423" s="167"/>
      <c r="B423" t="s">
        <v>837</v>
      </c>
      <c r="C423">
        <f>SUMIFS('Extraction carto QGIS'!G$2:G$9853,'Extraction carto QGIS'!A$2:A$9853,"VERNIER Greg",'Extraction carto QGIS'!F$2:F$9853,"Cultures fruitieres")</f>
        <v>0</v>
      </c>
    </row>
    <row r="424" spans="1:3" x14ac:dyDescent="0.25">
      <c r="A424" s="167"/>
      <c r="B424" t="s">
        <v>843</v>
      </c>
      <c r="C424">
        <f>SUMIFS('Extraction carto QGIS'!G$2:G$9853,'Extraction carto QGIS'!A$2:A$9853,"VERNIER Greg",'Extraction carto QGIS'!F$2:F$9853,"Cereales")</f>
        <v>0</v>
      </c>
    </row>
    <row r="425" spans="1:3" x14ac:dyDescent="0.25">
      <c r="A425" s="167"/>
      <c r="B425" t="s">
        <v>89</v>
      </c>
      <c r="C425">
        <f>SUMIFS('Extraction carto QGIS'!G$2:G$9853,'Extraction carto QGIS'!A$2:A$9853,"VERNIER Greg",'Extraction carto QGIS'!F$2:F$9853,"Tubercules tropicaux")</f>
        <v>0</v>
      </c>
    </row>
    <row r="426" spans="1:3" x14ac:dyDescent="0.25">
      <c r="A426" s="167"/>
      <c r="B426" t="s">
        <v>41</v>
      </c>
      <c r="C426">
        <f>SUMIFS('Extraction carto QGIS'!G$2:G$9853,'Extraction carto QGIS'!A$2:A$9853,"VERNIER Greg",'Extraction carto QGIS'!F$2:F$9853,"Horticulture")</f>
        <v>0</v>
      </c>
    </row>
    <row r="427" spans="1:3" x14ac:dyDescent="0.25">
      <c r="A427" s="167"/>
      <c r="B427" t="s">
        <v>821</v>
      </c>
      <c r="C427">
        <f>SUMIFS('Extraction carto QGIS'!G$2:G$9853,'Extraction carto QGIS'!A$2:A$9853,"VERNIER Greg",'Extraction carto QGIS'!F$2:F$9853,"Prairies et pâturages")</f>
        <v>0</v>
      </c>
    </row>
    <row r="428" spans="1:3" x14ac:dyDescent="0.25">
      <c r="A428" s="167"/>
      <c r="B428" t="s">
        <v>357</v>
      </c>
      <c r="C428">
        <f>SUMIFS('Extraction carto QGIS'!G$2:G$9853,'Extraction carto QGIS'!A$2:A$9853,"VERNIER Greg",'Extraction carto QGIS'!F$2:F$9853,"Autres")</f>
        <v>0</v>
      </c>
    </row>
    <row r="429" spans="1:3" x14ac:dyDescent="0.25">
      <c r="A429" s="167" t="s">
        <v>473</v>
      </c>
      <c r="B429" t="s">
        <v>653</v>
      </c>
      <c r="C429">
        <f>SUMIFS('Extraction carto QGIS'!G$2:G$9853,'Extraction carto QGIS'!A$2:A$9853,"VIALLON",'Extraction carto QGIS'!F$2:F$9853,"Maraichage",'Extraction carto QGIS'!K$2:K$9853,"NON")</f>
        <v>0</v>
      </c>
    </row>
    <row r="430" spans="1:3" x14ac:dyDescent="0.25">
      <c r="A430" s="167"/>
      <c r="B430" t="s">
        <v>654</v>
      </c>
      <c r="C430">
        <f>SUMIFS('Extraction carto QGIS'!G$2:G$9853,'Extraction carto QGIS'!A$2:A$9853,"VIALLON",'Extraction carto QGIS'!F$2:F$9853,"Maraichage",'Extraction carto QGIS'!K$2:K$9853,"OUI")</f>
        <v>0</v>
      </c>
    </row>
    <row r="431" spans="1:3" x14ac:dyDescent="0.25">
      <c r="A431" s="167"/>
      <c r="B431" t="s">
        <v>837</v>
      </c>
      <c r="C431">
        <f>SUMIFS('Extraction carto QGIS'!G$2:G$9853,'Extraction carto QGIS'!A$2:A$9853,"VIALLON",'Extraction carto QGIS'!F$2:F$9853,"Cultures fruitieres")</f>
        <v>0</v>
      </c>
    </row>
    <row r="432" spans="1:3" x14ac:dyDescent="0.25">
      <c r="A432" s="167"/>
      <c r="B432" t="s">
        <v>843</v>
      </c>
      <c r="C432">
        <f>SUMIFS('Extraction carto QGIS'!G$2:G$9853,'Extraction carto QGIS'!A$2:A$9853,"VIALLON",'Extraction carto QGIS'!F$2:F$9853,"Cereales")</f>
        <v>0</v>
      </c>
    </row>
    <row r="433" spans="1:3" x14ac:dyDescent="0.25">
      <c r="A433" s="167"/>
      <c r="B433" t="s">
        <v>89</v>
      </c>
      <c r="C433">
        <f>SUMIFS('Extraction carto QGIS'!G$2:G$9853,'Extraction carto QGIS'!A$2:A$9853,"VIALLON",'Extraction carto QGIS'!F$2:F$9853,"Tubercules tropicaux")</f>
        <v>0</v>
      </c>
    </row>
    <row r="434" spans="1:3" x14ac:dyDescent="0.25">
      <c r="A434" s="167"/>
      <c r="B434" t="s">
        <v>41</v>
      </c>
      <c r="C434">
        <f>SUMIFS('Extraction carto QGIS'!G$2:G$9853,'Extraction carto QGIS'!A$2:A$9853,"VIALLON",'Extraction carto QGIS'!F$2:F$9853,"Horticulture")</f>
        <v>0</v>
      </c>
    </row>
    <row r="435" spans="1:3" x14ac:dyDescent="0.25">
      <c r="A435" s="167"/>
      <c r="B435" t="s">
        <v>821</v>
      </c>
      <c r="C435">
        <f>SUMIFS('Extraction carto QGIS'!G$2:G$9853,'Extraction carto QGIS'!A$2:A$9853,"VIALLON",'Extraction carto QGIS'!F$2:F$9853,"Prairies et pâturages")</f>
        <v>0</v>
      </c>
    </row>
    <row r="436" spans="1:3" x14ac:dyDescent="0.25">
      <c r="A436" s="167"/>
      <c r="B436" t="s">
        <v>357</v>
      </c>
      <c r="C436">
        <f>SUMIFS('Extraction carto QGIS'!G$2:G$9853,'Extraction carto QGIS'!A$2:A$9853,"VIALLON",'Extraction carto QGIS'!F$2:F$9853,"Autres")</f>
        <v>0</v>
      </c>
    </row>
    <row r="437" spans="1:3" x14ac:dyDescent="0.25">
      <c r="A437" s="167" t="s">
        <v>894</v>
      </c>
      <c r="B437" t="s">
        <v>653</v>
      </c>
      <c r="C437">
        <v>0</v>
      </c>
    </row>
    <row r="438" spans="1:3" x14ac:dyDescent="0.25">
      <c r="A438" s="167"/>
      <c r="B438" t="s">
        <v>654</v>
      </c>
      <c r="C438">
        <v>0</v>
      </c>
    </row>
    <row r="439" spans="1:3" x14ac:dyDescent="0.25">
      <c r="A439" s="167"/>
      <c r="B439" t="s">
        <v>837</v>
      </c>
      <c r="C439">
        <v>6</v>
      </c>
    </row>
    <row r="440" spans="1:3" x14ac:dyDescent="0.25">
      <c r="A440" s="167"/>
      <c r="B440" t="s">
        <v>843</v>
      </c>
      <c r="C440">
        <v>0</v>
      </c>
    </row>
    <row r="441" spans="1:3" x14ac:dyDescent="0.25">
      <c r="A441" s="167"/>
      <c r="B441" t="s">
        <v>89</v>
      </c>
      <c r="C441">
        <v>0</v>
      </c>
    </row>
    <row r="442" spans="1:3" x14ac:dyDescent="0.25">
      <c r="A442" s="167"/>
      <c r="B442" t="s">
        <v>41</v>
      </c>
      <c r="C442">
        <v>0.5</v>
      </c>
    </row>
    <row r="443" spans="1:3" x14ac:dyDescent="0.25">
      <c r="A443" s="167"/>
      <c r="B443" t="s">
        <v>821</v>
      </c>
      <c r="C443">
        <v>0</v>
      </c>
    </row>
    <row r="444" spans="1:3" x14ac:dyDescent="0.25">
      <c r="A444" s="167"/>
      <c r="B444" t="s">
        <v>357</v>
      </c>
      <c r="C444">
        <v>0</v>
      </c>
    </row>
    <row r="445" spans="1:3" x14ac:dyDescent="0.25">
      <c r="A445" s="167" t="s">
        <v>673</v>
      </c>
      <c r="B445" t="s">
        <v>653</v>
      </c>
      <c r="C445">
        <v>0</v>
      </c>
    </row>
    <row r="446" spans="1:3" x14ac:dyDescent="0.25">
      <c r="A446" s="167"/>
      <c r="B446" t="s">
        <v>654</v>
      </c>
      <c r="C446">
        <v>0</v>
      </c>
    </row>
    <row r="447" spans="1:3" x14ac:dyDescent="0.25">
      <c r="A447" s="167"/>
      <c r="B447" t="s">
        <v>837</v>
      </c>
      <c r="C447">
        <v>0</v>
      </c>
    </row>
    <row r="448" spans="1:3" x14ac:dyDescent="0.25">
      <c r="A448" s="167"/>
      <c r="B448" t="s">
        <v>843</v>
      </c>
      <c r="C448">
        <v>0</v>
      </c>
    </row>
    <row r="449" spans="1:3" x14ac:dyDescent="0.25">
      <c r="A449" s="167"/>
      <c r="B449" t="s">
        <v>89</v>
      </c>
      <c r="C449">
        <v>0</v>
      </c>
    </row>
    <row r="450" spans="1:3" x14ac:dyDescent="0.25">
      <c r="A450" s="167"/>
      <c r="B450" t="s">
        <v>41</v>
      </c>
      <c r="C450">
        <v>2</v>
      </c>
    </row>
    <row r="451" spans="1:3" x14ac:dyDescent="0.25">
      <c r="A451" s="167"/>
      <c r="B451" t="s">
        <v>821</v>
      </c>
      <c r="C451">
        <v>0</v>
      </c>
    </row>
    <row r="452" spans="1:3" x14ac:dyDescent="0.25">
      <c r="A452" s="167"/>
      <c r="B452" t="s">
        <v>357</v>
      </c>
      <c r="C452">
        <v>0</v>
      </c>
    </row>
    <row r="453" spans="1:3" x14ac:dyDescent="0.25">
      <c r="A453" s="170" t="s">
        <v>893</v>
      </c>
      <c r="B453" t="s">
        <v>653</v>
      </c>
      <c r="C453">
        <f>SUMIFS('Extraction carto QGIS'!G$2:G$9853,'Extraction carto QGIS'!A$2:A$9853,"WAMYTAN",'Extraction carto QGIS'!F$2:F$9853,"Maraichage",'Extraction carto QGIS'!K$2:K$9853,"NON")</f>
        <v>0</v>
      </c>
    </row>
    <row r="454" spans="1:3" x14ac:dyDescent="0.25">
      <c r="A454" s="170"/>
      <c r="B454" t="s">
        <v>654</v>
      </c>
      <c r="C454">
        <f>SUMIFS('Extraction carto QGIS'!G$2:G$9853,'Extraction carto QGIS'!A$2:A$9853,"WAMYTAN",'Extraction carto QGIS'!F$2:F$9853,"Maraichage",'Extraction carto QGIS'!K$2:K$9853,"OUI")</f>
        <v>0</v>
      </c>
    </row>
    <row r="455" spans="1:3" x14ac:dyDescent="0.25">
      <c r="A455" s="170"/>
      <c r="B455" t="s">
        <v>837</v>
      </c>
      <c r="C455">
        <f>SUMIFS('Extraction carto QGIS'!G$2:G$9853,'Extraction carto QGIS'!A$2:A$9853,"WAMYTAN",'Extraction carto QGIS'!F$2:F$9853,"Cultures fruitieres")</f>
        <v>0</v>
      </c>
    </row>
    <row r="456" spans="1:3" x14ac:dyDescent="0.25">
      <c r="A456" s="170"/>
      <c r="B456" t="s">
        <v>843</v>
      </c>
      <c r="C456">
        <f>SUMIFS('Extraction carto QGIS'!G$2:G$9853,'Extraction carto QGIS'!A$2:A$9853,"WAMYTAN",'Extraction carto QGIS'!F$2:F$9853,"Cereales")</f>
        <v>0</v>
      </c>
    </row>
    <row r="457" spans="1:3" x14ac:dyDescent="0.25">
      <c r="A457" s="170"/>
      <c r="B457" t="s">
        <v>89</v>
      </c>
      <c r="C457">
        <f>SUMIFS('Extraction carto QGIS'!G$2:G$9853,'Extraction carto QGIS'!A$2:A$9853,"WAMYTAN",'Extraction carto QGIS'!F$2:F$9853,"Tubercules tropicaux")</f>
        <v>0</v>
      </c>
    </row>
    <row r="458" spans="1:3" x14ac:dyDescent="0.25">
      <c r="A458" s="170"/>
      <c r="B458" t="s">
        <v>41</v>
      </c>
      <c r="C458">
        <f>SUMIFS('Extraction carto QGIS'!G$2:G$9853,'Extraction carto QGIS'!A$2:A$9853,"WAMYTAN",'Extraction carto QGIS'!F$2:F$9853,"Horticulture")</f>
        <v>0</v>
      </c>
    </row>
    <row r="459" spans="1:3" x14ac:dyDescent="0.25">
      <c r="A459" s="170"/>
      <c r="B459" t="s">
        <v>821</v>
      </c>
      <c r="C459">
        <f>SUMIFS('Extraction carto QGIS'!G$2:G$9853,'Extraction carto QGIS'!A$2:A$9853,"WAMYTAN",'Extraction carto QGIS'!F$2:F$9853,"Prairies et pâturages")</f>
        <v>0</v>
      </c>
    </row>
    <row r="460" spans="1:3" x14ac:dyDescent="0.25">
      <c r="A460" s="170"/>
      <c r="B460" t="s">
        <v>357</v>
      </c>
      <c r="C460">
        <f>SUMIFS('Extraction carto QGIS'!G$2:G$9853,'Extraction carto QGIS'!A$2:A$9853,"WAMYTAN",'Extraction carto QGIS'!F$2:F$9853,"Autres")</f>
        <v>0</v>
      </c>
    </row>
  </sheetData>
  <autoFilter ref="A12:D460" xr:uid="{9E35653C-6DE8-4806-8099-E3DAFF57B38A}"/>
  <sortState xmlns:xlrd2="http://schemas.microsoft.com/office/spreadsheetml/2017/richdata2" ref="F13:G20">
    <sortCondition ref="G13:G20"/>
  </sortState>
  <mergeCells count="58">
    <mergeCell ref="A453:A460"/>
    <mergeCell ref="A437:A444"/>
    <mergeCell ref="A229:A236"/>
    <mergeCell ref="A429:A436"/>
    <mergeCell ref="A445:A452"/>
    <mergeCell ref="A341:A348"/>
    <mergeCell ref="A293:A300"/>
    <mergeCell ref="A261:A268"/>
    <mergeCell ref="A269:A276"/>
    <mergeCell ref="A277:A284"/>
    <mergeCell ref="A285:A292"/>
    <mergeCell ref="F11:G11"/>
    <mergeCell ref="A397:A404"/>
    <mergeCell ref="A405:A412"/>
    <mergeCell ref="A413:A420"/>
    <mergeCell ref="A421:A428"/>
    <mergeCell ref="A349:A356"/>
    <mergeCell ref="A357:A364"/>
    <mergeCell ref="A365:A372"/>
    <mergeCell ref="A373:A380"/>
    <mergeCell ref="A381:A388"/>
    <mergeCell ref="A389:A396"/>
    <mergeCell ref="A301:A308"/>
    <mergeCell ref="A309:A316"/>
    <mergeCell ref="A317:A324"/>
    <mergeCell ref="A325:A332"/>
    <mergeCell ref="A333:A340"/>
    <mergeCell ref="A213:A220"/>
    <mergeCell ref="A221:A228"/>
    <mergeCell ref="A237:A244"/>
    <mergeCell ref="A245:A252"/>
    <mergeCell ref="A253:A260"/>
    <mergeCell ref="A205:A212"/>
    <mergeCell ref="A133:A140"/>
    <mergeCell ref="A141:A148"/>
    <mergeCell ref="A149:A156"/>
    <mergeCell ref="A157:A164"/>
    <mergeCell ref="A165:A172"/>
    <mergeCell ref="A173:A180"/>
    <mergeCell ref="A181:A188"/>
    <mergeCell ref="A189:A196"/>
    <mergeCell ref="A197:A204"/>
    <mergeCell ref="A125:A132"/>
    <mergeCell ref="A45:A52"/>
    <mergeCell ref="A53:A60"/>
    <mergeCell ref="A61:A68"/>
    <mergeCell ref="A69:A76"/>
    <mergeCell ref="A77:A84"/>
    <mergeCell ref="A85:A92"/>
    <mergeCell ref="A93:A100"/>
    <mergeCell ref="A101:A108"/>
    <mergeCell ref="A109:A116"/>
    <mergeCell ref="A117:A124"/>
    <mergeCell ref="A37:A44"/>
    <mergeCell ref="B1:C1"/>
    <mergeCell ref="A13:A20"/>
    <mergeCell ref="A21:A28"/>
    <mergeCell ref="A29:A3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C32EE-6DC1-4FCC-BD20-FBD4D40540AA}">
  <dimension ref="A1:Q63"/>
  <sheetViews>
    <sheetView zoomScale="80" zoomScaleNormal="80" workbookViewId="0">
      <selection activeCell="B2" sqref="B2:B63"/>
    </sheetView>
  </sheetViews>
  <sheetFormatPr baseColWidth="10" defaultRowHeight="13.2" x14ac:dyDescent="0.25"/>
  <cols>
    <col min="1" max="1" width="23.77734375" bestFit="1" customWidth="1"/>
    <col min="3" max="3" width="18.21875" bestFit="1" customWidth="1"/>
    <col min="5" max="5" width="15.44140625" bestFit="1" customWidth="1"/>
    <col min="7" max="7" width="32" bestFit="1" customWidth="1"/>
    <col min="9" max="9" width="16.21875" bestFit="1" customWidth="1"/>
    <col min="10" max="10" width="10.77734375" customWidth="1"/>
    <col min="11" max="11" width="14.77734375" customWidth="1"/>
  </cols>
  <sheetData>
    <row r="1" spans="1:17" x14ac:dyDescent="0.25">
      <c r="A1" t="s">
        <v>890</v>
      </c>
      <c r="B1" t="s">
        <v>892</v>
      </c>
      <c r="C1" t="s">
        <v>805</v>
      </c>
      <c r="D1" t="s">
        <v>704</v>
      </c>
      <c r="E1" t="s">
        <v>1198</v>
      </c>
      <c r="G1" s="97" t="s">
        <v>800</v>
      </c>
      <c r="H1" s="98" t="s">
        <v>695</v>
      </c>
      <c r="I1" s="101" t="s">
        <v>827</v>
      </c>
      <c r="J1" s="101" t="s">
        <v>828</v>
      </c>
      <c r="K1" s="101">
        <v>2021</v>
      </c>
      <c r="M1" s="173" t="s">
        <v>816</v>
      </c>
      <c r="N1" s="173"/>
      <c r="O1" s="101" t="s">
        <v>801</v>
      </c>
      <c r="P1" s="101" t="s">
        <v>803</v>
      </c>
      <c r="Q1" s="101" t="s">
        <v>804</v>
      </c>
    </row>
    <row r="2" spans="1:17" x14ac:dyDescent="0.25">
      <c r="A2" t="s">
        <v>659</v>
      </c>
      <c r="B2" s="92">
        <f>SUMIF('Extraction carto QGIS'!A2:A1247,A2,'Extraction carto QGIS'!G2:G1247)</f>
        <v>0</v>
      </c>
      <c r="C2" t="s">
        <v>654</v>
      </c>
      <c r="D2" t="s">
        <v>817</v>
      </c>
      <c r="E2">
        <v>0.25800000000000001</v>
      </c>
      <c r="G2" s="94" t="s">
        <v>797</v>
      </c>
      <c r="H2" s="95">
        <f>COUNTIF(B2:B63,"&lt;1")</f>
        <v>29</v>
      </c>
      <c r="I2">
        <f>COUNTIFS($B$2:$B$63,"&lt;1",$D$2:$D$63,"SUD")</f>
        <v>24</v>
      </c>
      <c r="J2">
        <f>COUNTIFS($B$2:$B$63,"&lt;1",$D$2:$D$63,"NORD")</f>
        <v>5</v>
      </c>
      <c r="K2">
        <v>22</v>
      </c>
      <c r="M2" t="s">
        <v>967</v>
      </c>
      <c r="N2" s="68">
        <f>AVERAGEIF(D2:D63,"SUD",B2:B63)</f>
        <v>11.164115384615384</v>
      </c>
      <c r="O2">
        <f>COUNTIF(D2:D63,"SUD")</f>
        <v>52</v>
      </c>
      <c r="P2" s="83">
        <f>_xlfn.MINIFS(B2:B63,D2:D63,"SUD")</f>
        <v>0</v>
      </c>
      <c r="Q2" s="21">
        <f>_xlfn.MAXIFS(B2:B63,D2:D63,"SUD")</f>
        <v>311.18999999999994</v>
      </c>
    </row>
    <row r="3" spans="1:17" x14ac:dyDescent="0.25">
      <c r="A3" t="s">
        <v>335</v>
      </c>
      <c r="B3" s="92">
        <f>SUMIF('Extraction carto QGIS'!A2:A1247,A3,'Extraction carto QGIS'!G2:G1247)</f>
        <v>8.9159999999999968</v>
      </c>
      <c r="C3" t="s">
        <v>654</v>
      </c>
      <c r="D3" t="s">
        <v>817</v>
      </c>
      <c r="E3">
        <v>0.01</v>
      </c>
      <c r="G3" t="s">
        <v>809</v>
      </c>
      <c r="H3" s="95">
        <f>COUNTIFS(B2:B63,"&gt;=1",B2:B63,"&lt;2")</f>
        <v>6</v>
      </c>
      <c r="I3" s="95">
        <f>COUNTIFS($B$2:$B$63,"&gt;=1",$B$2:$B$63,"&lt;2",$D$2:$D$63,"SUD")</f>
        <v>6</v>
      </c>
      <c r="J3" s="95">
        <f>COUNTIFS($B$2:$B$63,"&gt;=1",$B$2:$B$63,"&lt;2",$D$2:$D$63,"NORD")</f>
        <v>0</v>
      </c>
      <c r="K3">
        <v>3</v>
      </c>
      <c r="M3" t="s">
        <v>966</v>
      </c>
      <c r="N3" s="21">
        <f>AVERAGEIF(D2:D63,"NORD",B2:B63)</f>
        <v>30.041599999999978</v>
      </c>
      <c r="O3">
        <f>COUNTIF(D2:D63,"NORD")</f>
        <v>10</v>
      </c>
      <c r="P3" s="21">
        <f>_xlfn.MINIFS(B2:B63,D2:D63,"NORD")</f>
        <v>0</v>
      </c>
      <c r="Q3" s="21">
        <f>_xlfn.MAXIFS(B2:B63,D2:D63,"NORD")</f>
        <v>167.93099999999984</v>
      </c>
    </row>
    <row r="4" spans="1:17" x14ac:dyDescent="0.25">
      <c r="A4" t="s">
        <v>1135</v>
      </c>
      <c r="B4" s="92">
        <f>SUMIF('Extraction carto QGIS'!A2:A1247,A4,'Extraction carto QGIS'!G2:G1247)</f>
        <v>0.17199999999999999</v>
      </c>
      <c r="C4" t="s">
        <v>654</v>
      </c>
      <c r="D4" t="s">
        <v>817</v>
      </c>
      <c r="E4">
        <v>8.291999999999998</v>
      </c>
      <c r="G4" t="s">
        <v>810</v>
      </c>
      <c r="H4" s="95">
        <f>COUNTIFS(B2:B63,"&gt;=2",B2:B63,"&lt;5")</f>
        <v>7</v>
      </c>
      <c r="I4" s="95">
        <f>COUNTIFS($B$2:$B$63,"&gt;=2",$B$2:$B$63,"&lt;5",$D$2:$D$63,"SUD")</f>
        <v>5</v>
      </c>
      <c r="J4" s="95">
        <f>COUNTIFS($B$2:$B$63,"&gt;=2",$B$2:$B$63,"&lt;5",$D$2:$D$63,"NORD")</f>
        <v>2</v>
      </c>
      <c r="K4">
        <v>12</v>
      </c>
    </row>
    <row r="5" spans="1:17" x14ac:dyDescent="0.25">
      <c r="A5" t="s">
        <v>551</v>
      </c>
      <c r="B5" s="92">
        <f>SUMIF('Extraction carto QGIS'!A2:A1247,A5,'Extraction carto QGIS'!G2:G1247)</f>
        <v>167.93099999999984</v>
      </c>
      <c r="C5" t="s">
        <v>706</v>
      </c>
      <c r="D5" t="s">
        <v>818</v>
      </c>
      <c r="E5">
        <v>0.72</v>
      </c>
      <c r="G5" t="s">
        <v>811</v>
      </c>
      <c r="H5" s="95">
        <f>COUNTIFS(B2:B63,"&gt;=5",B2:B63,"&lt;10")</f>
        <v>7</v>
      </c>
      <c r="I5" s="95">
        <f>COUNTIFS($B$2:$B$63,"&gt;=5",$B$2:$B$63,"&lt;10",$D$2:$D$63,"SUD")</f>
        <v>7</v>
      </c>
      <c r="J5" s="95">
        <f>COUNTIFS($B$2:$B$63,"&gt;=5",$B$2:$B$63,"&lt;10",$D$2:$D$63,"NORD")</f>
        <v>0</v>
      </c>
      <c r="K5">
        <v>6</v>
      </c>
    </row>
    <row r="6" spans="1:17" x14ac:dyDescent="0.25">
      <c r="A6" t="s">
        <v>969</v>
      </c>
      <c r="B6" s="92">
        <f>SUMIF('Extraction carto QGIS'!A2:A1247,A6,'Extraction carto QGIS'!G2:G1247)</f>
        <v>0.74199999999999988</v>
      </c>
      <c r="C6" t="s">
        <v>654</v>
      </c>
      <c r="D6" t="s">
        <v>817</v>
      </c>
      <c r="E6">
        <v>158.88</v>
      </c>
      <c r="G6" t="s">
        <v>812</v>
      </c>
      <c r="H6" s="95">
        <f>COUNTIFS(B2:B63,"&gt;=10",B2:B63,"&lt;20")</f>
        <v>8</v>
      </c>
      <c r="I6" s="95">
        <f>COUNTIFS($B$2:$B$63,"&gt;=10",$B$2:$B$63,"&lt;20",$D$2:$D$63,"SUD")</f>
        <v>7</v>
      </c>
      <c r="J6" s="95">
        <f>COUNTIFS($B$2:$B$63,"&gt;=10",$B$2:$B$63,"&lt;20",$D$2:$D$63,"NORD")</f>
        <v>1</v>
      </c>
      <c r="K6">
        <v>7</v>
      </c>
    </row>
    <row r="7" spans="1:17" x14ac:dyDescent="0.25">
      <c r="A7" s="9" t="s">
        <v>660</v>
      </c>
      <c r="B7" s="92">
        <v>8.5</v>
      </c>
      <c r="C7" t="s">
        <v>654</v>
      </c>
      <c r="D7" t="s">
        <v>817</v>
      </c>
      <c r="E7">
        <v>0.87500000000000011</v>
      </c>
      <c r="G7" t="s">
        <v>813</v>
      </c>
      <c r="H7" s="95">
        <f>COUNTIFS(B2:B63,"&gt;=20",B2:B63,"&lt;50")</f>
        <v>1</v>
      </c>
      <c r="I7" s="95">
        <f>COUNTIFS($B$2:$B$63,"&gt;=20",$B$2:$B$63,"&lt;50",$D$2:$D$63,"SUD")</f>
        <v>1</v>
      </c>
      <c r="J7" s="95">
        <f>COUNTIFS($B$2:$B$63,"&gt;=20",$B$2:$B$63,"&lt;50",$D$2:$D$63,"NORD")</f>
        <v>0</v>
      </c>
      <c r="K7">
        <v>1</v>
      </c>
    </row>
    <row r="8" spans="1:17" x14ac:dyDescent="0.25">
      <c r="A8" t="s">
        <v>660</v>
      </c>
      <c r="B8" s="92">
        <v>10</v>
      </c>
      <c r="C8" t="s">
        <v>652</v>
      </c>
      <c r="D8" t="s">
        <v>817</v>
      </c>
      <c r="E8">
        <v>8.5</v>
      </c>
      <c r="G8" t="s">
        <v>814</v>
      </c>
      <c r="H8" s="95">
        <f>COUNTIFS(B2:B63,"&gt;=50",B2:B63,"&lt;100")</f>
        <v>1</v>
      </c>
      <c r="I8" s="95">
        <f>COUNTIFS($B$2:$B$63,"&gt;=50",$B$2:$B$63,"&lt;100",$D$2:$D$63,"SUD")</f>
        <v>1</v>
      </c>
      <c r="J8" s="95">
        <f>COUNTIFS($B$2:$B$63,"&gt;=50",$B$2:$B$63,"&lt;100",$D$2:$D$63,"NORD")</f>
        <v>0</v>
      </c>
      <c r="K8">
        <v>3</v>
      </c>
    </row>
    <row r="9" spans="1:17" x14ac:dyDescent="0.25">
      <c r="A9" s="8" t="s">
        <v>279</v>
      </c>
      <c r="B9" s="92">
        <f>SUMIF('Extraction carto QGIS'!A2:A1247,A9,'Extraction carto QGIS'!G2:G1247)</f>
        <v>0.94600000000000017</v>
      </c>
      <c r="C9" t="s">
        <v>964</v>
      </c>
      <c r="D9" t="s">
        <v>818</v>
      </c>
      <c r="E9">
        <v>10</v>
      </c>
      <c r="G9" t="s">
        <v>815</v>
      </c>
      <c r="H9" s="95">
        <f>COUNTIFS(B2:B63,"&gt;=100",B2:B63,"&lt;500")</f>
        <v>3</v>
      </c>
      <c r="I9" s="95">
        <f>COUNTIFS($B$2:$B$63,"&gt;=100",$B$2:$B$63,"&lt;500",$D$2:$D$63,"SUD")</f>
        <v>1</v>
      </c>
      <c r="J9" s="95">
        <f>COUNTIFS($B$2:$B$63,"&gt;=100",$B$2:$B$63,"&lt;500",$D$2:$D$63,"NORD")</f>
        <v>2</v>
      </c>
      <c r="K9">
        <v>3</v>
      </c>
    </row>
    <row r="10" spans="1:17" x14ac:dyDescent="0.25">
      <c r="A10" s="8" t="s">
        <v>454</v>
      </c>
      <c r="B10" s="92">
        <f>SUMIF('Extraction carto QGIS'!A2:A1247,A10,'Extraction carto QGIS'!G2:G1247)</f>
        <v>0.29000000000000004</v>
      </c>
      <c r="C10" t="s">
        <v>41</v>
      </c>
      <c r="D10" t="s">
        <v>817</v>
      </c>
      <c r="E10">
        <v>0.158</v>
      </c>
      <c r="G10" t="s">
        <v>808</v>
      </c>
      <c r="H10" s="96">
        <f>COUNTIF(B2:B63,"&gt;=500")</f>
        <v>0</v>
      </c>
      <c r="I10" s="95">
        <f>COUNTIFS($B$2:$B$63,"&gt;=500",$D$2:$D$63,"SUD")</f>
        <v>0</v>
      </c>
      <c r="J10" s="95">
        <f>COUNTIFS($B$2:$B$63,"&gt;=500",$D$2:$D$63,"NORD")</f>
        <v>0</v>
      </c>
      <c r="K10">
        <v>0</v>
      </c>
    </row>
    <row r="11" spans="1:17" x14ac:dyDescent="0.25">
      <c r="A11" s="9" t="s">
        <v>661</v>
      </c>
      <c r="B11" s="92">
        <v>4</v>
      </c>
      <c r="C11" t="s">
        <v>654</v>
      </c>
      <c r="D11" t="s">
        <v>817</v>
      </c>
      <c r="E11">
        <v>4</v>
      </c>
      <c r="H11">
        <f>SUM(H2:H10)</f>
        <v>62</v>
      </c>
      <c r="I11">
        <f>SUM(I2:I10)</f>
        <v>52</v>
      </c>
      <c r="J11">
        <f>SUM(J2:J10)</f>
        <v>10</v>
      </c>
      <c r="K11">
        <f>SUM(K2:K10)</f>
        <v>57</v>
      </c>
    </row>
    <row r="12" spans="1:17" x14ac:dyDescent="0.25">
      <c r="A12" s="8" t="s">
        <v>1013</v>
      </c>
      <c r="B12" s="92">
        <f>SUMIF('Extraction carto QGIS'!A2:A1247,A12,'Extraction carto QGIS'!G2:G1247)</f>
        <v>5.3639999999999999</v>
      </c>
      <c r="C12" t="s">
        <v>652</v>
      </c>
      <c r="D12" t="s">
        <v>817</v>
      </c>
      <c r="E12">
        <v>0.158</v>
      </c>
    </row>
    <row r="13" spans="1:17" x14ac:dyDescent="0.25">
      <c r="A13" t="s">
        <v>618</v>
      </c>
      <c r="B13" s="92">
        <f>SUMIF('Extraction carto QGIS'!A2:A1247,A13,'Extraction carto QGIS'!G2:G1247)</f>
        <v>1.07</v>
      </c>
      <c r="C13" t="s">
        <v>654</v>
      </c>
      <c r="D13" t="s">
        <v>817</v>
      </c>
      <c r="E13">
        <v>4</v>
      </c>
    </row>
    <row r="14" spans="1:17" x14ac:dyDescent="0.25">
      <c r="A14" t="s">
        <v>985</v>
      </c>
      <c r="B14" s="92">
        <f>SUMIF('Extraction carto QGIS'!A2:A1247,A14,'Extraction carto QGIS'!G2:G1247)</f>
        <v>11.068999999999999</v>
      </c>
      <c r="C14" t="s">
        <v>964</v>
      </c>
      <c r="D14" t="s">
        <v>817</v>
      </c>
      <c r="E14">
        <v>2.3659999999999997</v>
      </c>
    </row>
    <row r="15" spans="1:17" x14ac:dyDescent="0.25">
      <c r="A15" s="9" t="s">
        <v>609</v>
      </c>
      <c r="B15" s="92">
        <f>SUMIF('Extraction carto QGIS'!A2:A1247,A15,'Extraction carto QGIS'!G2:G1247)</f>
        <v>1.4610000000000001</v>
      </c>
      <c r="C15" t="s">
        <v>654</v>
      </c>
      <c r="D15" t="s">
        <v>817</v>
      </c>
      <c r="E15">
        <v>0.52100000000000013</v>
      </c>
    </row>
    <row r="16" spans="1:17" ht="13.5" customHeight="1" x14ac:dyDescent="0.25">
      <c r="A16" t="s">
        <v>662</v>
      </c>
      <c r="B16" s="92">
        <f>SUMIF('Extraction carto QGIS'!A2:A1247,A16,'Extraction carto QGIS'!G2:G1247)</f>
        <v>2.5340000000000003</v>
      </c>
      <c r="C16" t="s">
        <v>654</v>
      </c>
      <c r="D16" t="s">
        <v>817</v>
      </c>
      <c r="E16">
        <v>11.822999999999999</v>
      </c>
    </row>
    <row r="17" spans="1:11" x14ac:dyDescent="0.25">
      <c r="A17" t="s">
        <v>86</v>
      </c>
      <c r="B17" s="92">
        <f>SUMIF('Extraction carto QGIS'!A2:A1247,A17,'Extraction carto QGIS'!G2:G1247)</f>
        <v>0</v>
      </c>
      <c r="C17" t="s">
        <v>654</v>
      </c>
      <c r="D17" t="s">
        <v>817</v>
      </c>
      <c r="E17">
        <v>14.382000000000005</v>
      </c>
      <c r="G17" s="171" t="s">
        <v>1199</v>
      </c>
      <c r="H17" s="172"/>
      <c r="I17" s="99" t="s">
        <v>802</v>
      </c>
      <c r="J17" s="99" t="s">
        <v>803</v>
      </c>
      <c r="K17" s="93" t="s">
        <v>804</v>
      </c>
    </row>
    <row r="18" spans="1:11" x14ac:dyDescent="0.25">
      <c r="A18" t="s">
        <v>296</v>
      </c>
      <c r="B18" s="92">
        <f>SUMIF('Extraction carto QGIS'!A2:A1247,A18,'Extraction carto QGIS'!G2:G1247)</f>
        <v>17.035999999999998</v>
      </c>
      <c r="C18" t="s">
        <v>12</v>
      </c>
      <c r="D18" t="s">
        <v>817</v>
      </c>
      <c r="E18">
        <v>5.6630000000000003</v>
      </c>
      <c r="G18" s="94" t="s">
        <v>12</v>
      </c>
      <c r="H18" s="21">
        <f>AVERAGEIF(C2:C63,G18,B2:B63)</f>
        <v>31.103166666666663</v>
      </c>
      <c r="I18">
        <f>COUNTIF(C2:C63,G18)</f>
        <v>12</v>
      </c>
      <c r="J18" s="21">
        <f>_xlfn.MINIFS(B2:B63,C2:C63,G18)</f>
        <v>0</v>
      </c>
      <c r="K18" s="100">
        <f>_xlfn.MAXIFS(B2:B63,C2:C63,G18)</f>
        <v>311.18999999999994</v>
      </c>
    </row>
    <row r="19" spans="1:11" x14ac:dyDescent="0.25">
      <c r="A19" s="9" t="s">
        <v>891</v>
      </c>
      <c r="B19" s="92">
        <v>1</v>
      </c>
      <c r="C19" t="s">
        <v>41</v>
      </c>
      <c r="D19" t="s">
        <v>817</v>
      </c>
      <c r="E19">
        <v>2.5370000000000004</v>
      </c>
      <c r="G19" s="94" t="s">
        <v>654</v>
      </c>
      <c r="H19" s="21">
        <f>AVERAGEIF(C2:C63,G19,B2:B63)</f>
        <v>2.0219999999999998</v>
      </c>
      <c r="I19">
        <f>COUNTIF(C2:C63,G19)</f>
        <v>18</v>
      </c>
      <c r="J19" s="83">
        <f>_xlfn.MINIFS(B2:B63,C2:C63,G19)</f>
        <v>0</v>
      </c>
      <c r="K19" s="100">
        <f>_xlfn.MAXIFS(B2:B63,C2:C63,G19)</f>
        <v>8.9159999999999968</v>
      </c>
    </row>
    <row r="20" spans="1:11" x14ac:dyDescent="0.25">
      <c r="A20" s="8" t="s">
        <v>29</v>
      </c>
      <c r="B20" s="92">
        <f>SUMIF('Extraction carto QGIS'!A2:A1247,A20,'Extraction carto QGIS'!G2:G1247)</f>
        <v>6.1109999999999998</v>
      </c>
      <c r="C20" t="s">
        <v>89</v>
      </c>
      <c r="D20" t="s">
        <v>817</v>
      </c>
      <c r="E20">
        <v>4.7440000000000007</v>
      </c>
      <c r="G20" s="94" t="s">
        <v>652</v>
      </c>
      <c r="H20" s="21">
        <f>AVERAGEIF(C2:C63,G20,B2:B63)</f>
        <v>16.957857142857133</v>
      </c>
      <c r="I20">
        <f>COUNTIF(C2:C63,G20)</f>
        <v>14</v>
      </c>
      <c r="J20" s="21">
        <f>_xlfn.MINIFS(B2:B63,C2:C63,G20)</f>
        <v>0</v>
      </c>
      <c r="K20" s="100">
        <f>_xlfn.MAXIFS(B2:B63,C2:C63,G20)</f>
        <v>111.1659999999999</v>
      </c>
    </row>
    <row r="21" spans="1:11" x14ac:dyDescent="0.25">
      <c r="A21" t="s">
        <v>605</v>
      </c>
      <c r="B21" s="92">
        <f>SUMIF('Extraction carto QGIS'!A2:A1247,A21,'Extraction carto QGIS'!G2:G1247)</f>
        <v>2.726</v>
      </c>
      <c r="C21" t="s">
        <v>12</v>
      </c>
      <c r="D21" t="s">
        <v>817</v>
      </c>
      <c r="E21">
        <v>4.0000000000000001E-3</v>
      </c>
      <c r="G21" s="94" t="s">
        <v>89</v>
      </c>
      <c r="H21" s="21">
        <f>AVERAGEIF(C2:C63,G21,B2:B63)</f>
        <v>3.7389999999999999</v>
      </c>
      <c r="I21">
        <f>COUNTIF(C2:C63,G21)</f>
        <v>4</v>
      </c>
      <c r="J21" s="21">
        <f>_xlfn.MINIFS(B2:B63,C2:C63,G21)</f>
        <v>0</v>
      </c>
      <c r="K21" s="100">
        <f>_xlfn.MAXIFS(B2:B63,C2:C63,G21)</f>
        <v>8.745000000000001</v>
      </c>
    </row>
    <row r="22" spans="1:11" x14ac:dyDescent="0.25">
      <c r="A22" s="9" t="s">
        <v>1197</v>
      </c>
      <c r="B22" s="92">
        <v>0.1</v>
      </c>
      <c r="C22" t="s">
        <v>89</v>
      </c>
      <c r="D22" t="s">
        <v>817</v>
      </c>
      <c r="E22">
        <v>0.3</v>
      </c>
      <c r="G22" s="94" t="s">
        <v>706</v>
      </c>
      <c r="H22" s="21">
        <f>AVERAGEIF(C2:C63,G22,B2:B63)</f>
        <v>167.93099999999984</v>
      </c>
      <c r="I22">
        <f>COUNTIF(C2:C63,G22)</f>
        <v>1</v>
      </c>
      <c r="J22" s="21">
        <f>_xlfn.MINIFS(B2:B63,C2:C63,G22)</f>
        <v>167.93099999999984</v>
      </c>
      <c r="K22" s="100">
        <f>_xlfn.MAXIFS(B2:B63,C2:C63,G22)</f>
        <v>167.93099999999984</v>
      </c>
    </row>
    <row r="23" spans="1:11" x14ac:dyDescent="0.25">
      <c r="A23" t="s">
        <v>1191</v>
      </c>
      <c r="B23" s="92">
        <v>0.5</v>
      </c>
      <c r="C23" t="s">
        <v>357</v>
      </c>
      <c r="D23" t="s">
        <v>817</v>
      </c>
      <c r="E23">
        <v>2</v>
      </c>
      <c r="G23" s="94" t="s">
        <v>41</v>
      </c>
      <c r="H23" s="21">
        <f>AVERAGEIF(C2:C63,G23,B2:B63)</f>
        <v>3.1253999999999986</v>
      </c>
      <c r="I23">
        <f>COUNTIF(C2:C63,G23)</f>
        <v>5</v>
      </c>
      <c r="J23" s="21">
        <f>_xlfn.MINIFS(B2:B63,C2:C63,G23)</f>
        <v>0</v>
      </c>
      <c r="K23" s="100">
        <f>_xlfn.MAXIFS(B2:B63,C2:C63,G23)</f>
        <v>14.042999999999994</v>
      </c>
    </row>
    <row r="24" spans="1:11" x14ac:dyDescent="0.25">
      <c r="A24" s="9" t="s">
        <v>1189</v>
      </c>
      <c r="B24" s="92">
        <f>SUMIF('Extraction carto QGIS'!A2:A1247,A24,'Extraction carto QGIS'!G2:G1247)</f>
        <v>8.745000000000001</v>
      </c>
      <c r="C24" t="s">
        <v>89</v>
      </c>
      <c r="D24" t="s">
        <v>817</v>
      </c>
      <c r="E24">
        <v>0.92400000000000004</v>
      </c>
      <c r="G24" s="94" t="s">
        <v>357</v>
      </c>
      <c r="H24" s="21">
        <f>AVERAGEIF(C2:C63,G24,B2:B63)</f>
        <v>0.96899999999999997</v>
      </c>
      <c r="I24">
        <f>COUNTIF(C2:C63,G24)</f>
        <v>3</v>
      </c>
      <c r="J24" s="21">
        <f>_xlfn.MINIFS(B2:B63,C2:C63,G24)</f>
        <v>0</v>
      </c>
      <c r="K24" s="100">
        <f>_xlfn.MAXIFS(B2:B63,C2:C63,G24)</f>
        <v>2.407</v>
      </c>
    </row>
    <row r="25" spans="1:11" x14ac:dyDescent="0.25">
      <c r="A25" s="6" t="s">
        <v>638</v>
      </c>
      <c r="B25" s="92">
        <f>SUMIF('Extraction carto QGIS'!A2:A1247,A25,'Extraction carto QGIS'!G2:G1247)</f>
        <v>2.0999999999999998E-2</v>
      </c>
      <c r="C25" t="s">
        <v>654</v>
      </c>
      <c r="D25" t="s">
        <v>817</v>
      </c>
      <c r="E25">
        <v>85</v>
      </c>
      <c r="G25" s="154" t="s">
        <v>695</v>
      </c>
      <c r="H25" s="155">
        <f>AVERAGE(B2:B63)</f>
        <v>14.20887096774193</v>
      </c>
      <c r="I25" s="156">
        <f>SUM(I18:I24)</f>
        <v>57</v>
      </c>
      <c r="J25" s="157"/>
      <c r="K25" s="158"/>
    </row>
    <row r="26" spans="1:11" x14ac:dyDescent="0.25">
      <c r="A26" t="s">
        <v>962</v>
      </c>
      <c r="B26" s="92">
        <f>SUMIF('Extraction carto QGIS'!A2:A1247,A26,'Extraction carto QGIS'!G2:G1247)</f>
        <v>0.376</v>
      </c>
      <c r="C26" t="s">
        <v>652</v>
      </c>
      <c r="D26" t="s">
        <v>818</v>
      </c>
      <c r="E26">
        <v>5.5</v>
      </c>
      <c r="G26" s="171" t="s">
        <v>1200</v>
      </c>
      <c r="H26" s="172"/>
      <c r="I26" s="99" t="s">
        <v>802</v>
      </c>
      <c r="J26" s="99" t="s">
        <v>803</v>
      </c>
      <c r="K26" s="93" t="s">
        <v>804</v>
      </c>
    </row>
    <row r="27" spans="1:11" x14ac:dyDescent="0.25">
      <c r="A27" t="s">
        <v>1133</v>
      </c>
      <c r="B27" s="92">
        <f>SUMIF('Extraction carto QGIS'!A2:A1247,A27,'Extraction carto QGIS'!G2:G1247)</f>
        <v>1.956</v>
      </c>
      <c r="C27" t="s">
        <v>654</v>
      </c>
      <c r="D27" t="s">
        <v>817</v>
      </c>
      <c r="E27">
        <v>0.02</v>
      </c>
      <c r="G27" s="94" t="s">
        <v>12</v>
      </c>
      <c r="H27" s="21">
        <v>21.312352941176471</v>
      </c>
      <c r="I27">
        <v>17</v>
      </c>
      <c r="J27" s="21">
        <v>0.158</v>
      </c>
      <c r="K27" s="100">
        <v>300.38600000000002</v>
      </c>
    </row>
    <row r="28" spans="1:11" x14ac:dyDescent="0.25">
      <c r="A28" t="s">
        <v>963</v>
      </c>
      <c r="B28" s="92">
        <f>SUMIF('Extraction carto QGIS'!A2:A1247,A28,'Extraction carto QGIS'!G2:G1247)</f>
        <v>8.0000000000000002E-3</v>
      </c>
      <c r="C28" t="s">
        <v>654</v>
      </c>
      <c r="D28" t="s">
        <v>817</v>
      </c>
      <c r="E28">
        <v>0.1</v>
      </c>
      <c r="G28" s="94" t="s">
        <v>654</v>
      </c>
      <c r="H28" s="21">
        <v>1.8217999999999999</v>
      </c>
      <c r="I28">
        <v>15</v>
      </c>
      <c r="J28" s="83">
        <v>4.0000000000000001E-3</v>
      </c>
      <c r="K28" s="100">
        <v>8.5</v>
      </c>
    </row>
    <row r="29" spans="1:11" x14ac:dyDescent="0.25">
      <c r="A29" t="s">
        <v>536</v>
      </c>
      <c r="B29" s="92">
        <f>SUMIF('Extraction carto QGIS'!A2:A1247,A29,'Extraction carto QGIS'!G2:G1247)</f>
        <v>311.18999999999994</v>
      </c>
      <c r="C29" t="s">
        <v>12</v>
      </c>
      <c r="D29" t="s">
        <v>817</v>
      </c>
      <c r="E29">
        <v>300.38600000000002</v>
      </c>
      <c r="G29" s="94" t="s">
        <v>652</v>
      </c>
      <c r="H29" s="21">
        <v>26.205374999999997</v>
      </c>
      <c r="I29">
        <v>8</v>
      </c>
      <c r="J29" s="21">
        <v>2.242</v>
      </c>
      <c r="K29" s="100">
        <v>104.90899999999999</v>
      </c>
    </row>
    <row r="30" spans="1:11" x14ac:dyDescent="0.25">
      <c r="A30" t="s">
        <v>526</v>
      </c>
      <c r="B30" s="92">
        <f>SUMIF('Extraction carto QGIS'!A2:A1247,A30,'Extraction carto QGIS'!G2:G1247)</f>
        <v>0.10299999999999999</v>
      </c>
      <c r="C30" t="s">
        <v>654</v>
      </c>
      <c r="D30" t="s">
        <v>817</v>
      </c>
      <c r="E30">
        <v>0.12000000000000001</v>
      </c>
      <c r="G30" s="94" t="s">
        <v>89</v>
      </c>
      <c r="H30" s="21">
        <v>2.0515999999999996</v>
      </c>
      <c r="I30">
        <v>5</v>
      </c>
      <c r="J30" s="21">
        <v>0.1</v>
      </c>
      <c r="K30" s="100">
        <v>5.6630000000000003</v>
      </c>
    </row>
    <row r="31" spans="1:11" x14ac:dyDescent="0.25">
      <c r="A31" t="s">
        <v>356</v>
      </c>
      <c r="B31" s="92">
        <f>SUMIF('Extraction carto QGIS'!A2:A1247,A31,'Extraction carto QGIS'!G2:G1247)</f>
        <v>2.407</v>
      </c>
      <c r="C31" t="s">
        <v>357</v>
      </c>
      <c r="D31" t="s">
        <v>817</v>
      </c>
      <c r="E31">
        <v>2.242</v>
      </c>
      <c r="G31" s="94" t="s">
        <v>706</v>
      </c>
      <c r="H31" s="21">
        <v>99.884999999999991</v>
      </c>
      <c r="I31">
        <v>3</v>
      </c>
      <c r="J31" s="21">
        <v>55.774999999999991</v>
      </c>
      <c r="K31" s="100">
        <v>158.88</v>
      </c>
    </row>
    <row r="32" spans="1:11" x14ac:dyDescent="0.25">
      <c r="A32" t="s">
        <v>1136</v>
      </c>
      <c r="B32" s="92">
        <f>SUMIF('Extraction carto QGIS'!A2:A1247,A32,'Extraction carto QGIS'!G2:G1247)</f>
        <v>1.3129999999999997</v>
      </c>
      <c r="C32" t="s">
        <v>12</v>
      </c>
      <c r="D32" t="s">
        <v>817</v>
      </c>
      <c r="E32">
        <v>0.5</v>
      </c>
      <c r="G32" s="94" t="s">
        <v>41</v>
      </c>
      <c r="H32" s="21">
        <v>6.8830000000000009</v>
      </c>
      <c r="I32">
        <v>5</v>
      </c>
      <c r="J32" s="21">
        <v>0.158</v>
      </c>
      <c r="K32" s="100">
        <v>25.458000000000006</v>
      </c>
    </row>
    <row r="33" spans="1:11" x14ac:dyDescent="0.25">
      <c r="A33" t="s">
        <v>575</v>
      </c>
      <c r="B33" s="92">
        <f>SUMIF('Extraction carto QGIS'!A2:A1247,A33,'Extraction carto QGIS'!G2:G1247)</f>
        <v>5.9339999999999993</v>
      </c>
      <c r="C33" t="s">
        <v>654</v>
      </c>
      <c r="D33" t="s">
        <v>817</v>
      </c>
      <c r="E33">
        <v>0.18</v>
      </c>
      <c r="G33" s="94" t="s">
        <v>357</v>
      </c>
      <c r="H33" s="21">
        <v>1.21</v>
      </c>
      <c r="I33">
        <v>1</v>
      </c>
      <c r="J33" s="21">
        <v>1.21</v>
      </c>
      <c r="K33" s="100">
        <v>1.21</v>
      </c>
    </row>
    <row r="34" spans="1:11" x14ac:dyDescent="0.25">
      <c r="A34" t="s">
        <v>569</v>
      </c>
      <c r="B34" s="92">
        <f>SUMIF('Extraction carto QGIS'!A2:A1247,A34,'Extraction carto QGIS'!G2:G1247)</f>
        <v>8.6059999999999999</v>
      </c>
      <c r="C34" t="s">
        <v>964</v>
      </c>
      <c r="D34" t="s">
        <v>817</v>
      </c>
      <c r="E34">
        <v>8.0359999999999996</v>
      </c>
      <c r="G34" s="154" t="s">
        <v>695</v>
      </c>
      <c r="H34" s="155">
        <v>16.848771929824558</v>
      </c>
      <c r="I34" s="156">
        <v>54</v>
      </c>
      <c r="J34" s="111"/>
      <c r="K34" s="96"/>
    </row>
    <row r="35" spans="1:11" x14ac:dyDescent="0.25">
      <c r="A35" t="s">
        <v>328</v>
      </c>
      <c r="B35" s="92">
        <f>SUMIF('Extraction carto QGIS'!A2:A1247,A35,'Extraction carto QGIS'!G2:G1247)</f>
        <v>40.848000000000006</v>
      </c>
      <c r="C35" t="s">
        <v>652</v>
      </c>
      <c r="D35" t="s">
        <v>817</v>
      </c>
      <c r="E35">
        <v>55.774999999999991</v>
      </c>
    </row>
    <row r="36" spans="1:11" x14ac:dyDescent="0.25">
      <c r="A36" t="s">
        <v>972</v>
      </c>
      <c r="B36" s="92">
        <f>SUMIF('Extraction carto QGIS'!A2:A1247,A36,'Extraction carto QGIS'!G2:G1247)</f>
        <v>19.322000000000003</v>
      </c>
      <c r="C36" t="s">
        <v>12</v>
      </c>
      <c r="D36" t="s">
        <v>817</v>
      </c>
      <c r="E36">
        <v>1.2669999999999999</v>
      </c>
    </row>
    <row r="37" spans="1:11" x14ac:dyDescent="0.25">
      <c r="A37" s="9" t="s">
        <v>910</v>
      </c>
      <c r="B37" s="92">
        <f>SUMIF('Extraction carto QGIS'!A2:A1247,A37,'Extraction carto QGIS'!G2:G1247)</f>
        <v>0</v>
      </c>
      <c r="C37" t="s">
        <v>89</v>
      </c>
      <c r="D37" t="s">
        <v>818</v>
      </c>
      <c r="E37">
        <v>0.1</v>
      </c>
    </row>
    <row r="38" spans="1:11" x14ac:dyDescent="0.25">
      <c r="A38" s="9" t="s">
        <v>1001</v>
      </c>
      <c r="B38" s="92">
        <f>SUMIF('Extraction carto QGIS'!A2:A1247,A38,'Extraction carto QGIS'!G2:G1247)</f>
        <v>0.29400000000000004</v>
      </c>
      <c r="C38" t="s">
        <v>41</v>
      </c>
      <c r="D38" t="s">
        <v>817</v>
      </c>
      <c r="E38">
        <v>25.458000000000006</v>
      </c>
    </row>
    <row r="39" spans="1:11" x14ac:dyDescent="0.25">
      <c r="A39" t="s">
        <v>411</v>
      </c>
      <c r="B39" s="92">
        <f>SUMIF('Extraction carto QGIS'!A2:A1247,A39,'Extraction carto QGIS'!G2:G1247)</f>
        <v>14.042999999999994</v>
      </c>
      <c r="C39" t="s">
        <v>41</v>
      </c>
      <c r="D39" t="s">
        <v>817</v>
      </c>
      <c r="E39">
        <v>0.85799999999999998</v>
      </c>
    </row>
    <row r="40" spans="1:11" x14ac:dyDescent="0.25">
      <c r="A40" t="s">
        <v>990</v>
      </c>
      <c r="B40" s="92">
        <f>SUMIF('Extraction carto QGIS'!A2:A1247,A40,'Extraction carto QGIS'!G2:G1247)</f>
        <v>0.34700000000000003</v>
      </c>
      <c r="C40" t="s">
        <v>652</v>
      </c>
      <c r="D40" t="s">
        <v>817</v>
      </c>
      <c r="E40">
        <v>0.04</v>
      </c>
    </row>
    <row r="41" spans="1:11" x14ac:dyDescent="0.25">
      <c r="A41" t="s">
        <v>897</v>
      </c>
      <c r="B41" s="92">
        <f>SUMIF('Extraction carto QGIS'!A2:A1247,A41,'Extraction carto QGIS'!G2:G1247)</f>
        <v>0.75</v>
      </c>
      <c r="C41" t="s">
        <v>654</v>
      </c>
      <c r="D41" t="s">
        <v>817</v>
      </c>
      <c r="E41">
        <v>4.758</v>
      </c>
    </row>
    <row r="42" spans="1:11" x14ac:dyDescent="0.25">
      <c r="A42" s="7" t="s">
        <v>971</v>
      </c>
      <c r="B42" s="92">
        <f>SUMIF('Extraction carto QGIS'!A2:A1247,A42,'Extraction carto QGIS'!G2:G1247)</f>
        <v>0.22900000000000004</v>
      </c>
      <c r="C42" t="s">
        <v>654</v>
      </c>
      <c r="D42" t="s">
        <v>817</v>
      </c>
      <c r="E42">
        <v>0.30500000000000005</v>
      </c>
    </row>
    <row r="43" spans="1:11" ht="13.5" customHeight="1" x14ac:dyDescent="0.25">
      <c r="A43" s="7" t="s">
        <v>680</v>
      </c>
      <c r="B43" s="92">
        <f>SUMIF('Extraction carto QGIS'!A2:A1247,A43,'Extraction carto QGIS'!G2:G1247)</f>
        <v>0.32300000000000006</v>
      </c>
      <c r="C43" t="s">
        <v>964</v>
      </c>
      <c r="D43" t="s">
        <v>818</v>
      </c>
      <c r="E43">
        <v>0.5</v>
      </c>
    </row>
    <row r="44" spans="1:11" ht="13.5" customHeight="1" x14ac:dyDescent="0.25">
      <c r="A44" s="9" t="s">
        <v>671</v>
      </c>
      <c r="B44" s="92">
        <v>0.3</v>
      </c>
      <c r="C44" t="s">
        <v>12</v>
      </c>
      <c r="D44" t="s">
        <v>817</v>
      </c>
      <c r="E44">
        <v>4.8719999999999999</v>
      </c>
    </row>
    <row r="45" spans="1:11" x14ac:dyDescent="0.25">
      <c r="A45" t="s">
        <v>281</v>
      </c>
      <c r="B45" s="92">
        <f>SUMIF('Extraction carto QGIS'!A2:A1247,A45,'Extraction carto QGIS'!G2:G1247)</f>
        <v>4.71</v>
      </c>
      <c r="C45" t="s">
        <v>12</v>
      </c>
      <c r="D45" t="s">
        <v>818</v>
      </c>
      <c r="E45">
        <v>11.005000000000001</v>
      </c>
    </row>
    <row r="46" spans="1:11" x14ac:dyDescent="0.25">
      <c r="A46" t="s">
        <v>806</v>
      </c>
      <c r="B46" s="92">
        <f>SUMIF('Extraction carto QGIS'!A2:A1247,A46,'Extraction carto QGIS'!G2:G1247)</f>
        <v>11.540999999999997</v>
      </c>
      <c r="C46" t="s">
        <v>964</v>
      </c>
      <c r="D46" t="s">
        <v>817</v>
      </c>
      <c r="E46">
        <v>10.889000000000001</v>
      </c>
    </row>
    <row r="47" spans="1:11" x14ac:dyDescent="0.25">
      <c r="A47" t="s">
        <v>900</v>
      </c>
      <c r="B47" s="92">
        <f>SUMIF('Extraction carto QGIS'!A2:A1247,A47,'Extraction carto QGIS'!G2:G1247)</f>
        <v>11.671000000000003</v>
      </c>
      <c r="C47" t="s">
        <v>12</v>
      </c>
      <c r="D47" t="s">
        <v>817</v>
      </c>
      <c r="E47">
        <v>104.90899999999999</v>
      </c>
    </row>
    <row r="48" spans="1:11" x14ac:dyDescent="0.25">
      <c r="A48" t="s">
        <v>896</v>
      </c>
      <c r="B48" s="92">
        <f>SUMIF('Extraction carto QGIS'!A2:A1247,A48,'Extraction carto QGIS'!G2:G1247)</f>
        <v>111.1659999999999</v>
      </c>
      <c r="C48" t="s">
        <v>652</v>
      </c>
      <c r="D48" t="s">
        <v>818</v>
      </c>
      <c r="E48">
        <v>51.308999999999997</v>
      </c>
    </row>
    <row r="49" spans="1:5" x14ac:dyDescent="0.25">
      <c r="A49" t="s">
        <v>898</v>
      </c>
      <c r="B49" s="92">
        <f>SUMIF('Extraction carto QGIS'!A2:A1247,A49,'Extraction carto QGIS'!G2:G1247)</f>
        <v>54.545000000000002</v>
      </c>
      <c r="C49" t="s">
        <v>652</v>
      </c>
      <c r="D49" t="s">
        <v>817</v>
      </c>
      <c r="E49">
        <v>10.295000000000002</v>
      </c>
    </row>
    <row r="50" spans="1:5" x14ac:dyDescent="0.25">
      <c r="A50" s="8" t="s">
        <v>918</v>
      </c>
      <c r="B50" s="92">
        <f>SUMIF('Extraction carto QGIS'!A2:A1247,A50,'Extraction carto QGIS'!G2:G1247)</f>
        <v>10.964</v>
      </c>
      <c r="C50" t="s">
        <v>652</v>
      </c>
      <c r="D50" t="s">
        <v>818</v>
      </c>
      <c r="E50">
        <v>0.7</v>
      </c>
    </row>
    <row r="51" spans="1:5" x14ac:dyDescent="0.25">
      <c r="A51" t="s">
        <v>888</v>
      </c>
      <c r="B51" s="92">
        <f>SUMIF('Extraction carto QGIS'!A2:A1247,A51,'Extraction carto QGIS'!G2:G1247)</f>
        <v>0</v>
      </c>
      <c r="C51" t="s">
        <v>357</v>
      </c>
      <c r="D51" t="s">
        <v>817</v>
      </c>
      <c r="E51">
        <v>1.21</v>
      </c>
    </row>
    <row r="52" spans="1:5" x14ac:dyDescent="0.25">
      <c r="A52" t="s">
        <v>901</v>
      </c>
      <c r="B52" s="92">
        <f>SUMIF('Extraction carto QGIS'!A2:A1247,A52,'Extraction carto QGIS'!G2:G1247)</f>
        <v>0</v>
      </c>
      <c r="C52" t="s">
        <v>652</v>
      </c>
      <c r="D52" t="s">
        <v>817</v>
      </c>
      <c r="E52">
        <v>3.1280000000000006</v>
      </c>
    </row>
    <row r="53" spans="1:5" x14ac:dyDescent="0.25">
      <c r="A53" t="s">
        <v>980</v>
      </c>
      <c r="B53" s="92">
        <f>SUMIF('Extraction carto QGIS'!A2:A1247,A53,'Extraction carto QGIS'!G2:G1247)</f>
        <v>0</v>
      </c>
      <c r="C53" t="s">
        <v>652</v>
      </c>
      <c r="D53" t="s">
        <v>817</v>
      </c>
      <c r="E53">
        <v>15.064999999999998</v>
      </c>
    </row>
    <row r="54" spans="1:5" x14ac:dyDescent="0.25">
      <c r="A54" t="s">
        <v>673</v>
      </c>
      <c r="B54" s="92">
        <f>SUMIF('Extraction carto QGIS'!A2:A1247,A54,'Extraction carto QGIS'!G2:G1247)</f>
        <v>0</v>
      </c>
      <c r="C54" t="s">
        <v>41</v>
      </c>
      <c r="D54" t="s">
        <v>817</v>
      </c>
      <c r="E54">
        <v>6.5</v>
      </c>
    </row>
    <row r="55" spans="1:5" x14ac:dyDescent="0.25">
      <c r="A55" s="9" t="s">
        <v>937</v>
      </c>
      <c r="B55" s="92">
        <v>4</v>
      </c>
      <c r="C55" t="s">
        <v>12</v>
      </c>
      <c r="D55" t="s">
        <v>818</v>
      </c>
      <c r="E55">
        <v>2</v>
      </c>
    </row>
    <row r="56" spans="1:5" x14ac:dyDescent="0.25">
      <c r="A56" s="9" t="s">
        <v>883</v>
      </c>
      <c r="B56" s="92">
        <f>SUMIF('Extraction carto QGIS'!A2:A1247,A57,'Extraction carto QGIS'!G2:G1247)</f>
        <v>0</v>
      </c>
      <c r="C56" t="s">
        <v>654</v>
      </c>
      <c r="D56" t="s">
        <v>817</v>
      </c>
      <c r="E56">
        <v>1.246</v>
      </c>
    </row>
    <row r="57" spans="1:5" x14ac:dyDescent="0.25">
      <c r="A57" s="9" t="s">
        <v>1036</v>
      </c>
      <c r="B57" s="92">
        <f>SUMIF('Extraction carto QGIS'!A2:A1247,A57,'Extraction carto QGIS'!G2:G1247)</f>
        <v>0</v>
      </c>
      <c r="C57" t="s">
        <v>12</v>
      </c>
      <c r="D57" t="s">
        <v>818</v>
      </c>
      <c r="E57">
        <v>4</v>
      </c>
    </row>
    <row r="58" spans="1:5" x14ac:dyDescent="0.25">
      <c r="A58" s="133" t="s">
        <v>1201</v>
      </c>
      <c r="B58">
        <v>0.37</v>
      </c>
      <c r="C58" t="s">
        <v>12</v>
      </c>
      <c r="D58" t="s">
        <v>817</v>
      </c>
    </row>
    <row r="59" spans="1:5" x14ac:dyDescent="0.25">
      <c r="A59" s="133" t="s">
        <v>1202</v>
      </c>
      <c r="B59">
        <v>0.7</v>
      </c>
      <c r="C59" t="s">
        <v>652</v>
      </c>
      <c r="D59" t="s">
        <v>817</v>
      </c>
    </row>
    <row r="60" spans="1:5" x14ac:dyDescent="0.25">
      <c r="A60" s="133" t="s">
        <v>1203</v>
      </c>
      <c r="B60">
        <v>0.6</v>
      </c>
      <c r="C60" t="s">
        <v>12</v>
      </c>
      <c r="D60" t="s">
        <v>817</v>
      </c>
    </row>
    <row r="61" spans="1:5" x14ac:dyDescent="0.25">
      <c r="A61" s="133" t="s">
        <v>1204</v>
      </c>
      <c r="B61">
        <v>2</v>
      </c>
      <c r="C61" t="s">
        <v>652</v>
      </c>
      <c r="D61" t="s">
        <v>817</v>
      </c>
    </row>
    <row r="62" spans="1:5" x14ac:dyDescent="0.25">
      <c r="A62" s="133" t="s">
        <v>1205</v>
      </c>
      <c r="B62">
        <v>1</v>
      </c>
      <c r="C62" t="s">
        <v>652</v>
      </c>
      <c r="D62" t="s">
        <v>817</v>
      </c>
    </row>
    <row r="63" spans="1:5" x14ac:dyDescent="0.25">
      <c r="A63" s="133" t="s">
        <v>1206</v>
      </c>
      <c r="B63">
        <v>0.1</v>
      </c>
      <c r="C63" t="s">
        <v>652</v>
      </c>
      <c r="D63" t="s">
        <v>817</v>
      </c>
    </row>
  </sheetData>
  <autoFilter ref="A1:E63" xr:uid="{040C32EE-6DC1-4FCC-BD20-FBD4D40540AA}"/>
  <sortState xmlns:xlrd2="http://schemas.microsoft.com/office/spreadsheetml/2017/richdata2" ref="A2:D57">
    <sortCondition ref="A2:A57"/>
  </sortState>
  <mergeCells count="3">
    <mergeCell ref="G17:H17"/>
    <mergeCell ref="M1:N1"/>
    <mergeCell ref="G26:H2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94B48-0E4C-4FE7-BCEE-5AE75C353469}">
  <dimension ref="B1:F43"/>
  <sheetViews>
    <sheetView topLeftCell="A12" workbookViewId="0">
      <selection activeCell="F1067" sqref="F1067"/>
    </sheetView>
  </sheetViews>
  <sheetFormatPr baseColWidth="10" defaultColWidth="11.44140625" defaultRowHeight="14.4" x14ac:dyDescent="0.3"/>
  <cols>
    <col min="1" max="1" width="11.44140625" style="31"/>
    <col min="2" max="2" width="27.5546875" style="31" customWidth="1"/>
    <col min="3" max="3" width="35.5546875" style="31" customWidth="1"/>
    <col min="4" max="4" width="25.5546875" style="31" bestFit="1" customWidth="1"/>
    <col min="5" max="5" width="20.44140625" style="31" bestFit="1" customWidth="1"/>
    <col min="6" max="6" width="13.77734375" style="31" bestFit="1" customWidth="1"/>
    <col min="7" max="16384" width="11.44140625" style="31"/>
  </cols>
  <sheetData>
    <row r="1" spans="2:6" x14ac:dyDescent="0.3">
      <c r="B1" s="43" t="s">
        <v>758</v>
      </c>
    </row>
    <row r="2" spans="2:6" x14ac:dyDescent="0.3">
      <c r="B2" s="43"/>
    </row>
    <row r="3" spans="2:6" ht="15" thickBot="1" x14ac:dyDescent="0.35">
      <c r="B3" s="31" t="s">
        <v>756</v>
      </c>
      <c r="E3" s="31" t="s">
        <v>757</v>
      </c>
    </row>
    <row r="4" spans="2:6" ht="15" thickBot="1" x14ac:dyDescent="0.35">
      <c r="B4" s="32">
        <v>2019</v>
      </c>
      <c r="C4" s="33" t="s">
        <v>714</v>
      </c>
      <c r="E4" s="32">
        <v>2019</v>
      </c>
      <c r="F4" s="33" t="s">
        <v>714</v>
      </c>
    </row>
    <row r="5" spans="2:6" ht="15" thickBot="1" x14ac:dyDescent="0.35">
      <c r="B5" s="34" t="s">
        <v>715</v>
      </c>
      <c r="C5" s="35">
        <v>95.7</v>
      </c>
      <c r="E5" s="38" t="s">
        <v>89</v>
      </c>
      <c r="F5" s="35">
        <v>54.3</v>
      </c>
    </row>
    <row r="6" spans="2:6" ht="15" thickBot="1" x14ac:dyDescent="0.35">
      <c r="B6" s="36" t="s">
        <v>716</v>
      </c>
      <c r="C6" s="37">
        <v>62.2</v>
      </c>
      <c r="E6" s="36" t="s">
        <v>744</v>
      </c>
      <c r="F6" s="37">
        <v>25.8</v>
      </c>
    </row>
    <row r="7" spans="2:6" ht="15" thickBot="1" x14ac:dyDescent="0.35">
      <c r="B7" s="36" t="s">
        <v>717</v>
      </c>
      <c r="C7" s="37">
        <v>33.5</v>
      </c>
      <c r="E7" s="36" t="s">
        <v>745</v>
      </c>
      <c r="F7" s="37">
        <v>18.399999999999999</v>
      </c>
    </row>
    <row r="8" spans="2:6" ht="15" thickBot="1" x14ac:dyDescent="0.35">
      <c r="B8" s="38" t="s">
        <v>718</v>
      </c>
      <c r="C8" s="35">
        <v>733</v>
      </c>
      <c r="E8" s="36" t="s">
        <v>746</v>
      </c>
      <c r="F8" s="37">
        <v>5.3</v>
      </c>
    </row>
    <row r="9" spans="2:6" ht="15" thickBot="1" x14ac:dyDescent="0.35">
      <c r="B9" s="36" t="s">
        <v>719</v>
      </c>
      <c r="C9" s="37">
        <v>182.3</v>
      </c>
      <c r="E9" s="36" t="s">
        <v>747</v>
      </c>
      <c r="F9" s="37">
        <v>3.5</v>
      </c>
    </row>
    <row r="10" spans="2:6" ht="15" thickBot="1" x14ac:dyDescent="0.35">
      <c r="B10" s="36" t="s">
        <v>720</v>
      </c>
      <c r="C10" s="37">
        <v>78.8</v>
      </c>
      <c r="E10" s="36" t="s">
        <v>748</v>
      </c>
      <c r="F10" s="37">
        <v>0.7</v>
      </c>
    </row>
    <row r="11" spans="2:6" ht="15" thickBot="1" x14ac:dyDescent="0.35">
      <c r="B11" s="36" t="s">
        <v>721</v>
      </c>
      <c r="C11" s="37">
        <v>65.900000000000006</v>
      </c>
      <c r="E11" s="36" t="s">
        <v>749</v>
      </c>
      <c r="F11" s="37">
        <v>0.5</v>
      </c>
    </row>
    <row r="12" spans="2:6" ht="15" thickBot="1" x14ac:dyDescent="0.35">
      <c r="B12" s="36" t="s">
        <v>722</v>
      </c>
      <c r="C12" s="37">
        <v>58.4</v>
      </c>
      <c r="E12" s="36" t="s">
        <v>750</v>
      </c>
      <c r="F12" s="37">
        <v>0.1</v>
      </c>
    </row>
    <row r="13" spans="2:6" ht="15" thickBot="1" x14ac:dyDescent="0.35">
      <c r="B13" s="36" t="s">
        <v>723</v>
      </c>
      <c r="C13" s="37">
        <v>53.4</v>
      </c>
    </row>
    <row r="14" spans="2:6" ht="15" thickBot="1" x14ac:dyDescent="0.35">
      <c r="B14" s="36" t="s">
        <v>724</v>
      </c>
      <c r="C14" s="37">
        <v>50.7</v>
      </c>
    </row>
    <row r="15" spans="2:6" ht="15" thickBot="1" x14ac:dyDescent="0.35">
      <c r="B15" s="36" t="s">
        <v>725</v>
      </c>
      <c r="C15" s="37">
        <v>47.1</v>
      </c>
    </row>
    <row r="16" spans="2:6" ht="15" thickBot="1" x14ac:dyDescent="0.35">
      <c r="B16" s="36" t="s">
        <v>726</v>
      </c>
      <c r="C16" s="37">
        <v>30.2</v>
      </c>
    </row>
    <row r="17" spans="2:3" ht="15" thickBot="1" x14ac:dyDescent="0.35">
      <c r="B17" s="36" t="s">
        <v>727</v>
      </c>
      <c r="C17" s="37">
        <v>26.7</v>
      </c>
    </row>
    <row r="18" spans="2:3" ht="15" thickBot="1" x14ac:dyDescent="0.35">
      <c r="B18" s="36" t="s">
        <v>728</v>
      </c>
      <c r="C18" s="37">
        <v>22.2</v>
      </c>
    </row>
    <row r="19" spans="2:3" ht="15" thickBot="1" x14ac:dyDescent="0.35">
      <c r="B19" s="36" t="s">
        <v>729</v>
      </c>
      <c r="C19" s="37">
        <v>15.9</v>
      </c>
    </row>
    <row r="20" spans="2:3" ht="15" thickBot="1" x14ac:dyDescent="0.35">
      <c r="B20" s="36" t="s">
        <v>730</v>
      </c>
      <c r="C20" s="37">
        <v>12.4</v>
      </c>
    </row>
    <row r="21" spans="2:3" ht="15" thickBot="1" x14ac:dyDescent="0.35">
      <c r="B21" s="36" t="s">
        <v>731</v>
      </c>
      <c r="C21" s="37">
        <v>11.7</v>
      </c>
    </row>
    <row r="22" spans="2:3" ht="15" thickBot="1" x14ac:dyDescent="0.35">
      <c r="B22" s="36" t="s">
        <v>732</v>
      </c>
      <c r="C22" s="37">
        <v>10.199999999999999</v>
      </c>
    </row>
    <row r="23" spans="2:3" ht="15" thickBot="1" x14ac:dyDescent="0.35">
      <c r="B23" s="36" t="s">
        <v>733</v>
      </c>
      <c r="C23" s="37">
        <v>10.199999999999999</v>
      </c>
    </row>
    <row r="24" spans="2:3" ht="15" thickBot="1" x14ac:dyDescent="0.35">
      <c r="B24" s="36" t="s">
        <v>734</v>
      </c>
      <c r="C24" s="37">
        <v>9.4</v>
      </c>
    </row>
    <row r="25" spans="2:3" ht="15" thickBot="1" x14ac:dyDescent="0.35">
      <c r="B25" s="36" t="s">
        <v>735</v>
      </c>
      <c r="C25" s="37">
        <v>8.1999999999999993</v>
      </c>
    </row>
    <row r="26" spans="2:3" ht="15" thickBot="1" x14ac:dyDescent="0.35">
      <c r="B26" s="36" t="s">
        <v>736</v>
      </c>
      <c r="C26" s="37">
        <v>7.8</v>
      </c>
    </row>
    <row r="27" spans="2:3" ht="15" thickBot="1" x14ac:dyDescent="0.35">
      <c r="B27" s="36" t="s">
        <v>737</v>
      </c>
      <c r="C27" s="37">
        <v>6.3</v>
      </c>
    </row>
    <row r="28" spans="2:3" ht="15" thickBot="1" x14ac:dyDescent="0.35">
      <c r="B28" s="36" t="s">
        <v>738</v>
      </c>
      <c r="C28" s="37">
        <v>4.7</v>
      </c>
    </row>
    <row r="29" spans="2:3" ht="15" thickBot="1" x14ac:dyDescent="0.35">
      <c r="B29" s="36" t="s">
        <v>739</v>
      </c>
      <c r="C29" s="37">
        <v>3.7</v>
      </c>
    </row>
    <row r="30" spans="2:3" ht="15" thickBot="1" x14ac:dyDescent="0.35">
      <c r="B30" s="36" t="s">
        <v>740</v>
      </c>
      <c r="C30" s="37">
        <v>3.5</v>
      </c>
    </row>
    <row r="31" spans="2:3" ht="15" thickBot="1" x14ac:dyDescent="0.35">
      <c r="B31" s="36" t="s">
        <v>741</v>
      </c>
      <c r="C31" s="37">
        <v>2.8</v>
      </c>
    </row>
    <row r="32" spans="2:3" ht="15" thickBot="1" x14ac:dyDescent="0.35">
      <c r="B32" s="36" t="s">
        <v>742</v>
      </c>
      <c r="C32" s="37">
        <v>2.8</v>
      </c>
    </row>
    <row r="33" spans="2:4" ht="15" thickBot="1" x14ac:dyDescent="0.35">
      <c r="B33" s="36" t="s">
        <v>743</v>
      </c>
      <c r="C33" s="37">
        <v>7.9</v>
      </c>
    </row>
    <row r="35" spans="2:4" ht="15" thickBot="1" x14ac:dyDescent="0.35">
      <c r="B35" s="39"/>
    </row>
    <row r="36" spans="2:4" ht="15" thickBot="1" x14ac:dyDescent="0.35">
      <c r="B36" s="40">
        <v>2018</v>
      </c>
      <c r="C36" s="46" t="s">
        <v>751</v>
      </c>
      <c r="D36" s="48" t="s">
        <v>759</v>
      </c>
    </row>
    <row r="37" spans="2:4" ht="15" thickBot="1" x14ac:dyDescent="0.35">
      <c r="B37" s="41" t="s">
        <v>720</v>
      </c>
      <c r="C37" s="47">
        <v>0.09</v>
      </c>
      <c r="D37" s="49">
        <f>C10*C37</f>
        <v>7.0919999999999996</v>
      </c>
    </row>
    <row r="38" spans="2:4" ht="15" thickBot="1" x14ac:dyDescent="0.35">
      <c r="B38" s="42" t="s">
        <v>752</v>
      </c>
      <c r="C38" s="47">
        <v>0.12</v>
      </c>
      <c r="D38" s="49">
        <f>C13*C38</f>
        <v>6.4079999999999995</v>
      </c>
    </row>
    <row r="39" spans="2:4" ht="15" thickBot="1" x14ac:dyDescent="0.35">
      <c r="B39" s="42" t="s">
        <v>719</v>
      </c>
      <c r="C39" s="47">
        <v>0.59</v>
      </c>
      <c r="D39" s="49">
        <f>C9*C39</f>
        <v>107.557</v>
      </c>
    </row>
    <row r="40" spans="2:4" ht="15" thickBot="1" x14ac:dyDescent="0.35">
      <c r="B40" s="42" t="s">
        <v>753</v>
      </c>
      <c r="C40" s="47">
        <v>0.59</v>
      </c>
      <c r="D40" s="49">
        <f>C15*C40</f>
        <v>27.788999999999998</v>
      </c>
    </row>
    <row r="41" spans="2:4" ht="15" thickBot="1" x14ac:dyDescent="0.35">
      <c r="B41" s="42" t="s">
        <v>728</v>
      </c>
      <c r="C41" s="47">
        <v>0.15</v>
      </c>
      <c r="D41" s="49">
        <f>C18*C41</f>
        <v>3.3299999999999996</v>
      </c>
    </row>
    <row r="42" spans="2:4" ht="15" thickBot="1" x14ac:dyDescent="0.35">
      <c r="B42" s="44" t="s">
        <v>754</v>
      </c>
      <c r="C42" s="45">
        <v>0.39</v>
      </c>
      <c r="D42" s="31">
        <f>SUM(D37:D41)</f>
        <v>152.17600000000002</v>
      </c>
    </row>
    <row r="43" spans="2:4" x14ac:dyDescent="0.3">
      <c r="B43" s="174" t="s">
        <v>755</v>
      </c>
      <c r="C43" s="174"/>
    </row>
  </sheetData>
  <mergeCells count="1">
    <mergeCell ref="B43:C4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9748BFDED01648A009F6E8D2E728D3" ma:contentTypeVersion="13" ma:contentTypeDescription="Crée un document." ma:contentTypeScope="" ma:versionID="1ea6c1b8edcaf01dcd704a7f91b4a957">
  <xsd:schema xmlns:xsd="http://www.w3.org/2001/XMLSchema" xmlns:xs="http://www.w3.org/2001/XMLSchema" xmlns:p="http://schemas.microsoft.com/office/2006/metadata/properties" xmlns:ns2="2a467258-b025-46b3-8ea7-94250e0fe9d1" xmlns:ns3="6b3ba8d2-2c4b-4c4d-b100-3ca40aebdf79" targetNamespace="http://schemas.microsoft.com/office/2006/metadata/properties" ma:root="true" ma:fieldsID="bf35dbac88e6e80ace3fa04a5e8feecd" ns2:_="" ns3:_="">
    <xsd:import namespace="2a467258-b025-46b3-8ea7-94250e0fe9d1"/>
    <xsd:import namespace="6b3ba8d2-2c4b-4c4d-b100-3ca40aebdf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467258-b025-46b3-8ea7-94250e0fe9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09e5ca85-d6c3-45cd-8ae1-1617c71aa2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3ba8d2-2c4b-4c4d-b100-3ca40aebdf7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8efaed9-9ac8-4efa-b335-b3e7874caaa9}" ma:internalName="TaxCatchAll" ma:showField="CatchAllData" ma:web="6b3ba8d2-2c4b-4c4d-b100-3ca40aebdf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467258-b025-46b3-8ea7-94250e0fe9d1">
      <Terms xmlns="http://schemas.microsoft.com/office/infopath/2007/PartnerControls"/>
    </lcf76f155ced4ddcb4097134ff3c332f>
    <TaxCatchAll xmlns="6b3ba8d2-2c4b-4c4d-b100-3ca40aebdf7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11784F2-536D-42FF-B902-9FB761EBE1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a467258-b025-46b3-8ea7-94250e0fe9d1"/>
    <ds:schemaRef ds:uri="6b3ba8d2-2c4b-4c4d-b100-3ca40aebdf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824FC1-E7A0-45C5-A5FF-BB703E44F2D4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6b3ba8d2-2c4b-4c4d-b100-3ca40aebdf79"/>
    <ds:schemaRef ds:uri="2a467258-b025-46b3-8ea7-94250e0fe9d1"/>
  </ds:schemaRefs>
</ds:datastoreItem>
</file>

<file path=customXml/itemProps3.xml><?xml version="1.0" encoding="utf-8"?>
<ds:datastoreItem xmlns:ds="http://schemas.openxmlformats.org/officeDocument/2006/customXml" ds:itemID="{AF9DD0F0-63E0-41E2-8F80-2712D8AEE5E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Extraction carto QGIS</vt:lpstr>
      <vt:lpstr>Exploitation non cartographiées</vt:lpstr>
      <vt:lpstr>Synthèse globale </vt:lpstr>
      <vt:lpstr>Synthèse globale extraction PS</vt:lpstr>
      <vt:lpstr>Graphiques_V10</vt:lpstr>
      <vt:lpstr>Surfaces moyennes par filières</vt:lpstr>
      <vt:lpstr>SAU des exploitations</vt:lpstr>
      <vt:lpstr>DAVAR_2019 et RGA 2012</vt:lpstr>
      <vt:lpstr>'Synthèse globale extraction PS'!Zone_d_impression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Utilisateur</dc:creator>
  <cp:lastModifiedBy>Carmen ROYERES</cp:lastModifiedBy>
  <cp:revision>0</cp:revision>
  <cp:lastPrinted>2023-03-10T06:18:57Z</cp:lastPrinted>
  <dcterms:created xsi:type="dcterms:W3CDTF">2020-04-09T10:40:19Z</dcterms:created>
  <dcterms:modified xsi:type="dcterms:W3CDTF">2024-02-02T04:32:44Z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0x010100F39748BFDED01648A009F6E8D2E728D3</vt:lpwstr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ComplianceAssetId">
    <vt:lpwstr/>
  </property>
  <property fmtid="{D5CDD505-2E9C-101B-9397-08002B2CF9AE}" pid="6" name="TemplateUrl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  <property fmtid="{D5CDD505-2E9C-101B-9397-08002B2CF9AE}" pid="9" name="xd_Signature">
    <vt:bool>false</vt:bool>
  </property>
</Properties>
</file>