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6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7.xml" ContentType="application/vnd.openxmlformats-officedocument.spreadsheetml.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8.xml" ContentType="application/vnd.openxmlformats-officedocument.spreadsheetml.table+xml"/>
  <Override PartName="/xl/drawings/drawing8.xml" ContentType="application/vnd.openxmlformats-officedocument.drawing+xml"/>
  <Override PartName="/xl/ctrlProps/ctrlProp8.xml" ContentType="application/vnd.ms-excel.controlproperties+xml"/>
  <Override PartName="/xl/tables/table9.xml" ContentType="application/vnd.openxmlformats-officedocument.spreadsheetml.table+xml"/>
  <Override PartName="/xl/drawings/drawing9.xml" ContentType="application/vnd.openxmlformats-officedocument.drawing+xml"/>
  <Override PartName="/xl/ctrlProps/ctrlProp9.xml" ContentType="application/vnd.ms-excel.controlproperties+xml"/>
  <Override PartName="/xl/tables/table10.xml" ContentType="application/vnd.openxmlformats-officedocument.spreadsheetml.table+xml"/>
  <Override PartName="/xl/drawings/drawing10.xml" ContentType="application/vnd.openxmlformats-officedocument.drawing+xml"/>
  <Override PartName="/xl/ctrlProps/ctrlProp10.xml" ContentType="application/vnd.ms-excel.controlproperties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tudes2\Documents\"/>
    </mc:Choice>
  </mc:AlternateContent>
  <bookViews>
    <workbookView xWindow="0" yWindow="31800" windowWidth="21570" windowHeight="9510" tabRatio="1000" activeTab="10"/>
  </bookViews>
  <sheets>
    <sheet name=" Recap" sheetId="15" r:id="rId1"/>
    <sheet name="A17-1" sheetId="47" r:id="rId2"/>
    <sheet name="A17-10" sheetId="56" r:id="rId3"/>
    <sheet name="A17-2" sheetId="48" r:id="rId4"/>
    <sheet name="A17-3" sheetId="49" r:id="rId5"/>
    <sheet name="A17-4" sheetId="50" r:id="rId6"/>
    <sheet name="A17-5" sheetId="51" r:id="rId7"/>
    <sheet name="A17-6" sheetId="52" r:id="rId8"/>
    <sheet name="A17-7" sheetId="53" r:id="rId9"/>
    <sheet name="A17-8" sheetId="54" r:id="rId10"/>
    <sheet name="A17-9" sheetId="55" r:id="rId11"/>
  </sheets>
  <definedNames>
    <definedName name="_xlnm.Print_Titles" localSheetId="0">' Recap'!$1:$1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2" i="55" l="1"/>
  <c r="M32" i="55"/>
  <c r="L32" i="55"/>
  <c r="K32" i="55"/>
  <c r="J32" i="55"/>
  <c r="I32" i="55"/>
  <c r="H32" i="55"/>
  <c r="G32" i="55"/>
  <c r="F32" i="55"/>
  <c r="E32" i="55"/>
  <c r="D32" i="55"/>
  <c r="C32" i="55"/>
  <c r="B32" i="55"/>
  <c r="A32" i="55"/>
  <c r="N32" i="54"/>
  <c r="M32" i="54"/>
  <c r="L32" i="54"/>
  <c r="K32" i="54"/>
  <c r="J32" i="54"/>
  <c r="I32" i="54"/>
  <c r="H32" i="54"/>
  <c r="G32" i="54"/>
  <c r="F32" i="54"/>
  <c r="E32" i="54"/>
  <c r="D32" i="54"/>
  <c r="C32" i="54"/>
  <c r="B32" i="54"/>
  <c r="A32" i="54"/>
  <c r="N32" i="53"/>
  <c r="M32" i="53"/>
  <c r="L32" i="53"/>
  <c r="K32" i="53"/>
  <c r="J32" i="53"/>
  <c r="I32" i="53"/>
  <c r="H32" i="53"/>
  <c r="G32" i="53"/>
  <c r="F32" i="53"/>
  <c r="E32" i="53"/>
  <c r="D32" i="53"/>
  <c r="C32" i="53"/>
  <c r="B32" i="53"/>
  <c r="A32" i="53"/>
  <c r="N32" i="52"/>
  <c r="M32" i="52"/>
  <c r="L32" i="52"/>
  <c r="K32" i="52"/>
  <c r="J32" i="52"/>
  <c r="I32" i="52"/>
  <c r="H32" i="52"/>
  <c r="G32" i="52"/>
  <c r="F32" i="52"/>
  <c r="E32" i="52"/>
  <c r="D32" i="52"/>
  <c r="C32" i="52"/>
  <c r="B32" i="52"/>
  <c r="A32" i="52"/>
  <c r="N32" i="51"/>
  <c r="M32" i="51"/>
  <c r="L32" i="51"/>
  <c r="K32" i="51"/>
  <c r="J32" i="51"/>
  <c r="I32" i="51"/>
  <c r="H32" i="51"/>
  <c r="G32" i="51"/>
  <c r="F32" i="51"/>
  <c r="E32" i="51"/>
  <c r="D32" i="51"/>
  <c r="C32" i="51"/>
  <c r="B32" i="51"/>
  <c r="A32" i="51"/>
  <c r="N32" i="50"/>
  <c r="M32" i="50"/>
  <c r="L32" i="50"/>
  <c r="K32" i="50"/>
  <c r="J32" i="50"/>
  <c r="I32" i="50"/>
  <c r="H32" i="50"/>
  <c r="G32" i="50"/>
  <c r="F32" i="50"/>
  <c r="E32" i="50"/>
  <c r="D32" i="50"/>
  <c r="C32" i="50"/>
  <c r="B32" i="50"/>
  <c r="A32" i="50"/>
  <c r="N32" i="49"/>
  <c r="M32" i="49"/>
  <c r="L32" i="49"/>
  <c r="K32" i="49"/>
  <c r="J32" i="49"/>
  <c r="I32" i="49"/>
  <c r="H32" i="49"/>
  <c r="G32" i="49"/>
  <c r="F32" i="49"/>
  <c r="E32" i="49"/>
  <c r="D32" i="49"/>
  <c r="C32" i="49"/>
  <c r="B32" i="49"/>
  <c r="A32" i="49"/>
  <c r="N32" i="48"/>
  <c r="M32" i="48"/>
  <c r="L32" i="48"/>
  <c r="K32" i="48"/>
  <c r="J32" i="48"/>
  <c r="I32" i="48"/>
  <c r="H32" i="48"/>
  <c r="G32" i="48"/>
  <c r="F32" i="48"/>
  <c r="E32" i="48"/>
  <c r="D32" i="48"/>
  <c r="C32" i="48"/>
  <c r="B32" i="48"/>
  <c r="A32" i="48"/>
  <c r="N32" i="56"/>
  <c r="M32" i="56"/>
  <c r="L32" i="56"/>
  <c r="K32" i="56"/>
  <c r="J32" i="56"/>
  <c r="I32" i="56"/>
  <c r="H32" i="56"/>
  <c r="G32" i="56"/>
  <c r="F32" i="56"/>
  <c r="E32" i="56"/>
  <c r="D32" i="56"/>
  <c r="C32" i="56"/>
  <c r="B32" i="56"/>
  <c r="A32" i="56"/>
  <c r="N32" i="47"/>
  <c r="M32" i="47" l="1"/>
  <c r="L32" i="47"/>
  <c r="J32" i="47"/>
  <c r="I32" i="47"/>
  <c r="H32" i="47"/>
  <c r="G32" i="47"/>
  <c r="F32" i="47"/>
  <c r="E32" i="47"/>
  <c r="D32" i="47"/>
  <c r="C32" i="47"/>
  <c r="B32" i="47"/>
  <c r="A32" i="47"/>
  <c r="K2" i="55" l="1"/>
  <c r="K2" i="54"/>
  <c r="K2" i="53"/>
  <c r="K2" i="52"/>
  <c r="K2" i="51"/>
  <c r="K2" i="50"/>
  <c r="K2" i="49"/>
  <c r="K2" i="48"/>
  <c r="K2" i="56"/>
  <c r="K2" i="47"/>
  <c r="K32" i="47" s="1"/>
</calcChain>
</file>

<file path=xl/sharedStrings.xml><?xml version="1.0" encoding="utf-8"?>
<sst xmlns="http://schemas.openxmlformats.org/spreadsheetml/2006/main" count="244" uniqueCount="30">
  <si>
    <t>SN</t>
  </si>
  <si>
    <t>Status</t>
  </si>
  <si>
    <t>Qté</t>
  </si>
  <si>
    <t>Date</t>
  </si>
  <si>
    <t>Zone</t>
  </si>
  <si>
    <t>Contrôle</t>
  </si>
  <si>
    <t>Lg av. filet</t>
  </si>
  <si>
    <t>Date CND</t>
  </si>
  <si>
    <t>N° Certif.
Matière</t>
  </si>
  <si>
    <t>Utilisé par</t>
  </si>
  <si>
    <t>Nombre
d'Utilisation</t>
  </si>
  <si>
    <t>Lg sous
tête</t>
  </si>
  <si>
    <t>-</t>
  </si>
  <si>
    <t>A17-1</t>
  </si>
  <si>
    <t>A17-10</t>
  </si>
  <si>
    <t>A17-2</t>
  </si>
  <si>
    <t>A17-3</t>
  </si>
  <si>
    <t>A17-4</t>
  </si>
  <si>
    <t>A17-5</t>
  </si>
  <si>
    <t>A17-6</t>
  </si>
  <si>
    <t>A17-7</t>
  </si>
  <si>
    <t>A17-8</t>
  </si>
  <si>
    <t>A17-9</t>
  </si>
  <si>
    <t>Ø</t>
  </si>
  <si>
    <t>Type</t>
  </si>
  <si>
    <t>Lisse</t>
  </si>
  <si>
    <t>Poids</t>
  </si>
  <si>
    <t>Dureté
(Kg/mm²)</t>
  </si>
  <si>
    <t>Filetée</t>
  </si>
  <si>
    <t>A Définir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</si>
</sst>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" fillId="0" borderId="0" xfId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14" fontId="0" fillId="0" borderId="0" xfId="0" applyNumberFormat="1" applyAlignment="1">
      <alignment horizontal="left"/>
    </xf>
    <xf numFmtId="14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/>
  </cellXfs>
  <cellStyles count="2">
    <cellStyle name="Lien hypertexte" xfId="1" builtinId="8"/>
    <cellStyle name="Normal" xfId="0" builtinId="0"/>
  </cellStyles>
  <dxfs count="32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190500</xdr:rowOff>
        </xdr:to>
        <xdr:sp macro="" textlink="">
          <xdr:nvSpPr>
            <xdr:cNvPr id="32945" name="Button 177" hidden="1">
              <a:extLst>
                <a:ext uri="{63B3BB69-23CF-44E3-9099-C40C66FF867C}">
                  <a14:compatExt spid="_x0000_s329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Recap.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190500</xdr:rowOff>
        </xdr:to>
        <xdr:sp macro="" textlink="">
          <xdr:nvSpPr>
            <xdr:cNvPr id="33953" name="Button 161" hidden="1">
              <a:extLst>
                <a:ext uri="{63B3BB69-23CF-44E3-9099-C40C66FF867C}">
                  <a14:compatExt spid="_x0000_s339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Recap.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190500</xdr:rowOff>
        </xdr:to>
        <xdr:sp macro="" textlink="">
          <xdr:nvSpPr>
            <xdr:cNvPr id="34993" name="Button 177" hidden="1">
              <a:extLst>
                <a:ext uri="{63B3BB69-23CF-44E3-9099-C40C66FF867C}">
                  <a14:compatExt spid="_x0000_s349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Recap.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190500</xdr:rowOff>
        </xdr:to>
        <xdr:sp macro="" textlink="">
          <xdr:nvSpPr>
            <xdr:cNvPr id="36017" name="Button 177" hidden="1">
              <a:extLst>
                <a:ext uri="{63B3BB69-23CF-44E3-9099-C40C66FF867C}">
                  <a14:compatExt spid="_x0000_s360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Recap.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190500</xdr:rowOff>
        </xdr:to>
        <xdr:sp macro="" textlink="">
          <xdr:nvSpPr>
            <xdr:cNvPr id="37041" name="Button 177" hidden="1">
              <a:extLst>
                <a:ext uri="{63B3BB69-23CF-44E3-9099-C40C66FF867C}">
                  <a14:compatExt spid="_x0000_s37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Recap.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190500</xdr:rowOff>
        </xdr:to>
        <xdr:sp macro="" textlink="">
          <xdr:nvSpPr>
            <xdr:cNvPr id="38065" name="Button 177" hidden="1">
              <a:extLst>
                <a:ext uri="{63B3BB69-23CF-44E3-9099-C40C66FF867C}">
                  <a14:compatExt spid="_x0000_s38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Recap.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190500</xdr:rowOff>
        </xdr:to>
        <xdr:sp macro="" textlink="">
          <xdr:nvSpPr>
            <xdr:cNvPr id="39089" name="Button 177" hidden="1">
              <a:extLst>
                <a:ext uri="{63B3BB69-23CF-44E3-9099-C40C66FF867C}">
                  <a14:compatExt spid="_x0000_s39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Recap.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190500</xdr:rowOff>
        </xdr:to>
        <xdr:sp macro="" textlink="">
          <xdr:nvSpPr>
            <xdr:cNvPr id="40113" name="Button 177" hidden="1">
              <a:extLst>
                <a:ext uri="{63B3BB69-23CF-44E3-9099-C40C66FF867C}">
                  <a14:compatExt spid="_x0000_s40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Recap.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190500</xdr:rowOff>
        </xdr:to>
        <xdr:sp macro="" textlink="">
          <xdr:nvSpPr>
            <xdr:cNvPr id="41137" name="Button 177" hidden="1">
              <a:extLst>
                <a:ext uri="{63B3BB69-23CF-44E3-9099-C40C66FF867C}">
                  <a14:compatExt spid="_x0000_s4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Recap.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190500</xdr:rowOff>
        </xdr:to>
        <xdr:sp macro="" textlink="">
          <xdr:nvSpPr>
            <xdr:cNvPr id="42160" name="Button 176" hidden="1">
              <a:extLst>
                <a:ext uri="{63B3BB69-23CF-44E3-9099-C40C66FF867C}">
                  <a14:compatExt spid="_x0000_s42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Recap.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Recap" displayName="TabRecap" ref="A1:N11" totalsRowShown="0">
  <autoFilter ref="A1:N11"/>
  <tableColumns count="14">
    <tableColumn id="1" name="SN" dataCellStyle="Lien hypertexte"/>
    <tableColumn id="2" name="Type" dataDxfId="322"/>
    <tableColumn id="3" name="Ø" dataDxfId="321"/>
    <tableColumn id="4" name="Lg sous_x000a_tête" dataDxfId="320"/>
    <tableColumn id="5" name="Lg av. filet" dataDxfId="319"/>
    <tableColumn id="6" name="Poids" dataDxfId="318"/>
    <tableColumn id="7" name="Dureté_x000a_(Kg/mm²)" dataDxfId="317"/>
    <tableColumn id="8" name="Status" dataDxfId="316"/>
    <tableColumn id="9" name="Qté" dataDxfId="315"/>
    <tableColumn id="10" name="Zone" dataDxfId="314"/>
    <tableColumn id="11" name="Date CND" dataDxfId="313"/>
    <tableColumn id="12" name="N° Certif._x000a_Matière" dataDxfId="312"/>
    <tableColumn id="13" name="Utilisé par" dataDxfId="311"/>
    <tableColumn id="14" name="Nombre_x000a_d'Utilisation" dataDxfId="3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83" name="A17-1" displayName="A17_1" ref="A1:N32" totalsRowCount="1" headerRowDxfId="309" dataDxfId="308" totalsRowDxfId="307">
  <autoFilter ref="A1:N31"/>
  <tableColumns count="14">
    <tableColumn id="1" name="Date" totalsRowFunction="custom" dataDxfId="306" totalsRowDxfId="305">
      <totalsRowFormula>VLOOKUP(9^9,A17_1[Date],1)</totalsRowFormula>
    </tableColumn>
    <tableColumn id="2" name="Type" totalsRowFunction="custom" dataDxfId="304" totalsRowDxfId="303">
      <totalsRowFormula>VLOOKUP(CHAR(255),A17_1[Type],1)</totalsRowFormula>
    </tableColumn>
    <tableColumn id="3" name="Ø" totalsRowFunction="custom" dataDxfId="302" totalsRowDxfId="301">
      <totalsRowFormula>VLOOKUP(9^9,A17_1[Ø],1)</totalsRowFormula>
    </tableColumn>
    <tableColumn id="4" name="Lg sous_x000a_tête" totalsRowFunction="custom" dataDxfId="300" totalsRowDxfId="299">
      <totalsRowFormula>VLOOKUP(9^9,A17_1[Lg sous
tête],1)</totalsRowFormula>
    </tableColumn>
    <tableColumn id="5" name="Lg av. filet" totalsRowFunction="custom" dataDxfId="298" totalsRowDxfId="297">
      <totalsRowFormula>VLOOKUP(9^9,A17_1[Lg av. filet],1)</totalsRowFormula>
    </tableColumn>
    <tableColumn id="14" name="Poids" totalsRowFunction="custom" dataDxfId="296" totalsRowDxfId="295">
      <totalsRowFormula>VLOOKUP(9^9,A17_1[Poids],1)</totalsRowFormula>
    </tableColumn>
    <tableColumn id="9" name="Dureté_x000a_(Kg/mm²)" totalsRowFunction="custom" dataDxfId="294" totalsRowDxfId="293">
      <totalsRowFormula>VLOOKUP(9^9,A17_1[Dureté
(Kg/mm²)],1)</totalsRowFormula>
    </tableColumn>
    <tableColumn id="6" name="Status" totalsRowFunction="custom" dataDxfId="292" totalsRowDxfId="291">
      <totalsRowFormula>VLOOKUP(CHAR(255),A17_1[Status],1)</totalsRowFormula>
    </tableColumn>
    <tableColumn id="7" name="Qté" totalsRowFunction="custom" dataDxfId="290" totalsRowDxfId="289">
      <totalsRowFormula>VLOOKUP(9^9,A17_1[Qté],1)</totalsRowFormula>
    </tableColumn>
    <tableColumn id="8" name="Zone" totalsRowFunction="custom" dataDxfId="288" totalsRowDxfId="287">
      <totalsRowFormula>VLOOKUP(CHAR(255),A17_1[Zone],1)</totalsRowFormula>
    </tableColumn>
    <tableColumn id="10" name="Date CND" totalsRowFunction="custom" dataDxfId="286" totalsRowDxfId="285">
      <totalsRowFormula>VLOOKUP(9^9,A17_1[Date CND],1)</totalsRowFormula>
    </tableColumn>
    <tableColumn id="11" name="N° Certif._x000a_Matière" totalsRowFunction="custom" dataDxfId="284" totalsRowDxfId="283">
      <totalsRowFormula>VLOOKUP(9^9,A17_1[N° Certif.
Matière],1)</totalsRowFormula>
    </tableColumn>
    <tableColumn id="12" name="Utilisé par" totalsRowFunction="custom" dataDxfId="282" totalsRowDxfId="281">
      <totalsRowFormula>VLOOKUP(CHAR(255),A17_1[Utilisé par],1)</totalsRowFormula>
    </tableColumn>
    <tableColumn id="13" name="Nombre_x000a_d'Utilisation" totalsRowFunction="custom" dataDxfId="280" totalsRowDxfId="279">
      <totalsRowFormula>SUM(N2:N31)</totalsRow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92" name="A17-10" displayName="A17_10" ref="A1:N32" totalsRowCount="1" headerRowDxfId="278" dataDxfId="277" totalsRowDxfId="276">
  <autoFilter ref="A1:N31"/>
  <tableColumns count="14">
    <tableColumn id="1" name="Date" totalsRowFunction="custom" dataDxfId="275" totalsRowDxfId="274">
      <totalsRowFormula>VLOOKUP(9^9,A17_10[Date],1)</totalsRowFormula>
    </tableColumn>
    <tableColumn id="2" name="Type" totalsRowFunction="custom" dataDxfId="273" totalsRowDxfId="272">
      <totalsRowFormula>VLOOKUP(CHAR(255),A17_10[Type],1)</totalsRowFormula>
    </tableColumn>
    <tableColumn id="3" name="Ø" totalsRowFunction="custom" dataDxfId="271" totalsRowDxfId="270">
      <totalsRowFormula>VLOOKUP(9^9,A17_10[Ø],1)</totalsRowFormula>
    </tableColumn>
    <tableColumn id="4" name="Lg sous_x000a_tête" totalsRowFunction="custom" dataDxfId="269" totalsRowDxfId="268">
      <totalsRowFormula>VLOOKUP(9^9,A17_10[Lg sous
tête],1)</totalsRowFormula>
    </tableColumn>
    <tableColumn id="5" name="Lg av. filet" totalsRowFunction="custom" dataDxfId="267" totalsRowDxfId="266">
      <totalsRowFormula>VLOOKUP(9^9,A17_10[Lg av. filet],1)</totalsRowFormula>
    </tableColumn>
    <tableColumn id="14" name="Poids" totalsRowFunction="custom" dataDxfId="265" totalsRowDxfId="264">
      <totalsRowFormula>VLOOKUP(9^9,A17_10[Poids],1)</totalsRowFormula>
    </tableColumn>
    <tableColumn id="9" name="Dureté_x000a_(Kg/mm²)" totalsRowFunction="custom" dataDxfId="263" totalsRowDxfId="262">
      <totalsRowFormula>VLOOKUP(9^9,A17_10[Dureté
(Kg/mm²)],1)</totalsRowFormula>
    </tableColumn>
    <tableColumn id="6" name="Status" totalsRowFunction="custom" dataDxfId="261" totalsRowDxfId="260">
      <totalsRowFormula>VLOOKUP(CHAR(255),A17_10[Status],1)</totalsRowFormula>
    </tableColumn>
    <tableColumn id="7" name="Qté" totalsRowFunction="custom" dataDxfId="259" totalsRowDxfId="258">
      <totalsRowFormula>VLOOKUP(9^9,A17_10[Qté],1)</totalsRowFormula>
    </tableColumn>
    <tableColumn id="8" name="Zone" totalsRowFunction="custom" dataDxfId="257" totalsRowDxfId="256">
      <totalsRowFormula>VLOOKUP(CHAR(255),A17_10[Zone],1)</totalsRowFormula>
    </tableColumn>
    <tableColumn id="10" name="Date CND" totalsRowFunction="custom" dataDxfId="255" totalsRowDxfId="254">
      <totalsRowFormula>VLOOKUP(9^9,A17_10[Date CND],1)</totalsRowFormula>
    </tableColumn>
    <tableColumn id="11" name="N° Certif._x000a_Matière" totalsRowFunction="custom" dataDxfId="253" totalsRowDxfId="252">
      <totalsRowFormula>VLOOKUP(9^9,A17_10[N° Certif.
Matière],1)</totalsRowFormula>
    </tableColumn>
    <tableColumn id="12" name="Utilisé par" totalsRowFunction="custom" dataDxfId="251" totalsRowDxfId="250">
      <totalsRowFormula>VLOOKUP(CHAR(255),A17_10[Utilisé par],1)</totalsRowFormula>
    </tableColumn>
    <tableColumn id="13" name="Nombre_x000a_d'Utilisation" totalsRowFunction="custom" dataDxfId="249" totalsRowDxfId="248">
      <totalsRowFormula>SUM(N2:N31)</totalsRow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84" name="A17-2" displayName="A17_2" ref="A1:N32" totalsRowCount="1" headerRowDxfId="247" dataDxfId="246" totalsRowDxfId="245">
  <autoFilter ref="A1:N31"/>
  <tableColumns count="14">
    <tableColumn id="1" name="Date" totalsRowFunction="custom" dataDxfId="244" totalsRowDxfId="243">
      <totalsRowFormula>VLOOKUP(9^9,A17_2[Date],1)</totalsRowFormula>
    </tableColumn>
    <tableColumn id="2" name="Type" totalsRowFunction="custom" dataDxfId="242" totalsRowDxfId="241">
      <totalsRowFormula>VLOOKUP(CHAR(255),A17_2[Type],1)</totalsRowFormula>
    </tableColumn>
    <tableColumn id="3" name="Ø" totalsRowFunction="custom" dataDxfId="240" totalsRowDxfId="239">
      <totalsRowFormula>VLOOKUP(9^9,A17_2[Ø],1)</totalsRowFormula>
    </tableColumn>
    <tableColumn id="4" name="Lg sous_x000a_tête" totalsRowFunction="custom" dataDxfId="238" totalsRowDxfId="237">
      <totalsRowFormula>VLOOKUP(9^9,A17_2[Lg sous
tête],1)</totalsRowFormula>
    </tableColumn>
    <tableColumn id="5" name="Lg av. filet" totalsRowFunction="custom" dataDxfId="236" totalsRowDxfId="235">
      <totalsRowFormula>VLOOKUP(9^9,A17_2[Lg av. filet],1)</totalsRowFormula>
    </tableColumn>
    <tableColumn id="14" name="Poids" totalsRowFunction="custom" dataDxfId="234" totalsRowDxfId="233">
      <totalsRowFormula>VLOOKUP(9^9,A17_2[Poids],1)</totalsRowFormula>
    </tableColumn>
    <tableColumn id="9" name="Dureté_x000a_(Kg/mm²)" totalsRowFunction="custom" dataDxfId="232" totalsRowDxfId="231">
      <totalsRowFormula>VLOOKUP(9^9,A17_2[Dureté
(Kg/mm²)],1)</totalsRowFormula>
    </tableColumn>
    <tableColumn id="6" name="Status" totalsRowFunction="custom" dataDxfId="230" totalsRowDxfId="229">
      <totalsRowFormula>VLOOKUP(CHAR(255),A17_2[Status],1)</totalsRowFormula>
    </tableColumn>
    <tableColumn id="7" name="Qté" totalsRowFunction="custom" dataDxfId="228" totalsRowDxfId="227">
      <totalsRowFormula>VLOOKUP(9^9,A17_2[Qté],1)</totalsRowFormula>
    </tableColumn>
    <tableColumn id="8" name="Zone" totalsRowFunction="custom" dataDxfId="226" totalsRowDxfId="225">
      <totalsRowFormula>VLOOKUP(CHAR(255),A17_2[Zone],1)</totalsRowFormula>
    </tableColumn>
    <tableColumn id="10" name="Date CND" totalsRowFunction="custom" dataDxfId="224" totalsRowDxfId="223">
      <totalsRowFormula>VLOOKUP(9^9,A17_2[Date CND],1)</totalsRowFormula>
    </tableColumn>
    <tableColumn id="11" name="N° Certif._x000a_Matière" totalsRowFunction="custom" dataDxfId="222" totalsRowDxfId="221">
      <totalsRowFormula>VLOOKUP(9^9,A17_2[N° Certif.
Matière],1)</totalsRowFormula>
    </tableColumn>
    <tableColumn id="12" name="Utilisé par" totalsRowFunction="custom" dataDxfId="220" totalsRowDxfId="219">
      <totalsRowFormula>VLOOKUP(CHAR(255),A17_2[Utilisé par],1)</totalsRowFormula>
    </tableColumn>
    <tableColumn id="13" name="Nombre_x000a_d'Utilisation" totalsRowFunction="custom" dataDxfId="218" totalsRowDxfId="217">
      <totalsRowFormula>SUM(N2:N31)</totalsRow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85" name="A17-3" displayName="A17_3" ref="A1:N32" totalsRowCount="1" headerRowDxfId="216" dataDxfId="215" totalsRowDxfId="214">
  <autoFilter ref="A1:N31"/>
  <tableColumns count="14">
    <tableColumn id="1" name="Date" totalsRowFunction="custom" dataDxfId="213" totalsRowDxfId="212">
      <totalsRowFormula>VLOOKUP(9^9,A17_3[Date],1)</totalsRowFormula>
    </tableColumn>
    <tableColumn id="2" name="Type" totalsRowFunction="custom" dataDxfId="211" totalsRowDxfId="210">
      <totalsRowFormula>VLOOKUP(CHAR(255),A17_3[Type],1)</totalsRowFormula>
    </tableColumn>
    <tableColumn id="3" name="Ø" totalsRowFunction="custom" dataDxfId="209" totalsRowDxfId="208">
      <totalsRowFormula>VLOOKUP(9^9,A17_3[Ø],1)</totalsRowFormula>
    </tableColumn>
    <tableColumn id="4" name="Lg sous_x000a_tête" totalsRowFunction="custom" dataDxfId="207" totalsRowDxfId="206">
      <totalsRowFormula>VLOOKUP(9^9,A17_3[Lg sous
tête],1)</totalsRowFormula>
    </tableColumn>
    <tableColumn id="5" name="Lg av. filet" totalsRowFunction="custom" dataDxfId="205" totalsRowDxfId="204">
      <totalsRowFormula>VLOOKUP(9^9,A17_3[Lg av. filet],1)</totalsRowFormula>
    </tableColumn>
    <tableColumn id="14" name="Poids" totalsRowFunction="custom" dataDxfId="203" totalsRowDxfId="202">
      <totalsRowFormula>VLOOKUP(9^9,A17_3[Poids],1)</totalsRowFormula>
    </tableColumn>
    <tableColumn id="9" name="Dureté_x000a_(Kg/mm²)" totalsRowFunction="custom" dataDxfId="201" totalsRowDxfId="200">
      <totalsRowFormula>VLOOKUP(9^9,A17_3[Dureté
(Kg/mm²)],1)</totalsRowFormula>
    </tableColumn>
    <tableColumn id="6" name="Status" totalsRowFunction="custom" dataDxfId="199" totalsRowDxfId="198">
      <totalsRowFormula>VLOOKUP(CHAR(255),A17_3[Status],1)</totalsRowFormula>
    </tableColumn>
    <tableColumn id="7" name="Qté" totalsRowFunction="custom" dataDxfId="197" totalsRowDxfId="196">
      <totalsRowFormula>VLOOKUP(9^9,A17_3[Qté],1)</totalsRowFormula>
    </tableColumn>
    <tableColumn id="8" name="Zone" totalsRowFunction="custom" dataDxfId="195" totalsRowDxfId="194">
      <totalsRowFormula>VLOOKUP(CHAR(255),A17_3[Zone],1)</totalsRowFormula>
    </tableColumn>
    <tableColumn id="10" name="Date CND" totalsRowFunction="custom" dataDxfId="193" totalsRowDxfId="192">
      <totalsRowFormula>VLOOKUP(9^9,A17_3[Date CND],1)</totalsRowFormula>
    </tableColumn>
    <tableColumn id="11" name="N° Certif._x000a_Matière" totalsRowFunction="custom" dataDxfId="191" totalsRowDxfId="190">
      <totalsRowFormula>VLOOKUP(9^9,A17_3[N° Certif.
Matière],1)</totalsRowFormula>
    </tableColumn>
    <tableColumn id="12" name="Utilisé par" totalsRowFunction="custom" dataDxfId="189" totalsRowDxfId="188">
      <totalsRowFormula>VLOOKUP(CHAR(255),A17_3[Utilisé par],1)</totalsRowFormula>
    </tableColumn>
    <tableColumn id="13" name="Nombre_x000a_d'Utilisation" totalsRowFunction="custom" dataDxfId="187" totalsRowDxfId="186">
      <totalsRowFormula>SUM(N2:N31)</totalsRow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186" name="A17-4" displayName="A17_4" ref="A1:N32" totalsRowCount="1" headerRowDxfId="185" dataDxfId="184" totalsRowDxfId="183">
  <autoFilter ref="A1:N31"/>
  <tableColumns count="14">
    <tableColumn id="1" name="Date" totalsRowFunction="custom" dataDxfId="182" totalsRowDxfId="181">
      <totalsRowFormula>VLOOKUP(9^9,A17_4[Date],1)</totalsRowFormula>
    </tableColumn>
    <tableColumn id="2" name="Type" totalsRowFunction="custom" dataDxfId="180" totalsRowDxfId="179">
      <totalsRowFormula>VLOOKUP(CHAR(255),A17_4[Type],1)</totalsRowFormula>
    </tableColumn>
    <tableColumn id="3" name="Ø" totalsRowFunction="custom" dataDxfId="178" totalsRowDxfId="177">
      <totalsRowFormula>VLOOKUP(9^9,A17_4[Ø],1)</totalsRowFormula>
    </tableColumn>
    <tableColumn id="4" name="Lg sous_x000a_tête" totalsRowFunction="custom" dataDxfId="176" totalsRowDxfId="175">
      <totalsRowFormula>VLOOKUP(9^9,A17_4[Lg sous
tête],1)</totalsRowFormula>
    </tableColumn>
    <tableColumn id="5" name="Lg av. filet" totalsRowFunction="custom" dataDxfId="174" totalsRowDxfId="173">
      <totalsRowFormula>VLOOKUP(9^9,A17_4[Lg av. filet],1)</totalsRowFormula>
    </tableColumn>
    <tableColumn id="14" name="Poids" totalsRowFunction="custom" dataDxfId="172" totalsRowDxfId="171">
      <totalsRowFormula>VLOOKUP(9^9,A17_4[Poids],1)</totalsRowFormula>
    </tableColumn>
    <tableColumn id="9" name="Dureté_x000a_(Kg/mm²)" totalsRowFunction="custom" dataDxfId="170" totalsRowDxfId="169">
      <totalsRowFormula>VLOOKUP(9^9,A17_4[Dureté
(Kg/mm²)],1)</totalsRowFormula>
    </tableColumn>
    <tableColumn id="6" name="Status" totalsRowFunction="custom" dataDxfId="168" totalsRowDxfId="167">
      <totalsRowFormula>VLOOKUP(CHAR(255),A17_4[Status],1)</totalsRowFormula>
    </tableColumn>
    <tableColumn id="7" name="Qté" totalsRowFunction="custom" dataDxfId="166" totalsRowDxfId="165">
      <totalsRowFormula>VLOOKUP(9^9,A17_4[Qté],1)</totalsRowFormula>
    </tableColumn>
    <tableColumn id="8" name="Zone" totalsRowFunction="custom" dataDxfId="164" totalsRowDxfId="163">
      <totalsRowFormula>VLOOKUP(CHAR(255),A17_4[Zone],1)</totalsRowFormula>
    </tableColumn>
    <tableColumn id="10" name="Date CND" totalsRowFunction="custom" dataDxfId="162" totalsRowDxfId="161">
      <totalsRowFormula>VLOOKUP(9^9,A17_4[Date CND],1)</totalsRowFormula>
    </tableColumn>
    <tableColumn id="11" name="N° Certif._x000a_Matière" totalsRowFunction="custom" dataDxfId="160" totalsRowDxfId="159">
      <totalsRowFormula>VLOOKUP(9^9,A17_4[N° Certif.
Matière],1)</totalsRowFormula>
    </tableColumn>
    <tableColumn id="12" name="Utilisé par" totalsRowFunction="custom" dataDxfId="158" totalsRowDxfId="157">
      <totalsRowFormula>VLOOKUP(CHAR(255),A17_4[Utilisé par],1)</totalsRowFormula>
    </tableColumn>
    <tableColumn id="13" name="Nombre_x000a_d'Utilisation" totalsRowFunction="custom" dataDxfId="156" totalsRowDxfId="155">
      <totalsRowFormula>SUM(N2:N31)</totalsRowFormula>
    </tableColumn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187" name="A17-5" displayName="A17_5" ref="A1:N32" totalsRowCount="1" headerRowDxfId="154" dataDxfId="153" totalsRowDxfId="152">
  <autoFilter ref="A1:N31"/>
  <tableColumns count="14">
    <tableColumn id="1" name="Date" totalsRowFunction="custom" dataDxfId="151" totalsRowDxfId="150">
      <totalsRowFormula>VLOOKUP(9^9,A17_5[Date],1)</totalsRowFormula>
    </tableColumn>
    <tableColumn id="2" name="Type" totalsRowFunction="custom" dataDxfId="149" totalsRowDxfId="148">
      <totalsRowFormula>VLOOKUP(CHAR(255),A17_5[Type],1)</totalsRowFormula>
    </tableColumn>
    <tableColumn id="3" name="Ø" totalsRowFunction="custom" dataDxfId="147" totalsRowDxfId="146">
      <totalsRowFormula>VLOOKUP(9^9,A17_5[Ø],1)</totalsRowFormula>
    </tableColumn>
    <tableColumn id="4" name="Lg sous_x000a_tête" totalsRowFunction="custom" dataDxfId="145" totalsRowDxfId="144">
      <totalsRowFormula>VLOOKUP(9^9,A17_5[Lg sous
tête],1)</totalsRowFormula>
    </tableColumn>
    <tableColumn id="5" name="Lg av. filet" totalsRowFunction="custom" dataDxfId="143" totalsRowDxfId="142">
      <totalsRowFormula>VLOOKUP(9^9,A17_5[Lg av. filet],1)</totalsRowFormula>
    </tableColumn>
    <tableColumn id="14" name="Poids" totalsRowFunction="custom" dataDxfId="141" totalsRowDxfId="140">
      <totalsRowFormula>VLOOKUP(9^9,A17_5[Poids],1)</totalsRowFormula>
    </tableColumn>
    <tableColumn id="9" name="Dureté_x000a_(Kg/mm²)" totalsRowFunction="custom" dataDxfId="139" totalsRowDxfId="138">
      <totalsRowFormula>VLOOKUP(9^9,A17_5[Dureté
(Kg/mm²)],1)</totalsRowFormula>
    </tableColumn>
    <tableColumn id="6" name="Status" totalsRowFunction="custom" dataDxfId="137" totalsRowDxfId="136">
      <totalsRowFormula>VLOOKUP(CHAR(255),A17_5[Status],1)</totalsRowFormula>
    </tableColumn>
    <tableColumn id="7" name="Qté" totalsRowFunction="custom" dataDxfId="135" totalsRowDxfId="134">
      <totalsRowFormula>VLOOKUP(9^9,A17_5[Qté],1)</totalsRowFormula>
    </tableColumn>
    <tableColumn id="8" name="Zone" totalsRowFunction="custom" dataDxfId="133" totalsRowDxfId="132">
      <totalsRowFormula>VLOOKUP(CHAR(255),A17_5[Zone],1)</totalsRowFormula>
    </tableColumn>
    <tableColumn id="10" name="Date CND" totalsRowFunction="custom" dataDxfId="131" totalsRowDxfId="130">
      <totalsRowFormula>VLOOKUP(9^9,A17_5[Date CND],1)</totalsRowFormula>
    </tableColumn>
    <tableColumn id="11" name="N° Certif._x000a_Matière" totalsRowFunction="custom" dataDxfId="129" totalsRowDxfId="128">
      <totalsRowFormula>VLOOKUP(9^9,A17_5[N° Certif.
Matière],1)</totalsRowFormula>
    </tableColumn>
    <tableColumn id="12" name="Utilisé par" totalsRowFunction="custom" dataDxfId="127" totalsRowDxfId="126">
      <totalsRowFormula>VLOOKUP(CHAR(255),A17_5[Utilisé par],1)</totalsRowFormula>
    </tableColumn>
    <tableColumn id="13" name="Nombre_x000a_d'Utilisation" totalsRowFunction="custom" dataDxfId="125" totalsRowDxfId="124">
      <totalsRowFormula>SUM(N2:N31)</totalsRowFormula>
    </tableColumn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188" name="A17-6" displayName="A17_6" ref="A1:N32" totalsRowCount="1" headerRowDxfId="123" dataDxfId="122" totalsRowDxfId="121">
  <autoFilter ref="A1:N31"/>
  <tableColumns count="14">
    <tableColumn id="1" name="Date" totalsRowFunction="custom" dataDxfId="120" totalsRowDxfId="119">
      <totalsRowFormula>VLOOKUP(9^9,A17_6[Date],1)</totalsRowFormula>
    </tableColumn>
    <tableColumn id="2" name="Type" totalsRowFunction="custom" dataDxfId="118" totalsRowDxfId="117">
      <totalsRowFormula>VLOOKUP(CHAR(255),A17_6[Type],1)</totalsRowFormula>
    </tableColumn>
    <tableColumn id="3" name="Ø" totalsRowFunction="custom" dataDxfId="116" totalsRowDxfId="115">
      <totalsRowFormula>VLOOKUP(9^9,A17_6[Ø],1)</totalsRowFormula>
    </tableColumn>
    <tableColumn id="4" name="Lg sous_x000a_tête" totalsRowFunction="custom" dataDxfId="114" totalsRowDxfId="113">
      <totalsRowFormula>VLOOKUP(9^9,A17_6[Lg sous
tête],1)</totalsRowFormula>
    </tableColumn>
    <tableColumn id="5" name="Lg av. filet" totalsRowFunction="custom" dataDxfId="112" totalsRowDxfId="111">
      <totalsRowFormula>VLOOKUP(9^9,A17_6[Lg av. filet],1)</totalsRowFormula>
    </tableColumn>
    <tableColumn id="14" name="Poids" totalsRowFunction="custom" dataDxfId="110" totalsRowDxfId="109">
      <totalsRowFormula>VLOOKUP(9^9,A17_6[Poids],1)</totalsRowFormula>
    </tableColumn>
    <tableColumn id="9" name="Dureté_x000a_(Kg/mm²)" totalsRowFunction="custom" dataDxfId="108" totalsRowDxfId="107">
      <totalsRowFormula>VLOOKUP(9^9,A17_6[Dureté
(Kg/mm²)],1)</totalsRowFormula>
    </tableColumn>
    <tableColumn id="6" name="Status" totalsRowFunction="custom" dataDxfId="106" totalsRowDxfId="105">
      <totalsRowFormula>VLOOKUP(CHAR(255),A17_6[Status],1)</totalsRowFormula>
    </tableColumn>
    <tableColumn id="7" name="Qté" totalsRowFunction="custom" dataDxfId="104" totalsRowDxfId="103">
      <totalsRowFormula>VLOOKUP(9^9,A17_6[Qté],1)</totalsRowFormula>
    </tableColumn>
    <tableColumn id="8" name="Zone" totalsRowFunction="custom" dataDxfId="102" totalsRowDxfId="101">
      <totalsRowFormula>VLOOKUP(CHAR(255),A17_6[Zone],1)</totalsRowFormula>
    </tableColumn>
    <tableColumn id="10" name="Date CND" totalsRowFunction="custom" dataDxfId="100" totalsRowDxfId="99">
      <totalsRowFormula>VLOOKUP(9^9,A17_6[Date CND],1)</totalsRowFormula>
    </tableColumn>
    <tableColumn id="11" name="N° Certif._x000a_Matière" totalsRowFunction="custom" dataDxfId="98" totalsRowDxfId="97">
      <totalsRowFormula>VLOOKUP(9^9,A17_6[N° Certif.
Matière],1)</totalsRowFormula>
    </tableColumn>
    <tableColumn id="12" name="Utilisé par" totalsRowFunction="custom" dataDxfId="96" totalsRowDxfId="95">
      <totalsRowFormula>VLOOKUP(CHAR(255),A17_6[Utilisé par],1)</totalsRowFormula>
    </tableColumn>
    <tableColumn id="13" name="Nombre_x000a_d'Utilisation" totalsRowFunction="custom" dataDxfId="94" totalsRowDxfId="93">
      <totalsRowFormula>SUM(N2:N31)</totalsRowFormula>
    </tableColumn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89" name="A17-7" displayName="A17_7" ref="A1:N32" totalsRowCount="1" headerRowDxfId="92" dataDxfId="91" totalsRowDxfId="90">
  <autoFilter ref="A1:N31"/>
  <tableColumns count="14">
    <tableColumn id="1" name="Date" totalsRowFunction="custom" dataDxfId="89" totalsRowDxfId="88">
      <totalsRowFormula>VLOOKUP(9^9,A17_7[Date],1)</totalsRowFormula>
    </tableColumn>
    <tableColumn id="2" name="Type" totalsRowFunction="custom" dataDxfId="87" totalsRowDxfId="86">
      <totalsRowFormula>VLOOKUP(CHAR(255),A17_7[Type],1)</totalsRowFormula>
    </tableColumn>
    <tableColumn id="3" name="Ø" totalsRowFunction="custom" dataDxfId="85" totalsRowDxfId="84">
      <totalsRowFormula>VLOOKUP(9^9,A17_7[Ø],1)</totalsRowFormula>
    </tableColumn>
    <tableColumn id="4" name="Lg sous_x000a_tête" totalsRowFunction="custom" dataDxfId="83" totalsRowDxfId="82">
      <totalsRowFormula>VLOOKUP(9^9,A17_7[Lg sous
tête],1)</totalsRowFormula>
    </tableColumn>
    <tableColumn id="5" name="Lg av. filet" totalsRowFunction="custom" dataDxfId="81" totalsRowDxfId="80">
      <totalsRowFormula>VLOOKUP(9^9,A17_7[Lg av. filet],1)</totalsRowFormula>
    </tableColumn>
    <tableColumn id="14" name="Poids" totalsRowFunction="custom" dataDxfId="79" totalsRowDxfId="78">
      <totalsRowFormula>VLOOKUP(9^9,A17_7[Poids],1)</totalsRowFormula>
    </tableColumn>
    <tableColumn id="9" name="Dureté_x000a_(Kg/mm²)" totalsRowFunction="custom" dataDxfId="77" totalsRowDxfId="76">
      <totalsRowFormula>VLOOKUP(9^9,A17_7[Dureté
(Kg/mm²)],1)</totalsRowFormula>
    </tableColumn>
    <tableColumn id="6" name="Status" totalsRowFunction="custom" dataDxfId="75" totalsRowDxfId="74">
      <totalsRowFormula>VLOOKUP(CHAR(255),A17_7[Status],1)</totalsRowFormula>
    </tableColumn>
    <tableColumn id="7" name="Qté" totalsRowFunction="custom" dataDxfId="73" totalsRowDxfId="72">
      <totalsRowFormula>VLOOKUP(9^9,A17_7[Qté],1)</totalsRowFormula>
    </tableColumn>
    <tableColumn id="8" name="Zone" totalsRowFunction="custom" dataDxfId="71" totalsRowDxfId="70">
      <totalsRowFormula>VLOOKUP(CHAR(255),A17_7[Zone],1)</totalsRowFormula>
    </tableColumn>
    <tableColumn id="10" name="Date CND" totalsRowFunction="custom" dataDxfId="69" totalsRowDxfId="68">
      <totalsRowFormula>VLOOKUP(9^9,A17_7[Date CND],1)</totalsRowFormula>
    </tableColumn>
    <tableColumn id="11" name="N° Certif._x000a_Matière" totalsRowFunction="custom" dataDxfId="67" totalsRowDxfId="66">
      <totalsRowFormula>VLOOKUP(9^9,A17_7[N° Certif.
Matière],1)</totalsRowFormula>
    </tableColumn>
    <tableColumn id="12" name="Utilisé par" totalsRowFunction="custom" dataDxfId="65" totalsRowDxfId="64">
      <totalsRowFormula>VLOOKUP(CHAR(255),A17_7[Utilisé par],1)</totalsRowFormula>
    </tableColumn>
    <tableColumn id="13" name="Nombre_x000a_d'Utilisation" totalsRowFunction="custom" dataDxfId="63" totalsRowDxfId="62">
      <totalsRowFormula>SUM(N2:N31)</totalsRowFormula>
    </tableColumn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90" name="A17-8" displayName="A17_8" ref="A1:N32" totalsRowCount="1" headerRowDxfId="61" dataDxfId="60" totalsRowDxfId="59">
  <autoFilter ref="A1:N31"/>
  <tableColumns count="14">
    <tableColumn id="1" name="Date" totalsRowFunction="custom" dataDxfId="58" totalsRowDxfId="57">
      <totalsRowFormula>VLOOKUP(9^9,A17_8[Date],1)</totalsRowFormula>
    </tableColumn>
    <tableColumn id="2" name="Type" totalsRowFunction="custom" dataDxfId="56" totalsRowDxfId="55">
      <totalsRowFormula>VLOOKUP(CHAR(255),A17_8[Type],1)</totalsRowFormula>
    </tableColumn>
    <tableColumn id="3" name="Ø" totalsRowFunction="custom" dataDxfId="54" totalsRowDxfId="53">
      <totalsRowFormula>VLOOKUP(9^9,A17_8[Ø],1)</totalsRowFormula>
    </tableColumn>
    <tableColumn id="4" name="Lg sous_x000a_tête" totalsRowFunction="custom" dataDxfId="52" totalsRowDxfId="51">
      <totalsRowFormula>VLOOKUP(9^9,A17_8[Lg sous
tête],1)</totalsRowFormula>
    </tableColumn>
    <tableColumn id="5" name="Lg av. filet" totalsRowFunction="custom" dataDxfId="50" totalsRowDxfId="49">
      <totalsRowFormula>VLOOKUP(9^9,A17_8[Lg av. filet],1)</totalsRowFormula>
    </tableColumn>
    <tableColumn id="14" name="Poids" totalsRowFunction="custom" dataDxfId="48" totalsRowDxfId="47">
      <totalsRowFormula>VLOOKUP(9^9,A17_8[Poids],1)</totalsRowFormula>
    </tableColumn>
    <tableColumn id="9" name="Dureté_x000a_(Kg/mm²)" totalsRowFunction="custom" dataDxfId="46" totalsRowDxfId="45">
      <totalsRowFormula>VLOOKUP(9^9,A17_8[Dureté
(Kg/mm²)],1)</totalsRowFormula>
    </tableColumn>
    <tableColumn id="6" name="Status" totalsRowFunction="custom" dataDxfId="44" totalsRowDxfId="43">
      <totalsRowFormula>VLOOKUP(CHAR(255),A17_8[Status],1)</totalsRowFormula>
    </tableColumn>
    <tableColumn id="7" name="Qté" totalsRowFunction="custom" dataDxfId="42" totalsRowDxfId="41">
      <totalsRowFormula>VLOOKUP(9^9,A17_8[Qté],1)</totalsRowFormula>
    </tableColumn>
    <tableColumn id="8" name="Zone" totalsRowFunction="custom" dataDxfId="40" totalsRowDxfId="39">
      <totalsRowFormula>VLOOKUP(CHAR(255),A17_8[Zone],1)</totalsRowFormula>
    </tableColumn>
    <tableColumn id="10" name="Date CND" totalsRowFunction="custom" dataDxfId="38" totalsRowDxfId="37">
      <totalsRowFormula>VLOOKUP(9^9,A17_8[Date CND],1)</totalsRowFormula>
    </tableColumn>
    <tableColumn id="11" name="N° Certif._x000a_Matière" totalsRowFunction="custom" dataDxfId="36" totalsRowDxfId="35">
      <totalsRowFormula>VLOOKUP(9^9,A17_8[N° Certif.
Matière],1)</totalsRowFormula>
    </tableColumn>
    <tableColumn id="12" name="Utilisé par" totalsRowFunction="custom" dataDxfId="34" totalsRowDxfId="33">
      <totalsRowFormula>VLOOKUP(CHAR(255),A17_8[Utilisé par],1)</totalsRowFormula>
    </tableColumn>
    <tableColumn id="13" name="Nombre_x000a_d'Utilisation" totalsRowFunction="custom" dataDxfId="32" totalsRowDxfId="31">
      <totalsRowFormula>SUM(N2:N31)</totalsRowFormula>
    </tableColumn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91" name="A17-9" displayName="A17_9" ref="A1:N32" totalsRowCount="1" headerRowDxfId="30" dataDxfId="29" totalsRowDxfId="28">
  <autoFilter ref="A1:N31"/>
  <tableColumns count="14">
    <tableColumn id="1" name="Date" totalsRowFunction="custom" dataDxfId="27" totalsRowDxfId="26">
      <totalsRowFormula>VLOOKUP(9^9,A17_9[Date],1)</totalsRowFormula>
    </tableColumn>
    <tableColumn id="2" name="Type" totalsRowFunction="custom" dataDxfId="25" totalsRowDxfId="24">
      <totalsRowFormula>VLOOKUP(CHAR(255),A17_9[Type],1)</totalsRowFormula>
    </tableColumn>
    <tableColumn id="3" name="Ø" totalsRowFunction="custom" dataDxfId="23" totalsRowDxfId="22">
      <totalsRowFormula>VLOOKUP(9^9,A17_9[Ø],1)</totalsRowFormula>
    </tableColumn>
    <tableColumn id="4" name="Lg sous_x000a_tête" totalsRowFunction="custom" dataDxfId="21" totalsRowDxfId="20">
      <totalsRowFormula>VLOOKUP(9^9,A17_9[Lg sous
tête],1)</totalsRowFormula>
    </tableColumn>
    <tableColumn id="5" name="Lg av. filet" totalsRowFunction="custom" dataDxfId="19" totalsRowDxfId="18">
      <totalsRowFormula>VLOOKUP(9^9,A17_9[Lg av. filet],1)</totalsRowFormula>
    </tableColumn>
    <tableColumn id="14" name="Poids" totalsRowFunction="custom" dataDxfId="17" totalsRowDxfId="16">
      <totalsRowFormula>VLOOKUP(9^9,A17_9[Poids],1)</totalsRowFormula>
    </tableColumn>
    <tableColumn id="9" name="Dureté_x000a_(Kg/mm²)" totalsRowFunction="custom" dataDxfId="15" totalsRowDxfId="14">
      <totalsRowFormula>VLOOKUP(9^9,A17_9[Dureté
(Kg/mm²)],1)</totalsRowFormula>
    </tableColumn>
    <tableColumn id="6" name="Status" totalsRowFunction="custom" dataDxfId="13" totalsRowDxfId="12">
      <totalsRowFormula>VLOOKUP(CHAR(255),A17_9[Status],1)</totalsRowFormula>
    </tableColumn>
    <tableColumn id="7" name="Qté" totalsRowFunction="custom" dataDxfId="11" totalsRowDxfId="10">
      <totalsRowFormula>VLOOKUP(9^9,A17_9[Qté],1)</totalsRowFormula>
    </tableColumn>
    <tableColumn id="8" name="Zone" totalsRowFunction="custom" dataDxfId="9" totalsRowDxfId="8">
      <totalsRowFormula>VLOOKUP(CHAR(255),A17_9[Zone],1)</totalsRowFormula>
    </tableColumn>
    <tableColumn id="10" name="Date CND" totalsRowFunction="custom" dataDxfId="7" totalsRowDxfId="6">
      <totalsRowFormula>VLOOKUP(9^9,A17_9[Date CND],1)</totalsRowFormula>
    </tableColumn>
    <tableColumn id="11" name="N° Certif._x000a_Matière" totalsRowFunction="custom" dataDxfId="5" totalsRowDxfId="4">
      <totalsRowFormula>VLOOKUP(9^9,A17_9[N° Certif.
Matière],1)</totalsRowFormula>
    </tableColumn>
    <tableColumn id="12" name="Utilisé par" totalsRowFunction="custom" dataDxfId="3" totalsRowDxfId="2">
      <totalsRowFormula>VLOOKUP(CHAR(255),A17_9[Utilisé par],1)</totalsRowFormula>
    </tableColumn>
    <tableColumn id="13" name="Nombre_x000a_d'Utilisation" totalsRowFunction="custom" dataDxfId="1" totalsRowDxfId="0">
      <totalsRowFormula>SUM(N2:N31)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table" Target="../tables/table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table" Target="../tables/table7.xml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5" Type="http://schemas.openxmlformats.org/officeDocument/2006/relationships/table" Target="../tables/table8.xml"/><Relationship Id="rId4" Type="http://schemas.openxmlformats.org/officeDocument/2006/relationships/ctrlProp" Target="../ctrlProps/ctrlProp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5" Type="http://schemas.openxmlformats.org/officeDocument/2006/relationships/table" Target="../tables/table9.xml"/><Relationship Id="rId4" Type="http://schemas.openxmlformats.org/officeDocument/2006/relationships/ctrlProp" Target="../ctrlProps/ctrlProp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5" Type="http://schemas.openxmlformats.org/officeDocument/2006/relationships/table" Target="../tables/table10.xml"/><Relationship Id="rId4" Type="http://schemas.openxmlformats.org/officeDocument/2006/relationships/ctrlProp" Target="../ctrlProps/ctrlProp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5" Type="http://schemas.openxmlformats.org/officeDocument/2006/relationships/table" Target="../tables/table11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N11"/>
  <sheetViews>
    <sheetView showRuler="0" zoomScaleNormal="100" workbookViewId="0">
      <selection activeCell="D15" sqref="D15"/>
    </sheetView>
  </sheetViews>
  <sheetFormatPr baseColWidth="10" defaultRowHeight="15" x14ac:dyDescent="0.25"/>
  <cols>
    <col min="1" max="1" width="7" bestFit="1" customWidth="1"/>
    <col min="2" max="2" width="7.5703125" bestFit="1" customWidth="1"/>
    <col min="3" max="3" width="6" bestFit="1" customWidth="1"/>
    <col min="4" max="4" width="9.5703125" bestFit="1" customWidth="1"/>
    <col min="5" max="5" width="12.28515625" bestFit="1" customWidth="1"/>
    <col min="6" max="6" width="8.140625" bestFit="1" customWidth="1"/>
    <col min="7" max="7" width="11.85546875" bestFit="1" customWidth="1"/>
    <col min="8" max="8" width="8.85546875" bestFit="1" customWidth="1"/>
    <col min="9" max="9" width="6.5703125" bestFit="1" customWidth="1"/>
    <col min="10" max="10" width="8.7109375" bestFit="1" customWidth="1"/>
    <col min="11" max="11" width="11.7109375" bestFit="1" customWidth="1"/>
    <col min="12" max="12" width="11.42578125" bestFit="1" customWidth="1"/>
    <col min="13" max="13" width="12.42578125" bestFit="1" customWidth="1"/>
    <col min="14" max="14" width="14.28515625" bestFit="1" customWidth="1"/>
    <col min="15" max="15" width="13.140625" bestFit="1" customWidth="1"/>
  </cols>
  <sheetData>
    <row r="1" spans="1:14" ht="30" x14ac:dyDescent="0.25">
      <c r="A1" t="s">
        <v>0</v>
      </c>
      <c r="B1" t="s">
        <v>24</v>
      </c>
      <c r="C1" t="s">
        <v>23</v>
      </c>
      <c r="D1" s="9" t="s">
        <v>11</v>
      </c>
      <c r="E1" t="s">
        <v>6</v>
      </c>
      <c r="F1" t="s">
        <v>26</v>
      </c>
      <c r="G1" s="9" t="s">
        <v>27</v>
      </c>
      <c r="H1" t="s">
        <v>1</v>
      </c>
      <c r="I1" t="s">
        <v>2</v>
      </c>
      <c r="J1" t="s">
        <v>4</v>
      </c>
      <c r="K1" t="s">
        <v>7</v>
      </c>
      <c r="L1" s="9" t="s">
        <v>8</v>
      </c>
      <c r="M1" t="s">
        <v>9</v>
      </c>
      <c r="N1" s="9" t="s">
        <v>10</v>
      </c>
    </row>
    <row r="2" spans="1:14" x14ac:dyDescent="0.25">
      <c r="A2" s="7" t="s">
        <v>13</v>
      </c>
      <c r="B2" s="13" t="s">
        <v>25</v>
      </c>
      <c r="C2" s="13">
        <v>171.4</v>
      </c>
      <c r="D2" s="13">
        <v>628</v>
      </c>
      <c r="E2" s="13">
        <v>0</v>
      </c>
      <c r="F2" s="13">
        <v>115</v>
      </c>
      <c r="G2" s="13">
        <v>107</v>
      </c>
      <c r="H2" s="13" t="s">
        <v>29</v>
      </c>
      <c r="I2" s="13">
        <v>1</v>
      </c>
      <c r="J2" s="13" t="s">
        <v>5</v>
      </c>
      <c r="K2" s="11" t="e">
        <v>#N/A</v>
      </c>
      <c r="L2" s="13">
        <v>0</v>
      </c>
      <c r="M2" s="13" t="s">
        <v>12</v>
      </c>
      <c r="N2" s="13">
        <v>0</v>
      </c>
    </row>
    <row r="3" spans="1:14" x14ac:dyDescent="0.25">
      <c r="A3" s="7" t="s">
        <v>14</v>
      </c>
      <c r="B3" s="13" t="s">
        <v>25</v>
      </c>
      <c r="C3" s="13">
        <v>178.3</v>
      </c>
      <c r="D3" s="13">
        <v>801</v>
      </c>
      <c r="E3" s="13">
        <v>0</v>
      </c>
      <c r="F3" s="13">
        <v>158</v>
      </c>
      <c r="G3" s="13">
        <v>119</v>
      </c>
      <c r="H3" s="13" t="s">
        <v>29</v>
      </c>
      <c r="I3" s="13">
        <v>1</v>
      </c>
      <c r="J3" s="13" t="s">
        <v>5</v>
      </c>
      <c r="K3" s="11" t="e">
        <v>#N/A</v>
      </c>
      <c r="L3" s="13">
        <v>0</v>
      </c>
      <c r="M3" s="13" t="s">
        <v>12</v>
      </c>
      <c r="N3" s="13">
        <v>0</v>
      </c>
    </row>
    <row r="4" spans="1:14" x14ac:dyDescent="0.25">
      <c r="A4" s="7" t="s">
        <v>15</v>
      </c>
      <c r="B4" s="13" t="s">
        <v>25</v>
      </c>
      <c r="C4" s="13">
        <v>172</v>
      </c>
      <c r="D4" s="13">
        <v>661</v>
      </c>
      <c r="E4" s="13">
        <v>0</v>
      </c>
      <c r="F4" s="13">
        <v>122</v>
      </c>
      <c r="G4" s="13">
        <v>113</v>
      </c>
      <c r="H4" s="13" t="s">
        <v>29</v>
      </c>
      <c r="I4" s="13">
        <v>1</v>
      </c>
      <c r="J4" s="13" t="s">
        <v>5</v>
      </c>
      <c r="K4" s="11" t="e">
        <v>#N/A</v>
      </c>
      <c r="L4" s="13">
        <v>0</v>
      </c>
      <c r="M4" s="13" t="s">
        <v>12</v>
      </c>
      <c r="N4" s="13">
        <v>0</v>
      </c>
    </row>
    <row r="5" spans="1:14" x14ac:dyDescent="0.25">
      <c r="A5" s="7" t="s">
        <v>16</v>
      </c>
      <c r="B5" s="13" t="s">
        <v>28</v>
      </c>
      <c r="C5" s="13">
        <v>172.5</v>
      </c>
      <c r="D5" s="13">
        <v>572</v>
      </c>
      <c r="E5" s="13">
        <v>460</v>
      </c>
      <c r="F5" s="13">
        <v>107</v>
      </c>
      <c r="G5" s="13">
        <v>119</v>
      </c>
      <c r="H5" s="13" t="s">
        <v>29</v>
      </c>
      <c r="I5" s="13">
        <v>1</v>
      </c>
      <c r="J5" s="13" t="s">
        <v>5</v>
      </c>
      <c r="K5" s="11" t="e">
        <v>#N/A</v>
      </c>
      <c r="L5" s="13">
        <v>0</v>
      </c>
      <c r="M5" s="13" t="s">
        <v>12</v>
      </c>
      <c r="N5" s="13">
        <v>0</v>
      </c>
    </row>
    <row r="6" spans="1:14" x14ac:dyDescent="0.25">
      <c r="A6" s="7" t="s">
        <v>17</v>
      </c>
      <c r="B6" s="13" t="s">
        <v>25</v>
      </c>
      <c r="C6" s="13">
        <v>172.5</v>
      </c>
      <c r="D6" s="13">
        <v>660</v>
      </c>
      <c r="E6" s="13">
        <v>0</v>
      </c>
      <c r="F6" s="13">
        <v>123</v>
      </c>
      <c r="G6" s="13">
        <v>132</v>
      </c>
      <c r="H6" s="13" t="s">
        <v>29</v>
      </c>
      <c r="I6" s="13">
        <v>1</v>
      </c>
      <c r="J6" s="13" t="s">
        <v>5</v>
      </c>
      <c r="K6" s="11" t="e">
        <v>#N/A</v>
      </c>
      <c r="L6" s="13">
        <v>0</v>
      </c>
      <c r="M6" s="13" t="s">
        <v>12</v>
      </c>
      <c r="N6" s="13">
        <v>0</v>
      </c>
    </row>
    <row r="7" spans="1:14" x14ac:dyDescent="0.25">
      <c r="A7" s="7" t="s">
        <v>18</v>
      </c>
      <c r="B7" s="13" t="s">
        <v>25</v>
      </c>
      <c r="C7" s="13">
        <v>173</v>
      </c>
      <c r="D7" s="13">
        <v>662</v>
      </c>
      <c r="E7" s="13">
        <v>0</v>
      </c>
      <c r="F7" s="13">
        <v>124</v>
      </c>
      <c r="G7" s="13">
        <v>107</v>
      </c>
      <c r="H7" s="13" t="s">
        <v>29</v>
      </c>
      <c r="I7" s="13">
        <v>1</v>
      </c>
      <c r="J7" s="13" t="s">
        <v>5</v>
      </c>
      <c r="K7" s="11" t="e">
        <v>#N/A</v>
      </c>
      <c r="L7" s="13">
        <v>0</v>
      </c>
      <c r="M7" s="13" t="s">
        <v>12</v>
      </c>
      <c r="N7" s="13">
        <v>0</v>
      </c>
    </row>
    <row r="8" spans="1:14" x14ac:dyDescent="0.25">
      <c r="A8" s="7" t="s">
        <v>19</v>
      </c>
      <c r="B8" s="13" t="s">
        <v>25</v>
      </c>
      <c r="C8" s="13">
        <v>174.7</v>
      </c>
      <c r="D8" s="13">
        <v>553</v>
      </c>
      <c r="E8" s="13">
        <v>0</v>
      </c>
      <c r="F8" s="13">
        <v>106</v>
      </c>
      <c r="G8" s="13">
        <v>107</v>
      </c>
      <c r="H8" s="13" t="s">
        <v>29</v>
      </c>
      <c r="I8" s="13">
        <v>1</v>
      </c>
      <c r="J8" s="13" t="s">
        <v>5</v>
      </c>
      <c r="K8" s="11" t="e">
        <v>#N/A</v>
      </c>
      <c r="L8" s="13">
        <v>0</v>
      </c>
      <c r="M8" s="13" t="s">
        <v>12</v>
      </c>
      <c r="N8" s="13">
        <v>0</v>
      </c>
    </row>
    <row r="9" spans="1:14" x14ac:dyDescent="0.25">
      <c r="A9" s="7" t="s">
        <v>20</v>
      </c>
      <c r="B9" s="13" t="s">
        <v>28</v>
      </c>
      <c r="C9" s="13">
        <v>175.1</v>
      </c>
      <c r="D9" s="13">
        <v>713</v>
      </c>
      <c r="E9" s="13">
        <v>541</v>
      </c>
      <c r="F9" s="13">
        <v>136</v>
      </c>
      <c r="G9" s="13">
        <v>107</v>
      </c>
      <c r="H9" s="13" t="s">
        <v>29</v>
      </c>
      <c r="I9" s="13">
        <v>1</v>
      </c>
      <c r="J9" s="13" t="s">
        <v>5</v>
      </c>
      <c r="K9" s="11" t="e">
        <v>#N/A</v>
      </c>
      <c r="L9" s="13">
        <v>0</v>
      </c>
      <c r="M9" s="13" t="s">
        <v>12</v>
      </c>
      <c r="N9" s="13">
        <v>0</v>
      </c>
    </row>
    <row r="10" spans="1:14" x14ac:dyDescent="0.25">
      <c r="A10" s="7" t="s">
        <v>21</v>
      </c>
      <c r="B10" s="13" t="s">
        <v>28</v>
      </c>
      <c r="C10" s="13">
        <v>175.6</v>
      </c>
      <c r="D10" s="13">
        <v>591</v>
      </c>
      <c r="E10" s="13">
        <v>480</v>
      </c>
      <c r="F10" s="13">
        <v>114</v>
      </c>
      <c r="G10" s="13">
        <v>97</v>
      </c>
      <c r="H10" s="13" t="s">
        <v>29</v>
      </c>
      <c r="I10" s="13">
        <v>1</v>
      </c>
      <c r="J10" s="13" t="s">
        <v>5</v>
      </c>
      <c r="K10" s="11" t="e">
        <v>#N/A</v>
      </c>
      <c r="L10" s="13">
        <v>0</v>
      </c>
      <c r="M10" s="13" t="s">
        <v>12</v>
      </c>
      <c r="N10" s="13">
        <v>0</v>
      </c>
    </row>
    <row r="11" spans="1:14" x14ac:dyDescent="0.25">
      <c r="A11" s="7" t="s">
        <v>22</v>
      </c>
      <c r="B11" s="13" t="s">
        <v>28</v>
      </c>
      <c r="C11" s="13">
        <v>175.6</v>
      </c>
      <c r="D11" s="13">
        <v>694</v>
      </c>
      <c r="E11" s="13">
        <v>538</v>
      </c>
      <c r="F11" s="13">
        <v>133</v>
      </c>
      <c r="G11" s="13">
        <v>107</v>
      </c>
      <c r="H11" s="13" t="s">
        <v>29</v>
      </c>
      <c r="I11" s="13">
        <v>1</v>
      </c>
      <c r="J11" s="13" t="s">
        <v>5</v>
      </c>
      <c r="K11" s="11" t="e">
        <v>#N/A</v>
      </c>
      <c r="L11" s="13">
        <v>0</v>
      </c>
      <c r="M11" s="13" t="s">
        <v>12</v>
      </c>
      <c r="N11" s="13">
        <v>0</v>
      </c>
    </row>
  </sheetData>
  <sheetProtection selectLockedCells="1" autoFilter="0" selectUnlockedCells="1"/>
  <conditionalFormatting sqref="N2:N11">
    <cfRule type="cellIs" dxfId="323" priority="1" stopIfTrue="1" operator="greaterThanOrEqual">
      <formula>300</formula>
    </cfRule>
  </conditionalFormatting>
  <hyperlinks>
    <hyperlink ref="A2" location="'A17-1'!A1" display="A17-1"/>
    <hyperlink ref="A3" location="'A17-10'!A1" display="A17-10"/>
    <hyperlink ref="A4" location="'A17-2'!A1" display="A17-2"/>
    <hyperlink ref="A5" location="'A17-3'!A1" display="A17-3"/>
    <hyperlink ref="A6" location="'A17-4'!A1" display="A17-4"/>
    <hyperlink ref="A7" location="'A17-5'!A1" display="A17-5"/>
    <hyperlink ref="A8" location="'A17-6'!A1" display="A17-6"/>
    <hyperlink ref="A9" location="'A17-7'!A1" display="A17-7"/>
    <hyperlink ref="A10" location="'A17-8'!A1" display="A17-8"/>
    <hyperlink ref="A11" location="'A17-9'!A1" display="A17-9"/>
  </hyperlinks>
  <printOptions horizontalCentered="1" verticalCentered="1"/>
  <pageMargins left="0.7" right="0.7" top="0.75" bottom="0.75" header="0.3" footer="0.3"/>
  <pageSetup paperSize="9" fitToHeight="0" orientation="landscape" r:id="rId1"/>
  <headerFooter>
    <oddHeader>&amp;L&amp;"-,Gras"&amp;20&amp;F
&amp;G</oddHeader>
    <oddFooter>&amp;L&amp;Z&amp;F&amp;R&amp;D &amp;T</oddFooter>
  </headerFooter>
  <legacyDrawingHF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7">
    <pageSetUpPr fitToPage="1"/>
  </sheetPr>
  <dimension ref="A1:N32"/>
  <sheetViews>
    <sheetView showRuler="0" zoomScaleNormal="100" workbookViewId="0">
      <selection activeCell="H37" sqref="H37"/>
    </sheetView>
  </sheetViews>
  <sheetFormatPr baseColWidth="10" defaultRowHeight="15" x14ac:dyDescent="0.25"/>
  <cols>
    <col min="1" max="1" width="10.5703125" style="1" bestFit="1" customWidth="1"/>
    <col min="2" max="2" width="7.5703125" style="1" bestFit="1" customWidth="1"/>
    <col min="3" max="3" width="6" style="1" bestFit="1" customWidth="1"/>
    <col min="4" max="4" width="9.5703125" style="1" bestFit="1" customWidth="1"/>
    <col min="5" max="5" width="12.140625" style="1" bestFit="1" customWidth="1"/>
    <col min="6" max="6" width="8" style="1" bestFit="1" customWidth="1"/>
    <col min="7" max="7" width="11.85546875" style="1" bestFit="1" customWidth="1"/>
    <col min="8" max="8" width="8.85546875" style="1" bestFit="1" customWidth="1"/>
    <col min="9" max="9" width="6.42578125" style="1" bestFit="1" customWidth="1"/>
    <col min="10" max="10" width="8.7109375" style="1" bestFit="1" customWidth="1"/>
    <col min="11" max="11" width="11.5703125" style="11" bestFit="1" customWidth="1"/>
    <col min="12" max="12" width="11.42578125" style="1" bestFit="1" customWidth="1"/>
    <col min="13" max="13" width="12.28515625" style="1" bestFit="1" customWidth="1"/>
    <col min="14" max="14" width="14.42578125" style="1" bestFit="1" customWidth="1"/>
    <col min="15" max="16384" width="11.42578125" style="1"/>
  </cols>
  <sheetData>
    <row r="1" spans="1:14" s="6" customFormat="1" ht="30" x14ac:dyDescent="0.25">
      <c r="A1" s="6" t="s">
        <v>3</v>
      </c>
      <c r="B1" s="8" t="s">
        <v>24</v>
      </c>
      <c r="C1" s="6" t="s">
        <v>23</v>
      </c>
      <c r="D1" s="8" t="s">
        <v>11</v>
      </c>
      <c r="E1" s="6" t="s">
        <v>6</v>
      </c>
      <c r="F1" s="6" t="s">
        <v>26</v>
      </c>
      <c r="G1" s="8" t="s">
        <v>27</v>
      </c>
      <c r="H1" s="6" t="s">
        <v>1</v>
      </c>
      <c r="I1" s="6" t="s">
        <v>2</v>
      </c>
      <c r="J1" s="6" t="s">
        <v>4</v>
      </c>
      <c r="K1" s="10" t="s">
        <v>7</v>
      </c>
      <c r="L1" s="8" t="s">
        <v>8</v>
      </c>
      <c r="M1" s="6" t="s">
        <v>9</v>
      </c>
      <c r="N1" s="8" t="s">
        <v>10</v>
      </c>
    </row>
    <row r="2" spans="1:14" x14ac:dyDescent="0.25">
      <c r="A2" s="3">
        <v>42309</v>
      </c>
      <c r="B2" s="1" t="s">
        <v>25</v>
      </c>
      <c r="C2" s="1">
        <v>171.4</v>
      </c>
      <c r="D2" s="1">
        <v>628</v>
      </c>
      <c r="E2" s="1">
        <v>0</v>
      </c>
      <c r="F2" s="1">
        <v>115</v>
      </c>
      <c r="G2" s="1">
        <v>107</v>
      </c>
      <c r="H2" s="12" t="s">
        <v>29</v>
      </c>
      <c r="I2" s="1">
        <v>1</v>
      </c>
      <c r="J2" s="1" t="s">
        <v>5</v>
      </c>
      <c r="K2" s="2" t="e">
        <f>#REF!</f>
        <v>#REF!</v>
      </c>
      <c r="L2" s="12">
        <v>0</v>
      </c>
      <c r="M2" s="1" t="s">
        <v>12</v>
      </c>
      <c r="N2" s="12">
        <v>0</v>
      </c>
    </row>
    <row r="3" spans="1:14" x14ac:dyDescent="0.25">
      <c r="A3" s="3"/>
      <c r="K3" s="2"/>
      <c r="L3" s="12"/>
    </row>
    <row r="4" spans="1:14" x14ac:dyDescent="0.25">
      <c r="A4" s="4"/>
      <c r="K4" s="2"/>
    </row>
    <row r="5" spans="1:14" x14ac:dyDescent="0.25">
      <c r="A5" s="4"/>
      <c r="K5" s="2"/>
    </row>
    <row r="6" spans="1:14" x14ac:dyDescent="0.25">
      <c r="A6" s="3"/>
      <c r="K6" s="2"/>
    </row>
    <row r="7" spans="1:14" x14ac:dyDescent="0.25">
      <c r="A7" s="4"/>
      <c r="K7" s="2"/>
    </row>
    <row r="8" spans="1:14" x14ac:dyDescent="0.25">
      <c r="A8" s="4"/>
      <c r="G8" s="5"/>
      <c r="K8" s="2"/>
    </row>
    <row r="9" spans="1:14" x14ac:dyDescent="0.25">
      <c r="A9" s="4"/>
      <c r="K9" s="2"/>
    </row>
    <row r="10" spans="1:14" x14ac:dyDescent="0.25">
      <c r="A10" s="4"/>
      <c r="K10" s="2"/>
    </row>
    <row r="11" spans="1:14" x14ac:dyDescent="0.25">
      <c r="A11" s="4"/>
      <c r="K11" s="2"/>
    </row>
    <row r="12" spans="1:14" x14ac:dyDescent="0.25">
      <c r="A12" s="4"/>
      <c r="K12" s="2"/>
    </row>
    <row r="13" spans="1:14" x14ac:dyDescent="0.25">
      <c r="A13" s="4"/>
      <c r="K13" s="2"/>
    </row>
    <row r="14" spans="1:14" x14ac:dyDescent="0.25">
      <c r="A14" s="4"/>
      <c r="K14" s="2"/>
    </row>
    <row r="15" spans="1:14" x14ac:dyDescent="0.25">
      <c r="A15" s="4"/>
      <c r="K15" s="2"/>
    </row>
    <row r="16" spans="1:14" x14ac:dyDescent="0.25">
      <c r="A16" s="4"/>
      <c r="K16" s="2"/>
    </row>
    <row r="17" spans="1:14" x14ac:dyDescent="0.25">
      <c r="A17" s="4"/>
      <c r="K17" s="2"/>
    </row>
    <row r="18" spans="1:14" x14ac:dyDescent="0.25">
      <c r="A18" s="4"/>
      <c r="K18" s="2"/>
    </row>
    <row r="19" spans="1:14" x14ac:dyDescent="0.25">
      <c r="K19" s="2"/>
    </row>
    <row r="20" spans="1:14" x14ac:dyDescent="0.25">
      <c r="K20" s="2"/>
    </row>
    <row r="21" spans="1:14" x14ac:dyDescent="0.25">
      <c r="K21" s="2"/>
    </row>
    <row r="22" spans="1:14" x14ac:dyDescent="0.25">
      <c r="K22" s="2"/>
    </row>
    <row r="23" spans="1:14" x14ac:dyDescent="0.25">
      <c r="K23" s="2"/>
    </row>
    <row r="24" spans="1:14" x14ac:dyDescent="0.25">
      <c r="A24" s="6"/>
      <c r="K24" s="2"/>
    </row>
    <row r="25" spans="1:14" x14ac:dyDescent="0.25">
      <c r="K25" s="2"/>
    </row>
    <row r="26" spans="1:14" x14ac:dyDescent="0.25">
      <c r="K26" s="2"/>
    </row>
    <row r="27" spans="1:14" x14ac:dyDescent="0.25">
      <c r="K27" s="2"/>
    </row>
    <row r="28" spans="1:14" x14ac:dyDescent="0.25">
      <c r="K28" s="2"/>
    </row>
    <row r="29" spans="1:14" x14ac:dyDescent="0.25">
      <c r="K29" s="2"/>
    </row>
    <row r="30" spans="1:14" x14ac:dyDescent="0.25">
      <c r="K30" s="2"/>
    </row>
    <row r="31" spans="1:14" x14ac:dyDescent="0.25">
      <c r="K31" s="2"/>
    </row>
    <row r="32" spans="1:14" x14ac:dyDescent="0.25">
      <c r="A32" s="2">
        <f>VLOOKUP(9^9,A17_1[Date],1)</f>
        <v>42309</v>
      </c>
      <c r="B32" s="1" t="str">
        <f>VLOOKUP(CHAR(255),A17_1[Type],1)</f>
        <v>Lisse</v>
      </c>
      <c r="C32" s="1">
        <f>VLOOKUP(9^9,A17_1[Ø],1)</f>
        <v>171.4</v>
      </c>
      <c r="D32" s="1">
        <f>VLOOKUP(9^9,A17_1[Lg sous
tête],1)</f>
        <v>628</v>
      </c>
      <c r="E32" s="1">
        <f>VLOOKUP(9^9,A17_1[Lg av. filet],1)</f>
        <v>0</v>
      </c>
      <c r="F32" s="1">
        <f>VLOOKUP(9^9,A17_1[Poids],1)</f>
        <v>115</v>
      </c>
      <c r="G32" s="1">
        <f>VLOOKUP(9^9,A17_1[Dureté
(Kg/mm²)],1)</f>
        <v>107</v>
      </c>
      <c r="H32" s="1" t="str">
        <f>VLOOKUP(CHAR(255),A17_1[Status],1)</f>
        <v>A Définir</v>
      </c>
      <c r="I32" s="1">
        <f>VLOOKUP(9^9,A17_1[Qté],1)</f>
        <v>1</v>
      </c>
      <c r="J32" s="1" t="str">
        <f>VLOOKUP(CHAR(255),A17_1[Zone],1)</f>
        <v>Contrôle</v>
      </c>
      <c r="K32" s="2" t="e">
        <f>VLOOKUP(9^9,A17_1[Date CND],1)</f>
        <v>#N/A</v>
      </c>
      <c r="L32" s="1">
        <f>VLOOKUP(9^9,A17_1[N° Certif.
Matière],1)</f>
        <v>0</v>
      </c>
      <c r="M32" s="1" t="str">
        <f>VLOOKUP(CHAR(255),A17_1[Utilisé par],1)</f>
        <v>-</v>
      </c>
      <c r="N32" s="1">
        <f>SUM(N2:N31)</f>
        <v>0</v>
      </c>
    </row>
  </sheetData>
  <sheetProtection selectLockedCells="1" selectUnlockedCells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Header>&amp;L&amp;"-,Gras"&amp;20&amp;F
&amp;G&amp;C&amp;20&amp;A&amp;R&amp;P/&amp;N</oddHeader>
    <oddFooter>&amp;L&amp;Z&amp;F&amp;R&amp;D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945" r:id="rId4" name="Button 177">
              <controlPr defaultSize="0" print="0" autoFill="0" autoPict="0" macro="[0]!GoToRecap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6">
    <pageSetUpPr fitToPage="1"/>
  </sheetPr>
  <dimension ref="A1:N32"/>
  <sheetViews>
    <sheetView showRuler="0" zoomScaleNormal="100" workbookViewId="0">
      <selection activeCell="H37" sqref="H37"/>
    </sheetView>
  </sheetViews>
  <sheetFormatPr baseColWidth="10" defaultRowHeight="15" x14ac:dyDescent="0.25"/>
  <cols>
    <col min="1" max="1" width="10.5703125" style="1" bestFit="1" customWidth="1"/>
    <col min="2" max="2" width="7.5703125" style="1" bestFit="1" customWidth="1"/>
    <col min="3" max="3" width="6" style="1" bestFit="1" customWidth="1"/>
    <col min="4" max="4" width="9.5703125" style="1" bestFit="1" customWidth="1"/>
    <col min="5" max="5" width="12.140625" style="1" bestFit="1" customWidth="1"/>
    <col min="6" max="6" width="8" style="1" bestFit="1" customWidth="1"/>
    <col min="7" max="7" width="11.85546875" style="1" bestFit="1" customWidth="1"/>
    <col min="8" max="8" width="8.85546875" style="1" bestFit="1" customWidth="1"/>
    <col min="9" max="9" width="6.42578125" style="1" bestFit="1" customWidth="1"/>
    <col min="10" max="10" width="8.7109375" style="1" bestFit="1" customWidth="1"/>
    <col min="11" max="11" width="11.5703125" style="11" bestFit="1" customWidth="1"/>
    <col min="12" max="12" width="11.42578125" style="1" bestFit="1" customWidth="1"/>
    <col min="13" max="13" width="12.28515625" style="1" bestFit="1" customWidth="1"/>
    <col min="14" max="14" width="14.42578125" style="1" bestFit="1" customWidth="1"/>
    <col min="15" max="16384" width="11.42578125" style="1"/>
  </cols>
  <sheetData>
    <row r="1" spans="1:14" s="6" customFormat="1" ht="30" x14ac:dyDescent="0.25">
      <c r="A1" s="6" t="s">
        <v>3</v>
      </c>
      <c r="B1" s="8" t="s">
        <v>24</v>
      </c>
      <c r="C1" s="6" t="s">
        <v>23</v>
      </c>
      <c r="D1" s="8" t="s">
        <v>11</v>
      </c>
      <c r="E1" s="6" t="s">
        <v>6</v>
      </c>
      <c r="F1" s="6" t="s">
        <v>26</v>
      </c>
      <c r="G1" s="8" t="s">
        <v>27</v>
      </c>
      <c r="H1" s="6" t="s">
        <v>1</v>
      </c>
      <c r="I1" s="6" t="s">
        <v>2</v>
      </c>
      <c r="J1" s="6" t="s">
        <v>4</v>
      </c>
      <c r="K1" s="10" t="s">
        <v>7</v>
      </c>
      <c r="L1" s="8" t="s">
        <v>8</v>
      </c>
      <c r="M1" s="6" t="s">
        <v>9</v>
      </c>
      <c r="N1" s="8" t="s">
        <v>10</v>
      </c>
    </row>
    <row r="2" spans="1:14" x14ac:dyDescent="0.25">
      <c r="A2" s="3">
        <v>42309</v>
      </c>
      <c r="B2" s="1" t="s">
        <v>25</v>
      </c>
      <c r="C2" s="1">
        <v>178.3</v>
      </c>
      <c r="D2" s="1">
        <v>801</v>
      </c>
      <c r="E2" s="1">
        <v>0</v>
      </c>
      <c r="F2" s="1">
        <v>158</v>
      </c>
      <c r="G2" s="1">
        <v>119</v>
      </c>
      <c r="H2" s="12" t="s">
        <v>29</v>
      </c>
      <c r="I2" s="1">
        <v>1</v>
      </c>
      <c r="J2" s="1" t="s">
        <v>5</v>
      </c>
      <c r="K2" s="2" t="e">
        <f>#REF!</f>
        <v>#REF!</v>
      </c>
      <c r="L2" s="12">
        <v>0</v>
      </c>
      <c r="M2" s="1" t="s">
        <v>12</v>
      </c>
      <c r="N2" s="12">
        <v>0</v>
      </c>
    </row>
    <row r="3" spans="1:14" x14ac:dyDescent="0.25">
      <c r="A3" s="3"/>
      <c r="K3" s="2"/>
      <c r="L3" s="12"/>
    </row>
    <row r="4" spans="1:14" x14ac:dyDescent="0.25">
      <c r="A4" s="4"/>
      <c r="K4" s="2"/>
    </row>
    <row r="5" spans="1:14" x14ac:dyDescent="0.25">
      <c r="A5" s="4"/>
      <c r="K5" s="2"/>
    </row>
    <row r="6" spans="1:14" x14ac:dyDescent="0.25">
      <c r="A6" s="3"/>
      <c r="K6" s="2"/>
    </row>
    <row r="7" spans="1:14" x14ac:dyDescent="0.25">
      <c r="A7" s="4"/>
      <c r="K7" s="2"/>
    </row>
    <row r="8" spans="1:14" x14ac:dyDescent="0.25">
      <c r="A8" s="4"/>
      <c r="G8" s="5"/>
      <c r="K8" s="2"/>
    </row>
    <row r="9" spans="1:14" x14ac:dyDescent="0.25">
      <c r="A9" s="4"/>
      <c r="K9" s="2"/>
    </row>
    <row r="10" spans="1:14" x14ac:dyDescent="0.25">
      <c r="A10" s="4"/>
      <c r="K10" s="2"/>
    </row>
    <row r="11" spans="1:14" x14ac:dyDescent="0.25">
      <c r="A11" s="4"/>
      <c r="K11" s="2"/>
    </row>
    <row r="12" spans="1:14" x14ac:dyDescent="0.25">
      <c r="A12" s="4"/>
      <c r="K12" s="2"/>
    </row>
    <row r="13" spans="1:14" x14ac:dyDescent="0.25">
      <c r="A13" s="4"/>
      <c r="K13" s="2"/>
    </row>
    <row r="14" spans="1:14" x14ac:dyDescent="0.25">
      <c r="A14" s="4"/>
      <c r="K14" s="2"/>
    </row>
    <row r="15" spans="1:14" x14ac:dyDescent="0.25">
      <c r="A15" s="4"/>
      <c r="K15" s="2"/>
    </row>
    <row r="16" spans="1:14" x14ac:dyDescent="0.25">
      <c r="A16" s="4"/>
      <c r="K16" s="2"/>
    </row>
    <row r="17" spans="1:14" x14ac:dyDescent="0.25">
      <c r="A17" s="4"/>
      <c r="K17" s="2"/>
    </row>
    <row r="18" spans="1:14" x14ac:dyDescent="0.25">
      <c r="A18" s="4"/>
      <c r="K18" s="2"/>
    </row>
    <row r="19" spans="1:14" x14ac:dyDescent="0.25">
      <c r="K19" s="2"/>
    </row>
    <row r="20" spans="1:14" x14ac:dyDescent="0.25">
      <c r="K20" s="2"/>
    </row>
    <row r="21" spans="1:14" x14ac:dyDescent="0.25">
      <c r="K21" s="2"/>
    </row>
    <row r="22" spans="1:14" x14ac:dyDescent="0.25">
      <c r="K22" s="2"/>
    </row>
    <row r="23" spans="1:14" x14ac:dyDescent="0.25">
      <c r="K23" s="2"/>
    </row>
    <row r="24" spans="1:14" x14ac:dyDescent="0.25">
      <c r="A24" s="6"/>
      <c r="K24" s="2"/>
    </row>
    <row r="25" spans="1:14" x14ac:dyDescent="0.25">
      <c r="K25" s="2"/>
    </row>
    <row r="26" spans="1:14" x14ac:dyDescent="0.25">
      <c r="K26" s="2"/>
    </row>
    <row r="27" spans="1:14" x14ac:dyDescent="0.25">
      <c r="K27" s="2"/>
    </row>
    <row r="28" spans="1:14" x14ac:dyDescent="0.25">
      <c r="K28" s="2"/>
    </row>
    <row r="29" spans="1:14" x14ac:dyDescent="0.25">
      <c r="K29" s="2"/>
    </row>
    <row r="30" spans="1:14" x14ac:dyDescent="0.25">
      <c r="K30" s="2"/>
    </row>
    <row r="31" spans="1:14" x14ac:dyDescent="0.25">
      <c r="K31" s="2"/>
    </row>
    <row r="32" spans="1:14" x14ac:dyDescent="0.25">
      <c r="A32" s="2">
        <f>VLOOKUP(9^9,A17_10[Date],1)</f>
        <v>42309</v>
      </c>
      <c r="B32" s="1" t="str">
        <f>VLOOKUP(CHAR(255),A17_10[Type],1)</f>
        <v>Lisse</v>
      </c>
      <c r="C32" s="1">
        <f>VLOOKUP(9^9,A17_10[Ø],1)</f>
        <v>178.3</v>
      </c>
      <c r="D32" s="1">
        <f>VLOOKUP(9^9,A17_10[Lg sous
tête],1)</f>
        <v>801</v>
      </c>
      <c r="E32" s="1">
        <f>VLOOKUP(9^9,A17_10[Lg av. filet],1)</f>
        <v>0</v>
      </c>
      <c r="F32" s="1">
        <f>VLOOKUP(9^9,A17_10[Poids],1)</f>
        <v>158</v>
      </c>
      <c r="G32" s="1">
        <f>VLOOKUP(9^9,A17_10[Dureté
(Kg/mm²)],1)</f>
        <v>119</v>
      </c>
      <c r="H32" s="1" t="str">
        <f>VLOOKUP(CHAR(255),A17_10[Status],1)</f>
        <v>A Définir</v>
      </c>
      <c r="I32" s="1">
        <f>VLOOKUP(9^9,A17_10[Qté],1)</f>
        <v>1</v>
      </c>
      <c r="J32" s="1" t="str">
        <f>VLOOKUP(CHAR(255),A17_10[Zone],1)</f>
        <v>Contrôle</v>
      </c>
      <c r="K32" s="2" t="e">
        <f>VLOOKUP(9^9,A17_10[Date CND],1)</f>
        <v>#N/A</v>
      </c>
      <c r="L32" s="1">
        <f>VLOOKUP(9^9,A17_10[N° Certif.
Matière],1)</f>
        <v>0</v>
      </c>
      <c r="M32" s="1" t="str">
        <f>VLOOKUP(CHAR(255),A17_10[Utilisé par],1)</f>
        <v>-</v>
      </c>
      <c r="N32" s="1">
        <f>SUM(N2:N31)</f>
        <v>0</v>
      </c>
    </row>
  </sheetData>
  <sheetProtection selectLockedCells="1" selectUnlockedCells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Header>&amp;L&amp;"-,Gras"&amp;20&amp;F
&amp;G&amp;C&amp;20&amp;A&amp;R&amp;P/&amp;N</oddHeader>
    <oddFooter>&amp;L&amp;Z&amp;F&amp;R&amp;D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953" r:id="rId4" name="Button 161">
              <controlPr defaultSize="0" print="0" autoFill="0" autoPict="0" macro="[0]!GoToRecap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pageSetUpPr fitToPage="1"/>
  </sheetPr>
  <dimension ref="A1:N32"/>
  <sheetViews>
    <sheetView showRuler="0" zoomScaleNormal="100" workbookViewId="0">
      <selection activeCell="H37" sqref="H37"/>
    </sheetView>
  </sheetViews>
  <sheetFormatPr baseColWidth="10" defaultRowHeight="15" x14ac:dyDescent="0.25"/>
  <cols>
    <col min="1" max="1" width="10.5703125" style="1" bestFit="1" customWidth="1"/>
    <col min="2" max="2" width="7.5703125" style="1" bestFit="1" customWidth="1"/>
    <col min="3" max="3" width="4.5703125" style="1" bestFit="1" customWidth="1"/>
    <col min="4" max="4" width="9.5703125" style="1" bestFit="1" customWidth="1"/>
    <col min="5" max="5" width="12.140625" style="1" bestFit="1" customWidth="1"/>
    <col min="6" max="6" width="8" style="1" bestFit="1" customWidth="1"/>
    <col min="7" max="7" width="11.85546875" style="1" bestFit="1" customWidth="1"/>
    <col min="8" max="8" width="8.85546875" style="1" bestFit="1" customWidth="1"/>
    <col min="9" max="9" width="6.42578125" style="1" bestFit="1" customWidth="1"/>
    <col min="10" max="10" width="8.7109375" style="1" bestFit="1" customWidth="1"/>
    <col min="11" max="11" width="11.5703125" style="11" bestFit="1" customWidth="1"/>
    <col min="12" max="12" width="11.42578125" style="1" bestFit="1" customWidth="1"/>
    <col min="13" max="13" width="12.28515625" style="1" bestFit="1" customWidth="1"/>
    <col min="14" max="14" width="14.42578125" style="1" bestFit="1" customWidth="1"/>
    <col min="15" max="16384" width="11.42578125" style="1"/>
  </cols>
  <sheetData>
    <row r="1" spans="1:14" s="6" customFormat="1" ht="30" x14ac:dyDescent="0.25">
      <c r="A1" s="6" t="s">
        <v>3</v>
      </c>
      <c r="B1" s="8" t="s">
        <v>24</v>
      </c>
      <c r="C1" s="6" t="s">
        <v>23</v>
      </c>
      <c r="D1" s="8" t="s">
        <v>11</v>
      </c>
      <c r="E1" s="6" t="s">
        <v>6</v>
      </c>
      <c r="F1" s="6" t="s">
        <v>26</v>
      </c>
      <c r="G1" s="8" t="s">
        <v>27</v>
      </c>
      <c r="H1" s="6" t="s">
        <v>1</v>
      </c>
      <c r="I1" s="6" t="s">
        <v>2</v>
      </c>
      <c r="J1" s="6" t="s">
        <v>4</v>
      </c>
      <c r="K1" s="10" t="s">
        <v>7</v>
      </c>
      <c r="L1" s="8" t="s">
        <v>8</v>
      </c>
      <c r="M1" s="6" t="s">
        <v>9</v>
      </c>
      <c r="N1" s="8" t="s">
        <v>10</v>
      </c>
    </row>
    <row r="2" spans="1:14" x14ac:dyDescent="0.25">
      <c r="A2" s="3">
        <v>42309</v>
      </c>
      <c r="B2" s="1" t="s">
        <v>25</v>
      </c>
      <c r="C2" s="1">
        <v>172</v>
      </c>
      <c r="D2" s="1">
        <v>661</v>
      </c>
      <c r="E2" s="1">
        <v>0</v>
      </c>
      <c r="F2" s="1">
        <v>122</v>
      </c>
      <c r="G2" s="1">
        <v>113</v>
      </c>
      <c r="H2" s="12" t="s">
        <v>29</v>
      </c>
      <c r="I2" s="1">
        <v>1</v>
      </c>
      <c r="J2" s="1" t="s">
        <v>5</v>
      </c>
      <c r="K2" s="2" t="e">
        <f>#REF!</f>
        <v>#REF!</v>
      </c>
      <c r="L2" s="12">
        <v>0</v>
      </c>
      <c r="M2" s="1" t="s">
        <v>12</v>
      </c>
      <c r="N2" s="12">
        <v>0</v>
      </c>
    </row>
    <row r="3" spans="1:14" x14ac:dyDescent="0.25">
      <c r="A3" s="3"/>
      <c r="K3" s="2"/>
      <c r="L3" s="12"/>
    </row>
    <row r="4" spans="1:14" x14ac:dyDescent="0.25">
      <c r="A4" s="4"/>
      <c r="K4" s="2"/>
    </row>
    <row r="5" spans="1:14" x14ac:dyDescent="0.25">
      <c r="A5" s="4"/>
      <c r="K5" s="2"/>
    </row>
    <row r="6" spans="1:14" x14ac:dyDescent="0.25">
      <c r="A6" s="3"/>
      <c r="K6" s="2"/>
    </row>
    <row r="7" spans="1:14" x14ac:dyDescent="0.25">
      <c r="A7" s="4"/>
      <c r="K7" s="2"/>
    </row>
    <row r="8" spans="1:14" x14ac:dyDescent="0.25">
      <c r="A8" s="4"/>
      <c r="G8" s="5"/>
      <c r="K8" s="2"/>
    </row>
    <row r="9" spans="1:14" x14ac:dyDescent="0.25">
      <c r="A9" s="4"/>
      <c r="K9" s="2"/>
    </row>
    <row r="10" spans="1:14" x14ac:dyDescent="0.25">
      <c r="A10" s="4"/>
      <c r="K10" s="2"/>
    </row>
    <row r="11" spans="1:14" x14ac:dyDescent="0.25">
      <c r="A11" s="4"/>
      <c r="K11" s="2"/>
    </row>
    <row r="12" spans="1:14" x14ac:dyDescent="0.25">
      <c r="A12" s="4"/>
      <c r="K12" s="2"/>
    </row>
    <row r="13" spans="1:14" x14ac:dyDescent="0.25">
      <c r="A13" s="4"/>
      <c r="K13" s="2"/>
    </row>
    <row r="14" spans="1:14" x14ac:dyDescent="0.25">
      <c r="A14" s="4"/>
      <c r="K14" s="2"/>
    </row>
    <row r="15" spans="1:14" x14ac:dyDescent="0.25">
      <c r="A15" s="4"/>
      <c r="K15" s="2"/>
    </row>
    <row r="16" spans="1:14" x14ac:dyDescent="0.25">
      <c r="A16" s="4"/>
      <c r="K16" s="2"/>
    </row>
    <row r="17" spans="1:14" x14ac:dyDescent="0.25">
      <c r="A17" s="4"/>
      <c r="K17" s="2"/>
    </row>
    <row r="18" spans="1:14" x14ac:dyDescent="0.25">
      <c r="A18" s="4"/>
      <c r="K18" s="2"/>
    </row>
    <row r="19" spans="1:14" x14ac:dyDescent="0.25">
      <c r="K19" s="2"/>
    </row>
    <row r="20" spans="1:14" x14ac:dyDescent="0.25">
      <c r="K20" s="2"/>
    </row>
    <row r="21" spans="1:14" x14ac:dyDescent="0.25">
      <c r="K21" s="2"/>
    </row>
    <row r="22" spans="1:14" x14ac:dyDescent="0.25">
      <c r="K22" s="2"/>
    </row>
    <row r="23" spans="1:14" x14ac:dyDescent="0.25">
      <c r="K23" s="2"/>
    </row>
    <row r="24" spans="1:14" x14ac:dyDescent="0.25">
      <c r="A24" s="6"/>
      <c r="K24" s="2"/>
    </row>
    <row r="25" spans="1:14" x14ac:dyDescent="0.25">
      <c r="K25" s="2"/>
    </row>
    <row r="26" spans="1:14" x14ac:dyDescent="0.25">
      <c r="K26" s="2"/>
    </row>
    <row r="27" spans="1:14" x14ac:dyDescent="0.25">
      <c r="K27" s="2"/>
    </row>
    <row r="28" spans="1:14" x14ac:dyDescent="0.25">
      <c r="K28" s="2"/>
    </row>
    <row r="29" spans="1:14" x14ac:dyDescent="0.25">
      <c r="K29" s="2"/>
    </row>
    <row r="30" spans="1:14" x14ac:dyDescent="0.25">
      <c r="K30" s="2"/>
    </row>
    <row r="31" spans="1:14" x14ac:dyDescent="0.25">
      <c r="K31" s="2"/>
    </row>
    <row r="32" spans="1:14" x14ac:dyDescent="0.25">
      <c r="A32" s="2">
        <f>VLOOKUP(9^9,A17_2[Date],1)</f>
        <v>42309</v>
      </c>
      <c r="B32" s="1" t="str">
        <f>VLOOKUP(CHAR(255),A17_2[Type],1)</f>
        <v>Lisse</v>
      </c>
      <c r="C32" s="1">
        <f>VLOOKUP(9^9,A17_2[Ø],1)</f>
        <v>172</v>
      </c>
      <c r="D32" s="1">
        <f>VLOOKUP(9^9,A17_2[Lg sous
tête],1)</f>
        <v>661</v>
      </c>
      <c r="E32" s="1">
        <f>VLOOKUP(9^9,A17_2[Lg av. filet],1)</f>
        <v>0</v>
      </c>
      <c r="F32" s="1">
        <f>VLOOKUP(9^9,A17_2[Poids],1)</f>
        <v>122</v>
      </c>
      <c r="G32" s="1">
        <f>VLOOKUP(9^9,A17_2[Dureté
(Kg/mm²)],1)</f>
        <v>113</v>
      </c>
      <c r="H32" s="1" t="str">
        <f>VLOOKUP(CHAR(255),A17_2[Status],1)</f>
        <v>A Définir</v>
      </c>
      <c r="I32" s="1">
        <f>VLOOKUP(9^9,A17_2[Qté],1)</f>
        <v>1</v>
      </c>
      <c r="J32" s="1" t="str">
        <f>VLOOKUP(CHAR(255),A17_2[Zone],1)</f>
        <v>Contrôle</v>
      </c>
      <c r="K32" s="2" t="e">
        <f>VLOOKUP(9^9,A17_2[Date CND],1)</f>
        <v>#N/A</v>
      </c>
      <c r="L32" s="1">
        <f>VLOOKUP(9^9,A17_2[N° Certif.
Matière],1)</f>
        <v>0</v>
      </c>
      <c r="M32" s="1" t="str">
        <f>VLOOKUP(CHAR(255),A17_2[Utilisé par],1)</f>
        <v>-</v>
      </c>
      <c r="N32" s="1">
        <f>SUM(N2:N31)</f>
        <v>0</v>
      </c>
    </row>
  </sheetData>
  <sheetProtection selectLockedCells="1" selectUnlockedCells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fitToHeight="0" orientation="landscape" r:id="rId1"/>
  <headerFooter>
    <oddHeader>&amp;L&amp;"-,Gras"&amp;20&amp;F
&amp;G&amp;C&amp;20&amp;A&amp;R&amp;P/&amp;N</oddHeader>
    <oddFooter>&amp;L&amp;Z&amp;F&amp;R&amp;D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993" r:id="rId4" name="Button 177">
              <controlPr defaultSize="0" print="0" autoFill="0" autoPict="0" macro="[0]!GoToRecap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9">
    <pageSetUpPr fitToPage="1"/>
  </sheetPr>
  <dimension ref="A1:N32"/>
  <sheetViews>
    <sheetView showRuler="0" zoomScaleNormal="100" workbookViewId="0">
      <selection activeCell="H37" sqref="H37"/>
    </sheetView>
  </sheetViews>
  <sheetFormatPr baseColWidth="10" defaultRowHeight="15" x14ac:dyDescent="0.25"/>
  <cols>
    <col min="1" max="1" width="10.5703125" style="1" bestFit="1" customWidth="1"/>
    <col min="2" max="2" width="7.5703125" style="1" bestFit="1" customWidth="1"/>
    <col min="3" max="3" width="6" style="1" bestFit="1" customWidth="1"/>
    <col min="4" max="4" width="9.5703125" style="1" bestFit="1" customWidth="1"/>
    <col min="5" max="5" width="12.140625" style="1" bestFit="1" customWidth="1"/>
    <col min="6" max="6" width="8" style="1" bestFit="1" customWidth="1"/>
    <col min="7" max="7" width="11.85546875" style="1" bestFit="1" customWidth="1"/>
    <col min="8" max="8" width="8.85546875" style="1" bestFit="1" customWidth="1"/>
    <col min="9" max="9" width="6.42578125" style="1" bestFit="1" customWidth="1"/>
    <col min="10" max="10" width="8.7109375" style="1" bestFit="1" customWidth="1"/>
    <col min="11" max="11" width="11.5703125" style="11" bestFit="1" customWidth="1"/>
    <col min="12" max="12" width="11.42578125" style="1" bestFit="1" customWidth="1"/>
    <col min="13" max="13" width="12.28515625" style="1" bestFit="1" customWidth="1"/>
    <col min="14" max="14" width="14.42578125" style="1" bestFit="1" customWidth="1"/>
    <col min="15" max="16384" width="11.42578125" style="1"/>
  </cols>
  <sheetData>
    <row r="1" spans="1:14" s="6" customFormat="1" ht="30" x14ac:dyDescent="0.25">
      <c r="A1" s="6" t="s">
        <v>3</v>
      </c>
      <c r="B1" s="8" t="s">
        <v>24</v>
      </c>
      <c r="C1" s="6" t="s">
        <v>23</v>
      </c>
      <c r="D1" s="8" t="s">
        <v>11</v>
      </c>
      <c r="E1" s="6" t="s">
        <v>6</v>
      </c>
      <c r="F1" s="6" t="s">
        <v>26</v>
      </c>
      <c r="G1" s="8" t="s">
        <v>27</v>
      </c>
      <c r="H1" s="6" t="s">
        <v>1</v>
      </c>
      <c r="I1" s="6" t="s">
        <v>2</v>
      </c>
      <c r="J1" s="6" t="s">
        <v>4</v>
      </c>
      <c r="K1" s="10" t="s">
        <v>7</v>
      </c>
      <c r="L1" s="8" t="s">
        <v>8</v>
      </c>
      <c r="M1" s="6" t="s">
        <v>9</v>
      </c>
      <c r="N1" s="8" t="s">
        <v>10</v>
      </c>
    </row>
    <row r="2" spans="1:14" x14ac:dyDescent="0.25">
      <c r="A2" s="3">
        <v>42309</v>
      </c>
      <c r="B2" s="1" t="s">
        <v>28</v>
      </c>
      <c r="C2" s="1">
        <v>172.5</v>
      </c>
      <c r="D2" s="1">
        <v>572</v>
      </c>
      <c r="E2" s="1">
        <v>460</v>
      </c>
      <c r="F2" s="1">
        <v>107</v>
      </c>
      <c r="G2" s="1">
        <v>119</v>
      </c>
      <c r="H2" s="12" t="s">
        <v>29</v>
      </c>
      <c r="I2" s="1">
        <v>1</v>
      </c>
      <c r="J2" s="1" t="s">
        <v>5</v>
      </c>
      <c r="K2" s="2" t="e">
        <f>#REF!</f>
        <v>#REF!</v>
      </c>
      <c r="L2" s="12">
        <v>0</v>
      </c>
      <c r="M2" s="1" t="s">
        <v>12</v>
      </c>
      <c r="N2" s="12">
        <v>0</v>
      </c>
    </row>
    <row r="3" spans="1:14" x14ac:dyDescent="0.25">
      <c r="A3" s="3"/>
      <c r="K3" s="2"/>
      <c r="L3" s="12"/>
    </row>
    <row r="4" spans="1:14" x14ac:dyDescent="0.25">
      <c r="A4" s="4"/>
      <c r="K4" s="2"/>
    </row>
    <row r="5" spans="1:14" x14ac:dyDescent="0.25">
      <c r="A5" s="4"/>
      <c r="K5" s="2"/>
    </row>
    <row r="6" spans="1:14" x14ac:dyDescent="0.25">
      <c r="A6" s="3"/>
      <c r="K6" s="2"/>
    </row>
    <row r="7" spans="1:14" x14ac:dyDescent="0.25">
      <c r="A7" s="4"/>
      <c r="K7" s="2"/>
    </row>
    <row r="8" spans="1:14" x14ac:dyDescent="0.25">
      <c r="A8" s="4"/>
      <c r="G8" s="5"/>
      <c r="K8" s="2"/>
    </row>
    <row r="9" spans="1:14" x14ac:dyDescent="0.25">
      <c r="A9" s="4"/>
      <c r="K9" s="2"/>
    </row>
    <row r="10" spans="1:14" x14ac:dyDescent="0.25">
      <c r="A10" s="4"/>
      <c r="K10" s="2"/>
    </row>
    <row r="11" spans="1:14" x14ac:dyDescent="0.25">
      <c r="A11" s="4"/>
      <c r="K11" s="2"/>
    </row>
    <row r="12" spans="1:14" x14ac:dyDescent="0.25">
      <c r="A12" s="4"/>
      <c r="K12" s="2"/>
    </row>
    <row r="13" spans="1:14" x14ac:dyDescent="0.25">
      <c r="A13" s="4"/>
      <c r="K13" s="2"/>
    </row>
    <row r="14" spans="1:14" x14ac:dyDescent="0.25">
      <c r="A14" s="4"/>
      <c r="K14" s="2"/>
    </row>
    <row r="15" spans="1:14" x14ac:dyDescent="0.25">
      <c r="A15" s="4"/>
      <c r="K15" s="2"/>
    </row>
    <row r="16" spans="1:14" x14ac:dyDescent="0.25">
      <c r="A16" s="4"/>
      <c r="K16" s="2"/>
    </row>
    <row r="17" spans="1:14" x14ac:dyDescent="0.25">
      <c r="A17" s="4"/>
      <c r="K17" s="2"/>
    </row>
    <row r="18" spans="1:14" x14ac:dyDescent="0.25">
      <c r="A18" s="4"/>
      <c r="K18" s="2"/>
    </row>
    <row r="19" spans="1:14" x14ac:dyDescent="0.25">
      <c r="K19" s="2"/>
    </row>
    <row r="20" spans="1:14" x14ac:dyDescent="0.25">
      <c r="K20" s="2"/>
    </row>
    <row r="21" spans="1:14" x14ac:dyDescent="0.25">
      <c r="K21" s="2"/>
    </row>
    <row r="22" spans="1:14" x14ac:dyDescent="0.25">
      <c r="K22" s="2"/>
    </row>
    <row r="23" spans="1:14" x14ac:dyDescent="0.25">
      <c r="K23" s="2"/>
    </row>
    <row r="24" spans="1:14" x14ac:dyDescent="0.25">
      <c r="A24" s="6"/>
      <c r="K24" s="2"/>
    </row>
    <row r="25" spans="1:14" x14ac:dyDescent="0.25">
      <c r="K25" s="2"/>
    </row>
    <row r="26" spans="1:14" x14ac:dyDescent="0.25">
      <c r="K26" s="2"/>
    </row>
    <row r="27" spans="1:14" x14ac:dyDescent="0.25">
      <c r="K27" s="2"/>
    </row>
    <row r="28" spans="1:14" x14ac:dyDescent="0.25">
      <c r="K28" s="2"/>
    </row>
    <row r="29" spans="1:14" x14ac:dyDescent="0.25">
      <c r="K29" s="2"/>
    </row>
    <row r="30" spans="1:14" x14ac:dyDescent="0.25">
      <c r="K30" s="2"/>
    </row>
    <row r="31" spans="1:14" x14ac:dyDescent="0.25">
      <c r="K31" s="2"/>
    </row>
    <row r="32" spans="1:14" x14ac:dyDescent="0.25">
      <c r="A32" s="2">
        <f>VLOOKUP(9^9,A17_3[Date],1)</f>
        <v>42309</v>
      </c>
      <c r="B32" s="1" t="str">
        <f>VLOOKUP(CHAR(255),A17_3[Type],1)</f>
        <v>Filetée</v>
      </c>
      <c r="C32" s="1">
        <f>VLOOKUP(9^9,A17_3[Ø],1)</f>
        <v>172.5</v>
      </c>
      <c r="D32" s="1">
        <f>VLOOKUP(9^9,A17_3[Lg sous
tête],1)</f>
        <v>572</v>
      </c>
      <c r="E32" s="1">
        <f>VLOOKUP(9^9,A17_3[Lg av. filet],1)</f>
        <v>460</v>
      </c>
      <c r="F32" s="1">
        <f>VLOOKUP(9^9,A17_3[Poids],1)</f>
        <v>107</v>
      </c>
      <c r="G32" s="1">
        <f>VLOOKUP(9^9,A17_3[Dureté
(Kg/mm²)],1)</f>
        <v>119</v>
      </c>
      <c r="H32" s="1" t="str">
        <f>VLOOKUP(CHAR(255),A17_3[Status],1)</f>
        <v>A Définir</v>
      </c>
      <c r="I32" s="1">
        <f>VLOOKUP(9^9,A17_3[Qté],1)</f>
        <v>1</v>
      </c>
      <c r="J32" s="1" t="str">
        <f>VLOOKUP(CHAR(255),A17_3[Zone],1)</f>
        <v>Contrôle</v>
      </c>
      <c r="K32" s="2" t="e">
        <f>VLOOKUP(9^9,A17_3[Date CND],1)</f>
        <v>#N/A</v>
      </c>
      <c r="L32" s="1">
        <f>VLOOKUP(9^9,A17_3[N° Certif.
Matière],1)</f>
        <v>0</v>
      </c>
      <c r="M32" s="1" t="str">
        <f>VLOOKUP(CHAR(255),A17_3[Utilisé par],1)</f>
        <v>-</v>
      </c>
      <c r="N32" s="1">
        <f>SUM(N2:N31)</f>
        <v>0</v>
      </c>
    </row>
  </sheetData>
  <sheetProtection selectLockedCells="1" selectUnlockedCells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Header>&amp;L&amp;"-,Gras"&amp;20&amp;F
&amp;G&amp;C&amp;20&amp;A&amp;R&amp;P/&amp;N</oddHeader>
    <oddFooter>&amp;L&amp;Z&amp;F&amp;R&amp;D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017" r:id="rId4" name="Button 177">
              <controlPr defaultSize="0" print="0" autoFill="0" autoPict="0" macro="[0]!GoToRecap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0">
    <pageSetUpPr fitToPage="1"/>
  </sheetPr>
  <dimension ref="A1:N32"/>
  <sheetViews>
    <sheetView showRuler="0" zoomScaleNormal="100" workbookViewId="0">
      <selection activeCell="H37" sqref="H37"/>
    </sheetView>
  </sheetViews>
  <sheetFormatPr baseColWidth="10" defaultRowHeight="15" x14ac:dyDescent="0.25"/>
  <cols>
    <col min="1" max="1" width="10.5703125" style="1" bestFit="1" customWidth="1"/>
    <col min="2" max="2" width="7.5703125" style="1" bestFit="1" customWidth="1"/>
    <col min="3" max="3" width="6" style="1" bestFit="1" customWidth="1"/>
    <col min="4" max="4" width="9.5703125" style="1" bestFit="1" customWidth="1"/>
    <col min="5" max="5" width="12.140625" style="1" bestFit="1" customWidth="1"/>
    <col min="6" max="6" width="8" style="1" bestFit="1" customWidth="1"/>
    <col min="7" max="7" width="11.85546875" style="1" bestFit="1" customWidth="1"/>
    <col min="8" max="8" width="8.85546875" style="1" bestFit="1" customWidth="1"/>
    <col min="9" max="9" width="6.42578125" style="1" bestFit="1" customWidth="1"/>
    <col min="10" max="10" width="8.7109375" style="1" bestFit="1" customWidth="1"/>
    <col min="11" max="11" width="11.5703125" style="11" bestFit="1" customWidth="1"/>
    <col min="12" max="12" width="11.42578125" style="1" bestFit="1" customWidth="1"/>
    <col min="13" max="13" width="12.28515625" style="1" bestFit="1" customWidth="1"/>
    <col min="14" max="14" width="14.42578125" style="1" bestFit="1" customWidth="1"/>
    <col min="15" max="16384" width="11.42578125" style="1"/>
  </cols>
  <sheetData>
    <row r="1" spans="1:14" s="6" customFormat="1" ht="30" x14ac:dyDescent="0.25">
      <c r="A1" s="6" t="s">
        <v>3</v>
      </c>
      <c r="B1" s="8" t="s">
        <v>24</v>
      </c>
      <c r="C1" s="6" t="s">
        <v>23</v>
      </c>
      <c r="D1" s="8" t="s">
        <v>11</v>
      </c>
      <c r="E1" s="6" t="s">
        <v>6</v>
      </c>
      <c r="F1" s="6" t="s">
        <v>26</v>
      </c>
      <c r="G1" s="8" t="s">
        <v>27</v>
      </c>
      <c r="H1" s="6" t="s">
        <v>1</v>
      </c>
      <c r="I1" s="6" t="s">
        <v>2</v>
      </c>
      <c r="J1" s="6" t="s">
        <v>4</v>
      </c>
      <c r="K1" s="10" t="s">
        <v>7</v>
      </c>
      <c r="L1" s="8" t="s">
        <v>8</v>
      </c>
      <c r="M1" s="6" t="s">
        <v>9</v>
      </c>
      <c r="N1" s="8" t="s">
        <v>10</v>
      </c>
    </row>
    <row r="2" spans="1:14" x14ac:dyDescent="0.25">
      <c r="A2" s="3">
        <v>42309</v>
      </c>
      <c r="B2" s="1" t="s">
        <v>25</v>
      </c>
      <c r="C2" s="1">
        <v>172.5</v>
      </c>
      <c r="D2" s="1">
        <v>660</v>
      </c>
      <c r="E2" s="1">
        <v>0</v>
      </c>
      <c r="F2" s="1">
        <v>123</v>
      </c>
      <c r="G2" s="1">
        <v>132</v>
      </c>
      <c r="H2" s="12" t="s">
        <v>29</v>
      </c>
      <c r="I2" s="1">
        <v>1</v>
      </c>
      <c r="J2" s="1" t="s">
        <v>5</v>
      </c>
      <c r="K2" s="2" t="e">
        <f>#REF!</f>
        <v>#REF!</v>
      </c>
      <c r="L2" s="12">
        <v>0</v>
      </c>
      <c r="M2" s="1" t="s">
        <v>12</v>
      </c>
      <c r="N2" s="12">
        <v>0</v>
      </c>
    </row>
    <row r="3" spans="1:14" x14ac:dyDescent="0.25">
      <c r="A3" s="3"/>
      <c r="K3" s="2"/>
      <c r="L3" s="12"/>
    </row>
    <row r="4" spans="1:14" x14ac:dyDescent="0.25">
      <c r="A4" s="4"/>
      <c r="K4" s="2"/>
    </row>
    <row r="5" spans="1:14" x14ac:dyDescent="0.25">
      <c r="A5" s="4"/>
      <c r="K5" s="2"/>
    </row>
    <row r="6" spans="1:14" x14ac:dyDescent="0.25">
      <c r="A6" s="3"/>
      <c r="K6" s="2"/>
    </row>
    <row r="7" spans="1:14" x14ac:dyDescent="0.25">
      <c r="A7" s="4"/>
      <c r="K7" s="2"/>
    </row>
    <row r="8" spans="1:14" x14ac:dyDescent="0.25">
      <c r="A8" s="4"/>
      <c r="G8" s="5"/>
      <c r="K8" s="2"/>
    </row>
    <row r="9" spans="1:14" x14ac:dyDescent="0.25">
      <c r="A9" s="4"/>
      <c r="K9" s="2"/>
    </row>
    <row r="10" spans="1:14" x14ac:dyDescent="0.25">
      <c r="A10" s="4"/>
      <c r="K10" s="2"/>
    </row>
    <row r="11" spans="1:14" x14ac:dyDescent="0.25">
      <c r="A11" s="4"/>
      <c r="K11" s="2"/>
    </row>
    <row r="12" spans="1:14" x14ac:dyDescent="0.25">
      <c r="A12" s="4"/>
      <c r="K12" s="2"/>
    </row>
    <row r="13" spans="1:14" x14ac:dyDescent="0.25">
      <c r="A13" s="4"/>
      <c r="K13" s="2"/>
    </row>
    <row r="14" spans="1:14" x14ac:dyDescent="0.25">
      <c r="A14" s="4"/>
      <c r="K14" s="2"/>
    </row>
    <row r="15" spans="1:14" x14ac:dyDescent="0.25">
      <c r="A15" s="4"/>
      <c r="K15" s="2"/>
    </row>
    <row r="16" spans="1:14" x14ac:dyDescent="0.25">
      <c r="A16" s="4"/>
      <c r="K16" s="2"/>
    </row>
    <row r="17" spans="1:14" x14ac:dyDescent="0.25">
      <c r="A17" s="4"/>
      <c r="K17" s="2"/>
    </row>
    <row r="18" spans="1:14" x14ac:dyDescent="0.25">
      <c r="A18" s="4"/>
      <c r="K18" s="2"/>
    </row>
    <row r="19" spans="1:14" x14ac:dyDescent="0.25">
      <c r="K19" s="2"/>
    </row>
    <row r="20" spans="1:14" x14ac:dyDescent="0.25">
      <c r="K20" s="2"/>
    </row>
    <row r="21" spans="1:14" x14ac:dyDescent="0.25">
      <c r="K21" s="2"/>
    </row>
    <row r="22" spans="1:14" x14ac:dyDescent="0.25">
      <c r="K22" s="2"/>
    </row>
    <row r="23" spans="1:14" x14ac:dyDescent="0.25">
      <c r="K23" s="2"/>
    </row>
    <row r="24" spans="1:14" x14ac:dyDescent="0.25">
      <c r="A24" s="6"/>
      <c r="K24" s="2"/>
    </row>
    <row r="25" spans="1:14" x14ac:dyDescent="0.25">
      <c r="K25" s="2"/>
    </row>
    <row r="26" spans="1:14" x14ac:dyDescent="0.25">
      <c r="K26" s="2"/>
    </row>
    <row r="27" spans="1:14" x14ac:dyDescent="0.25">
      <c r="K27" s="2"/>
    </row>
    <row r="28" spans="1:14" x14ac:dyDescent="0.25">
      <c r="K28" s="2"/>
    </row>
    <row r="29" spans="1:14" x14ac:dyDescent="0.25">
      <c r="K29" s="2"/>
    </row>
    <row r="30" spans="1:14" x14ac:dyDescent="0.25">
      <c r="K30" s="2"/>
    </row>
    <row r="31" spans="1:14" x14ac:dyDescent="0.25">
      <c r="K31" s="2"/>
    </row>
    <row r="32" spans="1:14" x14ac:dyDescent="0.25">
      <c r="A32" s="2">
        <f>VLOOKUP(9^9,A17_4[Date],1)</f>
        <v>42309</v>
      </c>
      <c r="B32" s="1" t="str">
        <f>VLOOKUP(CHAR(255),A17_4[Type],1)</f>
        <v>Lisse</v>
      </c>
      <c r="C32" s="1">
        <f>VLOOKUP(9^9,A17_4[Ø],1)</f>
        <v>172.5</v>
      </c>
      <c r="D32" s="1">
        <f>VLOOKUP(9^9,A17_4[Lg sous
tête],1)</f>
        <v>660</v>
      </c>
      <c r="E32" s="1">
        <f>VLOOKUP(9^9,A17_4[Lg av. filet],1)</f>
        <v>0</v>
      </c>
      <c r="F32" s="1">
        <f>VLOOKUP(9^9,A17_4[Poids],1)</f>
        <v>123</v>
      </c>
      <c r="G32" s="1">
        <f>VLOOKUP(9^9,A17_4[Dureté
(Kg/mm²)],1)</f>
        <v>132</v>
      </c>
      <c r="H32" s="1" t="str">
        <f>VLOOKUP(CHAR(255),A17_4[Status],1)</f>
        <v>A Définir</v>
      </c>
      <c r="I32" s="1">
        <f>VLOOKUP(9^9,A17_4[Qté],1)</f>
        <v>1</v>
      </c>
      <c r="J32" s="1" t="str">
        <f>VLOOKUP(CHAR(255),A17_4[Zone],1)</f>
        <v>Contrôle</v>
      </c>
      <c r="K32" s="2" t="e">
        <f>VLOOKUP(9^9,A17_4[Date CND],1)</f>
        <v>#N/A</v>
      </c>
      <c r="L32" s="1">
        <f>VLOOKUP(9^9,A17_4[N° Certif.
Matière],1)</f>
        <v>0</v>
      </c>
      <c r="M32" s="1" t="str">
        <f>VLOOKUP(CHAR(255),A17_4[Utilisé par],1)</f>
        <v>-</v>
      </c>
      <c r="N32" s="1">
        <f>SUM(N2:N31)</f>
        <v>0</v>
      </c>
    </row>
  </sheetData>
  <sheetProtection selectLockedCells="1" selectUnlockedCells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Header>&amp;L&amp;"-,Gras"&amp;20&amp;F
&amp;G&amp;C&amp;20&amp;A&amp;R&amp;P/&amp;N</oddHeader>
    <oddFooter>&amp;L&amp;Z&amp;F&amp;R&amp;D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041" r:id="rId4" name="Button 177">
              <controlPr defaultSize="0" print="0" autoFill="0" autoPict="0" macro="[0]!GoToRecap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1">
    <pageSetUpPr fitToPage="1"/>
  </sheetPr>
  <dimension ref="A1:N32"/>
  <sheetViews>
    <sheetView showRuler="0" zoomScaleNormal="100" workbookViewId="0">
      <selection activeCell="H37" sqref="H37"/>
    </sheetView>
  </sheetViews>
  <sheetFormatPr baseColWidth="10" defaultRowHeight="15" x14ac:dyDescent="0.25"/>
  <cols>
    <col min="1" max="1" width="10.5703125" style="1" bestFit="1" customWidth="1"/>
    <col min="2" max="2" width="7.5703125" style="1" bestFit="1" customWidth="1"/>
    <col min="3" max="3" width="4.5703125" style="1" bestFit="1" customWidth="1"/>
    <col min="4" max="4" width="9.5703125" style="1" bestFit="1" customWidth="1"/>
    <col min="5" max="5" width="12.140625" style="1" bestFit="1" customWidth="1"/>
    <col min="6" max="6" width="8" style="1" bestFit="1" customWidth="1"/>
    <col min="7" max="7" width="11.85546875" style="1" bestFit="1" customWidth="1"/>
    <col min="8" max="8" width="8.85546875" style="1" bestFit="1" customWidth="1"/>
    <col min="9" max="9" width="6.42578125" style="1" bestFit="1" customWidth="1"/>
    <col min="10" max="10" width="8.7109375" style="1" bestFit="1" customWidth="1"/>
    <col min="11" max="11" width="11.5703125" style="11" bestFit="1" customWidth="1"/>
    <col min="12" max="12" width="11.42578125" style="1" bestFit="1" customWidth="1"/>
    <col min="13" max="13" width="12.28515625" style="1" bestFit="1" customWidth="1"/>
    <col min="14" max="14" width="14.42578125" style="1" bestFit="1" customWidth="1"/>
    <col min="15" max="16384" width="11.42578125" style="1"/>
  </cols>
  <sheetData>
    <row r="1" spans="1:14" s="6" customFormat="1" ht="30" x14ac:dyDescent="0.25">
      <c r="A1" s="6" t="s">
        <v>3</v>
      </c>
      <c r="B1" s="8" t="s">
        <v>24</v>
      </c>
      <c r="C1" s="6" t="s">
        <v>23</v>
      </c>
      <c r="D1" s="8" t="s">
        <v>11</v>
      </c>
      <c r="E1" s="6" t="s">
        <v>6</v>
      </c>
      <c r="F1" s="6" t="s">
        <v>26</v>
      </c>
      <c r="G1" s="8" t="s">
        <v>27</v>
      </c>
      <c r="H1" s="6" t="s">
        <v>1</v>
      </c>
      <c r="I1" s="6" t="s">
        <v>2</v>
      </c>
      <c r="J1" s="6" t="s">
        <v>4</v>
      </c>
      <c r="K1" s="10" t="s">
        <v>7</v>
      </c>
      <c r="L1" s="8" t="s">
        <v>8</v>
      </c>
      <c r="M1" s="6" t="s">
        <v>9</v>
      </c>
      <c r="N1" s="8" t="s">
        <v>10</v>
      </c>
    </row>
    <row r="2" spans="1:14" x14ac:dyDescent="0.25">
      <c r="A2" s="3">
        <v>42309</v>
      </c>
      <c r="B2" s="1" t="s">
        <v>25</v>
      </c>
      <c r="C2" s="1">
        <v>173</v>
      </c>
      <c r="D2" s="1">
        <v>662</v>
      </c>
      <c r="E2" s="1">
        <v>0</v>
      </c>
      <c r="F2" s="1">
        <v>124</v>
      </c>
      <c r="G2" s="1">
        <v>107</v>
      </c>
      <c r="H2" s="12" t="s">
        <v>29</v>
      </c>
      <c r="I2" s="1">
        <v>1</v>
      </c>
      <c r="J2" s="1" t="s">
        <v>5</v>
      </c>
      <c r="K2" s="2" t="e">
        <f>#REF!</f>
        <v>#REF!</v>
      </c>
      <c r="L2" s="12">
        <v>0</v>
      </c>
      <c r="M2" s="1" t="s">
        <v>12</v>
      </c>
      <c r="N2" s="12">
        <v>0</v>
      </c>
    </row>
    <row r="3" spans="1:14" x14ac:dyDescent="0.25">
      <c r="A3" s="3"/>
      <c r="K3" s="2"/>
      <c r="L3" s="12"/>
    </row>
    <row r="4" spans="1:14" x14ac:dyDescent="0.25">
      <c r="A4" s="4"/>
      <c r="K4" s="2"/>
    </row>
    <row r="5" spans="1:14" x14ac:dyDescent="0.25">
      <c r="A5" s="4"/>
      <c r="K5" s="2"/>
    </row>
    <row r="6" spans="1:14" x14ac:dyDescent="0.25">
      <c r="A6" s="3"/>
      <c r="K6" s="2"/>
    </row>
    <row r="7" spans="1:14" x14ac:dyDescent="0.25">
      <c r="A7" s="4"/>
      <c r="K7" s="2"/>
    </row>
    <row r="8" spans="1:14" x14ac:dyDescent="0.25">
      <c r="A8" s="4"/>
      <c r="G8" s="5"/>
      <c r="K8" s="2"/>
    </row>
    <row r="9" spans="1:14" x14ac:dyDescent="0.25">
      <c r="A9" s="4"/>
      <c r="K9" s="2"/>
    </row>
    <row r="10" spans="1:14" x14ac:dyDescent="0.25">
      <c r="A10" s="4"/>
      <c r="K10" s="2"/>
    </row>
    <row r="11" spans="1:14" x14ac:dyDescent="0.25">
      <c r="A11" s="4"/>
      <c r="K11" s="2"/>
    </row>
    <row r="12" spans="1:14" x14ac:dyDescent="0.25">
      <c r="A12" s="4"/>
      <c r="K12" s="2"/>
    </row>
    <row r="13" spans="1:14" x14ac:dyDescent="0.25">
      <c r="A13" s="4"/>
      <c r="K13" s="2"/>
    </row>
    <row r="14" spans="1:14" x14ac:dyDescent="0.25">
      <c r="A14" s="4"/>
      <c r="K14" s="2"/>
    </row>
    <row r="15" spans="1:14" x14ac:dyDescent="0.25">
      <c r="A15" s="4"/>
      <c r="K15" s="2"/>
    </row>
    <row r="16" spans="1:14" x14ac:dyDescent="0.25">
      <c r="A16" s="4"/>
      <c r="K16" s="2"/>
    </row>
    <row r="17" spans="1:14" x14ac:dyDescent="0.25">
      <c r="A17" s="4"/>
      <c r="K17" s="2"/>
    </row>
    <row r="18" spans="1:14" x14ac:dyDescent="0.25">
      <c r="A18" s="4"/>
      <c r="K18" s="2"/>
    </row>
    <row r="19" spans="1:14" x14ac:dyDescent="0.25">
      <c r="K19" s="2"/>
    </row>
    <row r="20" spans="1:14" x14ac:dyDescent="0.25">
      <c r="K20" s="2"/>
    </row>
    <row r="21" spans="1:14" x14ac:dyDescent="0.25">
      <c r="K21" s="2"/>
    </row>
    <row r="22" spans="1:14" x14ac:dyDescent="0.25">
      <c r="K22" s="2"/>
    </row>
    <row r="23" spans="1:14" x14ac:dyDescent="0.25">
      <c r="K23" s="2"/>
    </row>
    <row r="24" spans="1:14" x14ac:dyDescent="0.25">
      <c r="A24" s="6"/>
      <c r="K24" s="2"/>
    </row>
    <row r="25" spans="1:14" x14ac:dyDescent="0.25">
      <c r="K25" s="2"/>
    </row>
    <row r="26" spans="1:14" x14ac:dyDescent="0.25">
      <c r="K26" s="2"/>
    </row>
    <row r="27" spans="1:14" x14ac:dyDescent="0.25">
      <c r="K27" s="2"/>
    </row>
    <row r="28" spans="1:14" x14ac:dyDescent="0.25">
      <c r="K28" s="2"/>
    </row>
    <row r="29" spans="1:14" x14ac:dyDescent="0.25">
      <c r="K29" s="2"/>
    </row>
    <row r="30" spans="1:14" x14ac:dyDescent="0.25">
      <c r="K30" s="2"/>
    </row>
    <row r="31" spans="1:14" x14ac:dyDescent="0.25">
      <c r="K31" s="2"/>
    </row>
    <row r="32" spans="1:14" x14ac:dyDescent="0.25">
      <c r="A32" s="2">
        <f>VLOOKUP(9^9,A17_5[Date],1)</f>
        <v>42309</v>
      </c>
      <c r="B32" s="1" t="str">
        <f>VLOOKUP(CHAR(255),A17_5[Type],1)</f>
        <v>Lisse</v>
      </c>
      <c r="C32" s="1">
        <f>VLOOKUP(9^9,A17_5[Ø],1)</f>
        <v>173</v>
      </c>
      <c r="D32" s="1">
        <f>VLOOKUP(9^9,A17_5[Lg sous
tête],1)</f>
        <v>662</v>
      </c>
      <c r="E32" s="1">
        <f>VLOOKUP(9^9,A17_5[Lg av. filet],1)</f>
        <v>0</v>
      </c>
      <c r="F32" s="1">
        <f>VLOOKUP(9^9,A17_5[Poids],1)</f>
        <v>124</v>
      </c>
      <c r="G32" s="1">
        <f>VLOOKUP(9^9,A17_5[Dureté
(Kg/mm²)],1)</f>
        <v>107</v>
      </c>
      <c r="H32" s="1" t="str">
        <f>VLOOKUP(CHAR(255),A17_5[Status],1)</f>
        <v>A Définir</v>
      </c>
      <c r="I32" s="1">
        <f>VLOOKUP(9^9,A17_5[Qté],1)</f>
        <v>1</v>
      </c>
      <c r="J32" s="1" t="str">
        <f>VLOOKUP(CHAR(255),A17_5[Zone],1)</f>
        <v>Contrôle</v>
      </c>
      <c r="K32" s="2" t="e">
        <f>VLOOKUP(9^9,A17_5[Date CND],1)</f>
        <v>#N/A</v>
      </c>
      <c r="L32" s="1">
        <f>VLOOKUP(9^9,A17_5[N° Certif.
Matière],1)</f>
        <v>0</v>
      </c>
      <c r="M32" s="1" t="str">
        <f>VLOOKUP(CHAR(255),A17_5[Utilisé par],1)</f>
        <v>-</v>
      </c>
      <c r="N32" s="1">
        <f>SUM(N2:N31)</f>
        <v>0</v>
      </c>
    </row>
  </sheetData>
  <sheetProtection selectLockedCells="1" selectUnlockedCells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fitToHeight="0" orientation="landscape" r:id="rId1"/>
  <headerFooter>
    <oddHeader>&amp;L&amp;"-,Gras"&amp;20&amp;F
&amp;G&amp;C&amp;20&amp;A&amp;R&amp;P/&amp;N</oddHeader>
    <oddFooter>&amp;L&amp;Z&amp;F&amp;R&amp;D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065" r:id="rId4" name="Button 177">
              <controlPr defaultSize="0" print="0" autoFill="0" autoPict="0" macro="[0]!GoToRecap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>
    <pageSetUpPr fitToPage="1"/>
  </sheetPr>
  <dimension ref="A1:N32"/>
  <sheetViews>
    <sheetView showRuler="0" zoomScaleNormal="100" workbookViewId="0">
      <selection activeCell="H37" sqref="H37"/>
    </sheetView>
  </sheetViews>
  <sheetFormatPr baseColWidth="10" defaultRowHeight="15" x14ac:dyDescent="0.25"/>
  <cols>
    <col min="1" max="1" width="10.5703125" style="1" bestFit="1" customWidth="1"/>
    <col min="2" max="2" width="7.5703125" style="1" bestFit="1" customWidth="1"/>
    <col min="3" max="3" width="6" style="1" bestFit="1" customWidth="1"/>
    <col min="4" max="4" width="9.5703125" style="1" bestFit="1" customWidth="1"/>
    <col min="5" max="5" width="12.140625" style="1" bestFit="1" customWidth="1"/>
    <col min="6" max="6" width="8" style="1" bestFit="1" customWidth="1"/>
    <col min="7" max="7" width="11.85546875" style="1" bestFit="1" customWidth="1"/>
    <col min="8" max="8" width="8.85546875" style="1" bestFit="1" customWidth="1"/>
    <col min="9" max="9" width="6.42578125" style="1" bestFit="1" customWidth="1"/>
    <col min="10" max="10" width="8.7109375" style="1" bestFit="1" customWidth="1"/>
    <col min="11" max="11" width="11.5703125" style="11" bestFit="1" customWidth="1"/>
    <col min="12" max="12" width="11.42578125" style="1" bestFit="1" customWidth="1"/>
    <col min="13" max="13" width="12.28515625" style="1" bestFit="1" customWidth="1"/>
    <col min="14" max="14" width="14.42578125" style="1" bestFit="1" customWidth="1"/>
    <col min="15" max="16384" width="11.42578125" style="1"/>
  </cols>
  <sheetData>
    <row r="1" spans="1:14" s="6" customFormat="1" ht="30" x14ac:dyDescent="0.25">
      <c r="A1" s="6" t="s">
        <v>3</v>
      </c>
      <c r="B1" s="8" t="s">
        <v>24</v>
      </c>
      <c r="C1" s="6" t="s">
        <v>23</v>
      </c>
      <c r="D1" s="8" t="s">
        <v>11</v>
      </c>
      <c r="E1" s="6" t="s">
        <v>6</v>
      </c>
      <c r="F1" s="6" t="s">
        <v>26</v>
      </c>
      <c r="G1" s="8" t="s">
        <v>27</v>
      </c>
      <c r="H1" s="6" t="s">
        <v>1</v>
      </c>
      <c r="I1" s="6" t="s">
        <v>2</v>
      </c>
      <c r="J1" s="6" t="s">
        <v>4</v>
      </c>
      <c r="K1" s="10" t="s">
        <v>7</v>
      </c>
      <c r="L1" s="8" t="s">
        <v>8</v>
      </c>
      <c r="M1" s="6" t="s">
        <v>9</v>
      </c>
      <c r="N1" s="8" t="s">
        <v>10</v>
      </c>
    </row>
    <row r="2" spans="1:14" x14ac:dyDescent="0.25">
      <c r="A2" s="3">
        <v>42309</v>
      </c>
      <c r="B2" s="1" t="s">
        <v>25</v>
      </c>
      <c r="C2" s="1">
        <v>174.7</v>
      </c>
      <c r="D2" s="1">
        <v>553</v>
      </c>
      <c r="E2" s="1">
        <v>0</v>
      </c>
      <c r="F2" s="1">
        <v>106</v>
      </c>
      <c r="G2" s="1">
        <v>107</v>
      </c>
      <c r="H2" s="12" t="s">
        <v>29</v>
      </c>
      <c r="I2" s="1">
        <v>1</v>
      </c>
      <c r="J2" s="1" t="s">
        <v>5</v>
      </c>
      <c r="K2" s="2" t="e">
        <f>#REF!</f>
        <v>#REF!</v>
      </c>
      <c r="L2" s="12">
        <v>0</v>
      </c>
      <c r="M2" s="1" t="s">
        <v>12</v>
      </c>
      <c r="N2" s="12">
        <v>0</v>
      </c>
    </row>
    <row r="3" spans="1:14" x14ac:dyDescent="0.25">
      <c r="A3" s="3"/>
      <c r="K3" s="2"/>
      <c r="L3" s="12"/>
    </row>
    <row r="4" spans="1:14" x14ac:dyDescent="0.25">
      <c r="A4" s="4"/>
      <c r="K4" s="2"/>
    </row>
    <row r="5" spans="1:14" x14ac:dyDescent="0.25">
      <c r="A5" s="4"/>
      <c r="K5" s="2"/>
    </row>
    <row r="6" spans="1:14" x14ac:dyDescent="0.25">
      <c r="A6" s="3"/>
      <c r="K6" s="2"/>
    </row>
    <row r="7" spans="1:14" x14ac:dyDescent="0.25">
      <c r="A7" s="4"/>
      <c r="K7" s="2"/>
    </row>
    <row r="8" spans="1:14" x14ac:dyDescent="0.25">
      <c r="A8" s="4"/>
      <c r="G8" s="5"/>
      <c r="K8" s="2"/>
    </row>
    <row r="9" spans="1:14" x14ac:dyDescent="0.25">
      <c r="A9" s="4"/>
      <c r="K9" s="2"/>
    </row>
    <row r="10" spans="1:14" x14ac:dyDescent="0.25">
      <c r="A10" s="4"/>
      <c r="K10" s="2"/>
    </row>
    <row r="11" spans="1:14" x14ac:dyDescent="0.25">
      <c r="A11" s="4"/>
      <c r="K11" s="2"/>
    </row>
    <row r="12" spans="1:14" x14ac:dyDescent="0.25">
      <c r="A12" s="4"/>
      <c r="K12" s="2"/>
    </row>
    <row r="13" spans="1:14" x14ac:dyDescent="0.25">
      <c r="A13" s="4"/>
      <c r="K13" s="2"/>
    </row>
    <row r="14" spans="1:14" x14ac:dyDescent="0.25">
      <c r="A14" s="4"/>
      <c r="K14" s="2"/>
    </row>
    <row r="15" spans="1:14" x14ac:dyDescent="0.25">
      <c r="A15" s="4"/>
      <c r="K15" s="2"/>
    </row>
    <row r="16" spans="1:14" x14ac:dyDescent="0.25">
      <c r="A16" s="4"/>
      <c r="K16" s="2"/>
    </row>
    <row r="17" spans="1:14" x14ac:dyDescent="0.25">
      <c r="A17" s="4"/>
      <c r="K17" s="2"/>
    </row>
    <row r="18" spans="1:14" x14ac:dyDescent="0.25">
      <c r="A18" s="4"/>
      <c r="K18" s="2"/>
    </row>
    <row r="19" spans="1:14" x14ac:dyDescent="0.25">
      <c r="K19" s="2"/>
    </row>
    <row r="20" spans="1:14" x14ac:dyDescent="0.25">
      <c r="K20" s="2"/>
    </row>
    <row r="21" spans="1:14" x14ac:dyDescent="0.25">
      <c r="K21" s="2"/>
    </row>
    <row r="22" spans="1:14" x14ac:dyDescent="0.25">
      <c r="K22" s="2"/>
    </row>
    <row r="23" spans="1:14" x14ac:dyDescent="0.25">
      <c r="K23" s="2"/>
    </row>
    <row r="24" spans="1:14" x14ac:dyDescent="0.25">
      <c r="A24" s="6"/>
      <c r="K24" s="2"/>
    </row>
    <row r="25" spans="1:14" x14ac:dyDescent="0.25">
      <c r="K25" s="2"/>
    </row>
    <row r="26" spans="1:14" x14ac:dyDescent="0.25">
      <c r="K26" s="2"/>
    </row>
    <row r="27" spans="1:14" x14ac:dyDescent="0.25">
      <c r="K27" s="2"/>
    </row>
    <row r="28" spans="1:14" x14ac:dyDescent="0.25">
      <c r="K28" s="2"/>
    </row>
    <row r="29" spans="1:14" x14ac:dyDescent="0.25">
      <c r="K29" s="2"/>
    </row>
    <row r="30" spans="1:14" x14ac:dyDescent="0.25">
      <c r="K30" s="2"/>
    </row>
    <row r="31" spans="1:14" x14ac:dyDescent="0.25">
      <c r="K31" s="2"/>
    </row>
    <row r="32" spans="1:14" x14ac:dyDescent="0.25">
      <c r="A32" s="2">
        <f>VLOOKUP(9^9,A17_6[Date],1)</f>
        <v>42309</v>
      </c>
      <c r="B32" s="1" t="str">
        <f>VLOOKUP(CHAR(255),A17_6[Type],1)</f>
        <v>Lisse</v>
      </c>
      <c r="C32" s="1">
        <f>VLOOKUP(9^9,A17_6[Ø],1)</f>
        <v>174.7</v>
      </c>
      <c r="D32" s="1">
        <f>VLOOKUP(9^9,A17_6[Lg sous
tête],1)</f>
        <v>553</v>
      </c>
      <c r="E32" s="1">
        <f>VLOOKUP(9^9,A17_6[Lg av. filet],1)</f>
        <v>0</v>
      </c>
      <c r="F32" s="1">
        <f>VLOOKUP(9^9,A17_6[Poids],1)</f>
        <v>106</v>
      </c>
      <c r="G32" s="1">
        <f>VLOOKUP(9^9,A17_6[Dureté
(Kg/mm²)],1)</f>
        <v>107</v>
      </c>
      <c r="H32" s="1" t="str">
        <f>VLOOKUP(CHAR(255),A17_6[Status],1)</f>
        <v>A Définir</v>
      </c>
      <c r="I32" s="1">
        <f>VLOOKUP(9^9,A17_6[Qté],1)</f>
        <v>1</v>
      </c>
      <c r="J32" s="1" t="str">
        <f>VLOOKUP(CHAR(255),A17_6[Zone],1)</f>
        <v>Contrôle</v>
      </c>
      <c r="K32" s="2" t="e">
        <f>VLOOKUP(9^9,A17_6[Date CND],1)</f>
        <v>#N/A</v>
      </c>
      <c r="L32" s="1">
        <f>VLOOKUP(9^9,A17_6[N° Certif.
Matière],1)</f>
        <v>0</v>
      </c>
      <c r="M32" s="1" t="str">
        <f>VLOOKUP(CHAR(255),A17_6[Utilisé par],1)</f>
        <v>-</v>
      </c>
      <c r="N32" s="1">
        <f>SUM(N2:N31)</f>
        <v>0</v>
      </c>
    </row>
  </sheetData>
  <sheetProtection selectLockedCells="1" selectUnlockedCells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Header>&amp;L&amp;"-,Gras"&amp;20&amp;F
&amp;G&amp;C&amp;20&amp;A&amp;R&amp;P/&amp;N</oddHeader>
    <oddFooter>&amp;L&amp;Z&amp;F&amp;R&amp;D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089" r:id="rId4" name="Button 177">
              <controlPr defaultSize="0" print="0" autoFill="0" autoPict="0" macro="[0]!GoToRecap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3">
    <pageSetUpPr fitToPage="1"/>
  </sheetPr>
  <dimension ref="A1:N32"/>
  <sheetViews>
    <sheetView showRuler="0" zoomScaleNormal="100" workbookViewId="0">
      <selection activeCell="H37" sqref="H37"/>
    </sheetView>
  </sheetViews>
  <sheetFormatPr baseColWidth="10" defaultRowHeight="15" x14ac:dyDescent="0.25"/>
  <cols>
    <col min="1" max="1" width="10.5703125" style="1" bestFit="1" customWidth="1"/>
    <col min="2" max="2" width="7.5703125" style="1" bestFit="1" customWidth="1"/>
    <col min="3" max="3" width="6" style="1" bestFit="1" customWidth="1"/>
    <col min="4" max="4" width="9.5703125" style="1" bestFit="1" customWidth="1"/>
    <col min="5" max="5" width="12.140625" style="1" bestFit="1" customWidth="1"/>
    <col min="6" max="6" width="8" style="1" bestFit="1" customWidth="1"/>
    <col min="7" max="7" width="11.85546875" style="1" bestFit="1" customWidth="1"/>
    <col min="8" max="8" width="8.85546875" style="1" bestFit="1" customWidth="1"/>
    <col min="9" max="9" width="6.42578125" style="1" bestFit="1" customWidth="1"/>
    <col min="10" max="10" width="8.7109375" style="1" bestFit="1" customWidth="1"/>
    <col min="11" max="11" width="11.5703125" style="11" bestFit="1" customWidth="1"/>
    <col min="12" max="12" width="11.42578125" style="1" bestFit="1" customWidth="1"/>
    <col min="13" max="13" width="12.28515625" style="1" bestFit="1" customWidth="1"/>
    <col min="14" max="14" width="14.42578125" style="1" bestFit="1" customWidth="1"/>
    <col min="15" max="16384" width="11.42578125" style="1"/>
  </cols>
  <sheetData>
    <row r="1" spans="1:14" s="6" customFormat="1" ht="30" x14ac:dyDescent="0.25">
      <c r="A1" s="6" t="s">
        <v>3</v>
      </c>
      <c r="B1" s="8" t="s">
        <v>24</v>
      </c>
      <c r="C1" s="6" t="s">
        <v>23</v>
      </c>
      <c r="D1" s="8" t="s">
        <v>11</v>
      </c>
      <c r="E1" s="6" t="s">
        <v>6</v>
      </c>
      <c r="F1" s="6" t="s">
        <v>26</v>
      </c>
      <c r="G1" s="8" t="s">
        <v>27</v>
      </c>
      <c r="H1" s="6" t="s">
        <v>1</v>
      </c>
      <c r="I1" s="6" t="s">
        <v>2</v>
      </c>
      <c r="J1" s="6" t="s">
        <v>4</v>
      </c>
      <c r="K1" s="10" t="s">
        <v>7</v>
      </c>
      <c r="L1" s="8" t="s">
        <v>8</v>
      </c>
      <c r="M1" s="6" t="s">
        <v>9</v>
      </c>
      <c r="N1" s="8" t="s">
        <v>10</v>
      </c>
    </row>
    <row r="2" spans="1:14" x14ac:dyDescent="0.25">
      <c r="A2" s="3">
        <v>42309</v>
      </c>
      <c r="B2" s="1" t="s">
        <v>28</v>
      </c>
      <c r="C2" s="1">
        <v>175.1</v>
      </c>
      <c r="D2" s="1">
        <v>713</v>
      </c>
      <c r="E2" s="1">
        <v>541</v>
      </c>
      <c r="F2" s="1">
        <v>136</v>
      </c>
      <c r="G2" s="1">
        <v>107</v>
      </c>
      <c r="H2" s="12" t="s">
        <v>29</v>
      </c>
      <c r="I2" s="1">
        <v>1</v>
      </c>
      <c r="J2" s="1" t="s">
        <v>5</v>
      </c>
      <c r="K2" s="2" t="e">
        <f>#REF!</f>
        <v>#REF!</v>
      </c>
      <c r="L2" s="12">
        <v>0</v>
      </c>
      <c r="M2" s="1" t="s">
        <v>12</v>
      </c>
      <c r="N2" s="12">
        <v>0</v>
      </c>
    </row>
    <row r="3" spans="1:14" x14ac:dyDescent="0.25">
      <c r="A3" s="3"/>
      <c r="K3" s="2"/>
      <c r="L3" s="12"/>
    </row>
    <row r="4" spans="1:14" x14ac:dyDescent="0.25">
      <c r="A4" s="4"/>
      <c r="K4" s="2"/>
    </row>
    <row r="5" spans="1:14" x14ac:dyDescent="0.25">
      <c r="A5" s="4"/>
      <c r="K5" s="2"/>
    </row>
    <row r="6" spans="1:14" x14ac:dyDescent="0.25">
      <c r="A6" s="3"/>
      <c r="K6" s="2"/>
    </row>
    <row r="7" spans="1:14" x14ac:dyDescent="0.25">
      <c r="A7" s="4"/>
      <c r="K7" s="2"/>
    </row>
    <row r="8" spans="1:14" x14ac:dyDescent="0.25">
      <c r="A8" s="4"/>
      <c r="G8" s="5"/>
      <c r="K8" s="2"/>
    </row>
    <row r="9" spans="1:14" x14ac:dyDescent="0.25">
      <c r="A9" s="4"/>
      <c r="K9" s="2"/>
    </row>
    <row r="10" spans="1:14" x14ac:dyDescent="0.25">
      <c r="A10" s="4"/>
      <c r="K10" s="2"/>
    </row>
    <row r="11" spans="1:14" x14ac:dyDescent="0.25">
      <c r="A11" s="4"/>
      <c r="K11" s="2"/>
    </row>
    <row r="12" spans="1:14" x14ac:dyDescent="0.25">
      <c r="A12" s="4"/>
      <c r="K12" s="2"/>
    </row>
    <row r="13" spans="1:14" x14ac:dyDescent="0.25">
      <c r="A13" s="4"/>
      <c r="K13" s="2"/>
    </row>
    <row r="14" spans="1:14" x14ac:dyDescent="0.25">
      <c r="A14" s="4"/>
      <c r="K14" s="2"/>
    </row>
    <row r="15" spans="1:14" x14ac:dyDescent="0.25">
      <c r="A15" s="4"/>
      <c r="K15" s="2"/>
    </row>
    <row r="16" spans="1:14" x14ac:dyDescent="0.25">
      <c r="A16" s="4"/>
      <c r="K16" s="2"/>
    </row>
    <row r="17" spans="1:14" x14ac:dyDescent="0.25">
      <c r="A17" s="4"/>
      <c r="K17" s="2"/>
    </row>
    <row r="18" spans="1:14" x14ac:dyDescent="0.25">
      <c r="A18" s="4"/>
      <c r="K18" s="2"/>
    </row>
    <row r="19" spans="1:14" x14ac:dyDescent="0.25">
      <c r="K19" s="2"/>
    </row>
    <row r="20" spans="1:14" x14ac:dyDescent="0.25">
      <c r="K20" s="2"/>
    </row>
    <row r="21" spans="1:14" x14ac:dyDescent="0.25">
      <c r="K21" s="2"/>
    </row>
    <row r="22" spans="1:14" x14ac:dyDescent="0.25">
      <c r="K22" s="2"/>
    </row>
    <row r="23" spans="1:14" x14ac:dyDescent="0.25">
      <c r="K23" s="2"/>
    </row>
    <row r="24" spans="1:14" x14ac:dyDescent="0.25">
      <c r="A24" s="6"/>
      <c r="K24" s="2"/>
    </row>
    <row r="25" spans="1:14" x14ac:dyDescent="0.25">
      <c r="K25" s="2"/>
    </row>
    <row r="26" spans="1:14" x14ac:dyDescent="0.25">
      <c r="K26" s="2"/>
    </row>
    <row r="27" spans="1:14" x14ac:dyDescent="0.25">
      <c r="K27" s="2"/>
    </row>
    <row r="28" spans="1:14" x14ac:dyDescent="0.25">
      <c r="K28" s="2"/>
    </row>
    <row r="29" spans="1:14" x14ac:dyDescent="0.25">
      <c r="K29" s="2"/>
    </row>
    <row r="30" spans="1:14" x14ac:dyDescent="0.25">
      <c r="K30" s="2"/>
    </row>
    <row r="31" spans="1:14" x14ac:dyDescent="0.25">
      <c r="K31" s="2"/>
    </row>
    <row r="32" spans="1:14" x14ac:dyDescent="0.25">
      <c r="A32" s="2">
        <f>VLOOKUP(9^9,A17_7[Date],1)</f>
        <v>42309</v>
      </c>
      <c r="B32" s="1" t="str">
        <f>VLOOKUP(CHAR(255),A17_7[Type],1)</f>
        <v>Filetée</v>
      </c>
      <c r="C32" s="1">
        <f>VLOOKUP(9^9,A17_7[Ø],1)</f>
        <v>175.1</v>
      </c>
      <c r="D32" s="1">
        <f>VLOOKUP(9^9,A17_7[Lg sous
tête],1)</f>
        <v>713</v>
      </c>
      <c r="E32" s="1">
        <f>VLOOKUP(9^9,A17_7[Lg av. filet],1)</f>
        <v>541</v>
      </c>
      <c r="F32" s="1">
        <f>VLOOKUP(9^9,A17_7[Poids],1)</f>
        <v>136</v>
      </c>
      <c r="G32" s="1">
        <f>VLOOKUP(9^9,A17_7[Dureté
(Kg/mm²)],1)</f>
        <v>107</v>
      </c>
      <c r="H32" s="1" t="str">
        <f>VLOOKUP(CHAR(255),A17_7[Status],1)</f>
        <v>A Définir</v>
      </c>
      <c r="I32" s="1">
        <f>VLOOKUP(9^9,A17_7[Qté],1)</f>
        <v>1</v>
      </c>
      <c r="J32" s="1" t="str">
        <f>VLOOKUP(CHAR(255),A17_7[Zone],1)</f>
        <v>Contrôle</v>
      </c>
      <c r="K32" s="2" t="e">
        <f>VLOOKUP(9^9,A17_7[Date CND],1)</f>
        <v>#N/A</v>
      </c>
      <c r="L32" s="1">
        <f>VLOOKUP(9^9,A17_7[N° Certif.
Matière],1)</f>
        <v>0</v>
      </c>
      <c r="M32" s="1" t="str">
        <f>VLOOKUP(CHAR(255),A17_7[Utilisé par],1)</f>
        <v>-</v>
      </c>
      <c r="N32" s="1">
        <f>SUM(N2:N31)</f>
        <v>0</v>
      </c>
    </row>
  </sheetData>
  <sheetProtection selectLockedCells="1" selectUnlockedCells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Header>&amp;L&amp;"-,Gras"&amp;20&amp;F
&amp;G&amp;C&amp;20&amp;A&amp;R&amp;P/&amp;N</oddHeader>
    <oddFooter>&amp;L&amp;Z&amp;F&amp;R&amp;D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113" r:id="rId4" name="Button 177">
              <controlPr defaultSize="0" print="0" autoFill="0" autoPict="0" macro="[0]!GoToRecap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4">
    <pageSetUpPr fitToPage="1"/>
  </sheetPr>
  <dimension ref="A1:N32"/>
  <sheetViews>
    <sheetView showRuler="0" zoomScaleNormal="100" workbookViewId="0">
      <selection activeCell="H37" sqref="H37"/>
    </sheetView>
  </sheetViews>
  <sheetFormatPr baseColWidth="10" defaultRowHeight="15" x14ac:dyDescent="0.25"/>
  <cols>
    <col min="1" max="1" width="10.5703125" style="1" bestFit="1" customWidth="1"/>
    <col min="2" max="2" width="7.5703125" style="1" bestFit="1" customWidth="1"/>
    <col min="3" max="3" width="6" style="1" bestFit="1" customWidth="1"/>
    <col min="4" max="4" width="9.5703125" style="1" bestFit="1" customWidth="1"/>
    <col min="5" max="5" width="12.140625" style="1" bestFit="1" customWidth="1"/>
    <col min="6" max="6" width="8" style="1" bestFit="1" customWidth="1"/>
    <col min="7" max="7" width="11.85546875" style="1" bestFit="1" customWidth="1"/>
    <col min="8" max="8" width="8.85546875" style="1" bestFit="1" customWidth="1"/>
    <col min="9" max="9" width="6.42578125" style="1" bestFit="1" customWidth="1"/>
    <col min="10" max="10" width="8.7109375" style="1" bestFit="1" customWidth="1"/>
    <col min="11" max="11" width="11.5703125" style="11" bestFit="1" customWidth="1"/>
    <col min="12" max="12" width="11.42578125" style="1" bestFit="1" customWidth="1"/>
    <col min="13" max="13" width="12.28515625" style="1" bestFit="1" customWidth="1"/>
    <col min="14" max="14" width="14.42578125" style="1" bestFit="1" customWidth="1"/>
    <col min="15" max="16384" width="11.42578125" style="1"/>
  </cols>
  <sheetData>
    <row r="1" spans="1:14" s="6" customFormat="1" ht="30" x14ac:dyDescent="0.25">
      <c r="A1" s="6" t="s">
        <v>3</v>
      </c>
      <c r="B1" s="8" t="s">
        <v>24</v>
      </c>
      <c r="C1" s="6" t="s">
        <v>23</v>
      </c>
      <c r="D1" s="8" t="s">
        <v>11</v>
      </c>
      <c r="E1" s="6" t="s">
        <v>6</v>
      </c>
      <c r="F1" s="6" t="s">
        <v>26</v>
      </c>
      <c r="G1" s="8" t="s">
        <v>27</v>
      </c>
      <c r="H1" s="6" t="s">
        <v>1</v>
      </c>
      <c r="I1" s="6" t="s">
        <v>2</v>
      </c>
      <c r="J1" s="6" t="s">
        <v>4</v>
      </c>
      <c r="K1" s="10" t="s">
        <v>7</v>
      </c>
      <c r="L1" s="8" t="s">
        <v>8</v>
      </c>
      <c r="M1" s="6" t="s">
        <v>9</v>
      </c>
      <c r="N1" s="8" t="s">
        <v>10</v>
      </c>
    </row>
    <row r="2" spans="1:14" x14ac:dyDescent="0.25">
      <c r="A2" s="3">
        <v>42309</v>
      </c>
      <c r="B2" s="1" t="s">
        <v>28</v>
      </c>
      <c r="C2" s="1">
        <v>175.6</v>
      </c>
      <c r="D2" s="1">
        <v>591</v>
      </c>
      <c r="E2" s="1">
        <v>480</v>
      </c>
      <c r="F2" s="1">
        <v>114</v>
      </c>
      <c r="G2" s="1">
        <v>97</v>
      </c>
      <c r="H2" s="12" t="s">
        <v>29</v>
      </c>
      <c r="I2" s="1">
        <v>1</v>
      </c>
      <c r="J2" s="1" t="s">
        <v>5</v>
      </c>
      <c r="K2" s="2" t="e">
        <f>#REF!</f>
        <v>#REF!</v>
      </c>
      <c r="L2" s="12">
        <v>0</v>
      </c>
      <c r="M2" s="1" t="s">
        <v>12</v>
      </c>
      <c r="N2" s="12">
        <v>0</v>
      </c>
    </row>
    <row r="3" spans="1:14" x14ac:dyDescent="0.25">
      <c r="A3" s="3"/>
      <c r="K3" s="2"/>
      <c r="L3" s="12"/>
    </row>
    <row r="4" spans="1:14" x14ac:dyDescent="0.25">
      <c r="A4" s="4"/>
      <c r="K4" s="2"/>
    </row>
    <row r="5" spans="1:14" x14ac:dyDescent="0.25">
      <c r="A5" s="4"/>
      <c r="K5" s="2"/>
    </row>
    <row r="6" spans="1:14" x14ac:dyDescent="0.25">
      <c r="A6" s="3"/>
      <c r="K6" s="2"/>
    </row>
    <row r="7" spans="1:14" x14ac:dyDescent="0.25">
      <c r="A7" s="4"/>
      <c r="K7" s="2"/>
    </row>
    <row r="8" spans="1:14" x14ac:dyDescent="0.25">
      <c r="A8" s="4"/>
      <c r="G8" s="5"/>
      <c r="K8" s="2"/>
    </row>
    <row r="9" spans="1:14" x14ac:dyDescent="0.25">
      <c r="A9" s="4"/>
      <c r="K9" s="2"/>
    </row>
    <row r="10" spans="1:14" x14ac:dyDescent="0.25">
      <c r="A10" s="4"/>
      <c r="K10" s="2"/>
    </row>
    <row r="11" spans="1:14" x14ac:dyDescent="0.25">
      <c r="A11" s="4"/>
      <c r="K11" s="2"/>
    </row>
    <row r="12" spans="1:14" x14ac:dyDescent="0.25">
      <c r="A12" s="4"/>
      <c r="K12" s="2"/>
    </row>
    <row r="13" spans="1:14" x14ac:dyDescent="0.25">
      <c r="A13" s="4"/>
      <c r="K13" s="2"/>
    </row>
    <row r="14" spans="1:14" x14ac:dyDescent="0.25">
      <c r="A14" s="4"/>
      <c r="K14" s="2"/>
    </row>
    <row r="15" spans="1:14" x14ac:dyDescent="0.25">
      <c r="A15" s="4"/>
      <c r="K15" s="2"/>
    </row>
    <row r="16" spans="1:14" x14ac:dyDescent="0.25">
      <c r="A16" s="4"/>
      <c r="K16" s="2"/>
    </row>
    <row r="17" spans="1:14" x14ac:dyDescent="0.25">
      <c r="A17" s="4"/>
      <c r="K17" s="2"/>
    </row>
    <row r="18" spans="1:14" x14ac:dyDescent="0.25">
      <c r="A18" s="4"/>
      <c r="K18" s="2"/>
    </row>
    <row r="19" spans="1:14" x14ac:dyDescent="0.25">
      <c r="K19" s="2"/>
    </row>
    <row r="20" spans="1:14" x14ac:dyDescent="0.25">
      <c r="K20" s="2"/>
    </row>
    <row r="21" spans="1:14" x14ac:dyDescent="0.25">
      <c r="K21" s="2"/>
    </row>
    <row r="22" spans="1:14" x14ac:dyDescent="0.25">
      <c r="K22" s="2"/>
    </row>
    <row r="23" spans="1:14" x14ac:dyDescent="0.25">
      <c r="K23" s="2"/>
    </row>
    <row r="24" spans="1:14" x14ac:dyDescent="0.25">
      <c r="A24" s="6"/>
      <c r="K24" s="2"/>
    </row>
    <row r="25" spans="1:14" x14ac:dyDescent="0.25">
      <c r="K25" s="2"/>
    </row>
    <row r="26" spans="1:14" x14ac:dyDescent="0.25">
      <c r="K26" s="2"/>
    </row>
    <row r="27" spans="1:14" x14ac:dyDescent="0.25">
      <c r="K27" s="2"/>
    </row>
    <row r="28" spans="1:14" x14ac:dyDescent="0.25">
      <c r="K28" s="2"/>
    </row>
    <row r="29" spans="1:14" x14ac:dyDescent="0.25">
      <c r="K29" s="2"/>
    </row>
    <row r="30" spans="1:14" x14ac:dyDescent="0.25">
      <c r="K30" s="2"/>
    </row>
    <row r="31" spans="1:14" x14ac:dyDescent="0.25">
      <c r="K31" s="2"/>
    </row>
    <row r="32" spans="1:14" x14ac:dyDescent="0.25">
      <c r="A32" s="2">
        <f>VLOOKUP(9^9,A17_8[Date],1)</f>
        <v>42309</v>
      </c>
      <c r="B32" s="1" t="str">
        <f>VLOOKUP(CHAR(255),A17_8[Type],1)</f>
        <v>Filetée</v>
      </c>
      <c r="C32" s="1">
        <f>VLOOKUP(9^9,A17_8[Ø],1)</f>
        <v>175.6</v>
      </c>
      <c r="D32" s="1">
        <f>VLOOKUP(9^9,A17_8[Lg sous
tête],1)</f>
        <v>591</v>
      </c>
      <c r="E32" s="1">
        <f>VLOOKUP(9^9,A17_8[Lg av. filet],1)</f>
        <v>480</v>
      </c>
      <c r="F32" s="1">
        <f>VLOOKUP(9^9,A17_8[Poids],1)</f>
        <v>114</v>
      </c>
      <c r="G32" s="1">
        <f>VLOOKUP(9^9,A17_8[Dureté
(Kg/mm²)],1)</f>
        <v>97</v>
      </c>
      <c r="H32" s="1" t="str">
        <f>VLOOKUP(CHAR(255),A17_8[Status],1)</f>
        <v>A Définir</v>
      </c>
      <c r="I32" s="1">
        <f>VLOOKUP(9^9,A17_8[Qté],1)</f>
        <v>1</v>
      </c>
      <c r="J32" s="1" t="str">
        <f>VLOOKUP(CHAR(255),A17_8[Zone],1)</f>
        <v>Contrôle</v>
      </c>
      <c r="K32" s="2" t="e">
        <f>VLOOKUP(9^9,A17_8[Date CND],1)</f>
        <v>#N/A</v>
      </c>
      <c r="L32" s="1">
        <f>VLOOKUP(9^9,A17_8[N° Certif.
Matière],1)</f>
        <v>0</v>
      </c>
      <c r="M32" s="1" t="str">
        <f>VLOOKUP(CHAR(255),A17_8[Utilisé par],1)</f>
        <v>-</v>
      </c>
      <c r="N32" s="1">
        <f>SUM(N2:N31)</f>
        <v>0</v>
      </c>
    </row>
  </sheetData>
  <sheetProtection selectLockedCells="1" selectUnlockedCells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Header>&amp;L&amp;"-,Gras"&amp;20&amp;F
&amp;G&amp;C&amp;20&amp;A&amp;R&amp;P/&amp;N</oddHeader>
    <oddFooter>&amp;L&amp;Z&amp;F&amp;R&amp;D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37" r:id="rId4" name="Button 177">
              <controlPr defaultSize="0" print="0" autoFill="0" autoPict="0" macro="[0]!GoToRecap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5">
    <pageSetUpPr fitToPage="1"/>
  </sheetPr>
  <dimension ref="A1:N32"/>
  <sheetViews>
    <sheetView tabSelected="1" showRuler="0" topLeftCell="A16" zoomScaleNormal="100" workbookViewId="0">
      <selection activeCell="D5" sqref="D5"/>
    </sheetView>
  </sheetViews>
  <sheetFormatPr baseColWidth="10" defaultRowHeight="15" x14ac:dyDescent="0.25"/>
  <cols>
    <col min="1" max="1" width="10.5703125" style="1" bestFit="1" customWidth="1"/>
    <col min="2" max="2" width="7.5703125" style="1" bestFit="1" customWidth="1"/>
    <col min="3" max="3" width="6" style="1" bestFit="1" customWidth="1"/>
    <col min="4" max="4" width="9.5703125" style="1" bestFit="1" customWidth="1"/>
    <col min="5" max="5" width="12.140625" style="1" bestFit="1" customWidth="1"/>
    <col min="6" max="6" width="8" style="1" bestFit="1" customWidth="1"/>
    <col min="7" max="7" width="11.85546875" style="1" bestFit="1" customWidth="1"/>
    <col min="8" max="8" width="8.85546875" style="1" bestFit="1" customWidth="1"/>
    <col min="9" max="9" width="6.42578125" style="1" bestFit="1" customWidth="1"/>
    <col min="10" max="10" width="8.7109375" style="1" bestFit="1" customWidth="1"/>
    <col min="11" max="11" width="11.5703125" style="11" bestFit="1" customWidth="1"/>
    <col min="12" max="12" width="11.42578125" style="1" bestFit="1" customWidth="1"/>
    <col min="13" max="13" width="12.28515625" style="1" bestFit="1" customWidth="1"/>
    <col min="14" max="14" width="14.42578125" style="1" bestFit="1" customWidth="1"/>
    <col min="15" max="16384" width="11.42578125" style="1"/>
  </cols>
  <sheetData>
    <row r="1" spans="1:14" s="6" customFormat="1" ht="30" x14ac:dyDescent="0.25">
      <c r="A1" s="6" t="s">
        <v>3</v>
      </c>
      <c r="B1" s="8" t="s">
        <v>24</v>
      </c>
      <c r="C1" s="6" t="s">
        <v>23</v>
      </c>
      <c r="D1" s="8" t="s">
        <v>11</v>
      </c>
      <c r="E1" s="6" t="s">
        <v>6</v>
      </c>
      <c r="F1" s="6" t="s">
        <v>26</v>
      </c>
      <c r="G1" s="8" t="s">
        <v>27</v>
      </c>
      <c r="H1" s="6" t="s">
        <v>1</v>
      </c>
      <c r="I1" s="6" t="s">
        <v>2</v>
      </c>
      <c r="J1" s="6" t="s">
        <v>4</v>
      </c>
      <c r="K1" s="10" t="s">
        <v>7</v>
      </c>
      <c r="L1" s="8" t="s">
        <v>8</v>
      </c>
      <c r="M1" s="6" t="s">
        <v>9</v>
      </c>
      <c r="N1" s="8" t="s">
        <v>10</v>
      </c>
    </row>
    <row r="2" spans="1:14" x14ac:dyDescent="0.25">
      <c r="A2" s="3">
        <v>42309</v>
      </c>
      <c r="B2" s="1" t="s">
        <v>28</v>
      </c>
      <c r="C2" s="1">
        <v>175.6</v>
      </c>
      <c r="D2" s="1">
        <v>694</v>
      </c>
      <c r="E2" s="1">
        <v>538</v>
      </c>
      <c r="F2" s="1">
        <v>133</v>
      </c>
      <c r="G2" s="1">
        <v>107</v>
      </c>
      <c r="H2" s="12" t="s">
        <v>29</v>
      </c>
      <c r="I2" s="1">
        <v>1</v>
      </c>
      <c r="J2" s="1" t="s">
        <v>5</v>
      </c>
      <c r="K2" s="2" t="e">
        <f>#REF!</f>
        <v>#REF!</v>
      </c>
      <c r="L2" s="12">
        <v>0</v>
      </c>
      <c r="M2" s="1" t="s">
        <v>12</v>
      </c>
      <c r="N2" s="12">
        <v>0</v>
      </c>
    </row>
    <row r="3" spans="1:14" x14ac:dyDescent="0.25">
      <c r="A3" s="3"/>
      <c r="K3" s="2"/>
      <c r="L3" s="12"/>
    </row>
    <row r="4" spans="1:14" x14ac:dyDescent="0.25">
      <c r="A4" s="4"/>
      <c r="K4" s="2"/>
    </row>
    <row r="5" spans="1:14" x14ac:dyDescent="0.25">
      <c r="A5" s="4"/>
      <c r="K5" s="2"/>
    </row>
    <row r="6" spans="1:14" x14ac:dyDescent="0.25">
      <c r="A6" s="3"/>
      <c r="K6" s="2"/>
    </row>
    <row r="7" spans="1:14" x14ac:dyDescent="0.25">
      <c r="A7" s="4"/>
      <c r="K7" s="2"/>
    </row>
    <row r="8" spans="1:14" x14ac:dyDescent="0.25">
      <c r="A8" s="4"/>
      <c r="G8" s="5"/>
      <c r="K8" s="2"/>
    </row>
    <row r="9" spans="1:14" x14ac:dyDescent="0.25">
      <c r="A9" s="4"/>
      <c r="K9" s="2"/>
    </row>
    <row r="10" spans="1:14" x14ac:dyDescent="0.25">
      <c r="A10" s="4"/>
      <c r="K10" s="2"/>
    </row>
    <row r="11" spans="1:14" x14ac:dyDescent="0.25">
      <c r="A11" s="4"/>
      <c r="K11" s="2"/>
    </row>
    <row r="12" spans="1:14" x14ac:dyDescent="0.25">
      <c r="A12" s="4"/>
      <c r="K12" s="2"/>
    </row>
    <row r="13" spans="1:14" x14ac:dyDescent="0.25">
      <c r="A13" s="4"/>
      <c r="K13" s="2"/>
    </row>
    <row r="14" spans="1:14" x14ac:dyDescent="0.25">
      <c r="A14" s="4"/>
      <c r="K14" s="2"/>
    </row>
    <row r="15" spans="1:14" x14ac:dyDescent="0.25">
      <c r="A15" s="4"/>
      <c r="K15" s="2"/>
    </row>
    <row r="16" spans="1:14" x14ac:dyDescent="0.25">
      <c r="A16" s="4"/>
      <c r="K16" s="2"/>
    </row>
    <row r="17" spans="1:14" x14ac:dyDescent="0.25">
      <c r="A17" s="4"/>
      <c r="K17" s="2"/>
    </row>
    <row r="18" spans="1:14" x14ac:dyDescent="0.25">
      <c r="A18" s="4"/>
      <c r="K18" s="2"/>
    </row>
    <row r="19" spans="1:14" x14ac:dyDescent="0.25">
      <c r="K19" s="2"/>
    </row>
    <row r="20" spans="1:14" x14ac:dyDescent="0.25">
      <c r="K20" s="2"/>
    </row>
    <row r="21" spans="1:14" x14ac:dyDescent="0.25">
      <c r="K21" s="2"/>
    </row>
    <row r="22" spans="1:14" x14ac:dyDescent="0.25">
      <c r="K22" s="2"/>
    </row>
    <row r="23" spans="1:14" x14ac:dyDescent="0.25">
      <c r="K23" s="2"/>
    </row>
    <row r="24" spans="1:14" x14ac:dyDescent="0.25">
      <c r="A24" s="6"/>
      <c r="K24" s="2"/>
    </row>
    <row r="25" spans="1:14" x14ac:dyDescent="0.25">
      <c r="K25" s="2"/>
    </row>
    <row r="26" spans="1:14" x14ac:dyDescent="0.25">
      <c r="K26" s="2"/>
    </row>
    <row r="27" spans="1:14" x14ac:dyDescent="0.25">
      <c r="K27" s="2"/>
    </row>
    <row r="28" spans="1:14" x14ac:dyDescent="0.25">
      <c r="K28" s="2"/>
    </row>
    <row r="29" spans="1:14" x14ac:dyDescent="0.25">
      <c r="K29" s="2"/>
    </row>
    <row r="30" spans="1:14" x14ac:dyDescent="0.25">
      <c r="K30" s="2"/>
    </row>
    <row r="31" spans="1:14" x14ac:dyDescent="0.25">
      <c r="K31" s="2"/>
    </row>
    <row r="32" spans="1:14" x14ac:dyDescent="0.25">
      <c r="A32" s="2">
        <f>VLOOKUP(9^9,A17_9[Date],1)</f>
        <v>42309</v>
      </c>
      <c r="B32" s="1" t="str">
        <f>VLOOKUP(CHAR(255),A17_9[Type],1)</f>
        <v>Filetée</v>
      </c>
      <c r="C32" s="1">
        <f>VLOOKUP(9^9,A17_9[Ø],1)</f>
        <v>175.6</v>
      </c>
      <c r="D32" s="1">
        <f>VLOOKUP(9^9,A17_9[Lg sous
tête],1)</f>
        <v>694</v>
      </c>
      <c r="E32" s="1">
        <f>VLOOKUP(9^9,A17_9[Lg av. filet],1)</f>
        <v>538</v>
      </c>
      <c r="F32" s="1">
        <f>VLOOKUP(9^9,A17_9[Poids],1)</f>
        <v>133</v>
      </c>
      <c r="G32" s="1">
        <f>VLOOKUP(9^9,A17_9[Dureté
(Kg/mm²)],1)</f>
        <v>107</v>
      </c>
      <c r="H32" s="1" t="str">
        <f>VLOOKUP(CHAR(255),A17_9[Status],1)</f>
        <v>A Définir</v>
      </c>
      <c r="I32" s="1">
        <f>VLOOKUP(9^9,A17_9[Qté],1)</f>
        <v>1</v>
      </c>
      <c r="J32" s="1" t="str">
        <f>VLOOKUP(CHAR(255),A17_9[Zone],1)</f>
        <v>Contrôle</v>
      </c>
      <c r="K32" s="2" t="e">
        <f>VLOOKUP(9^9,A17_9[Date CND],1)</f>
        <v>#N/A</v>
      </c>
      <c r="L32" s="1">
        <f>VLOOKUP(9^9,A17_9[N° Certif.
Matière],1)</f>
        <v>0</v>
      </c>
      <c r="M32" s="1" t="str">
        <f>VLOOKUP(CHAR(255),A17_9[Utilisé par],1)</f>
        <v>-</v>
      </c>
      <c r="N32" s="1">
        <f>SUM(N2:N31)</f>
        <v>0</v>
      </c>
    </row>
  </sheetData>
  <sheetProtection selectLockedCells="1" selectUnlockedCells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Header>&amp;L&amp;"-,Gras"&amp;20&amp;F
&amp;G&amp;C&amp;20&amp;A&amp;R&amp;P/&amp;N</oddHeader>
    <oddFooter>&amp;L&amp;Z&amp;F&amp;R&amp;D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2160" r:id="rId4" name="Button 176">
              <controlPr defaultSize="0" print="0" autoFill="0" autoPict="0" macro="[0]!GoToRecap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 Recap</vt:lpstr>
      <vt:lpstr>A17-1</vt:lpstr>
      <vt:lpstr>A17-10</vt:lpstr>
      <vt:lpstr>A17-2</vt:lpstr>
      <vt:lpstr>A17-3</vt:lpstr>
      <vt:lpstr>A17-4</vt:lpstr>
      <vt:lpstr>A17-5</vt:lpstr>
      <vt:lpstr>A17-6</vt:lpstr>
      <vt:lpstr>A17-7</vt:lpstr>
      <vt:lpstr>A17-8</vt:lpstr>
      <vt:lpstr>A17-9</vt:lpstr>
      <vt:lpstr>' Recap'!Impression_des_titres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Etudes 2</dc:creator>
  <cp:lastModifiedBy>Etudes 2</cp:lastModifiedBy>
  <cp:lastPrinted>2016-10-07T07:57:38Z</cp:lastPrinted>
  <dcterms:created xsi:type="dcterms:W3CDTF">2016-07-26T06:32:33Z</dcterms:created>
  <dcterms:modified xsi:type="dcterms:W3CDTF">2016-10-14T07:40:25Z</dcterms:modified>
</cp:coreProperties>
</file>