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autoCompressPictures="0"/>
  <bookViews>
    <workbookView xWindow="4520" yWindow="10160" windowWidth="31600" windowHeight="19920" tabRatio="500" activeTab="2"/>
  </bookViews>
  <sheets>
    <sheet name="CREDIT PERSO" sheetId="1" r:id="rId1"/>
    <sheet name="compte janvier" sheetId="2" r:id="rId2"/>
    <sheet name="janvier18" sheetId="3" r:id="rId3"/>
  </sheets>
  <externalReferences>
    <externalReference r:id="rId4"/>
  </externalReferences>
  <definedNames>
    <definedName name="datejanvier">'compte janvier'!$N$3:$N$26</definedName>
    <definedName name="Datevaleur">'compte janvier'!$E$3:$E$89</definedName>
    <definedName name="interets">'compte janvier'!$M$3:$M$6</definedName>
    <definedName name="libelle">'compte janvier'!$K$3:$K$89</definedName>
    <definedName name="montant">'compte janvier'!$G$3:$G$89</definedName>
    <definedName name="placements">'compte janvier'!$L$3:$L$7</definedName>
    <definedName name="placementsjanvier">'compte janvier'!$L$3:$L$26</definedName>
    <definedName name="sens">'compte janvier'!$F$3:$F$89</definedName>
    <definedName name="Soldebanque">'compte janvier'!$I$3:$I$89</definedName>
    <definedName name="Soldeperso">'compte janvier'!$H$3:$H$89</definedName>
    <definedName name="sommejanvier">'compte janvier'!$M$3:$M$26</definedName>
    <definedName name="tblrubrique">Table2[Rubrique]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8" i="3" l="1"/>
  <c r="AA48" i="3"/>
  <c r="AB48" i="3"/>
  <c r="AC48" i="3"/>
  <c r="X48" i="3"/>
  <c r="Y48" i="3"/>
  <c r="Z48" i="3"/>
  <c r="V48" i="3"/>
  <c r="W48" i="3"/>
  <c r="N4" i="3"/>
  <c r="O4" i="3"/>
  <c r="P4" i="3"/>
  <c r="Q4" i="3"/>
  <c r="R4" i="3"/>
  <c r="S4" i="3"/>
  <c r="T4" i="3"/>
  <c r="U4" i="3"/>
  <c r="B7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AG7" i="3"/>
  <c r="B13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A41" i="2"/>
  <c r="A40" i="2"/>
  <c r="T37" i="3"/>
  <c r="T43" i="3"/>
  <c r="T44" i="3"/>
  <c r="T47" i="3"/>
  <c r="T48" i="3"/>
  <c r="U37" i="3"/>
  <c r="U43" i="3"/>
  <c r="U44" i="3"/>
  <c r="U47" i="3"/>
  <c r="U48" i="3"/>
  <c r="S48" i="3"/>
  <c r="R48" i="3"/>
  <c r="Q48" i="3"/>
  <c r="T45" i="3"/>
  <c r="U45" i="3"/>
  <c r="V37" i="3"/>
  <c r="V43" i="3"/>
  <c r="V44" i="3"/>
  <c r="V45" i="3"/>
  <c r="W37" i="3"/>
  <c r="W43" i="3"/>
  <c r="W44" i="3"/>
  <c r="W45" i="3"/>
  <c r="X37" i="3"/>
  <c r="X43" i="3"/>
  <c r="X44" i="3"/>
  <c r="X45" i="3"/>
  <c r="Y37" i="3"/>
  <c r="Y43" i="3"/>
  <c r="Y44" i="3"/>
  <c r="Y45" i="3"/>
  <c r="Z43" i="3"/>
  <c r="Z37" i="3"/>
  <c r="Z44" i="3"/>
  <c r="Z45" i="3"/>
  <c r="AA43" i="3"/>
  <c r="AA37" i="3"/>
  <c r="AA44" i="3"/>
  <c r="AA45" i="3"/>
  <c r="AB43" i="3"/>
  <c r="AB37" i="3"/>
  <c r="AB44" i="3"/>
  <c r="AB45" i="3"/>
  <c r="AC37" i="3"/>
  <c r="AC43" i="3"/>
  <c r="AC44" i="3"/>
  <c r="AC45" i="3"/>
  <c r="AD45" i="3"/>
  <c r="AE45" i="3"/>
  <c r="AF45" i="3"/>
  <c r="AG45" i="3"/>
  <c r="AH45" i="3"/>
  <c r="AI45" i="3"/>
  <c r="AJ45" i="3"/>
  <c r="AK45" i="3"/>
  <c r="AL45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Y46" i="3"/>
  <c r="Z46" i="3"/>
  <c r="AA46" i="3"/>
  <c r="AB46" i="3"/>
  <c r="AC46" i="3"/>
  <c r="AD46" i="3"/>
  <c r="AE46" i="3"/>
  <c r="AF46" i="3"/>
  <c r="AG46" i="3"/>
  <c r="AH46" i="3"/>
  <c r="AI46" i="3"/>
  <c r="AJ46" i="3"/>
  <c r="AK46" i="3"/>
  <c r="AL46" i="3"/>
  <c r="G45" i="3"/>
  <c r="H45" i="3"/>
  <c r="I45" i="3"/>
  <c r="J45" i="3"/>
  <c r="K45" i="3"/>
  <c r="L45" i="3"/>
  <c r="M45" i="3"/>
  <c r="N45" i="3"/>
  <c r="O45" i="3"/>
  <c r="P45" i="3"/>
  <c r="Q45" i="3"/>
  <c r="S45" i="3"/>
  <c r="R45" i="3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M4" i="3"/>
  <c r="E4" i="3"/>
  <c r="F4" i="3"/>
  <c r="G4" i="3"/>
  <c r="H4" i="3"/>
  <c r="I4" i="3"/>
  <c r="J4" i="3"/>
  <c r="K4" i="3"/>
  <c r="L4" i="3"/>
  <c r="B4" i="3"/>
  <c r="C4" i="3"/>
  <c r="D4" i="3"/>
  <c r="J37" i="3"/>
  <c r="J43" i="3"/>
  <c r="J44" i="3"/>
  <c r="G37" i="3"/>
  <c r="G43" i="3"/>
  <c r="G44" i="3"/>
  <c r="I37" i="3"/>
  <c r="I43" i="3"/>
  <c r="I44" i="3"/>
  <c r="H37" i="3"/>
  <c r="H43" i="3"/>
  <c r="H44" i="3"/>
  <c r="I47" i="3"/>
  <c r="J47" i="3"/>
  <c r="J48" i="3"/>
  <c r="K37" i="3"/>
  <c r="K43" i="3"/>
  <c r="K44" i="3"/>
  <c r="K47" i="3"/>
  <c r="K48" i="3"/>
  <c r="L37" i="3"/>
  <c r="L43" i="3"/>
  <c r="L44" i="3"/>
  <c r="L47" i="3"/>
  <c r="L48" i="3"/>
  <c r="M37" i="3"/>
  <c r="M43" i="3"/>
  <c r="M44" i="3"/>
  <c r="M47" i="3"/>
  <c r="M48" i="3"/>
  <c r="N37" i="3"/>
  <c r="N43" i="3"/>
  <c r="N44" i="3"/>
  <c r="N47" i="3"/>
  <c r="N48" i="3"/>
  <c r="O37" i="3"/>
  <c r="O43" i="3"/>
  <c r="O44" i="3"/>
  <c r="O47" i="3"/>
  <c r="O48" i="3"/>
  <c r="P37" i="3"/>
  <c r="P43" i="3"/>
  <c r="P44" i="3"/>
  <c r="P47" i="3"/>
  <c r="P48" i="3"/>
  <c r="W47" i="3"/>
  <c r="X47" i="3"/>
  <c r="Y47" i="3"/>
  <c r="Z47" i="3"/>
  <c r="AA47" i="3"/>
  <c r="AB47" i="3"/>
  <c r="AC47" i="3"/>
  <c r="AD37" i="3"/>
  <c r="AD43" i="3"/>
  <c r="AD44" i="3"/>
  <c r="AD47" i="3"/>
  <c r="AE37" i="3"/>
  <c r="AE43" i="3"/>
  <c r="AE44" i="3"/>
  <c r="AE47" i="3"/>
  <c r="AF37" i="3"/>
  <c r="AF43" i="3"/>
  <c r="AF44" i="3"/>
  <c r="AF47" i="3"/>
  <c r="AG37" i="3"/>
  <c r="AG43" i="3"/>
  <c r="AG44" i="3"/>
  <c r="AG47" i="3"/>
  <c r="AH37" i="3"/>
  <c r="AH43" i="3"/>
  <c r="AH44" i="3"/>
  <c r="AH47" i="3"/>
  <c r="AI47" i="3"/>
  <c r="AJ47" i="3"/>
  <c r="AK47" i="3"/>
  <c r="AL47" i="3"/>
  <c r="Q37" i="3"/>
  <c r="Q43" i="3"/>
  <c r="Q44" i="3"/>
  <c r="Q47" i="3"/>
  <c r="R37" i="3"/>
  <c r="R43" i="3"/>
  <c r="R44" i="3"/>
  <c r="R47" i="3"/>
  <c r="S37" i="3"/>
  <c r="S43" i="3"/>
  <c r="S44" i="3"/>
  <c r="S47" i="3"/>
  <c r="V47" i="3"/>
  <c r="H47" i="3"/>
  <c r="G3" i="1"/>
  <c r="F3" i="1"/>
  <c r="E3" i="1"/>
  <c r="C3" i="1"/>
  <c r="G4" i="1"/>
  <c r="F4" i="1"/>
  <c r="E4" i="1"/>
  <c r="C4" i="1"/>
  <c r="G5" i="1"/>
  <c r="F5" i="1"/>
  <c r="E5" i="1"/>
  <c r="C5" i="1"/>
  <c r="G6" i="1"/>
  <c r="F6" i="1"/>
  <c r="E6" i="1"/>
  <c r="C6" i="1"/>
  <c r="G7" i="1"/>
  <c r="F7" i="1"/>
  <c r="E7" i="1"/>
  <c r="C7" i="1"/>
  <c r="G8" i="1"/>
  <c r="F8" i="1"/>
  <c r="E8" i="1"/>
  <c r="C8" i="1"/>
  <c r="G9" i="1"/>
  <c r="F9" i="1"/>
  <c r="E9" i="1"/>
  <c r="C9" i="1"/>
  <c r="G10" i="1"/>
  <c r="F10" i="1"/>
  <c r="E10" i="1"/>
  <c r="C10" i="1"/>
  <c r="G11" i="1"/>
  <c r="F11" i="1"/>
  <c r="E11" i="1"/>
  <c r="C11" i="1"/>
  <c r="G12" i="1"/>
  <c r="F12" i="1"/>
  <c r="E12" i="1"/>
  <c r="C12" i="1"/>
  <c r="G13" i="1"/>
  <c r="F13" i="1"/>
  <c r="E13" i="1"/>
  <c r="C13" i="1"/>
  <c r="G14" i="1"/>
  <c r="F14" i="1"/>
  <c r="E14" i="1"/>
  <c r="C14" i="1"/>
  <c r="G15" i="1"/>
  <c r="F15" i="1"/>
  <c r="E15" i="1"/>
  <c r="C15" i="1"/>
  <c r="G16" i="1"/>
  <c r="F16" i="1"/>
  <c r="E16" i="1"/>
  <c r="C16" i="1"/>
  <c r="G17" i="1"/>
  <c r="F17" i="1"/>
  <c r="E17" i="1"/>
  <c r="C17" i="1"/>
  <c r="G18" i="1"/>
  <c r="F18" i="1"/>
  <c r="E18" i="1"/>
  <c r="C18" i="1"/>
  <c r="G19" i="1"/>
  <c r="F19" i="1"/>
  <c r="E19" i="1"/>
  <c r="C19" i="1"/>
  <c r="G20" i="1"/>
  <c r="F20" i="1"/>
  <c r="E20" i="1"/>
  <c r="C20" i="1"/>
  <c r="G21" i="1"/>
  <c r="F21" i="1"/>
  <c r="E21" i="1"/>
  <c r="C21" i="1"/>
  <c r="G22" i="1"/>
  <c r="F22" i="1"/>
  <c r="E22" i="1"/>
  <c r="C22" i="1"/>
  <c r="G23" i="1"/>
  <c r="F23" i="1"/>
  <c r="E23" i="1"/>
  <c r="C23" i="1"/>
  <c r="G24" i="1"/>
  <c r="F24" i="1"/>
  <c r="E24" i="1"/>
  <c r="C24" i="1"/>
  <c r="G25" i="1"/>
  <c r="F25" i="1"/>
  <c r="E25" i="1"/>
  <c r="C25" i="1"/>
  <c r="G26" i="1"/>
  <c r="F26" i="1"/>
  <c r="E26" i="1"/>
  <c r="C26" i="1"/>
  <c r="G27" i="1"/>
  <c r="F27" i="1"/>
  <c r="E27" i="1"/>
  <c r="C27" i="1"/>
  <c r="G28" i="1"/>
  <c r="F28" i="1"/>
  <c r="E28" i="1"/>
  <c r="C28" i="1"/>
  <c r="G29" i="1"/>
  <c r="F29" i="1"/>
  <c r="E29" i="1"/>
  <c r="C29" i="1"/>
  <c r="G30" i="1"/>
  <c r="F30" i="1"/>
  <c r="E30" i="1"/>
  <c r="C30" i="1"/>
  <c r="G31" i="1"/>
  <c r="F31" i="1"/>
  <c r="E31" i="1"/>
  <c r="C31" i="1"/>
  <c r="G32" i="1"/>
  <c r="F32" i="1"/>
  <c r="E32" i="1"/>
  <c r="C32" i="1"/>
  <c r="G33" i="1"/>
  <c r="F33" i="1"/>
  <c r="E33" i="1"/>
  <c r="C33" i="1"/>
  <c r="G34" i="1"/>
  <c r="F34" i="1"/>
  <c r="E34" i="1"/>
  <c r="C34" i="1"/>
  <c r="G35" i="1"/>
  <c r="F35" i="1"/>
  <c r="E35" i="1"/>
  <c r="C35" i="1"/>
  <c r="G36" i="1"/>
  <c r="F36" i="1"/>
  <c r="E36" i="1"/>
  <c r="C36" i="1"/>
  <c r="G37" i="1"/>
  <c r="F37" i="1"/>
  <c r="E37" i="1"/>
  <c r="C37" i="1"/>
  <c r="G38" i="1"/>
  <c r="F38" i="1"/>
  <c r="E38" i="1"/>
  <c r="C38" i="1"/>
  <c r="G39" i="1"/>
  <c r="F39" i="1"/>
  <c r="E39" i="1"/>
  <c r="C39" i="1"/>
  <c r="G40" i="1"/>
  <c r="F40" i="1"/>
  <c r="E40" i="1"/>
  <c r="C40" i="1"/>
  <c r="G41" i="1"/>
  <c r="F41" i="1"/>
  <c r="E41" i="1"/>
  <c r="C41" i="1"/>
  <c r="G42" i="1"/>
  <c r="F42" i="1"/>
  <c r="E42" i="1"/>
  <c r="C42" i="1"/>
  <c r="G43" i="1"/>
  <c r="F43" i="1"/>
  <c r="E43" i="1"/>
  <c r="C43" i="1"/>
  <c r="G44" i="1"/>
  <c r="F44" i="1"/>
  <c r="E44" i="1"/>
  <c r="C44" i="1"/>
  <c r="G45" i="1"/>
  <c r="F45" i="1"/>
  <c r="E45" i="1"/>
  <c r="C45" i="1"/>
  <c r="G46" i="1"/>
  <c r="F46" i="1"/>
  <c r="E46" i="1"/>
  <c r="C46" i="1"/>
  <c r="G47" i="1"/>
  <c r="F47" i="1"/>
  <c r="E47" i="1"/>
  <c r="C47" i="1"/>
  <c r="G48" i="1"/>
  <c r="F48" i="1"/>
  <c r="E48" i="1"/>
  <c r="C48" i="1"/>
  <c r="G49" i="1"/>
  <c r="F49" i="1"/>
  <c r="E49" i="1"/>
  <c r="C49" i="1"/>
  <c r="G50" i="1"/>
  <c r="F50" i="1"/>
  <c r="E50" i="1"/>
  <c r="C50" i="1"/>
  <c r="G51" i="1"/>
  <c r="F51" i="1"/>
  <c r="E51" i="1"/>
  <c r="C51" i="1"/>
  <c r="G52" i="1"/>
  <c r="F52" i="1"/>
  <c r="E52" i="1"/>
  <c r="C52" i="1"/>
  <c r="G53" i="1"/>
  <c r="F53" i="1"/>
  <c r="E53" i="1"/>
  <c r="C53" i="1"/>
  <c r="G54" i="1"/>
  <c r="F54" i="1"/>
  <c r="E54" i="1"/>
  <c r="C54" i="1"/>
  <c r="G55" i="1"/>
  <c r="F55" i="1"/>
  <c r="E55" i="1"/>
  <c r="C55" i="1"/>
  <c r="G56" i="1"/>
  <c r="F56" i="1"/>
  <c r="E56" i="1"/>
  <c r="C56" i="1"/>
  <c r="G57" i="1"/>
  <c r="F57" i="1"/>
  <c r="E57" i="1"/>
  <c r="C57" i="1"/>
  <c r="G58" i="1"/>
  <c r="F58" i="1"/>
  <c r="E58" i="1"/>
  <c r="C58" i="1"/>
  <c r="G59" i="1"/>
  <c r="F59" i="1"/>
  <c r="E59" i="1"/>
  <c r="C59" i="1"/>
  <c r="G60" i="1"/>
  <c r="F60" i="1"/>
  <c r="E60" i="1"/>
  <c r="C60" i="1"/>
  <c r="G61" i="1"/>
  <c r="F61" i="1"/>
  <c r="E61" i="1"/>
  <c r="C61" i="1"/>
  <c r="G62" i="1"/>
  <c r="F62" i="1"/>
  <c r="E62" i="1"/>
  <c r="C62" i="1"/>
  <c r="B15" i="3"/>
  <c r="C15" i="3"/>
  <c r="D15" i="3"/>
  <c r="E15" i="3"/>
  <c r="F15" i="3"/>
  <c r="G15" i="3"/>
  <c r="L15" i="3"/>
  <c r="H15" i="3"/>
  <c r="M15" i="3"/>
  <c r="I15" i="3"/>
  <c r="N15" i="3"/>
  <c r="J15" i="3"/>
  <c r="O15" i="3"/>
  <c r="K15" i="3"/>
  <c r="P26" i="3"/>
  <c r="P15" i="3"/>
  <c r="Q26" i="3"/>
  <c r="Q15" i="3"/>
  <c r="R26" i="3"/>
  <c r="R15" i="3"/>
  <c r="S26" i="3"/>
  <c r="S15" i="3"/>
  <c r="T26" i="3"/>
  <c r="T15" i="3"/>
  <c r="U26" i="3"/>
  <c r="U15" i="3"/>
  <c r="V26" i="3"/>
  <c r="V15" i="3"/>
  <c r="W26" i="3"/>
  <c r="W15" i="3"/>
  <c r="X26" i="3"/>
  <c r="X15" i="3"/>
  <c r="Y26" i="3"/>
  <c r="Y15" i="3"/>
  <c r="Z26" i="3"/>
  <c r="Z15" i="3"/>
  <c r="AA26" i="3"/>
  <c r="AA15" i="3"/>
  <c r="AB26" i="3"/>
  <c r="AB15" i="3"/>
  <c r="AC26" i="3"/>
  <c r="AC15" i="3"/>
  <c r="AD26" i="3"/>
  <c r="AD15" i="3"/>
  <c r="AE26" i="3"/>
  <c r="AE15" i="3"/>
  <c r="AF26" i="3"/>
  <c r="AF15" i="3"/>
  <c r="AG26" i="3"/>
  <c r="AG15" i="3"/>
  <c r="B14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B8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B9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C26" i="2"/>
  <c r="C27" i="2"/>
  <c r="C28" i="2"/>
  <c r="C29" i="2"/>
  <c r="C30" i="2"/>
  <c r="C31" i="2"/>
  <c r="C32" i="2"/>
  <c r="G3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Z4" i="3"/>
  <c r="AA4" i="3"/>
  <c r="AB4" i="3"/>
  <c r="AC4" i="3"/>
  <c r="AD4" i="3"/>
  <c r="AE4" i="3"/>
  <c r="AF4" i="3"/>
  <c r="AG4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I37" i="3"/>
  <c r="AE5" i="3"/>
  <c r="AJ37" i="3"/>
  <c r="AF5" i="3"/>
  <c r="AK37" i="3"/>
  <c r="AG5" i="3"/>
  <c r="C5" i="3"/>
  <c r="D5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I43" i="3"/>
  <c r="AE3" i="3"/>
  <c r="AJ43" i="3"/>
  <c r="AF3" i="3"/>
  <c r="AK43" i="3"/>
  <c r="AG3" i="3"/>
  <c r="E3" i="3"/>
  <c r="F3" i="3"/>
  <c r="G3" i="3"/>
  <c r="C3" i="3"/>
  <c r="D3" i="3"/>
  <c r="U13" i="3"/>
  <c r="V13" i="3"/>
  <c r="W13" i="3"/>
  <c r="X13" i="3"/>
  <c r="Y13" i="3"/>
  <c r="Z13" i="3"/>
  <c r="AA13" i="3"/>
  <c r="AB13" i="3"/>
  <c r="AC13" i="3"/>
  <c r="AD13" i="3"/>
  <c r="AE13" i="3"/>
  <c r="AF13" i="3"/>
  <c r="AG13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AG21" i="3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B6" i="3"/>
  <c r="C6" i="3"/>
  <c r="C11" i="3"/>
  <c r="C19" i="3"/>
  <c r="B3" i="3"/>
  <c r="B5" i="3"/>
  <c r="B11" i="3"/>
  <c r="B19" i="3"/>
  <c r="B24" i="3"/>
  <c r="D6" i="3"/>
  <c r="E6" i="3"/>
  <c r="F6" i="3"/>
  <c r="G6" i="3"/>
  <c r="H6" i="3"/>
  <c r="I6" i="3"/>
  <c r="J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C17" i="3"/>
  <c r="D17" i="3"/>
  <c r="E17" i="3"/>
  <c r="F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B17" i="3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G90" i="2"/>
  <c r="I90" i="2"/>
  <c r="F38" i="3"/>
  <c r="F39" i="3"/>
  <c r="F40" i="3"/>
  <c r="F41" i="3"/>
  <c r="F42" i="3"/>
  <c r="F43" i="3"/>
  <c r="F33" i="3"/>
  <c r="F34" i="3"/>
  <c r="F35" i="3"/>
  <c r="F36" i="3"/>
  <c r="F37" i="3"/>
  <c r="F44" i="3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B25" i="3"/>
  <c r="C32" i="3"/>
  <c r="A45" i="2"/>
  <c r="A58" i="2"/>
  <c r="A55" i="2"/>
  <c r="A46" i="2"/>
  <c r="A50" i="2"/>
  <c r="A49" i="2"/>
  <c r="A51" i="2"/>
  <c r="A52" i="2"/>
  <c r="C33" i="2"/>
  <c r="C34" i="2"/>
  <c r="C25" i="2"/>
  <c r="G47" i="3"/>
  <c r="C24" i="3"/>
  <c r="C25" i="3"/>
  <c r="D11" i="3"/>
  <c r="D19" i="3"/>
  <c r="D24" i="3"/>
  <c r="D25" i="3"/>
  <c r="G17" i="3"/>
  <c r="H17" i="3"/>
  <c r="I17" i="3"/>
  <c r="J17" i="3"/>
  <c r="E11" i="3"/>
  <c r="E19" i="3"/>
  <c r="E24" i="3"/>
  <c r="E25" i="3"/>
  <c r="F11" i="3"/>
  <c r="F19" i="3"/>
  <c r="F24" i="3"/>
  <c r="F25" i="3"/>
  <c r="G11" i="3"/>
  <c r="G19" i="3"/>
  <c r="G24" i="3"/>
  <c r="G25" i="3"/>
  <c r="S11" i="3"/>
  <c r="S19" i="3"/>
  <c r="S24" i="3"/>
  <c r="S25" i="3"/>
  <c r="R11" i="3"/>
  <c r="R19" i="3"/>
  <c r="R24" i="3"/>
  <c r="R25" i="3"/>
  <c r="Q11" i="3"/>
  <c r="Q19" i="3"/>
  <c r="Q24" i="3"/>
  <c r="Q25" i="3"/>
  <c r="P11" i="3"/>
  <c r="P19" i="3"/>
  <c r="P24" i="3"/>
  <c r="P25" i="3"/>
  <c r="O11" i="3"/>
  <c r="O19" i="3"/>
  <c r="O24" i="3"/>
  <c r="O25" i="3"/>
  <c r="N11" i="3"/>
  <c r="N19" i="3"/>
  <c r="N24" i="3"/>
  <c r="N25" i="3"/>
  <c r="M11" i="3"/>
  <c r="M19" i="3"/>
  <c r="M24" i="3"/>
  <c r="M25" i="3"/>
  <c r="L11" i="3"/>
  <c r="L19" i="3"/>
  <c r="L24" i="3"/>
  <c r="L25" i="3"/>
  <c r="K11" i="3"/>
  <c r="K19" i="3"/>
  <c r="K24" i="3"/>
  <c r="K25" i="3"/>
  <c r="I11" i="3"/>
  <c r="I19" i="3"/>
  <c r="I24" i="3"/>
  <c r="I25" i="3"/>
  <c r="J11" i="3"/>
  <c r="J19" i="3"/>
  <c r="J24" i="3"/>
  <c r="J25" i="3"/>
  <c r="H11" i="3"/>
  <c r="H19" i="3"/>
  <c r="H24" i="3"/>
  <c r="H25" i="3"/>
  <c r="AG11" i="3"/>
  <c r="AG19" i="3"/>
  <c r="AG24" i="3"/>
  <c r="AG25" i="3"/>
  <c r="AF11" i="3"/>
  <c r="AF19" i="3"/>
  <c r="AF24" i="3"/>
  <c r="AF25" i="3"/>
  <c r="AE11" i="3"/>
  <c r="AE19" i="3"/>
  <c r="AE24" i="3"/>
  <c r="AE25" i="3"/>
  <c r="AD11" i="3"/>
  <c r="AD19" i="3"/>
  <c r="AD24" i="3"/>
  <c r="AD25" i="3"/>
  <c r="AC11" i="3"/>
  <c r="AC19" i="3"/>
  <c r="AC24" i="3"/>
  <c r="AC25" i="3"/>
  <c r="AB11" i="3"/>
  <c r="AB19" i="3"/>
  <c r="AB24" i="3"/>
  <c r="AB25" i="3"/>
  <c r="AA11" i="3"/>
  <c r="AA19" i="3"/>
  <c r="AA24" i="3"/>
  <c r="AA25" i="3"/>
  <c r="Z11" i="3"/>
  <c r="Z19" i="3"/>
  <c r="Z24" i="3"/>
  <c r="Z25" i="3"/>
  <c r="Y11" i="3"/>
  <c r="Y19" i="3"/>
  <c r="Y24" i="3"/>
  <c r="Y25" i="3"/>
  <c r="X11" i="3"/>
  <c r="X19" i="3"/>
  <c r="X24" i="3"/>
  <c r="X25" i="3"/>
  <c r="W11" i="3"/>
  <c r="W19" i="3"/>
  <c r="W24" i="3"/>
  <c r="W25" i="3"/>
  <c r="V11" i="3"/>
  <c r="V19" i="3"/>
  <c r="V24" i="3"/>
  <c r="V25" i="3"/>
  <c r="T11" i="3"/>
  <c r="T19" i="3"/>
  <c r="T24" i="3"/>
  <c r="T25" i="3"/>
  <c r="U11" i="3"/>
  <c r="U19" i="3"/>
  <c r="U24" i="3"/>
  <c r="U25" i="3"/>
</calcChain>
</file>

<file path=xl/sharedStrings.xml><?xml version="1.0" encoding="utf-8"?>
<sst xmlns="http://schemas.openxmlformats.org/spreadsheetml/2006/main" count="368" uniqueCount="163">
  <si>
    <t>LIBELLE</t>
  </si>
  <si>
    <t>SFR</t>
  </si>
  <si>
    <t>CREDIT VOITURE</t>
  </si>
  <si>
    <t>COTISATION NORPLUS</t>
  </si>
  <si>
    <t>MUTUELLE FFA</t>
  </si>
  <si>
    <t>IMPOTS</t>
  </si>
  <si>
    <t>ASSURANCE TEL</t>
  </si>
  <si>
    <t>CHQ SYLVIE</t>
  </si>
  <si>
    <t>RETRAITE</t>
  </si>
  <si>
    <t>/MOIS</t>
  </si>
  <si>
    <t>/AN</t>
  </si>
  <si>
    <t>RENTE ACCIDENT</t>
  </si>
  <si>
    <t>/3 MOIS</t>
  </si>
  <si>
    <t>mars</t>
  </si>
  <si>
    <t>juin</t>
  </si>
  <si>
    <t>Septembre</t>
  </si>
  <si>
    <t>Decembre</t>
  </si>
  <si>
    <t>TOTAL RETRAITE</t>
  </si>
  <si>
    <t>LOYER</t>
  </si>
  <si>
    <t>TOTAL</t>
  </si>
  <si>
    <t>COMPTE COURANT JOINT</t>
  </si>
  <si>
    <t>COMPTE ESTIMATION TITRES</t>
  </si>
  <si>
    <t>ASSURANCE VIES</t>
  </si>
  <si>
    <t>PEA ESTIMATION TITRES</t>
  </si>
  <si>
    <t>PEA LIQUIDITE</t>
  </si>
  <si>
    <t>LIVRET A</t>
  </si>
  <si>
    <t>LDD</t>
  </si>
  <si>
    <t>COMPTE COURANT</t>
  </si>
  <si>
    <t>COMPTE JOINT SYLVIE</t>
  </si>
  <si>
    <t>TOTAL TOUT COMPTE</t>
  </si>
  <si>
    <t>CREDIT IMMO</t>
  </si>
  <si>
    <t>RESTE</t>
  </si>
  <si>
    <t>QUANTITE</t>
  </si>
  <si>
    <t>VALEUR D'ACHAT</t>
  </si>
  <si>
    <t>ADP</t>
  </si>
  <si>
    <t>ARKEMA</t>
  </si>
  <si>
    <t>NATIXIS</t>
  </si>
  <si>
    <t>SOITEC</t>
  </si>
  <si>
    <t>VIVENDI</t>
  </si>
  <si>
    <t>MEDICREA</t>
  </si>
  <si>
    <t>ETOILE GAR</t>
  </si>
  <si>
    <t>123 TRANSMIS</t>
  </si>
  <si>
    <t>JANVIER</t>
  </si>
  <si>
    <t>Date</t>
  </si>
  <si>
    <t>Solde perso</t>
  </si>
  <si>
    <t>Solde banque</t>
  </si>
  <si>
    <t>Sens</t>
  </si>
  <si>
    <t>Rubrique</t>
  </si>
  <si>
    <t>Montant</t>
  </si>
  <si>
    <t>C</t>
  </si>
  <si>
    <t>Alimentation</t>
  </si>
  <si>
    <t>CB</t>
  </si>
  <si>
    <t>Crédit Perso</t>
  </si>
  <si>
    <t>Crédit Voiture</t>
  </si>
  <si>
    <t>Dépôt chèque</t>
  </si>
  <si>
    <t>Dépôt Chéque Loyer</t>
  </si>
  <si>
    <t>Loisirs/Bricolage</t>
  </si>
  <si>
    <t>Prelevement Impot</t>
  </si>
  <si>
    <t>Prélèvement Internet</t>
  </si>
  <si>
    <t xml:space="preserve">Prelevement Taxe Foncière </t>
  </si>
  <si>
    <t>Prélèvement Téléphone Portable</t>
  </si>
  <si>
    <t>Prélèvement TV Numéricable</t>
  </si>
  <si>
    <t>Report</t>
  </si>
  <si>
    <t>Virement ARCCO</t>
  </si>
  <si>
    <t>Virement ARGIC</t>
  </si>
  <si>
    <t>Virement CRAM</t>
  </si>
  <si>
    <t>Virement Rente SS</t>
  </si>
  <si>
    <t>Virement RSI</t>
  </si>
  <si>
    <t>RETRAITE COMPLEMENTAIRE RSI</t>
  </si>
  <si>
    <t>SOLDE DEBUT JANVIER</t>
  </si>
  <si>
    <t>D</t>
  </si>
  <si>
    <t>Date valeur</t>
  </si>
  <si>
    <t>VIREMENT CARSAT</t>
  </si>
  <si>
    <t>Prélèvement Canal Sat</t>
  </si>
  <si>
    <t>NUMERICABLE TELE</t>
  </si>
  <si>
    <t>CHQ LOYER</t>
  </si>
  <si>
    <t>CANAL SAT</t>
  </si>
  <si>
    <t>Frais Bancaire</t>
  </si>
  <si>
    <t>NUMERICABLE</t>
  </si>
  <si>
    <t>Crédit Maison</t>
  </si>
  <si>
    <t>Prélèvement Mutuelle</t>
  </si>
  <si>
    <t>Transfert Compte</t>
  </si>
  <si>
    <t>COMPTE PEL</t>
  </si>
  <si>
    <t>FREE MOBILE SYLVIE</t>
  </si>
  <si>
    <t>Paypal</t>
  </si>
  <si>
    <t>remboursement</t>
  </si>
  <si>
    <t>Remboursement</t>
  </si>
  <si>
    <t>CREDIT PERSO</t>
  </si>
  <si>
    <t>Colonne1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</si>
  <si>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</si>
  <si>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</si>
  <si>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</si>
  <si>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</si>
  <si>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</si>
  <si>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</si>
  <si>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</si>
  <si>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</si>
  <si>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</si>
  <si>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</si>
  <si>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</si>
  <si>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</si>
  <si>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</si>
  <si>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</si>
  <si>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</si>
  <si>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</si>
  <si>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</si>
  <si>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</si>
  <si>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</si>
  <si>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</si>
  <si>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</si>
  <si>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</si>
  <si>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</si>
  <si>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</si>
  <si>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</si>
  <si>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</si>
  <si>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</si>
  <si>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</si>
  <si>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</si>
  <si>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</si>
  <si>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</si>
  <si>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</si>
  <si>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TOTAL COMPTE COURANT</t>
  </si>
  <si>
    <t>TOTAL PLACEMENTS</t>
  </si>
  <si>
    <t>Restaurant Le Siam</t>
  </si>
  <si>
    <t>REMBOURSEMENT CREDIT NINA</t>
  </si>
  <si>
    <t>PARKING HOPITAL</t>
  </si>
  <si>
    <t>PLACEMENTS</t>
  </si>
  <si>
    <t>INTERETS</t>
  </si>
  <si>
    <t>date</t>
  </si>
  <si>
    <t>ESSENCE VOITURE CARREFOUR</t>
  </si>
  <si>
    <t>Virement mutuelle</t>
  </si>
  <si>
    <t>BIJOUX</t>
  </si>
  <si>
    <t>INTERMARCHE</t>
  </si>
  <si>
    <t>BIJOUX GRIMALDI</t>
  </si>
  <si>
    <t>HUITRES</t>
  </si>
  <si>
    <t>CREDIT PERSO 1/60</t>
  </si>
  <si>
    <t>VIREMENT VENTE BRACELETS</t>
  </si>
  <si>
    <t>CREDIT PERSO A 2,460%</t>
  </si>
  <si>
    <t>MAISON</t>
  </si>
  <si>
    <t>CASTORAMA</t>
  </si>
  <si>
    <t>ADEVIP</t>
  </si>
  <si>
    <t>CABESTO</t>
  </si>
  <si>
    <t>IMPOT REVENU 1/10</t>
  </si>
  <si>
    <t>TAXE FONCIERE 1/10</t>
  </si>
  <si>
    <t>samedi</t>
  </si>
  <si>
    <t>dimanche</t>
  </si>
  <si>
    <t>lundi</t>
  </si>
  <si>
    <t>mardi</t>
  </si>
  <si>
    <t>mercredi</t>
  </si>
  <si>
    <t>jeudi</t>
  </si>
  <si>
    <t>vendredi</t>
  </si>
  <si>
    <t>DEPOT ESPECES</t>
  </si>
  <si>
    <t>DEPOT CHEQUE</t>
  </si>
  <si>
    <t>AUCHAN</t>
  </si>
  <si>
    <t>BOULANGER DD</t>
  </si>
  <si>
    <t>LIDL</t>
  </si>
  <si>
    <t>aspi nIna</t>
  </si>
  <si>
    <t>ikea</t>
  </si>
  <si>
    <t>virement Sylvie</t>
  </si>
  <si>
    <t>fdj</t>
  </si>
  <si>
    <t>CARREFOUR LAVAGE VOITURE</t>
  </si>
  <si>
    <t>PRELEVEMENT</t>
  </si>
  <si>
    <t>AUTOROUTE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</si>
</sst>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 * #,##0.00_)\ &quot;€&quot;_ ;_ * \(#,##0.00\)\ &quot;€&quot;_ ;_ * &quot;-&quot;??_)\ &quot;€&quot;_ ;_ @_ "/>
    <numFmt numFmtId="43" formatCode="_ * #,##0.00_)\ _€_ ;_ * \(#,##0.00\)\ _€_ ;_ * &quot;-&quot;??_)\ _€_ ;_ @_ "/>
    <numFmt numFmtId="164" formatCode="_-* #,##0.00\ &quot;€&quot;_-;\-* #,##0.00\ &quot;€&quot;_-;_-* &quot;-&quot;??\ &quot;€&quot;_-;_-@_-"/>
    <numFmt numFmtId="165" formatCode="mmmm"/>
    <numFmt numFmtId="166" formatCode="_ * #,##0.000_)\ &quot;€&quot;_ ;_ * \(#,##0.000\)\ &quot;€&quot;_ ;_ * &quot;-&quot;??_)\ &quot;€&quot;_ ;_ @_ "/>
    <numFmt numFmtId="167" formatCode="_-* #,##0.000\ &quot;€&quot;_-;\-* #,##0.000\ &quot;€&quot;_-;_-* &quot;-&quot;???\ &quot;€&quot;_-;_-@_-"/>
    <numFmt numFmtId="168" formatCode="_-* #,##0.000\ &quot;€&quot;_-;\-* #,##0.000\ &quot;€&quot;_-;_-* &quot;-&quot;??\ &quot;€&quot;_-;_-@_-"/>
    <numFmt numFmtId="169" formatCode="[$-F800]dddd\,\ mmmm\ dd\,\ yyyy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scheme val="minor"/>
    </font>
    <font>
      <sz val="12"/>
      <color rgb="FFFFFF00"/>
      <name val="Calibri"/>
      <scheme val="minor"/>
    </font>
    <font>
      <b/>
      <sz val="16"/>
      <color theme="1"/>
      <name val="Calibri"/>
      <scheme val="minor"/>
    </font>
    <font>
      <b/>
      <sz val="16"/>
      <color rgb="FFFFFF00"/>
      <name val="Calibri"/>
      <scheme val="minor"/>
    </font>
    <font>
      <b/>
      <sz val="16"/>
      <color theme="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22"/>
      <color rgb="FF3366FF"/>
      <name val="Calibri"/>
      <scheme val="minor"/>
    </font>
    <font>
      <sz val="20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</borders>
  <cellStyleXfs count="52">
    <xf numFmtId="0" fontId="0" fillId="0" borderId="0"/>
    <xf numFmtId="9" fontId="2" fillId="0" borderId="0" applyFont="0" applyFill="0" applyBorder="0" applyAlignment="0" applyProtection="0"/>
    <xf numFmtId="0" fontId="2" fillId="2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12">
    <xf numFmtId="0" fontId="0" fillId="0" borderId="0" xfId="0"/>
    <xf numFmtId="0" fontId="0" fillId="3" borderId="0" xfId="0" applyFill="1"/>
    <xf numFmtId="44" fontId="2" fillId="0" borderId="1" xfId="3" applyFont="1" applyBorder="1"/>
    <xf numFmtId="14" fontId="3" fillId="0" borderId="1" xfId="0" applyNumberFormat="1" applyFont="1" applyFill="1" applyBorder="1"/>
    <xf numFmtId="0" fontId="0" fillId="0" borderId="1" xfId="0" applyBorder="1"/>
    <xf numFmtId="165" fontId="0" fillId="0" borderId="1" xfId="0" applyNumberFormat="1" applyBorder="1"/>
    <xf numFmtId="14" fontId="3" fillId="0" borderId="1" xfId="3" applyNumberFormat="1" applyFont="1" applyFill="1" applyBorder="1"/>
    <xf numFmtId="0" fontId="0" fillId="0" borderId="8" xfId="0" applyFill="1" applyBorder="1"/>
    <xf numFmtId="16" fontId="0" fillId="0" borderId="1" xfId="0" applyNumberFormat="1" applyFill="1" applyBorder="1"/>
    <xf numFmtId="44" fontId="4" fillId="4" borderId="1" xfId="3" applyFont="1" applyFill="1" applyBorder="1"/>
    <xf numFmtId="44" fontId="4" fillId="4" borderId="4" xfId="3" applyFont="1" applyFill="1" applyBorder="1"/>
    <xf numFmtId="0" fontId="0" fillId="0" borderId="1" xfId="0" applyFill="1" applyBorder="1"/>
    <xf numFmtId="44" fontId="0" fillId="0" borderId="1" xfId="3" applyFont="1" applyFill="1" applyBorder="1"/>
    <xf numFmtId="44" fontId="0" fillId="0" borderId="1" xfId="0" applyNumberFormat="1" applyFill="1" applyBorder="1"/>
    <xf numFmtId="44" fontId="0" fillId="3" borderId="0" xfId="0" applyNumberFormat="1" applyFill="1"/>
    <xf numFmtId="44" fontId="0" fillId="3" borderId="0" xfId="3" applyFont="1" applyFill="1"/>
    <xf numFmtId="164" fontId="0" fillId="3" borderId="0" xfId="0" applyNumberFormat="1" applyFill="1"/>
    <xf numFmtId="14" fontId="0" fillId="3" borderId="0" xfId="0" applyNumberFormat="1" applyFill="1"/>
    <xf numFmtId="0" fontId="5" fillId="0" borderId="1" xfId="0" applyFont="1" applyBorder="1"/>
    <xf numFmtId="44" fontId="6" fillId="5" borderId="1" xfId="3" applyFont="1" applyFill="1" applyBorder="1"/>
    <xf numFmtId="44" fontId="2" fillId="0" borderId="4" xfId="3" applyFont="1" applyBorder="1" applyAlignment="1"/>
    <xf numFmtId="44" fontId="2" fillId="0" borderId="1" xfId="3" applyFont="1" applyBorder="1" applyAlignment="1"/>
    <xf numFmtId="44" fontId="2" fillId="3" borderId="4" xfId="3" applyFont="1" applyFill="1" applyBorder="1"/>
    <xf numFmtId="44" fontId="2" fillId="3" borderId="9" xfId="3" applyFont="1" applyFill="1" applyBorder="1"/>
    <xf numFmtId="0" fontId="0" fillId="3" borderId="9" xfId="0" applyFill="1" applyBorder="1"/>
    <xf numFmtId="0" fontId="0" fillId="3" borderId="9" xfId="0" applyFill="1" applyBorder="1" applyAlignment="1"/>
    <xf numFmtId="0" fontId="0" fillId="3" borderId="9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44" fontId="0" fillId="0" borderId="1" xfId="0" applyNumberFormat="1" applyBorder="1"/>
    <xf numFmtId="44" fontId="0" fillId="0" borderId="4" xfId="0" applyNumberFormat="1" applyBorder="1" applyAlignment="1"/>
    <xf numFmtId="44" fontId="0" fillId="0" borderId="1" xfId="0" applyNumberFormat="1" applyBorder="1" applyAlignment="1"/>
    <xf numFmtId="44" fontId="2" fillId="3" borderId="5" xfId="3" applyFont="1" applyFill="1" applyBorder="1" applyAlignment="1"/>
    <xf numFmtId="44" fontId="2" fillId="3" borderId="10" xfId="3" applyFont="1" applyFill="1" applyBorder="1" applyAlignment="1"/>
    <xf numFmtId="44" fontId="2" fillId="3" borderId="6" xfId="3" applyFont="1" applyFill="1" applyBorder="1" applyAlignment="1"/>
    <xf numFmtId="14" fontId="0" fillId="0" borderId="0" xfId="0" applyNumberForma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44" fontId="0" fillId="0" borderId="13" xfId="3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44" fontId="0" fillId="0" borderId="14" xfId="3" applyFont="1" applyBorder="1" applyAlignment="1">
      <alignment horizontal="center" vertical="center"/>
    </xf>
    <xf numFmtId="166" fontId="0" fillId="8" borderId="13" xfId="3" applyNumberFormat="1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4" fontId="0" fillId="0" borderId="0" xfId="3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4" fillId="9" borderId="13" xfId="3" applyNumberFormat="1" applyFont="1" applyFill="1" applyBorder="1" applyAlignment="1">
      <alignment horizontal="center" vertical="center"/>
    </xf>
    <xf numFmtId="10" fontId="0" fillId="0" borderId="13" xfId="1" applyNumberFormat="1" applyFont="1" applyBorder="1" applyAlignment="1">
      <alignment horizontal="center" vertical="center"/>
    </xf>
    <xf numFmtId="17" fontId="0" fillId="0" borderId="0" xfId="0" applyNumberFormat="1"/>
    <xf numFmtId="44" fontId="2" fillId="0" borderId="0" xfId="3" applyFont="1"/>
    <xf numFmtId="44" fontId="0" fillId="0" borderId="0" xfId="0" applyNumberFormat="1"/>
    <xf numFmtId="43" fontId="2" fillId="0" borderId="0" xfId="4" applyFont="1"/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4" fontId="2" fillId="0" borderId="1" xfId="3" applyFont="1" applyFill="1" applyBorder="1"/>
    <xf numFmtId="0" fontId="0" fillId="3" borderId="3" xfId="0" applyFill="1" applyBorder="1" applyAlignment="1">
      <alignment horizontal="center" vertical="center"/>
    </xf>
    <xf numFmtId="44" fontId="2" fillId="0" borderId="1" xfId="3" applyFont="1" applyBorder="1" applyAlignment="1">
      <alignment horizontal="center" vertical="center"/>
    </xf>
    <xf numFmtId="44" fontId="7" fillId="6" borderId="1" xfId="3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66" fontId="0" fillId="7" borderId="13" xfId="5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3" borderId="1" xfId="0" applyFill="1" applyBorder="1" applyAlignment="1">
      <alignment horizontal="center"/>
    </xf>
    <xf numFmtId="164" fontId="0" fillId="0" borderId="0" xfId="5" applyFont="1"/>
    <xf numFmtId="0" fontId="0" fillId="0" borderId="4" xfId="0" applyBorder="1" applyAlignment="1">
      <alignment horizontal="right"/>
    </xf>
    <xf numFmtId="0" fontId="0" fillId="10" borderId="4" xfId="0" applyFill="1" applyBorder="1" applyAlignment="1">
      <alignment horizontal="right"/>
    </xf>
    <xf numFmtId="44" fontId="2" fillId="10" borderId="1" xfId="3" applyFont="1" applyFill="1" applyBorder="1"/>
    <xf numFmtId="44" fontId="2" fillId="10" borderId="4" xfId="3" applyFont="1" applyFill="1" applyBorder="1" applyAlignment="1"/>
    <xf numFmtId="44" fontId="2" fillId="10" borderId="1" xfId="3" applyFont="1" applyFill="1" applyBorder="1" applyAlignment="1"/>
    <xf numFmtId="0" fontId="0" fillId="10" borderId="0" xfId="0" applyFill="1"/>
    <xf numFmtId="0" fontId="0" fillId="10" borderId="1" xfId="0" applyFill="1" applyBorder="1" applyAlignment="1">
      <alignment horizontal="right"/>
    </xf>
    <xf numFmtId="44" fontId="0" fillId="10" borderId="1" xfId="0" applyNumberFormat="1" applyFill="1" applyBorder="1"/>
    <xf numFmtId="44" fontId="0" fillId="10" borderId="4" xfId="0" applyNumberFormat="1" applyFill="1" applyBorder="1" applyAlignment="1"/>
    <xf numFmtId="44" fontId="0" fillId="10" borderId="1" xfId="0" applyNumberFormat="1" applyFill="1" applyBorder="1" applyAlignment="1"/>
    <xf numFmtId="0" fontId="0" fillId="10" borderId="4" xfId="0" applyFill="1" applyBorder="1" applyAlignment="1">
      <alignment horizontal="center"/>
    </xf>
    <xf numFmtId="0" fontId="2" fillId="11" borderId="1" xfId="2" applyFill="1" applyBorder="1" applyAlignment="1">
      <alignment horizontal="right"/>
    </xf>
    <xf numFmtId="44" fontId="2" fillId="11" borderId="1" xfId="3" applyFont="1" applyFill="1" applyBorder="1"/>
    <xf numFmtId="164" fontId="2" fillId="11" borderId="1" xfId="3" applyNumberFormat="1" applyFont="1" applyFill="1" applyBorder="1"/>
    <xf numFmtId="0" fontId="0" fillId="11" borderId="0" xfId="0" applyFill="1"/>
    <xf numFmtId="0" fontId="2" fillId="11" borderId="9" xfId="2" applyFill="1" applyBorder="1" applyAlignment="1">
      <alignment horizontal="right"/>
    </xf>
    <xf numFmtId="44" fontId="2" fillId="11" borderId="1" xfId="2" applyNumberFormat="1" applyFill="1" applyBorder="1"/>
    <xf numFmtId="44" fontId="2" fillId="11" borderId="1" xfId="2" applyNumberFormat="1" applyFill="1" applyBorder="1" applyAlignment="1">
      <alignment horizontal="center" vertical="center"/>
    </xf>
    <xf numFmtId="0" fontId="0" fillId="11" borderId="4" xfId="0" applyFill="1" applyBorder="1" applyAlignment="1">
      <alignment horizontal="right"/>
    </xf>
    <xf numFmtId="16" fontId="0" fillId="0" borderId="12" xfId="0" applyNumberFormat="1" applyBorder="1" applyAlignment="1">
      <alignment horizontal="center" vertical="center"/>
    </xf>
    <xf numFmtId="0" fontId="0" fillId="11" borderId="1" xfId="0" applyFill="1" applyBorder="1" applyAlignment="1">
      <alignment horizontal="right"/>
    </xf>
    <xf numFmtId="44" fontId="0" fillId="11" borderId="1" xfId="0" applyNumberFormat="1" applyFill="1" applyBorder="1"/>
    <xf numFmtId="0" fontId="0" fillId="0" borderId="1" xfId="2" applyFont="1" applyFill="1" applyBorder="1" applyAlignment="1">
      <alignment horizontal="right"/>
    </xf>
    <xf numFmtId="44" fontId="2" fillId="0" borderId="1" xfId="2" applyNumberFormat="1" applyFill="1" applyBorder="1"/>
    <xf numFmtId="16" fontId="0" fillId="0" borderId="13" xfId="0" applyNumberFormat="1" applyBorder="1" applyAlignment="1">
      <alignment horizontal="center" vertical="center"/>
    </xf>
    <xf numFmtId="164" fontId="0" fillId="0" borderId="1" xfId="5" applyFont="1" applyBorder="1"/>
    <xf numFmtId="168" fontId="0" fillId="7" borderId="13" xfId="5" applyNumberFormat="1" applyFont="1" applyFill="1" applyBorder="1" applyAlignment="1">
      <alignment horizontal="center" vertical="center"/>
    </xf>
    <xf numFmtId="164" fontId="0" fillId="0" borderId="1" xfId="5" applyFont="1" applyFill="1" applyBorder="1"/>
    <xf numFmtId="14" fontId="0" fillId="0" borderId="1" xfId="5" applyNumberFormat="1" applyFont="1" applyFill="1" applyBorder="1"/>
    <xf numFmtId="0" fontId="0" fillId="0" borderId="4" xfId="0" applyBorder="1" applyAlignment="1">
      <alignment horizontal="left"/>
    </xf>
    <xf numFmtId="0" fontId="0" fillId="0" borderId="1" xfId="0" applyBorder="1" applyAlignment="1">
      <alignment horizontal="left"/>
    </xf>
    <xf numFmtId="44" fontId="0" fillId="0" borderId="1" xfId="3" applyFont="1" applyBorder="1" applyAlignment="1">
      <alignment horizontal="center" vertical="center"/>
    </xf>
    <xf numFmtId="164" fontId="2" fillId="0" borderId="1" xfId="3" applyNumberFormat="1" applyFont="1" applyFill="1" applyBorder="1"/>
    <xf numFmtId="14" fontId="0" fillId="0" borderId="0" xfId="0" applyNumberFormat="1"/>
    <xf numFmtId="164" fontId="0" fillId="0" borderId="0" xfId="0" applyNumberFormat="1"/>
    <xf numFmtId="168" fontId="0" fillId="0" borderId="13" xfId="5" applyNumberFormat="1" applyFont="1" applyFill="1" applyBorder="1" applyAlignment="1">
      <alignment horizontal="center" vertical="center"/>
    </xf>
    <xf numFmtId="167" fontId="0" fillId="0" borderId="15" xfId="0" applyNumberFormat="1" applyBorder="1" applyAlignment="1"/>
    <xf numFmtId="167" fontId="0" fillId="0" borderId="0" xfId="0" applyNumberFormat="1"/>
    <xf numFmtId="10" fontId="0" fillId="0" borderId="16" xfId="1" applyNumberFormat="1" applyFont="1" applyBorder="1" applyAlignment="1">
      <alignment vertical="center"/>
    </xf>
    <xf numFmtId="10" fontId="0" fillId="0" borderId="4" xfId="0" applyNumberFormat="1" applyBorder="1" applyAlignment="1"/>
    <xf numFmtId="44" fontId="0" fillId="0" borderId="1" xfId="3" applyFont="1" applyBorder="1"/>
    <xf numFmtId="169" fontId="0" fillId="0" borderId="1" xfId="0" applyNumberFormat="1" applyBorder="1"/>
    <xf numFmtId="0" fontId="11" fillId="0" borderId="0" xfId="0" applyFont="1" applyAlignment="1">
      <alignment horizontal="center" vertical="center"/>
    </xf>
    <xf numFmtId="164" fontId="11" fillId="0" borderId="0" xfId="5" applyFont="1" applyAlignment="1">
      <alignment horizontal="center" vertical="center"/>
    </xf>
    <xf numFmtId="0" fontId="10" fillId="3" borderId="0" xfId="0" applyFont="1" applyFill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52">
    <cellStyle name="20 % - Accent1" xfId="2" builtinId="30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Milliers 2" xfId="4"/>
    <cellStyle name="Monétaire" xfId="5" builtinId="4"/>
    <cellStyle name="Monétaire 2" xfId="3"/>
    <cellStyle name="Normal" xfId="0" builtinId="0"/>
    <cellStyle name="Pourcentage" xfId="1" builtinId="5"/>
  </cellStyles>
  <dxfs count="49"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4" formatCode="_ * #,##0.00_)\ &quot;€&quot;_ ;_ * \(#,##0.00\)\ &quot;€&quot;_ ;_ * &quot;-&quot;??_)\ &quot;€&quot;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%20SMC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MS"/>
      <sheetName val="compte janvier"/>
      <sheetName val="janvier 17"/>
      <sheetName val="compte Fevrier"/>
      <sheetName val="fevrier 17"/>
      <sheetName val="compte Mars"/>
      <sheetName val="mars 17"/>
      <sheetName val="compte Avril"/>
      <sheetName val="Avril 17"/>
      <sheetName val="compte Mai"/>
      <sheetName val="Mai 17"/>
      <sheetName val="compte Juin"/>
      <sheetName val="Juin 17"/>
      <sheetName val="compte Juillet"/>
      <sheetName val="Juillet 17"/>
      <sheetName val="compte Aout"/>
      <sheetName val="Aout17"/>
      <sheetName val="compte Septembre"/>
      <sheetName val="Septembre17"/>
      <sheetName val="compte Octobre"/>
      <sheetName val="Octobre17"/>
      <sheetName val="compte Novembre"/>
      <sheetName val="Novembre17"/>
      <sheetName val="compte Decembre"/>
      <sheetName val="Decembre17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65">
          <cell r="AP65">
            <v>0.11656137809546763</v>
          </cell>
        </row>
      </sheetData>
      <sheetData sheetId="21"/>
      <sheetData sheetId="22"/>
      <sheetData sheetId="23">
        <row r="103">
          <cell r="I103">
            <v>8607.6499999999924</v>
          </cell>
        </row>
      </sheetData>
      <sheetData sheetId="24">
        <row r="1">
          <cell r="AI1">
            <v>2799.26</v>
          </cell>
        </row>
        <row r="2">
          <cell r="AI2">
            <v>7995.91</v>
          </cell>
        </row>
        <row r="3">
          <cell r="AI3">
            <v>22629.59</v>
          </cell>
        </row>
        <row r="4">
          <cell r="AI4">
            <v>4117.46</v>
          </cell>
        </row>
        <row r="5">
          <cell r="AI5">
            <v>336.99</v>
          </cell>
        </row>
        <row r="6">
          <cell r="AI6">
            <v>21081.89</v>
          </cell>
        </row>
        <row r="7">
          <cell r="AI7">
            <v>12371.55</v>
          </cell>
        </row>
        <row r="8">
          <cell r="AI8">
            <v>11922.95</v>
          </cell>
        </row>
        <row r="9">
          <cell r="AI9">
            <v>1020.06</v>
          </cell>
        </row>
        <row r="12">
          <cell r="AI12">
            <v>8607.65</v>
          </cell>
        </row>
        <row r="24">
          <cell r="AI24">
            <v>8859.1699999999837</v>
          </cell>
        </row>
      </sheetData>
      <sheetData sheetId="25"/>
    </sheetDataSet>
  </externalBook>
</externalLink>
</file>

<file path=xl/tables/table1.xml><?xml version="1.0" encoding="utf-8"?>
<table xmlns="http://schemas.openxmlformats.org/spreadsheetml/2006/main" id="2" name="Table2" displayName="Table2" ref="O1:O45" totalsRowShown="0" headerRowDxfId="35">
  <autoFilter ref="O1:O45"/>
  <sortState ref="O2:O45">
    <sortCondition ref="O1:O45"/>
  </sortState>
  <tableColumns count="1">
    <tableColumn id="1" name="Rubriqu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A1:AG26" totalsRowShown="0" dataDxfId="29">
  <autoFilter ref="A1:AG26"/>
  <tableColumns count="33">
    <tableColumn id="1" name="Colonne1"/>
    <tableColumn id="4" name="Colonne4" dataDxfId="28"/>
    <tableColumn id="5" name="Colonne5" dataDxfId="27"/>
    <tableColumn id="6" name="Colonne6" dataDxfId="26"/>
    <tableColumn id="7" name="Colonne7" dataDxfId="25"/>
    <tableColumn id="8" name="Colonne8" dataDxfId="24"/>
    <tableColumn id="9" name="Colonne9" dataDxfId="23"/>
    <tableColumn id="10" name="Colonne10" dataDxfId="22"/>
    <tableColumn id="11" name="Colonne11"/>
    <tableColumn id="12" name="Colonne12"/>
    <tableColumn id="13" name="Colonne13"/>
    <tableColumn id="14" name="Colonne14" dataDxfId="21"/>
    <tableColumn id="15" name="Colonne15" dataDxfId="20"/>
    <tableColumn id="16" name="Colonne16" dataDxfId="19"/>
    <tableColumn id="17" name="Colonne17" dataDxfId="18"/>
    <tableColumn id="18" name="Colonne18" dataDxfId="17"/>
    <tableColumn id="19" name="Colonne19" dataDxfId="16"/>
    <tableColumn id="20" name="Colonne20" dataDxfId="15"/>
    <tableColumn id="21" name="Colonne21" dataDxfId="14"/>
    <tableColumn id="22" name="Colonne22" dataDxfId="13"/>
    <tableColumn id="23" name="Colonne23" dataDxfId="12"/>
    <tableColumn id="24" name="Colonne24" dataDxfId="11"/>
    <tableColumn id="25" name="Colonne25" dataDxfId="10"/>
    <tableColumn id="26" name="Colonne26" dataDxfId="9"/>
    <tableColumn id="27" name="Colonne27" dataDxfId="8"/>
    <tableColumn id="28" name="Colonne28" dataDxfId="7"/>
    <tableColumn id="29" name="Colonne29" dataDxfId="6"/>
    <tableColumn id="30" name="Colonne30" dataDxfId="5"/>
    <tableColumn id="31" name="Colonne31" dataDxfId="4"/>
    <tableColumn id="32" name="Colonne32" dataDxfId="3"/>
    <tableColumn id="33" name="Colonne33" dataDxfId="2"/>
    <tableColumn id="34" name="Colonne34" dataDxfId="1"/>
    <tableColumn id="35" name="Colonne35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2"/>
  <sheetViews>
    <sheetView topLeftCell="A38" workbookViewId="0">
      <selection activeCell="H2" sqref="H2"/>
    </sheetView>
  </sheetViews>
  <sheetFormatPr baseColWidth="10" defaultRowHeight="15" x14ac:dyDescent="0"/>
  <cols>
    <col min="1" max="1" width="3.1640625" bestFit="1" customWidth="1"/>
    <col min="3" max="3" width="12" bestFit="1" customWidth="1"/>
  </cols>
  <sheetData>
    <row r="1" spans="1:7" ht="22" customHeight="1">
      <c r="A1" s="106" t="s">
        <v>137</v>
      </c>
      <c r="B1" s="106"/>
      <c r="C1" s="106"/>
      <c r="D1" s="106"/>
      <c r="E1" s="106"/>
      <c r="F1" s="106"/>
      <c r="G1" s="106"/>
    </row>
    <row r="2" spans="1:7" ht="30" customHeight="1">
      <c r="A2" s="107">
        <v>10000</v>
      </c>
      <c r="B2" s="107"/>
      <c r="C2" s="107"/>
      <c r="D2" s="107"/>
      <c r="E2" s="107"/>
      <c r="F2" s="107"/>
      <c r="G2" s="107"/>
    </row>
    <row r="3" spans="1:7">
      <c r="A3" s="46">
        <v>1</v>
      </c>
      <c r="B3" s="97">
        <v>43110</v>
      </c>
      <c r="C3" s="98">
        <f>A2-E3</f>
        <v>9844.33</v>
      </c>
      <c r="D3" s="63">
        <v>178.57</v>
      </c>
      <c r="E3" s="63">
        <f t="shared" ref="E3:E12" si="0">D3-G3-F3</f>
        <v>155.66999999999999</v>
      </c>
      <c r="F3" s="98">
        <f>A2*0.024%</f>
        <v>2.4</v>
      </c>
      <c r="G3" s="98">
        <f>A2*0.205%</f>
        <v>20.499999999999996</v>
      </c>
    </row>
    <row r="4" spans="1:7">
      <c r="A4" s="46">
        <v>2</v>
      </c>
      <c r="B4" s="97">
        <v>43141</v>
      </c>
      <c r="C4" s="98">
        <f t="shared" ref="C4:C62" si="1">C3-E4</f>
        <v>9688.3035156999995</v>
      </c>
      <c r="D4" s="63">
        <v>178.57</v>
      </c>
      <c r="E4" s="63">
        <f t="shared" si="0"/>
        <v>156.02648429999999</v>
      </c>
      <c r="F4" s="98">
        <f t="shared" ref="F4:F12" si="2">C3*0.024%</f>
        <v>2.3626391999999998</v>
      </c>
      <c r="G4" s="98">
        <f t="shared" ref="G4:G12" si="3">C3*0.205%</f>
        <v>20.180876499999997</v>
      </c>
    </row>
    <row r="5" spans="1:7">
      <c r="A5" s="46">
        <v>3</v>
      </c>
      <c r="B5" s="97">
        <v>43169</v>
      </c>
      <c r="C5" s="98">
        <f t="shared" si="1"/>
        <v>9531.919730750953</v>
      </c>
      <c r="D5" s="63">
        <v>178.57</v>
      </c>
      <c r="E5" s="63">
        <f t="shared" si="0"/>
        <v>156.383784949047</v>
      </c>
      <c r="F5" s="98">
        <f t="shared" si="2"/>
        <v>2.3251928437679998</v>
      </c>
      <c r="G5" s="98">
        <f t="shared" si="3"/>
        <v>19.861022207184995</v>
      </c>
    </row>
    <row r="6" spans="1:7">
      <c r="A6" s="46">
        <v>4</v>
      </c>
      <c r="B6" s="97">
        <v>43200</v>
      </c>
      <c r="C6" s="98">
        <f t="shared" si="1"/>
        <v>9375.1778269343722</v>
      </c>
      <c r="D6" s="63">
        <v>178.57</v>
      </c>
      <c r="E6" s="63">
        <f t="shared" si="0"/>
        <v>156.7419038165803</v>
      </c>
      <c r="F6" s="98">
        <f t="shared" si="2"/>
        <v>2.287660735380229</v>
      </c>
      <c r="G6" s="98">
        <f t="shared" si="3"/>
        <v>19.54043544803945</v>
      </c>
    </row>
    <row r="7" spans="1:7">
      <c r="A7" s="46">
        <v>5</v>
      </c>
      <c r="B7" s="97">
        <v>43230</v>
      </c>
      <c r="C7" s="98">
        <f t="shared" si="1"/>
        <v>9218.0769841580513</v>
      </c>
      <c r="D7" s="63">
        <v>178.57</v>
      </c>
      <c r="E7" s="63">
        <f t="shared" si="0"/>
        <v>157.10084277632029</v>
      </c>
      <c r="F7" s="98">
        <f t="shared" si="2"/>
        <v>2.2500426784642493</v>
      </c>
      <c r="G7" s="98">
        <f t="shared" si="3"/>
        <v>19.219114545215461</v>
      </c>
    </row>
    <row r="8" spans="1:7">
      <c r="A8" s="46">
        <v>6</v>
      </c>
      <c r="B8" s="97">
        <v>43261</v>
      </c>
      <c r="C8" s="98">
        <f t="shared" si="1"/>
        <v>9060.6163804517728</v>
      </c>
      <c r="D8" s="63">
        <v>178.57</v>
      </c>
      <c r="E8" s="63">
        <f t="shared" si="0"/>
        <v>157.46060370627805</v>
      </c>
      <c r="F8" s="98">
        <f t="shared" si="2"/>
        <v>2.2123384761979326</v>
      </c>
      <c r="G8" s="98">
        <f t="shared" si="3"/>
        <v>18.897057817524004</v>
      </c>
    </row>
    <row r="9" spans="1:7">
      <c r="A9" s="46">
        <v>7</v>
      </c>
      <c r="B9" s="97">
        <v>43291</v>
      </c>
      <c r="C9" s="98">
        <f t="shared" si="1"/>
        <v>8902.7951919630068</v>
      </c>
      <c r="D9" s="63">
        <v>178.57</v>
      </c>
      <c r="E9" s="63">
        <f t="shared" si="0"/>
        <v>157.82118848876542</v>
      </c>
      <c r="F9" s="98">
        <f t="shared" si="2"/>
        <v>2.1745479313084255</v>
      </c>
      <c r="G9" s="98">
        <f t="shared" si="3"/>
        <v>18.574263579926132</v>
      </c>
    </row>
    <row r="10" spans="1:7">
      <c r="A10" s="46">
        <v>8</v>
      </c>
      <c r="B10" s="97">
        <v>43322</v>
      </c>
      <c r="C10" s="98">
        <f t="shared" si="1"/>
        <v>8744.6125929526024</v>
      </c>
      <c r="D10" s="63">
        <v>178.57</v>
      </c>
      <c r="E10" s="63">
        <f t="shared" si="0"/>
        <v>158.18259901040472</v>
      </c>
      <c r="F10" s="98">
        <f t="shared" si="2"/>
        <v>2.1366708460711217</v>
      </c>
      <c r="G10" s="98">
        <f t="shared" si="3"/>
        <v>18.250730143524162</v>
      </c>
    </row>
    <row r="11" spans="1:7">
      <c r="A11" s="46">
        <v>9</v>
      </c>
      <c r="B11" s="97">
        <v>43353</v>
      </c>
      <c r="C11" s="98">
        <f t="shared" si="1"/>
        <v>8586.0677557904637</v>
      </c>
      <c r="D11" s="63">
        <v>178.57</v>
      </c>
      <c r="E11" s="63">
        <f t="shared" si="0"/>
        <v>158.54483716213855</v>
      </c>
      <c r="F11" s="98">
        <f t="shared" si="2"/>
        <v>2.0987070223086248</v>
      </c>
      <c r="G11" s="98">
        <f t="shared" si="3"/>
        <v>17.926455815552831</v>
      </c>
    </row>
    <row r="12" spans="1:7">
      <c r="A12" s="46">
        <v>10</v>
      </c>
      <c r="B12" s="97">
        <v>43383</v>
      </c>
      <c r="C12" s="98">
        <f t="shared" si="1"/>
        <v>8427.1598509512241</v>
      </c>
      <c r="D12" s="63">
        <v>178.57</v>
      </c>
      <c r="E12" s="63">
        <f t="shared" si="0"/>
        <v>158.90790483923982</v>
      </c>
      <c r="F12" s="98">
        <f t="shared" si="2"/>
        <v>2.0606562613897115</v>
      </c>
      <c r="G12" s="98">
        <f t="shared" si="3"/>
        <v>17.60143889937045</v>
      </c>
    </row>
    <row r="13" spans="1:7">
      <c r="A13" s="46">
        <v>11</v>
      </c>
      <c r="B13" s="97">
        <v>43414</v>
      </c>
      <c r="C13" s="98">
        <f t="shared" si="1"/>
        <v>8267.8880470099029</v>
      </c>
      <c r="D13" s="63">
        <v>178.57</v>
      </c>
      <c r="E13" s="63">
        <f t="shared" ref="E13:E23" si="4">D13-G13-F13</f>
        <v>159.27180394132171</v>
      </c>
      <c r="F13" s="98">
        <f t="shared" ref="F13:F23" si="5">C12*0.024%</f>
        <v>2.022518364228294</v>
      </c>
      <c r="G13" s="98">
        <f t="shared" ref="G13:G23" si="6">C12*0.205%</f>
        <v>17.275677694450007</v>
      </c>
    </row>
    <row r="14" spans="1:7">
      <c r="A14" s="46">
        <v>12</v>
      </c>
      <c r="B14" s="97">
        <v>43444</v>
      </c>
      <c r="C14" s="98">
        <f t="shared" si="1"/>
        <v>8108.2515106375558</v>
      </c>
      <c r="D14" s="63">
        <v>178.57</v>
      </c>
      <c r="E14" s="63">
        <f t="shared" si="4"/>
        <v>159.63653637234731</v>
      </c>
      <c r="F14" s="98">
        <f t="shared" si="5"/>
        <v>1.9842931312823768</v>
      </c>
      <c r="G14" s="98">
        <f t="shared" si="6"/>
        <v>16.9491704963703</v>
      </c>
    </row>
    <row r="15" spans="1:7">
      <c r="A15" s="46">
        <v>13</v>
      </c>
      <c r="B15" s="97">
        <v>43475</v>
      </c>
      <c r="C15" s="98">
        <f t="shared" si="1"/>
        <v>7948.2494065969158</v>
      </c>
      <c r="D15" s="63">
        <v>178.57</v>
      </c>
      <c r="E15" s="63">
        <f t="shared" si="4"/>
        <v>160.00210404064001</v>
      </c>
      <c r="F15" s="98">
        <f t="shared" si="5"/>
        <v>1.9459803625530134</v>
      </c>
      <c r="G15" s="98">
        <f t="shared" si="6"/>
        <v>16.621915596806986</v>
      </c>
    </row>
    <row r="16" spans="1:7">
      <c r="A16" s="46">
        <v>14</v>
      </c>
      <c r="B16" s="97">
        <v>43506</v>
      </c>
      <c r="C16" s="98">
        <f t="shared" si="1"/>
        <v>7787.8808977380231</v>
      </c>
      <c r="D16" s="63">
        <v>178.57</v>
      </c>
      <c r="E16" s="63">
        <f t="shared" si="4"/>
        <v>160.36850885889305</v>
      </c>
      <c r="F16" s="98">
        <f t="shared" si="5"/>
        <v>1.9075798575832599</v>
      </c>
      <c r="G16" s="98">
        <f t="shared" si="6"/>
        <v>16.293911283523677</v>
      </c>
    </row>
    <row r="17" spans="1:7">
      <c r="A17" s="46">
        <v>15</v>
      </c>
      <c r="B17" s="97">
        <v>43534</v>
      </c>
      <c r="C17" s="98">
        <f t="shared" si="1"/>
        <v>7627.1451449938431</v>
      </c>
      <c r="D17" s="63">
        <v>178.57</v>
      </c>
      <c r="E17" s="63">
        <f t="shared" si="4"/>
        <v>160.73575274417993</v>
      </c>
      <c r="F17" s="98">
        <f t="shared" si="5"/>
        <v>1.8690914154571256</v>
      </c>
      <c r="G17" s="98">
        <f t="shared" si="6"/>
        <v>15.965155840362945</v>
      </c>
    </row>
    <row r="18" spans="1:7">
      <c r="A18" s="46">
        <v>16</v>
      </c>
      <c r="B18" s="97">
        <v>43565</v>
      </c>
      <c r="C18" s="98">
        <f t="shared" si="1"/>
        <v>7466.0413073758791</v>
      </c>
      <c r="D18" s="63">
        <v>178.57</v>
      </c>
      <c r="E18" s="63">
        <f t="shared" si="4"/>
        <v>161.1038376179641</v>
      </c>
      <c r="F18" s="98">
        <f t="shared" si="5"/>
        <v>1.8305148347985225</v>
      </c>
      <c r="G18" s="98">
        <f t="shared" si="6"/>
        <v>15.635647547237376</v>
      </c>
    </row>
    <row r="19" spans="1:7">
      <c r="A19" s="46">
        <v>17</v>
      </c>
      <c r="B19" s="97">
        <v>43595</v>
      </c>
      <c r="C19" s="98">
        <f t="shared" si="1"/>
        <v>7304.5685419697702</v>
      </c>
      <c r="D19" s="63">
        <v>178.57</v>
      </c>
      <c r="E19" s="63">
        <f t="shared" si="4"/>
        <v>161.47276540610923</v>
      </c>
      <c r="F19" s="98">
        <f t="shared" si="5"/>
        <v>1.7918499137702111</v>
      </c>
      <c r="G19" s="98">
        <f t="shared" si="6"/>
        <v>15.30538468012055</v>
      </c>
    </row>
    <row r="20" spans="1:7">
      <c r="A20" s="46">
        <v>18</v>
      </c>
      <c r="B20" s="97">
        <v>43626</v>
      </c>
      <c r="C20" s="98">
        <f t="shared" si="1"/>
        <v>7142.7260039308812</v>
      </c>
      <c r="D20" s="63">
        <v>178.57</v>
      </c>
      <c r="E20" s="63">
        <f t="shared" si="4"/>
        <v>161.84253803888922</v>
      </c>
      <c r="F20" s="98">
        <f t="shared" si="5"/>
        <v>1.7530964500727448</v>
      </c>
      <c r="G20" s="98">
        <f t="shared" si="6"/>
        <v>14.974365511038027</v>
      </c>
    </row>
    <row r="21" spans="1:7">
      <c r="A21" s="46">
        <v>19</v>
      </c>
      <c r="B21" s="97">
        <v>43656</v>
      </c>
      <c r="C21" s="98">
        <f t="shared" si="1"/>
        <v>6980.5128464798827</v>
      </c>
      <c r="D21" s="63">
        <v>178.57</v>
      </c>
      <c r="E21" s="63">
        <f t="shared" si="4"/>
        <v>162.2131574509983</v>
      </c>
      <c r="F21" s="98">
        <f t="shared" si="5"/>
        <v>1.7142542409434116</v>
      </c>
      <c r="G21" s="98">
        <f t="shared" si="6"/>
        <v>14.642588308058304</v>
      </c>
    </row>
    <row r="22" spans="1:7">
      <c r="A22" s="46">
        <v>20</v>
      </c>
      <c r="B22" s="97">
        <v>43687</v>
      </c>
      <c r="C22" s="98">
        <f t="shared" si="1"/>
        <v>6817.9282208983213</v>
      </c>
      <c r="D22" s="63">
        <v>178.57</v>
      </c>
      <c r="E22" s="63">
        <f t="shared" si="4"/>
        <v>162.58462558156106</v>
      </c>
      <c r="F22" s="98">
        <f t="shared" si="5"/>
        <v>1.675323083155172</v>
      </c>
      <c r="G22" s="98">
        <f t="shared" si="6"/>
        <v>14.310051335283758</v>
      </c>
    </row>
    <row r="23" spans="1:7">
      <c r="A23" s="46">
        <v>21</v>
      </c>
      <c r="B23" s="97">
        <v>43718</v>
      </c>
      <c r="C23" s="98">
        <f t="shared" si="1"/>
        <v>6654.9712765241784</v>
      </c>
      <c r="D23" s="63">
        <v>178.57</v>
      </c>
      <c r="E23" s="63">
        <f t="shared" si="4"/>
        <v>162.95694437414284</v>
      </c>
      <c r="F23" s="98">
        <f t="shared" si="5"/>
        <v>1.6363027730155972</v>
      </c>
      <c r="G23" s="98">
        <f t="shared" si="6"/>
        <v>13.976752852841557</v>
      </c>
    </row>
    <row r="24" spans="1:7">
      <c r="A24" s="46">
        <v>22</v>
      </c>
      <c r="B24" s="97">
        <v>43748</v>
      </c>
      <c r="C24" s="98">
        <f t="shared" si="1"/>
        <v>6491.6411607474183</v>
      </c>
      <c r="D24" s="63">
        <v>178.57</v>
      </c>
      <c r="E24" s="63">
        <f t="shared" ref="E24:E62" si="7">D24-G24-F24</f>
        <v>163.33011577675961</v>
      </c>
      <c r="F24" s="98">
        <f t="shared" ref="F24:F62" si="8">C23*0.024%</f>
        <v>1.5971931063658029</v>
      </c>
      <c r="G24" s="98">
        <f t="shared" ref="G24:G62" si="9">C23*0.205%</f>
        <v>13.642691116874564</v>
      </c>
    </row>
    <row r="25" spans="1:7">
      <c r="A25" s="46">
        <v>23</v>
      </c>
      <c r="B25" s="97">
        <v>43779</v>
      </c>
      <c r="C25" s="98">
        <f t="shared" si="1"/>
        <v>6327.9370190055297</v>
      </c>
      <c r="D25" s="63">
        <v>178.57</v>
      </c>
      <c r="E25" s="63">
        <f t="shared" si="7"/>
        <v>163.70414174188844</v>
      </c>
      <c r="F25" s="98">
        <f t="shared" si="8"/>
        <v>1.5579938785793805</v>
      </c>
      <c r="G25" s="98">
        <f t="shared" si="9"/>
        <v>13.307864379532205</v>
      </c>
    </row>
    <row r="26" spans="1:7">
      <c r="A26" s="46">
        <v>24</v>
      </c>
      <c r="B26" s="97">
        <v>43809</v>
      </c>
      <c r="C26" s="98">
        <f t="shared" si="1"/>
        <v>6163.8579947790522</v>
      </c>
      <c r="D26" s="63">
        <v>178.57</v>
      </c>
      <c r="E26" s="63">
        <f t="shared" si="7"/>
        <v>164.07902422647734</v>
      </c>
      <c r="F26" s="98">
        <f t="shared" si="8"/>
        <v>1.5187048845613271</v>
      </c>
      <c r="G26" s="98">
        <f t="shared" si="9"/>
        <v>12.972270888961335</v>
      </c>
    </row>
    <row r="27" spans="1:7">
      <c r="A27" s="46">
        <v>25</v>
      </c>
      <c r="B27" s="97">
        <v>43840</v>
      </c>
      <c r="C27" s="98">
        <f t="shared" si="1"/>
        <v>5999.4032295870966</v>
      </c>
      <c r="D27" s="63">
        <v>178.57</v>
      </c>
      <c r="E27" s="63">
        <f t="shared" si="7"/>
        <v>164.45476519195594</v>
      </c>
      <c r="F27" s="98">
        <f t="shared" si="8"/>
        <v>1.4793259187469725</v>
      </c>
      <c r="G27" s="98">
        <f t="shared" si="9"/>
        <v>12.635908889297056</v>
      </c>
    </row>
    <row r="28" spans="1:7">
      <c r="A28" s="46">
        <v>26</v>
      </c>
      <c r="B28" s="97">
        <v>43871</v>
      </c>
      <c r="C28" s="98">
        <f t="shared" si="1"/>
        <v>5834.5718629828507</v>
      </c>
      <c r="D28" s="63">
        <v>178.57</v>
      </c>
      <c r="E28" s="63">
        <f t="shared" si="7"/>
        <v>164.83136660424555</v>
      </c>
      <c r="F28" s="98">
        <f t="shared" si="8"/>
        <v>1.4398567751009033</v>
      </c>
      <c r="G28" s="98">
        <f t="shared" si="9"/>
        <v>12.298776620653546</v>
      </c>
    </row>
    <row r="29" spans="1:7">
      <c r="A29" s="46">
        <v>27</v>
      </c>
      <c r="B29" s="97">
        <v>43900</v>
      </c>
      <c r="C29" s="98">
        <f t="shared" si="1"/>
        <v>5669.3630325490813</v>
      </c>
      <c r="D29" s="63">
        <v>178.57</v>
      </c>
      <c r="E29" s="63">
        <f t="shared" si="7"/>
        <v>165.20883043376926</v>
      </c>
      <c r="F29" s="98">
        <f t="shared" si="8"/>
        <v>1.4002972471158841</v>
      </c>
      <c r="G29" s="98">
        <f t="shared" si="9"/>
        <v>11.960872319114843</v>
      </c>
    </row>
    <row r="30" spans="1:7">
      <c r="A30" s="46">
        <v>28</v>
      </c>
      <c r="B30" s="97">
        <v>43931</v>
      </c>
      <c r="C30" s="98">
        <f t="shared" si="1"/>
        <v>5503.7758738936191</v>
      </c>
      <c r="D30" s="63">
        <v>178.57</v>
      </c>
      <c r="E30" s="63">
        <f t="shared" si="7"/>
        <v>165.58715865546262</v>
      </c>
      <c r="F30" s="98">
        <f t="shared" si="8"/>
        <v>1.3606471278117795</v>
      </c>
      <c r="G30" s="98">
        <f t="shared" si="9"/>
        <v>11.622194216725616</v>
      </c>
    </row>
    <row r="31" spans="1:7">
      <c r="A31" s="46">
        <v>29</v>
      </c>
      <c r="B31" s="97">
        <v>43961</v>
      </c>
      <c r="C31" s="98">
        <f t="shared" si="1"/>
        <v>5337.8095206448352</v>
      </c>
      <c r="D31" s="63">
        <v>178.57</v>
      </c>
      <c r="E31" s="63">
        <f t="shared" si="7"/>
        <v>165.96635324878361</v>
      </c>
      <c r="F31" s="98">
        <f t="shared" si="8"/>
        <v>1.3209062097344686</v>
      </c>
      <c r="G31" s="98">
        <f t="shared" si="9"/>
        <v>11.282740541481918</v>
      </c>
    </row>
    <row r="32" spans="1:7">
      <c r="A32" s="46">
        <v>30</v>
      </c>
      <c r="B32" s="97">
        <v>43992</v>
      </c>
      <c r="C32" s="98">
        <f t="shared" si="1"/>
        <v>5171.4631044471116</v>
      </c>
      <c r="D32" s="63">
        <v>178.57</v>
      </c>
      <c r="E32" s="63">
        <f t="shared" si="7"/>
        <v>166.3464161977233</v>
      </c>
      <c r="F32" s="98">
        <f t="shared" si="8"/>
        <v>1.2810742849547605</v>
      </c>
      <c r="G32" s="98">
        <f t="shared" si="9"/>
        <v>10.942509517321911</v>
      </c>
    </row>
    <row r="33" spans="1:7">
      <c r="A33" s="46">
        <v>31</v>
      </c>
      <c r="B33" s="97">
        <v>44022</v>
      </c>
      <c r="C33" s="98">
        <f t="shared" si="1"/>
        <v>5004.7357549562958</v>
      </c>
      <c r="D33" s="63">
        <v>178.57</v>
      </c>
      <c r="E33" s="63">
        <f t="shared" si="7"/>
        <v>166.7273494908161</v>
      </c>
      <c r="F33" s="98">
        <f t="shared" si="8"/>
        <v>1.2411511450673067</v>
      </c>
      <c r="G33" s="98">
        <f t="shared" si="9"/>
        <v>10.601499364116577</v>
      </c>
    </row>
    <row r="34" spans="1:7">
      <c r="A34" s="46">
        <v>32</v>
      </c>
      <c r="B34" s="97">
        <v>44053</v>
      </c>
      <c r="C34" s="98">
        <f t="shared" si="1"/>
        <v>4837.6265998351455</v>
      </c>
      <c r="D34" s="63">
        <v>178.57</v>
      </c>
      <c r="E34" s="63">
        <f t="shared" si="7"/>
        <v>167.10915512115008</v>
      </c>
      <c r="F34" s="98">
        <f t="shared" si="8"/>
        <v>1.2011365811895109</v>
      </c>
      <c r="G34" s="98">
        <f t="shared" si="9"/>
        <v>10.259708297660405</v>
      </c>
    </row>
    <row r="35" spans="1:7">
      <c r="A35" s="46">
        <v>33</v>
      </c>
      <c r="B35" s="97">
        <v>44084</v>
      </c>
      <c r="C35" s="98">
        <f t="shared" si="1"/>
        <v>4670.1347647487682</v>
      </c>
      <c r="D35" s="63">
        <v>178.57</v>
      </c>
      <c r="E35" s="63">
        <f t="shared" si="7"/>
        <v>167.49183508637753</v>
      </c>
      <c r="F35" s="98">
        <f t="shared" si="8"/>
        <v>1.161030383960435</v>
      </c>
      <c r="G35" s="98">
        <f t="shared" si="9"/>
        <v>9.9171345296620466</v>
      </c>
    </row>
    <row r="36" spans="1:7">
      <c r="A36" s="46">
        <v>34</v>
      </c>
      <c r="B36" s="97">
        <v>44114</v>
      </c>
      <c r="C36" s="98">
        <f t="shared" si="1"/>
        <v>4502.2593733600434</v>
      </c>
      <c r="D36" s="63">
        <v>178.57</v>
      </c>
      <c r="E36" s="63">
        <f t="shared" si="7"/>
        <v>167.87539138872529</v>
      </c>
      <c r="F36" s="98">
        <f t="shared" si="8"/>
        <v>1.1208323435397045</v>
      </c>
      <c r="G36" s="98">
        <f t="shared" si="9"/>
        <v>9.5737762677349743</v>
      </c>
    </row>
    <row r="37" spans="1:7">
      <c r="A37" s="46">
        <v>35</v>
      </c>
      <c r="B37" s="97">
        <v>44145</v>
      </c>
      <c r="C37" s="98">
        <f t="shared" si="1"/>
        <v>4333.9995473250383</v>
      </c>
      <c r="D37" s="63">
        <v>178.57</v>
      </c>
      <c r="E37" s="63">
        <f t="shared" si="7"/>
        <v>168.25982603500549</v>
      </c>
      <c r="F37" s="98">
        <f t="shared" si="8"/>
        <v>1.0805422496064105</v>
      </c>
      <c r="G37" s="98">
        <f t="shared" si="9"/>
        <v>9.2296317153880878</v>
      </c>
    </row>
    <row r="38" spans="1:7">
      <c r="A38" s="46">
        <v>36</v>
      </c>
      <c r="B38" s="97">
        <v>44175</v>
      </c>
      <c r="C38" s="98">
        <f t="shared" si="1"/>
        <v>4165.354406288413</v>
      </c>
      <c r="D38" s="63">
        <v>178.57</v>
      </c>
      <c r="E38" s="63">
        <f t="shared" si="7"/>
        <v>168.64514103662566</v>
      </c>
      <c r="F38" s="98">
        <f t="shared" si="8"/>
        <v>1.0401598913580092</v>
      </c>
      <c r="G38" s="98">
        <f t="shared" si="9"/>
        <v>8.8846990720163266</v>
      </c>
    </row>
    <row r="39" spans="1:7">
      <c r="A39" s="46">
        <v>37</v>
      </c>
      <c r="B39" s="97">
        <v>44206</v>
      </c>
      <c r="C39" s="98">
        <f t="shared" si="1"/>
        <v>3996.3230678788136</v>
      </c>
      <c r="D39" s="63">
        <v>178.57</v>
      </c>
      <c r="E39" s="63">
        <f t="shared" si="7"/>
        <v>169.03133840959953</v>
      </c>
      <c r="F39" s="98">
        <f t="shared" si="8"/>
        <v>0.9996850575092191</v>
      </c>
      <c r="G39" s="98">
        <f t="shared" si="9"/>
        <v>8.5389765328912457</v>
      </c>
    </row>
    <row r="40" spans="1:7">
      <c r="A40" s="46">
        <v>38</v>
      </c>
      <c r="B40" s="97">
        <v>44237</v>
      </c>
      <c r="C40" s="98">
        <f t="shared" si="1"/>
        <v>3826.9046477042561</v>
      </c>
      <c r="D40" s="63">
        <v>178.57</v>
      </c>
      <c r="E40" s="63">
        <f t="shared" si="7"/>
        <v>169.41842017455753</v>
      </c>
      <c r="F40" s="98">
        <f t="shared" si="8"/>
        <v>0.95911753629091534</v>
      </c>
      <c r="G40" s="98">
        <f t="shared" si="9"/>
        <v>8.1924622891515675</v>
      </c>
    </row>
    <row r="41" spans="1:7">
      <c r="A41" s="46">
        <v>39</v>
      </c>
      <c r="B41" s="97">
        <v>44265</v>
      </c>
      <c r="C41" s="98">
        <f t="shared" si="1"/>
        <v>3657.0982593474992</v>
      </c>
      <c r="D41" s="63">
        <v>178.57</v>
      </c>
      <c r="E41" s="63">
        <f t="shared" si="7"/>
        <v>169.80638835675722</v>
      </c>
      <c r="F41" s="98">
        <f t="shared" si="8"/>
        <v>0.91845711544902153</v>
      </c>
      <c r="G41" s="98">
        <f t="shared" si="9"/>
        <v>7.8451545277937242</v>
      </c>
    </row>
    <row r="42" spans="1:7">
      <c r="A42" s="46">
        <v>40</v>
      </c>
      <c r="B42" s="97">
        <v>44296</v>
      </c>
      <c r="C42" s="98">
        <f t="shared" si="1"/>
        <v>3486.903014361405</v>
      </c>
      <c r="D42" s="63">
        <v>178.57</v>
      </c>
      <c r="E42" s="63">
        <f t="shared" si="7"/>
        <v>170.1952449860942</v>
      </c>
      <c r="F42" s="98">
        <f t="shared" si="8"/>
        <v>0.87770358224339984</v>
      </c>
      <c r="G42" s="98">
        <f t="shared" si="9"/>
        <v>7.4970514316623724</v>
      </c>
    </row>
    <row r="43" spans="1:7">
      <c r="A43" s="46">
        <v>41</v>
      </c>
      <c r="B43" s="97">
        <v>44326</v>
      </c>
      <c r="C43" s="98">
        <f t="shared" si="1"/>
        <v>3316.3180222642927</v>
      </c>
      <c r="D43" s="63">
        <v>178.57</v>
      </c>
      <c r="E43" s="63">
        <f t="shared" si="7"/>
        <v>170.58499209711238</v>
      </c>
      <c r="F43" s="98">
        <f t="shared" si="8"/>
        <v>0.83685672344673723</v>
      </c>
      <c r="G43" s="98">
        <f t="shared" si="9"/>
        <v>7.1481511794408794</v>
      </c>
    </row>
    <row r="44" spans="1:7">
      <c r="A44" s="46">
        <v>42</v>
      </c>
      <c r="B44" s="97">
        <v>44357</v>
      </c>
      <c r="C44" s="98">
        <f t="shared" si="1"/>
        <v>3145.3423905352779</v>
      </c>
      <c r="D44" s="63">
        <v>178.57</v>
      </c>
      <c r="E44" s="63">
        <f t="shared" si="7"/>
        <v>170.97563172901476</v>
      </c>
      <c r="F44" s="98">
        <f t="shared" si="8"/>
        <v>0.79591632534343026</v>
      </c>
      <c r="G44" s="98">
        <f t="shared" si="9"/>
        <v>6.7984519456417996</v>
      </c>
    </row>
    <row r="45" spans="1:7">
      <c r="A45" s="46">
        <v>43</v>
      </c>
      <c r="B45" s="97">
        <v>44387</v>
      </c>
      <c r="C45" s="98">
        <f t="shared" si="1"/>
        <v>2973.9752246096036</v>
      </c>
      <c r="D45" s="63">
        <v>178.57</v>
      </c>
      <c r="E45" s="63">
        <f t="shared" si="7"/>
        <v>171.36716592567419</v>
      </c>
      <c r="F45" s="98">
        <f t="shared" si="8"/>
        <v>0.75488217372846667</v>
      </c>
      <c r="G45" s="98">
        <f t="shared" si="9"/>
        <v>6.4479519005973192</v>
      </c>
    </row>
    <row r="46" spans="1:7">
      <c r="A46" s="46">
        <v>44</v>
      </c>
      <c r="B46" s="97">
        <v>44418</v>
      </c>
      <c r="C46" s="98">
        <f t="shared" si="1"/>
        <v>2802.2156278739594</v>
      </c>
      <c r="D46" s="63">
        <v>178.57</v>
      </c>
      <c r="E46" s="63">
        <f t="shared" si="7"/>
        <v>171.75959673564398</v>
      </c>
      <c r="F46" s="98">
        <f t="shared" si="8"/>
        <v>0.71375405390630486</v>
      </c>
      <c r="G46" s="98">
        <f t="shared" si="9"/>
        <v>6.0966492104496863</v>
      </c>
    </row>
    <row r="47" spans="1:7">
      <c r="A47" s="46">
        <v>45</v>
      </c>
      <c r="B47" s="97">
        <v>44449</v>
      </c>
      <c r="C47" s="98">
        <f t="shared" si="1"/>
        <v>2630.0627016617909</v>
      </c>
      <c r="D47" s="63">
        <v>178.57</v>
      </c>
      <c r="E47" s="63">
        <f t="shared" si="7"/>
        <v>172.15292621216861</v>
      </c>
      <c r="F47" s="98">
        <f t="shared" si="8"/>
        <v>0.67253175068975024</v>
      </c>
      <c r="G47" s="98">
        <f t="shared" si="9"/>
        <v>5.744542037141616</v>
      </c>
    </row>
    <row r="48" spans="1:7">
      <c r="A48" s="46">
        <v>46</v>
      </c>
      <c r="B48" s="97">
        <v>44479</v>
      </c>
      <c r="C48" s="98">
        <f t="shared" si="1"/>
        <v>2457.5155452485965</v>
      </c>
      <c r="D48" s="63">
        <v>178.57</v>
      </c>
      <c r="E48" s="63">
        <f t="shared" si="7"/>
        <v>172.54715641319447</v>
      </c>
      <c r="F48" s="98">
        <f t="shared" si="8"/>
        <v>0.6312150483988298</v>
      </c>
      <c r="G48" s="98">
        <f t="shared" si="9"/>
        <v>5.3916285384066711</v>
      </c>
    </row>
    <row r="49" spans="1:7">
      <c r="A49" s="46">
        <v>47</v>
      </c>
      <c r="B49" s="97">
        <v>44510</v>
      </c>
      <c r="C49" s="98">
        <f t="shared" si="1"/>
        <v>2284.5732558472159</v>
      </c>
      <c r="D49" s="63">
        <v>178.57</v>
      </c>
      <c r="E49" s="63">
        <f t="shared" si="7"/>
        <v>172.94228940138069</v>
      </c>
      <c r="F49" s="98">
        <f t="shared" si="8"/>
        <v>0.5898037308596632</v>
      </c>
      <c r="G49" s="98">
        <f t="shared" si="9"/>
        <v>5.0379068677596219</v>
      </c>
    </row>
    <row r="50" spans="1:7">
      <c r="A50" s="46">
        <v>48</v>
      </c>
      <c r="B50" s="97">
        <v>44540</v>
      </c>
      <c r="C50" s="98">
        <f t="shared" si="1"/>
        <v>2111.2349286031063</v>
      </c>
      <c r="D50" s="63">
        <v>178.57</v>
      </c>
      <c r="E50" s="63">
        <f t="shared" si="7"/>
        <v>173.33832724410988</v>
      </c>
      <c r="F50" s="98">
        <f t="shared" si="8"/>
        <v>0.54829758140333185</v>
      </c>
      <c r="G50" s="98">
        <f t="shared" si="9"/>
        <v>4.683375174486792</v>
      </c>
    </row>
    <row r="51" spans="1:7">
      <c r="A51" s="46">
        <v>49</v>
      </c>
      <c r="B51" s="97">
        <v>44571</v>
      </c>
      <c r="C51" s="98">
        <f t="shared" si="1"/>
        <v>1937.4996565896074</v>
      </c>
      <c r="D51" s="63">
        <v>178.57</v>
      </c>
      <c r="E51" s="63">
        <f t="shared" si="7"/>
        <v>173.7352720134989</v>
      </c>
      <c r="F51" s="98">
        <f t="shared" si="8"/>
        <v>0.5066963828647455</v>
      </c>
      <c r="G51" s="98">
        <f t="shared" si="9"/>
        <v>4.3280316036363669</v>
      </c>
    </row>
    <row r="52" spans="1:7">
      <c r="A52" s="46">
        <v>50</v>
      </c>
      <c r="B52" s="97">
        <v>44602</v>
      </c>
      <c r="C52" s="98">
        <f t="shared" si="1"/>
        <v>1763.3665308031977</v>
      </c>
      <c r="D52" s="63">
        <v>178.57</v>
      </c>
      <c r="E52" s="63">
        <f t="shared" si="7"/>
        <v>174.13312578640978</v>
      </c>
      <c r="F52" s="98">
        <f t="shared" si="8"/>
        <v>0.46499991758150577</v>
      </c>
      <c r="G52" s="98">
        <f t="shared" si="9"/>
        <v>3.9718742960086946</v>
      </c>
    </row>
    <row r="53" spans="1:7">
      <c r="A53" s="46">
        <v>51</v>
      </c>
      <c r="B53" s="97">
        <v>44630</v>
      </c>
      <c r="C53" s="98">
        <f t="shared" si="1"/>
        <v>1588.8346401587371</v>
      </c>
      <c r="D53" s="63">
        <v>178.57</v>
      </c>
      <c r="E53" s="63">
        <f t="shared" si="7"/>
        <v>174.53189064446067</v>
      </c>
      <c r="F53" s="98">
        <f t="shared" si="8"/>
        <v>0.42320796739276745</v>
      </c>
      <c r="G53" s="98">
        <f t="shared" si="9"/>
        <v>3.614901388146555</v>
      </c>
    </row>
    <row r="54" spans="1:7">
      <c r="A54" s="46">
        <v>52</v>
      </c>
      <c r="B54" s="97">
        <v>44661</v>
      </c>
      <c r="C54" s="98">
        <f t="shared" si="1"/>
        <v>1413.9030714847006</v>
      </c>
      <c r="D54" s="63">
        <v>178.57</v>
      </c>
      <c r="E54" s="63">
        <f t="shared" si="7"/>
        <v>174.93156867403647</v>
      </c>
      <c r="F54" s="98">
        <f t="shared" si="8"/>
        <v>0.38132031363809693</v>
      </c>
      <c r="G54" s="98">
        <f t="shared" si="9"/>
        <v>3.2571110123254106</v>
      </c>
    </row>
    <row r="55" spans="1:7">
      <c r="A55" s="46">
        <v>53</v>
      </c>
      <c r="B55" s="97">
        <v>44691</v>
      </c>
      <c r="C55" s="98">
        <f t="shared" si="1"/>
        <v>1238.5709095184006</v>
      </c>
      <c r="D55" s="63">
        <v>178.57</v>
      </c>
      <c r="E55" s="63">
        <f t="shared" si="7"/>
        <v>175.33216196630005</v>
      </c>
      <c r="F55" s="98">
        <f t="shared" si="8"/>
        <v>0.33933673715632817</v>
      </c>
      <c r="G55" s="98">
        <f t="shared" si="9"/>
        <v>2.8985012965436359</v>
      </c>
    </row>
    <row r="56" spans="1:7">
      <c r="A56" s="46">
        <v>54</v>
      </c>
      <c r="B56" s="97">
        <v>44722</v>
      </c>
      <c r="C56" s="98">
        <f t="shared" si="1"/>
        <v>1062.8372369011977</v>
      </c>
      <c r="D56" s="63">
        <v>178.57</v>
      </c>
      <c r="E56" s="63">
        <f t="shared" si="7"/>
        <v>175.73367261720284</v>
      </c>
      <c r="F56" s="98">
        <f t="shared" si="8"/>
        <v>0.29725701828441614</v>
      </c>
      <c r="G56" s="98">
        <f t="shared" si="9"/>
        <v>2.5390703645127211</v>
      </c>
    </row>
    <row r="57" spans="1:7">
      <c r="A57" s="46">
        <v>55</v>
      </c>
      <c r="B57" s="97">
        <v>44752</v>
      </c>
      <c r="C57" s="98">
        <f t="shared" si="1"/>
        <v>886.70113417370146</v>
      </c>
      <c r="D57" s="63">
        <v>178.57</v>
      </c>
      <c r="E57" s="63">
        <f t="shared" si="7"/>
        <v>176.13610272749625</v>
      </c>
      <c r="F57" s="98">
        <f t="shared" si="8"/>
        <v>0.25508093685628747</v>
      </c>
      <c r="G57" s="98">
        <f t="shared" si="9"/>
        <v>2.178816335647455</v>
      </c>
    </row>
    <row r="58" spans="1:7">
      <c r="A58" s="46">
        <v>56</v>
      </c>
      <c r="B58" s="97">
        <v>44783</v>
      </c>
      <c r="C58" s="98">
        <f t="shared" si="1"/>
        <v>710.16167977095927</v>
      </c>
      <c r="D58" s="63">
        <v>178.57</v>
      </c>
      <c r="E58" s="63">
        <f t="shared" si="7"/>
        <v>176.53945440274219</v>
      </c>
      <c r="F58" s="98">
        <f t="shared" si="8"/>
        <v>0.21280827220168835</v>
      </c>
      <c r="G58" s="98">
        <f t="shared" si="9"/>
        <v>1.8177373250560878</v>
      </c>
    </row>
    <row r="59" spans="1:7">
      <c r="A59" s="46">
        <v>57</v>
      </c>
      <c r="B59" s="97">
        <v>44814</v>
      </c>
      <c r="C59" s="98">
        <f t="shared" si="1"/>
        <v>533.21795001763473</v>
      </c>
      <c r="D59" s="63">
        <v>178.57</v>
      </c>
      <c r="E59" s="63">
        <f t="shared" si="7"/>
        <v>176.9437297533245</v>
      </c>
      <c r="F59" s="98">
        <f t="shared" si="8"/>
        <v>0.17043880314503024</v>
      </c>
      <c r="G59" s="98">
        <f t="shared" si="9"/>
        <v>1.4558314435304662</v>
      </c>
    </row>
    <row r="60" spans="1:7">
      <c r="A60" s="46">
        <v>58</v>
      </c>
      <c r="B60" s="97">
        <v>44844</v>
      </c>
      <c r="C60" s="98">
        <f t="shared" si="1"/>
        <v>355.86901912317512</v>
      </c>
      <c r="D60" s="63">
        <v>178.57</v>
      </c>
      <c r="E60" s="63">
        <f t="shared" si="7"/>
        <v>177.34893089445958</v>
      </c>
      <c r="F60" s="98">
        <f t="shared" si="8"/>
        <v>0.12797230800423234</v>
      </c>
      <c r="G60" s="98">
        <f t="shared" si="9"/>
        <v>1.093096797536151</v>
      </c>
    </row>
    <row r="61" spans="1:7">
      <c r="A61" s="46">
        <v>59</v>
      </c>
      <c r="B61" s="97">
        <v>44875</v>
      </c>
      <c r="C61" s="98">
        <f t="shared" si="1"/>
        <v>178.1139591769672</v>
      </c>
      <c r="D61" s="63">
        <v>178.57</v>
      </c>
      <c r="E61" s="63">
        <f t="shared" si="7"/>
        <v>177.75505994620792</v>
      </c>
      <c r="F61" s="98">
        <f t="shared" si="8"/>
        <v>8.540856458956203E-2</v>
      </c>
      <c r="G61" s="98">
        <f t="shared" si="9"/>
        <v>0.72953148920250888</v>
      </c>
    </row>
    <row r="62" spans="1:7">
      <c r="A62" s="46">
        <v>60</v>
      </c>
      <c r="B62" s="97">
        <v>44905</v>
      </c>
      <c r="C62" s="98">
        <f t="shared" si="1"/>
        <v>-4.8159856517543176E-2</v>
      </c>
      <c r="D62" s="63">
        <v>178.57</v>
      </c>
      <c r="E62" s="63">
        <f t="shared" si="7"/>
        <v>178.16211903348474</v>
      </c>
      <c r="F62" s="98">
        <f t="shared" si="8"/>
        <v>4.2747350202472126E-2</v>
      </c>
      <c r="G62" s="98">
        <f t="shared" si="9"/>
        <v>0.36513361631278274</v>
      </c>
    </row>
  </sheetData>
  <mergeCells count="2">
    <mergeCell ref="A1:G1"/>
    <mergeCell ref="A2:G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1"/>
  <sheetViews>
    <sheetView topLeftCell="C43" zoomScale="95" zoomScaleNormal="95" zoomScalePageLayoutView="95" workbookViewId="0">
      <selection activeCell="J75" sqref="J75"/>
    </sheetView>
  </sheetViews>
  <sheetFormatPr baseColWidth="10" defaultRowHeight="15" x14ac:dyDescent="0"/>
  <cols>
    <col min="1" max="1" width="16.6640625" bestFit="1" customWidth="1"/>
    <col min="2" max="2" width="12.83203125" bestFit="1" customWidth="1"/>
    <col min="3" max="3" width="12.1640625" bestFit="1" customWidth="1"/>
    <col min="4" max="5" width="12.1640625" customWidth="1"/>
    <col min="6" max="6" width="8.83203125" bestFit="1" customWidth="1"/>
    <col min="7" max="7" width="16.33203125" bestFit="1" customWidth="1"/>
    <col min="8" max="8" width="17.6640625" bestFit="1" customWidth="1"/>
    <col min="9" max="9" width="16.33203125" bestFit="1" customWidth="1"/>
    <col min="10" max="10" width="29.1640625" style="46" bestFit="1" customWidth="1"/>
    <col min="11" max="11" width="42.5" bestFit="1" customWidth="1"/>
    <col min="12" max="12" width="22.33203125" bestFit="1" customWidth="1"/>
    <col min="13" max="13" width="12.1640625" bestFit="1" customWidth="1"/>
    <col min="14" max="14" width="12.1640625" customWidth="1"/>
    <col min="15" max="15" width="28.1640625" bestFit="1" customWidth="1"/>
    <col min="16" max="16" width="15" bestFit="1" customWidth="1"/>
    <col min="17" max="17" width="18.6640625" customWidth="1"/>
  </cols>
  <sheetData>
    <row r="1" spans="1:17" ht="31" customHeight="1">
      <c r="A1" s="108" t="s">
        <v>42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"/>
      <c r="M1" s="1"/>
      <c r="N1" s="1"/>
      <c r="O1" s="46" t="s">
        <v>47</v>
      </c>
      <c r="P1" s="1"/>
      <c r="Q1" s="1"/>
    </row>
    <row r="2" spans="1:17">
      <c r="A2" s="1"/>
      <c r="B2" s="1"/>
      <c r="C2" s="1"/>
      <c r="D2" s="54" t="s">
        <v>43</v>
      </c>
      <c r="E2" s="54" t="s">
        <v>71</v>
      </c>
      <c r="F2" s="54" t="s">
        <v>46</v>
      </c>
      <c r="G2" s="54" t="s">
        <v>48</v>
      </c>
      <c r="H2" s="59" t="s">
        <v>44</v>
      </c>
      <c r="I2" s="54" t="s">
        <v>45</v>
      </c>
      <c r="J2" s="56" t="s">
        <v>47</v>
      </c>
      <c r="K2" s="56" t="s">
        <v>0</v>
      </c>
      <c r="L2" s="54" t="s">
        <v>126</v>
      </c>
      <c r="M2" s="54" t="s">
        <v>127</v>
      </c>
      <c r="N2" s="54" t="s">
        <v>128</v>
      </c>
      <c r="O2" t="s">
        <v>50</v>
      </c>
      <c r="P2" s="1"/>
      <c r="Q2" s="1"/>
    </row>
    <row r="3" spans="1:17">
      <c r="A3" s="1"/>
      <c r="B3" s="1"/>
      <c r="C3" s="1"/>
      <c r="D3" s="3">
        <v>43101</v>
      </c>
      <c r="E3" s="3">
        <v>43101</v>
      </c>
      <c r="F3" s="4"/>
      <c r="G3" s="2">
        <f>'[1]compte Decembre'!I103</f>
        <v>8607.6499999999924</v>
      </c>
      <c r="H3" s="2">
        <f>G3</f>
        <v>8607.6499999999924</v>
      </c>
      <c r="I3" s="2">
        <f>H3</f>
        <v>8607.6499999999924</v>
      </c>
      <c r="J3" s="57" t="s">
        <v>62</v>
      </c>
      <c r="K3" s="4" t="s">
        <v>69</v>
      </c>
      <c r="L3" s="11" t="s">
        <v>26</v>
      </c>
      <c r="M3" s="91">
        <v>85.47</v>
      </c>
      <c r="N3" s="92">
        <v>43102</v>
      </c>
      <c r="O3" t="s">
        <v>51</v>
      </c>
      <c r="P3" s="1"/>
      <c r="Q3" s="1"/>
    </row>
    <row r="4" spans="1:17">
      <c r="A4" s="1"/>
      <c r="B4" s="1"/>
      <c r="C4" s="1"/>
      <c r="D4" s="3">
        <v>43110</v>
      </c>
      <c r="E4" s="3">
        <v>43110</v>
      </c>
      <c r="F4" s="4" t="s">
        <v>49</v>
      </c>
      <c r="G4" s="2">
        <v>1320.01</v>
      </c>
      <c r="H4" s="2">
        <f>H3+G4*IF(F4="C",1,-1)</f>
        <v>9927.6599999999926</v>
      </c>
      <c r="I4" s="2">
        <f>I3+G4*IF(E4="",0,IF(F4="C",1,-1))</f>
        <v>9927.6599999999926</v>
      </c>
      <c r="J4" s="57" t="s">
        <v>65</v>
      </c>
      <c r="K4" s="5" t="s">
        <v>72</v>
      </c>
      <c r="L4" s="94" t="s">
        <v>82</v>
      </c>
      <c r="M4" s="91">
        <v>182.6</v>
      </c>
      <c r="N4" s="92">
        <v>43105</v>
      </c>
      <c r="O4" t="s">
        <v>79</v>
      </c>
      <c r="P4" s="1"/>
      <c r="Q4" s="1"/>
    </row>
    <row r="5" spans="1:17">
      <c r="A5" s="1"/>
      <c r="B5" s="1"/>
      <c r="C5" s="1"/>
      <c r="D5" s="3">
        <v>43110</v>
      </c>
      <c r="E5" s="3">
        <v>43110</v>
      </c>
      <c r="F5" s="4" t="s">
        <v>49</v>
      </c>
      <c r="G5" s="2">
        <v>3.69</v>
      </c>
      <c r="H5" s="2">
        <f>H4+G5*IF(F5="C",1,-1)</f>
        <v>9931.3499999999931</v>
      </c>
      <c r="I5" s="2">
        <f t="shared" ref="I5:I68" si="0">I4+G5*IF(E5="",0,IF(F5="C",1,-1))</f>
        <v>9931.3499999999931</v>
      </c>
      <c r="J5" s="57" t="s">
        <v>67</v>
      </c>
      <c r="K5" s="4" t="s">
        <v>68</v>
      </c>
      <c r="L5" s="94" t="s">
        <v>82</v>
      </c>
      <c r="M5" s="91">
        <v>-28.28</v>
      </c>
      <c r="N5" s="92">
        <v>43105</v>
      </c>
      <c r="O5" t="s">
        <v>52</v>
      </c>
      <c r="P5" s="1"/>
      <c r="Q5" s="1"/>
    </row>
    <row r="6" spans="1:17">
      <c r="A6" s="1"/>
      <c r="B6" s="1"/>
      <c r="C6" s="1"/>
      <c r="D6" s="3">
        <v>43110</v>
      </c>
      <c r="E6" s="3">
        <v>43115</v>
      </c>
      <c r="F6" s="4" t="s">
        <v>49</v>
      </c>
      <c r="G6" s="2">
        <v>549.41</v>
      </c>
      <c r="H6" s="2">
        <f t="shared" ref="H6:H22" si="1">H5+G6*IF(F6="C",1,-1)</f>
        <v>10480.759999999993</v>
      </c>
      <c r="I6" s="2">
        <f t="shared" si="0"/>
        <v>10480.759999999993</v>
      </c>
      <c r="J6" s="57" t="s">
        <v>55</v>
      </c>
      <c r="K6" s="7" t="s">
        <v>75</v>
      </c>
      <c r="L6" s="11" t="s">
        <v>25</v>
      </c>
      <c r="M6" s="91">
        <v>155.13</v>
      </c>
      <c r="N6" s="92">
        <v>43103</v>
      </c>
      <c r="O6" t="s">
        <v>53</v>
      </c>
      <c r="P6" s="1"/>
      <c r="Q6" s="1"/>
    </row>
    <row r="7" spans="1:17">
      <c r="A7" s="1"/>
      <c r="B7" s="1"/>
      <c r="C7" s="1"/>
      <c r="D7" s="3"/>
      <c r="E7" s="3">
        <v>43115</v>
      </c>
      <c r="F7" s="4" t="s">
        <v>49</v>
      </c>
      <c r="G7" s="2">
        <v>85</v>
      </c>
      <c r="H7" s="2">
        <f t="shared" si="1"/>
        <v>10565.759999999993</v>
      </c>
      <c r="I7" s="2">
        <f t="shared" si="0"/>
        <v>10565.759999999993</v>
      </c>
      <c r="J7" s="57" t="s">
        <v>86</v>
      </c>
      <c r="K7" s="4" t="s">
        <v>7</v>
      </c>
      <c r="L7" s="11" t="s">
        <v>22</v>
      </c>
      <c r="M7" s="91">
        <v>22625.09</v>
      </c>
      <c r="N7" s="92">
        <v>43103</v>
      </c>
      <c r="O7" t="s">
        <v>54</v>
      </c>
      <c r="P7" s="1"/>
      <c r="Q7" s="1"/>
    </row>
    <row r="8" spans="1:17">
      <c r="A8" s="1"/>
      <c r="B8" s="1"/>
      <c r="C8" s="1"/>
      <c r="D8" s="3"/>
      <c r="E8" s="3">
        <v>43115</v>
      </c>
      <c r="F8" s="4" t="s">
        <v>49</v>
      </c>
      <c r="G8" s="2">
        <v>75</v>
      </c>
      <c r="H8" s="2">
        <f t="shared" si="1"/>
        <v>10640.759999999993</v>
      </c>
      <c r="I8" s="2">
        <f t="shared" si="0"/>
        <v>10640.759999999993</v>
      </c>
      <c r="J8" s="57" t="s">
        <v>86</v>
      </c>
      <c r="K8" s="4" t="s">
        <v>7</v>
      </c>
      <c r="L8" s="11" t="s">
        <v>20</v>
      </c>
      <c r="M8" s="91">
        <v>60.91</v>
      </c>
      <c r="N8" s="92">
        <v>43105</v>
      </c>
      <c r="O8" t="s">
        <v>55</v>
      </c>
      <c r="P8" s="1"/>
      <c r="Q8" s="1"/>
    </row>
    <row r="9" spans="1:17">
      <c r="A9" s="1"/>
      <c r="B9" s="1"/>
      <c r="C9" s="1"/>
      <c r="D9" s="3"/>
      <c r="E9" s="3">
        <v>43104</v>
      </c>
      <c r="F9" s="4" t="s">
        <v>70</v>
      </c>
      <c r="G9" s="2">
        <v>24.9</v>
      </c>
      <c r="H9" s="2">
        <f t="shared" si="1"/>
        <v>10615.859999999993</v>
      </c>
      <c r="I9" s="2">
        <f t="shared" si="0"/>
        <v>10615.859999999993</v>
      </c>
      <c r="J9" s="57" t="s">
        <v>73</v>
      </c>
      <c r="K9" s="4" t="s">
        <v>76</v>
      </c>
      <c r="L9" s="93" t="s">
        <v>27</v>
      </c>
      <c r="M9" s="91">
        <v>250</v>
      </c>
      <c r="N9" s="92">
        <v>43109</v>
      </c>
      <c r="O9" s="92" t="s">
        <v>77</v>
      </c>
      <c r="P9" s="1"/>
      <c r="Q9" s="1"/>
    </row>
    <row r="10" spans="1:17">
      <c r="A10" s="1"/>
      <c r="B10" s="1"/>
      <c r="C10" s="1"/>
      <c r="D10" s="3"/>
      <c r="E10" s="3">
        <v>43104</v>
      </c>
      <c r="F10" s="4" t="s">
        <v>70</v>
      </c>
      <c r="G10" s="2">
        <v>98.65</v>
      </c>
      <c r="H10" s="2">
        <f t="shared" si="1"/>
        <v>10517.209999999994</v>
      </c>
      <c r="I10" s="2">
        <f t="shared" si="0"/>
        <v>10517.209999999994</v>
      </c>
      <c r="J10" s="57" t="s">
        <v>60</v>
      </c>
      <c r="K10" s="4" t="s">
        <v>1</v>
      </c>
      <c r="L10" s="93" t="s">
        <v>22</v>
      </c>
      <c r="M10" s="91">
        <v>22628.75</v>
      </c>
      <c r="N10" s="92">
        <v>43111</v>
      </c>
      <c r="O10" t="s">
        <v>56</v>
      </c>
      <c r="P10" s="1"/>
      <c r="Q10" s="1"/>
    </row>
    <row r="11" spans="1:17">
      <c r="A11" s="1"/>
      <c r="B11" s="1"/>
      <c r="C11" s="1"/>
      <c r="D11" s="3"/>
      <c r="E11" s="3">
        <v>43105</v>
      </c>
      <c r="F11" s="4" t="s">
        <v>70</v>
      </c>
      <c r="G11" s="2">
        <v>66.98</v>
      </c>
      <c r="H11" s="2">
        <f t="shared" si="1"/>
        <v>10450.229999999994</v>
      </c>
      <c r="I11" s="2">
        <f t="shared" si="0"/>
        <v>10450.229999999994</v>
      </c>
      <c r="J11" s="57" t="s">
        <v>61</v>
      </c>
      <c r="K11" s="4" t="s">
        <v>74</v>
      </c>
      <c r="L11" s="93" t="s">
        <v>22</v>
      </c>
      <c r="M11" s="91">
        <v>22653.87</v>
      </c>
      <c r="N11" s="92">
        <v>43112</v>
      </c>
      <c r="O11" t="s">
        <v>84</v>
      </c>
      <c r="P11" s="1"/>
      <c r="Q11" s="1"/>
    </row>
    <row r="12" spans="1:17">
      <c r="A12" s="1"/>
      <c r="B12" s="1"/>
      <c r="C12" s="1"/>
      <c r="D12" s="3"/>
      <c r="E12" s="3"/>
      <c r="F12" s="4" t="s">
        <v>70</v>
      </c>
      <c r="G12" s="2">
        <v>263.36</v>
      </c>
      <c r="H12" s="2">
        <f t="shared" si="1"/>
        <v>10186.869999999994</v>
      </c>
      <c r="I12" s="2">
        <f t="shared" si="0"/>
        <v>10450.229999999994</v>
      </c>
      <c r="J12" s="57" t="s">
        <v>53</v>
      </c>
      <c r="K12" s="4" t="s">
        <v>2</v>
      </c>
      <c r="L12" s="93" t="s">
        <v>82</v>
      </c>
      <c r="M12" s="91">
        <v>45</v>
      </c>
      <c r="N12" s="92">
        <v>43115</v>
      </c>
      <c r="O12" t="s">
        <v>73</v>
      </c>
      <c r="P12" s="1"/>
      <c r="Q12" s="1"/>
    </row>
    <row r="13" spans="1:17">
      <c r="A13" s="1"/>
      <c r="B13" s="1"/>
      <c r="C13" s="1"/>
      <c r="D13" s="3"/>
      <c r="E13" s="3"/>
      <c r="F13" s="4" t="s">
        <v>70</v>
      </c>
      <c r="G13" s="2">
        <v>19.989999999999998</v>
      </c>
      <c r="H13" s="2">
        <f t="shared" si="1"/>
        <v>10166.879999999994</v>
      </c>
      <c r="I13" s="2">
        <f t="shared" si="0"/>
        <v>10450.229999999994</v>
      </c>
      <c r="J13" s="57" t="s">
        <v>60</v>
      </c>
      <c r="K13" s="4" t="s">
        <v>83</v>
      </c>
      <c r="L13" s="93" t="s">
        <v>25</v>
      </c>
      <c r="M13" s="91">
        <v>50</v>
      </c>
      <c r="N13" s="92">
        <v>43118</v>
      </c>
      <c r="O13" t="s">
        <v>57</v>
      </c>
      <c r="P13" s="1"/>
      <c r="Q13" s="1"/>
    </row>
    <row r="14" spans="1:17">
      <c r="A14" s="1"/>
      <c r="B14" s="1"/>
      <c r="C14" s="1"/>
      <c r="D14" s="3"/>
      <c r="E14" s="3"/>
      <c r="F14" s="4" t="s">
        <v>70</v>
      </c>
      <c r="G14" s="2">
        <v>12.29</v>
      </c>
      <c r="H14" s="2">
        <f t="shared" si="1"/>
        <v>10154.589999999993</v>
      </c>
      <c r="I14" s="2">
        <f t="shared" si="0"/>
        <v>10450.229999999994</v>
      </c>
      <c r="J14" s="57" t="s">
        <v>77</v>
      </c>
      <c r="K14" s="4" t="s">
        <v>3</v>
      </c>
      <c r="L14" s="93" t="s">
        <v>22</v>
      </c>
      <c r="M14" s="91">
        <v>22667.360000000001</v>
      </c>
      <c r="N14" s="92">
        <v>43119</v>
      </c>
      <c r="O14" t="s">
        <v>58</v>
      </c>
      <c r="P14" s="1"/>
      <c r="Q14" s="1"/>
    </row>
    <row r="15" spans="1:17">
      <c r="A15" s="1"/>
      <c r="B15" s="1"/>
      <c r="C15" s="1"/>
      <c r="D15" s="3"/>
      <c r="E15" s="3">
        <v>43106</v>
      </c>
      <c r="F15" s="4" t="s">
        <v>70</v>
      </c>
      <c r="G15" s="2">
        <v>27.58</v>
      </c>
      <c r="H15" s="2">
        <f t="shared" si="1"/>
        <v>10127.009999999993</v>
      </c>
      <c r="I15" s="2">
        <f t="shared" si="0"/>
        <v>10422.649999999994</v>
      </c>
      <c r="J15" s="57" t="s">
        <v>58</v>
      </c>
      <c r="K15" s="4" t="s">
        <v>78</v>
      </c>
      <c r="L15" s="93"/>
      <c r="M15" s="91"/>
      <c r="N15" s="92"/>
      <c r="O15" t="s">
        <v>80</v>
      </c>
      <c r="P15" s="1"/>
      <c r="Q15" s="1"/>
    </row>
    <row r="16" spans="1:17">
      <c r="A16" s="1"/>
      <c r="B16" s="1"/>
      <c r="C16" s="1"/>
      <c r="D16" s="3"/>
      <c r="E16" s="3"/>
      <c r="F16" s="4" t="s">
        <v>70</v>
      </c>
      <c r="G16" s="2">
        <v>452.25</v>
      </c>
      <c r="H16" s="2">
        <f t="shared" si="1"/>
        <v>9674.7599999999929</v>
      </c>
      <c r="I16" s="2">
        <f t="shared" si="0"/>
        <v>10422.649999999994</v>
      </c>
      <c r="J16" s="57" t="s">
        <v>79</v>
      </c>
      <c r="K16" s="4" t="s">
        <v>30</v>
      </c>
      <c r="L16" s="93"/>
      <c r="M16" s="91"/>
      <c r="N16" s="92"/>
      <c r="O16" t="s">
        <v>59</v>
      </c>
      <c r="P16" s="1"/>
      <c r="Q16" s="1"/>
    </row>
    <row r="17" spans="1:17">
      <c r="A17" s="1"/>
      <c r="B17" s="1"/>
      <c r="C17" s="1"/>
      <c r="D17" s="3"/>
      <c r="E17" s="3">
        <v>43110</v>
      </c>
      <c r="F17" s="4" t="s">
        <v>70</v>
      </c>
      <c r="G17" s="2">
        <v>199.01</v>
      </c>
      <c r="H17" s="2">
        <f t="shared" si="1"/>
        <v>9475.7499999999927</v>
      </c>
      <c r="I17" s="2">
        <f t="shared" si="0"/>
        <v>10223.639999999994</v>
      </c>
      <c r="J17" s="57" t="s">
        <v>80</v>
      </c>
      <c r="K17" s="4" t="s">
        <v>4</v>
      </c>
      <c r="L17" s="93"/>
      <c r="M17" s="91"/>
      <c r="N17" s="92"/>
      <c r="O17" t="s">
        <v>60</v>
      </c>
      <c r="P17" s="1"/>
      <c r="Q17" s="1"/>
    </row>
    <row r="18" spans="1:17">
      <c r="A18" s="1"/>
      <c r="B18" s="1"/>
      <c r="C18" s="1"/>
      <c r="D18" s="3"/>
      <c r="E18" s="3">
        <v>43115</v>
      </c>
      <c r="F18" s="4" t="s">
        <v>70</v>
      </c>
      <c r="G18" s="2">
        <v>45</v>
      </c>
      <c r="H18" s="2">
        <f t="shared" si="1"/>
        <v>9430.7499999999927</v>
      </c>
      <c r="I18" s="2">
        <f t="shared" si="0"/>
        <v>10178.639999999994</v>
      </c>
      <c r="J18" s="57" t="s">
        <v>81</v>
      </c>
      <c r="K18" s="4" t="s">
        <v>82</v>
      </c>
      <c r="L18" s="93"/>
      <c r="M18" s="91"/>
      <c r="N18" s="92"/>
      <c r="O18" t="s">
        <v>61</v>
      </c>
      <c r="P18" s="1"/>
      <c r="Q18" s="1"/>
    </row>
    <row r="19" spans="1:17">
      <c r="A19" s="1"/>
      <c r="B19" s="1"/>
      <c r="C19" s="1"/>
      <c r="D19" s="3"/>
      <c r="E19" s="3">
        <v>43110</v>
      </c>
      <c r="F19" s="4" t="s">
        <v>70</v>
      </c>
      <c r="G19" s="2">
        <v>14.99</v>
      </c>
      <c r="H19" s="2">
        <f t="shared" si="1"/>
        <v>9415.7599999999929</v>
      </c>
      <c r="I19" s="2">
        <f t="shared" si="0"/>
        <v>10163.649999999994</v>
      </c>
      <c r="J19" s="57" t="s">
        <v>60</v>
      </c>
      <c r="K19" s="4" t="s">
        <v>6</v>
      </c>
      <c r="L19" s="93"/>
      <c r="M19" s="91"/>
      <c r="N19" s="92"/>
      <c r="O19" t="s">
        <v>86</v>
      </c>
      <c r="P19" s="1"/>
      <c r="Q19" s="1"/>
    </row>
    <row r="20" spans="1:17">
      <c r="A20" s="1"/>
      <c r="B20" s="1"/>
      <c r="C20" s="1"/>
      <c r="D20" s="3"/>
      <c r="E20" s="3">
        <v>43118</v>
      </c>
      <c r="F20" s="4" t="s">
        <v>70</v>
      </c>
      <c r="G20" s="2">
        <v>50</v>
      </c>
      <c r="H20" s="2">
        <f t="shared" si="1"/>
        <v>9365.7599999999929</v>
      </c>
      <c r="I20" s="2">
        <f t="shared" si="0"/>
        <v>10113.649999999994</v>
      </c>
      <c r="J20" s="57" t="s">
        <v>81</v>
      </c>
      <c r="K20" s="4" t="s">
        <v>25</v>
      </c>
      <c r="L20" s="93"/>
      <c r="M20" s="91"/>
      <c r="N20" s="92"/>
      <c r="O20" t="s">
        <v>62</v>
      </c>
      <c r="P20" s="1"/>
      <c r="Q20" s="1"/>
    </row>
    <row r="21" spans="1:17">
      <c r="A21" s="1"/>
      <c r="B21" s="1"/>
      <c r="C21" s="1"/>
      <c r="D21" s="6">
        <v>43116</v>
      </c>
      <c r="E21" s="6">
        <v>43113</v>
      </c>
      <c r="F21" s="4" t="s">
        <v>70</v>
      </c>
      <c r="G21" s="2">
        <v>566</v>
      </c>
      <c r="H21" s="2">
        <f t="shared" si="1"/>
        <v>8799.7599999999929</v>
      </c>
      <c r="I21" s="2">
        <f t="shared" si="0"/>
        <v>9547.6499999999942</v>
      </c>
      <c r="J21" s="57" t="s">
        <v>57</v>
      </c>
      <c r="K21" s="4" t="s">
        <v>142</v>
      </c>
      <c r="L21" s="93"/>
      <c r="M21" s="91"/>
      <c r="N21" s="92"/>
      <c r="O21" t="s">
        <v>81</v>
      </c>
      <c r="P21" s="1"/>
      <c r="Q21" s="1"/>
    </row>
    <row r="22" spans="1:17">
      <c r="A22" s="1"/>
      <c r="B22" s="1"/>
      <c r="C22" s="1"/>
      <c r="D22" s="6">
        <v>43103</v>
      </c>
      <c r="E22" s="6">
        <v>43103</v>
      </c>
      <c r="F22" s="4" t="s">
        <v>49</v>
      </c>
      <c r="G22" s="63">
        <v>46.97</v>
      </c>
      <c r="H22" s="2">
        <f t="shared" si="1"/>
        <v>8846.7299999999923</v>
      </c>
      <c r="I22" s="2">
        <f t="shared" si="0"/>
        <v>9594.6199999999935</v>
      </c>
      <c r="J22" s="57" t="s">
        <v>84</v>
      </c>
      <c r="K22" s="4" t="s">
        <v>85</v>
      </c>
      <c r="L22" s="93"/>
      <c r="M22" s="91"/>
      <c r="N22" s="92"/>
      <c r="O22" t="s">
        <v>63</v>
      </c>
      <c r="P22" s="1"/>
      <c r="Q22" s="1"/>
    </row>
    <row r="23" spans="1:17">
      <c r="A23" s="1"/>
      <c r="B23" s="1"/>
      <c r="C23" s="1"/>
      <c r="D23" s="6">
        <v>43100</v>
      </c>
      <c r="E23" s="6">
        <v>43103</v>
      </c>
      <c r="F23" s="4" t="s">
        <v>70</v>
      </c>
      <c r="G23" s="2">
        <v>100.4</v>
      </c>
      <c r="H23" s="2">
        <f t="shared" ref="H23:H68" si="2">H22+G23*IF(F23="C",1,-1)</f>
        <v>8746.3299999999927</v>
      </c>
      <c r="I23" s="2">
        <f t="shared" si="0"/>
        <v>9494.2199999999939</v>
      </c>
      <c r="J23" s="57" t="s">
        <v>51</v>
      </c>
      <c r="K23" s="4" t="s">
        <v>123</v>
      </c>
      <c r="L23" s="93"/>
      <c r="M23" s="91"/>
      <c r="N23" s="92"/>
      <c r="O23" t="s">
        <v>64</v>
      </c>
      <c r="P23" s="1"/>
      <c r="Q23" s="1"/>
    </row>
    <row r="24" spans="1:17">
      <c r="A24" s="109" t="s">
        <v>5</v>
      </c>
      <c r="B24" s="110"/>
      <c r="C24" s="110"/>
      <c r="D24" s="6">
        <v>43102</v>
      </c>
      <c r="E24" s="6">
        <v>43103</v>
      </c>
      <c r="F24" s="4" t="s">
        <v>49</v>
      </c>
      <c r="G24" s="2">
        <v>133.6</v>
      </c>
      <c r="H24" s="2">
        <f t="shared" si="2"/>
        <v>8879.929999999993</v>
      </c>
      <c r="I24" s="2">
        <f t="shared" si="0"/>
        <v>9627.8199999999943</v>
      </c>
      <c r="J24" s="57" t="s">
        <v>86</v>
      </c>
      <c r="K24" s="11" t="s">
        <v>124</v>
      </c>
      <c r="L24" s="93"/>
      <c r="M24" s="91"/>
      <c r="N24" s="92"/>
      <c r="O24" t="s">
        <v>65</v>
      </c>
      <c r="P24" s="1"/>
      <c r="Q24" s="1"/>
    </row>
    <row r="25" spans="1:17">
      <c r="A25" s="8">
        <v>41289</v>
      </c>
      <c r="B25" s="9">
        <v>566</v>
      </c>
      <c r="C25" s="10">
        <f>B25</f>
        <v>566</v>
      </c>
      <c r="D25" s="3">
        <v>43100</v>
      </c>
      <c r="E25" s="3">
        <v>43103</v>
      </c>
      <c r="F25" s="4" t="s">
        <v>70</v>
      </c>
      <c r="G25" s="2">
        <v>52.92</v>
      </c>
      <c r="H25" s="2">
        <f t="shared" si="2"/>
        <v>8827.0099999999929</v>
      </c>
      <c r="I25" s="2">
        <f t="shared" si="0"/>
        <v>9574.8999999999942</v>
      </c>
      <c r="J25" s="57" t="s">
        <v>84</v>
      </c>
      <c r="K25" s="4"/>
      <c r="L25" s="93"/>
      <c r="M25" s="91"/>
      <c r="N25" s="92"/>
      <c r="O25" t="s">
        <v>66</v>
      </c>
      <c r="P25" s="1"/>
      <c r="Q25" s="1"/>
    </row>
    <row r="26" spans="1:17">
      <c r="A26" s="8">
        <v>41320</v>
      </c>
      <c r="B26" s="9">
        <v>566</v>
      </c>
      <c r="C26" s="10">
        <f>B25+B26</f>
        <v>1132</v>
      </c>
      <c r="D26" s="3">
        <v>43100</v>
      </c>
      <c r="E26" s="3">
        <v>43103</v>
      </c>
      <c r="F26" s="4" t="s">
        <v>70</v>
      </c>
      <c r="G26" s="2">
        <v>47.98</v>
      </c>
      <c r="H26" s="2">
        <f t="shared" si="2"/>
        <v>8779.0299999999934</v>
      </c>
      <c r="I26" s="2">
        <f t="shared" si="0"/>
        <v>9526.9199999999946</v>
      </c>
      <c r="J26" s="57" t="s">
        <v>84</v>
      </c>
      <c r="K26" s="4"/>
      <c r="L26" s="93"/>
      <c r="M26" s="91"/>
      <c r="N26" s="92"/>
      <c r="O26" t="s">
        <v>67</v>
      </c>
      <c r="P26" s="1"/>
      <c r="Q26" s="1"/>
    </row>
    <row r="27" spans="1:17">
      <c r="A27" s="8">
        <v>41348</v>
      </c>
      <c r="B27" s="9">
        <v>566</v>
      </c>
      <c r="C27" s="10">
        <f>C26+B27</f>
        <v>1698</v>
      </c>
      <c r="D27" s="3">
        <v>43100</v>
      </c>
      <c r="E27" s="3">
        <v>43103</v>
      </c>
      <c r="F27" s="4" t="s">
        <v>70</v>
      </c>
      <c r="G27" s="2">
        <v>10.65</v>
      </c>
      <c r="H27" s="2">
        <f t="shared" si="2"/>
        <v>8768.3799999999937</v>
      </c>
      <c r="I27" s="2">
        <f t="shared" si="0"/>
        <v>9516.269999999995</v>
      </c>
      <c r="J27" s="57" t="s">
        <v>84</v>
      </c>
      <c r="K27" s="4"/>
      <c r="L27" s="1"/>
      <c r="M27" s="1"/>
      <c r="N27" s="1"/>
      <c r="O27" t="s">
        <v>130</v>
      </c>
      <c r="P27" s="1"/>
      <c r="Q27" s="1"/>
    </row>
    <row r="28" spans="1:17">
      <c r="A28" s="8">
        <v>41379</v>
      </c>
      <c r="B28" s="9">
        <v>566</v>
      </c>
      <c r="C28" s="10">
        <f>C27+B28</f>
        <v>2264</v>
      </c>
      <c r="D28" s="3">
        <v>43095</v>
      </c>
      <c r="E28" s="3">
        <v>43103</v>
      </c>
      <c r="F28" s="4" t="s">
        <v>70</v>
      </c>
      <c r="G28" s="89">
        <v>1.8</v>
      </c>
      <c r="H28" s="2">
        <f t="shared" si="2"/>
        <v>8766.5799999999945</v>
      </c>
      <c r="I28" s="2">
        <f t="shared" si="0"/>
        <v>9514.4699999999957</v>
      </c>
      <c r="J28" s="57" t="s">
        <v>51</v>
      </c>
      <c r="K28" s="4" t="s">
        <v>125</v>
      </c>
      <c r="L28" s="1"/>
      <c r="M28" s="1"/>
      <c r="N28" s="1"/>
      <c r="O28" t="s">
        <v>138</v>
      </c>
      <c r="P28" s="1"/>
      <c r="Q28" s="1"/>
    </row>
    <row r="29" spans="1:17">
      <c r="A29" s="8">
        <v>41409</v>
      </c>
      <c r="B29" s="9">
        <v>566</v>
      </c>
      <c r="C29" s="10">
        <f t="shared" ref="C29:C34" si="3">C28+B29</f>
        <v>2830</v>
      </c>
      <c r="D29" s="3">
        <v>43091</v>
      </c>
      <c r="E29" s="3">
        <v>43104</v>
      </c>
      <c r="F29" s="4" t="s">
        <v>70</v>
      </c>
      <c r="G29" s="2">
        <v>83.29</v>
      </c>
      <c r="H29" s="2">
        <f t="shared" si="2"/>
        <v>8683.2899999999936</v>
      </c>
      <c r="I29" s="2">
        <f t="shared" si="0"/>
        <v>9431.1799999999948</v>
      </c>
      <c r="J29" s="57" t="s">
        <v>50</v>
      </c>
      <c r="K29" s="4" t="s">
        <v>134</v>
      </c>
      <c r="L29" s="1"/>
      <c r="M29" s="1"/>
      <c r="N29" s="1"/>
      <c r="O29" t="s">
        <v>131</v>
      </c>
      <c r="P29" s="1"/>
      <c r="Q29" s="1"/>
    </row>
    <row r="30" spans="1:17">
      <c r="A30" s="8">
        <v>41440</v>
      </c>
      <c r="B30" s="9">
        <v>566</v>
      </c>
      <c r="C30" s="10">
        <f>C29+B30+B35</f>
        <v>3396</v>
      </c>
      <c r="D30" s="3"/>
      <c r="E30" s="3">
        <v>43104</v>
      </c>
      <c r="F30" s="4" t="s">
        <v>70</v>
      </c>
      <c r="G30" s="89">
        <v>127.43</v>
      </c>
      <c r="H30" s="2">
        <f t="shared" si="2"/>
        <v>8555.8599999999933</v>
      </c>
      <c r="I30" s="2">
        <f t="shared" si="0"/>
        <v>9303.7499999999945</v>
      </c>
      <c r="J30" s="57" t="s">
        <v>51</v>
      </c>
      <c r="K30" s="4"/>
      <c r="L30" s="1"/>
      <c r="M30" s="1"/>
      <c r="N30" s="1"/>
      <c r="O30" t="s">
        <v>161</v>
      </c>
      <c r="P30" s="1"/>
      <c r="Q30" s="1"/>
    </row>
    <row r="31" spans="1:17">
      <c r="A31" s="8">
        <v>41470</v>
      </c>
      <c r="B31" s="9">
        <v>566</v>
      </c>
      <c r="C31" s="10">
        <f t="shared" si="3"/>
        <v>3962</v>
      </c>
      <c r="D31" s="3">
        <v>43102</v>
      </c>
      <c r="E31" s="3">
        <v>43104</v>
      </c>
      <c r="F31" s="4" t="s">
        <v>70</v>
      </c>
      <c r="G31" s="2">
        <v>37</v>
      </c>
      <c r="H31" s="2">
        <f t="shared" si="2"/>
        <v>8518.8599999999933</v>
      </c>
      <c r="I31" s="2">
        <f t="shared" si="0"/>
        <v>9266.7499999999945</v>
      </c>
      <c r="J31" s="57" t="s">
        <v>51</v>
      </c>
      <c r="K31" s="4" t="s">
        <v>129</v>
      </c>
      <c r="L31" s="1"/>
      <c r="M31" s="1"/>
      <c r="N31" s="1"/>
      <c r="P31" s="1"/>
      <c r="Q31" s="1"/>
    </row>
    <row r="32" spans="1:17">
      <c r="A32" s="8">
        <v>41501</v>
      </c>
      <c r="B32" s="9">
        <v>566</v>
      </c>
      <c r="C32" s="10">
        <f t="shared" si="3"/>
        <v>4528</v>
      </c>
      <c r="D32" s="3">
        <v>43101</v>
      </c>
      <c r="E32" s="3">
        <v>43104</v>
      </c>
      <c r="F32" s="4" t="s">
        <v>70</v>
      </c>
      <c r="G32" s="2">
        <v>4.5</v>
      </c>
      <c r="H32" s="2">
        <f t="shared" si="2"/>
        <v>8514.3599999999933</v>
      </c>
      <c r="I32" s="2">
        <f t="shared" si="0"/>
        <v>9262.2499999999945</v>
      </c>
      <c r="J32" s="57" t="s">
        <v>51</v>
      </c>
      <c r="K32" s="4" t="s">
        <v>125</v>
      </c>
      <c r="L32" s="1"/>
      <c r="M32" s="1"/>
      <c r="N32" s="1"/>
      <c r="P32" s="1"/>
      <c r="Q32" s="1"/>
    </row>
    <row r="33" spans="1:17">
      <c r="A33" s="8">
        <v>41532</v>
      </c>
      <c r="B33" s="9">
        <v>566</v>
      </c>
      <c r="C33" s="10">
        <f>C32+B33</f>
        <v>5094</v>
      </c>
      <c r="D33" s="3">
        <v>43104</v>
      </c>
      <c r="E33" s="3">
        <v>43104</v>
      </c>
      <c r="F33" s="4" t="s">
        <v>49</v>
      </c>
      <c r="G33" s="2">
        <v>14.4</v>
      </c>
      <c r="H33" s="2">
        <f>H32+G33*IF(F33="C",1,-1)</f>
        <v>8528.7599999999929</v>
      </c>
      <c r="I33" s="2">
        <f>I32+G33*IF(E33="",0,IF(F33="C",1,-1))</f>
        <v>9276.6499999999942</v>
      </c>
      <c r="J33" s="57" t="s">
        <v>130</v>
      </c>
      <c r="K33" s="4" t="s">
        <v>85</v>
      </c>
      <c r="L33" s="1"/>
      <c r="M33" s="1"/>
      <c r="N33" s="1"/>
      <c r="P33" s="1"/>
      <c r="Q33" s="1"/>
    </row>
    <row r="34" spans="1:17">
      <c r="A34" s="8">
        <v>41562</v>
      </c>
      <c r="B34" s="9">
        <v>566</v>
      </c>
      <c r="C34" s="10">
        <f t="shared" si="3"/>
        <v>5660</v>
      </c>
      <c r="D34" s="3">
        <v>43104</v>
      </c>
      <c r="E34" s="3">
        <v>43104</v>
      </c>
      <c r="F34" s="4" t="s">
        <v>49</v>
      </c>
      <c r="G34" s="2">
        <v>25</v>
      </c>
      <c r="H34" s="2">
        <f t="shared" si="2"/>
        <v>8553.7599999999929</v>
      </c>
      <c r="I34" s="2">
        <f t="shared" si="0"/>
        <v>9301.6499999999942</v>
      </c>
      <c r="J34" s="57" t="s">
        <v>130</v>
      </c>
      <c r="K34" s="4" t="s">
        <v>85</v>
      </c>
      <c r="L34" s="1"/>
      <c r="M34" s="1"/>
      <c r="N34" s="1"/>
      <c r="P34" s="1"/>
      <c r="Q34" s="1"/>
    </row>
    <row r="35" spans="1:17">
      <c r="A35" s="11"/>
      <c r="B35" s="12"/>
      <c r="C35" s="13"/>
      <c r="D35" s="3">
        <v>43103</v>
      </c>
      <c r="E35" s="3">
        <v>43105</v>
      </c>
      <c r="F35" s="4" t="s">
        <v>70</v>
      </c>
      <c r="G35" s="2">
        <v>12.29</v>
      </c>
      <c r="H35" s="2">
        <f t="shared" si="2"/>
        <v>8541.4699999999921</v>
      </c>
      <c r="I35" s="2">
        <f t="shared" si="0"/>
        <v>9289.3599999999933</v>
      </c>
      <c r="J35" s="57" t="s">
        <v>84</v>
      </c>
      <c r="K35" s="4" t="s">
        <v>131</v>
      </c>
      <c r="L35" s="1"/>
      <c r="M35" s="1"/>
      <c r="N35" s="1"/>
      <c r="P35" s="1"/>
      <c r="Q35" s="1"/>
    </row>
    <row r="36" spans="1:17">
      <c r="A36" s="1"/>
      <c r="B36" s="1"/>
      <c r="C36" s="1"/>
      <c r="D36" s="3">
        <v>43102</v>
      </c>
      <c r="E36" s="3">
        <v>43105</v>
      </c>
      <c r="F36" s="4" t="s">
        <v>70</v>
      </c>
      <c r="G36" s="2">
        <v>2.7</v>
      </c>
      <c r="H36" s="2">
        <f t="shared" si="2"/>
        <v>8538.7699999999913</v>
      </c>
      <c r="I36" s="2">
        <f t="shared" si="0"/>
        <v>9286.6599999999926</v>
      </c>
      <c r="J36" s="57" t="s">
        <v>51</v>
      </c>
      <c r="K36" s="4" t="s">
        <v>125</v>
      </c>
      <c r="L36" s="1"/>
      <c r="M36" s="1"/>
      <c r="N36" s="1"/>
      <c r="P36" s="1"/>
      <c r="Q36" s="1"/>
    </row>
    <row r="37" spans="1:17">
      <c r="A37" s="1"/>
      <c r="B37" s="1"/>
      <c r="C37" s="1"/>
      <c r="D37" s="3">
        <v>43104</v>
      </c>
      <c r="E37" s="3">
        <v>43106</v>
      </c>
      <c r="F37" s="4" t="s">
        <v>70</v>
      </c>
      <c r="G37" s="2">
        <v>121.89</v>
      </c>
      <c r="H37" s="2">
        <f t="shared" si="2"/>
        <v>8416.8799999999919</v>
      </c>
      <c r="I37" s="2">
        <f t="shared" si="0"/>
        <v>9164.7699999999932</v>
      </c>
      <c r="J37" s="57" t="s">
        <v>50</v>
      </c>
      <c r="K37" s="4" t="s">
        <v>132</v>
      </c>
      <c r="L37" s="1"/>
      <c r="M37" s="1"/>
      <c r="N37" s="1"/>
      <c r="P37" s="1"/>
      <c r="Q37" s="1"/>
    </row>
    <row r="38" spans="1:17">
      <c r="A38" s="1"/>
      <c r="B38" s="1"/>
      <c r="C38" s="1"/>
      <c r="D38" s="3">
        <v>43104</v>
      </c>
      <c r="E38" s="3">
        <v>43106</v>
      </c>
      <c r="F38" s="4" t="s">
        <v>70</v>
      </c>
      <c r="G38" s="2">
        <v>82.02</v>
      </c>
      <c r="H38" s="2">
        <f t="shared" si="2"/>
        <v>8334.8599999999915</v>
      </c>
      <c r="I38" s="2">
        <f t="shared" si="0"/>
        <v>9082.7499999999927</v>
      </c>
      <c r="J38" s="95" t="s">
        <v>51</v>
      </c>
      <c r="K38" s="4" t="s">
        <v>133</v>
      </c>
      <c r="L38" s="1"/>
      <c r="M38" s="1"/>
      <c r="N38" s="1"/>
      <c r="P38" s="1"/>
      <c r="Q38" s="1"/>
    </row>
    <row r="39" spans="1:17">
      <c r="A39" s="111" t="s">
        <v>8</v>
      </c>
      <c r="B39" s="111"/>
      <c r="C39" s="1"/>
      <c r="D39" s="3">
        <v>43104</v>
      </c>
      <c r="E39" s="3">
        <v>43106</v>
      </c>
      <c r="F39" s="4" t="s">
        <v>70</v>
      </c>
      <c r="G39" s="2">
        <v>42.89</v>
      </c>
      <c r="H39" s="2">
        <f t="shared" si="2"/>
        <v>8291.9699999999921</v>
      </c>
      <c r="I39" s="2">
        <f t="shared" si="0"/>
        <v>9039.8599999999933</v>
      </c>
      <c r="J39" s="57" t="s">
        <v>84</v>
      </c>
      <c r="K39" s="4"/>
      <c r="L39" s="1"/>
      <c r="M39" s="1"/>
      <c r="N39" s="1"/>
      <c r="P39" s="1"/>
      <c r="Q39" s="1"/>
    </row>
    <row r="40" spans="1:17">
      <c r="A40" s="14">
        <f>1320.01+351.8+3.69+492.78</f>
        <v>2168.2799999999997</v>
      </c>
      <c r="B40" s="1" t="s">
        <v>9</v>
      </c>
      <c r="C40" s="1"/>
      <c r="D40" s="3">
        <v>43105</v>
      </c>
      <c r="E40" s="3">
        <v>43109</v>
      </c>
      <c r="F40" s="4" t="s">
        <v>70</v>
      </c>
      <c r="G40" s="2">
        <v>5.4</v>
      </c>
      <c r="H40" s="2">
        <f t="shared" si="2"/>
        <v>8286.5699999999924</v>
      </c>
      <c r="I40" s="2">
        <f t="shared" si="0"/>
        <v>9034.4599999999937</v>
      </c>
      <c r="J40" s="57" t="s">
        <v>51</v>
      </c>
      <c r="K40" s="4" t="s">
        <v>125</v>
      </c>
      <c r="L40" s="1"/>
      <c r="M40" s="1"/>
      <c r="N40" s="1"/>
      <c r="P40" s="1"/>
      <c r="Q40" s="1"/>
    </row>
    <row r="41" spans="1:17">
      <c r="A41" s="14">
        <f>A40*12+261.32</f>
        <v>26280.679999999997</v>
      </c>
      <c r="B41" s="1" t="s">
        <v>10</v>
      </c>
      <c r="C41" s="1"/>
      <c r="D41" s="3">
        <v>43106</v>
      </c>
      <c r="E41" s="3">
        <v>43109</v>
      </c>
      <c r="F41" s="4" t="s">
        <v>70</v>
      </c>
      <c r="G41" s="2">
        <v>0.9</v>
      </c>
      <c r="H41" s="2">
        <f t="shared" si="2"/>
        <v>8285.6699999999928</v>
      </c>
      <c r="I41" s="2">
        <f t="shared" si="0"/>
        <v>9033.559999999994</v>
      </c>
      <c r="J41" s="57" t="s">
        <v>51</v>
      </c>
      <c r="K41" s="4" t="s">
        <v>125</v>
      </c>
      <c r="L41" s="1"/>
      <c r="M41" s="1"/>
      <c r="N41" s="1"/>
      <c r="P41" s="1"/>
      <c r="Q41" s="1"/>
    </row>
    <row r="42" spans="1:17">
      <c r="A42" s="1"/>
      <c r="B42" s="1"/>
      <c r="C42" s="1"/>
      <c r="D42" s="6">
        <v>43110</v>
      </c>
      <c r="E42" s="6"/>
      <c r="F42" s="4"/>
      <c r="G42" s="2">
        <v>178.57</v>
      </c>
      <c r="H42" s="2">
        <f t="shared" si="2"/>
        <v>8107.0999999999931</v>
      </c>
      <c r="I42" s="2">
        <f t="shared" si="0"/>
        <v>9033.559999999994</v>
      </c>
      <c r="J42" s="57" t="s">
        <v>52</v>
      </c>
      <c r="K42" s="4" t="s">
        <v>135</v>
      </c>
      <c r="L42" s="1"/>
      <c r="M42" s="1"/>
      <c r="N42" s="1"/>
      <c r="P42" s="1"/>
      <c r="Q42" s="1"/>
    </row>
    <row r="43" spans="1:17">
      <c r="A43" s="1" t="s">
        <v>11</v>
      </c>
      <c r="B43" s="1"/>
      <c r="C43" s="1"/>
      <c r="D43" s="6">
        <v>43109</v>
      </c>
      <c r="E43" s="6">
        <v>43109</v>
      </c>
      <c r="F43" s="4" t="s">
        <v>70</v>
      </c>
      <c r="G43" s="2">
        <v>250</v>
      </c>
      <c r="H43" s="2">
        <f t="shared" si="2"/>
        <v>7857.0999999999931</v>
      </c>
      <c r="I43" s="2">
        <f t="shared" si="0"/>
        <v>8783.559999999994</v>
      </c>
      <c r="J43" s="57" t="s">
        <v>81</v>
      </c>
      <c r="K43" s="4" t="s">
        <v>136</v>
      </c>
      <c r="L43" s="1"/>
      <c r="M43" s="1"/>
      <c r="N43" s="1"/>
      <c r="P43" s="1"/>
      <c r="Q43" s="1"/>
    </row>
    <row r="44" spans="1:17">
      <c r="A44" s="15">
        <v>715</v>
      </c>
      <c r="B44" s="1" t="s">
        <v>12</v>
      </c>
      <c r="C44" s="1" t="s">
        <v>13</v>
      </c>
      <c r="D44" s="6">
        <v>43108</v>
      </c>
      <c r="E44" s="6">
        <v>43110</v>
      </c>
      <c r="F44" s="4" t="s">
        <v>70</v>
      </c>
      <c r="G44" s="2">
        <v>23.5</v>
      </c>
      <c r="H44" s="2">
        <f t="shared" si="2"/>
        <v>7833.5999999999931</v>
      </c>
      <c r="I44" s="2">
        <f t="shared" si="0"/>
        <v>8760.059999999994</v>
      </c>
      <c r="J44" s="57" t="s">
        <v>138</v>
      </c>
      <c r="K44" s="4" t="s">
        <v>139</v>
      </c>
      <c r="L44" s="1"/>
      <c r="M44" s="1"/>
      <c r="N44" s="1"/>
      <c r="P44" s="1"/>
      <c r="Q44" s="1"/>
    </row>
    <row r="45" spans="1:17">
      <c r="A45" s="15">
        <f>715/3</f>
        <v>238.33333333333334</v>
      </c>
      <c r="B45" s="1" t="s">
        <v>9</v>
      </c>
      <c r="C45" s="1" t="s">
        <v>14</v>
      </c>
      <c r="D45" s="6">
        <v>43108</v>
      </c>
      <c r="E45" s="6">
        <v>43110</v>
      </c>
      <c r="F45" s="4" t="s">
        <v>70</v>
      </c>
      <c r="G45" s="2">
        <v>21.99</v>
      </c>
      <c r="H45" s="2">
        <f t="shared" si="2"/>
        <v>7811.6099999999933</v>
      </c>
      <c r="I45" s="2">
        <f t="shared" si="0"/>
        <v>8738.0699999999943</v>
      </c>
      <c r="J45" s="57" t="s">
        <v>131</v>
      </c>
      <c r="K45" s="4" t="s">
        <v>139</v>
      </c>
      <c r="L45" s="1"/>
      <c r="M45" s="1"/>
      <c r="N45" s="1"/>
      <c r="P45" s="1"/>
      <c r="Q45" s="1"/>
    </row>
    <row r="46" spans="1:17">
      <c r="A46" s="16">
        <f>A45*12</f>
        <v>2860</v>
      </c>
      <c r="B46" s="1" t="s">
        <v>10</v>
      </c>
      <c r="C46" s="1" t="s">
        <v>15</v>
      </c>
      <c r="D46" s="3">
        <v>43108</v>
      </c>
      <c r="E46" s="3">
        <v>43110</v>
      </c>
      <c r="F46" s="4" t="s">
        <v>70</v>
      </c>
      <c r="G46" s="2">
        <v>18.73</v>
      </c>
      <c r="H46" s="2">
        <f t="shared" si="2"/>
        <v>7792.8799999999937</v>
      </c>
      <c r="I46" s="2">
        <f t="shared" si="0"/>
        <v>8719.3399999999947</v>
      </c>
      <c r="J46" s="57" t="s">
        <v>84</v>
      </c>
      <c r="K46" s="4" t="s">
        <v>131</v>
      </c>
      <c r="L46" s="1"/>
      <c r="M46" s="1"/>
      <c r="N46" s="1"/>
      <c r="O46" s="1"/>
      <c r="P46" s="1"/>
      <c r="Q46" s="1"/>
    </row>
    <row r="47" spans="1:17">
      <c r="A47" s="1"/>
      <c r="B47" s="1"/>
      <c r="C47" s="1" t="s">
        <v>16</v>
      </c>
      <c r="D47" s="3">
        <v>43108</v>
      </c>
      <c r="E47" s="3">
        <v>43110</v>
      </c>
      <c r="F47" s="4" t="s">
        <v>70</v>
      </c>
      <c r="G47" s="2">
        <v>6.1</v>
      </c>
      <c r="H47" s="2">
        <f t="shared" si="2"/>
        <v>7786.7799999999934</v>
      </c>
      <c r="I47" s="2">
        <f t="shared" si="0"/>
        <v>8713.2399999999943</v>
      </c>
      <c r="J47" s="57" t="s">
        <v>51</v>
      </c>
      <c r="K47" s="4" t="s">
        <v>125</v>
      </c>
      <c r="L47" s="1"/>
      <c r="M47" s="1"/>
      <c r="N47" s="1"/>
      <c r="O47" s="1"/>
      <c r="P47" s="1"/>
      <c r="Q47" s="1"/>
    </row>
    <row r="48" spans="1:17">
      <c r="A48" s="1" t="s">
        <v>17</v>
      </c>
      <c r="B48" s="1"/>
      <c r="C48" s="1"/>
      <c r="D48" s="3">
        <v>43089</v>
      </c>
      <c r="E48" s="3">
        <v>43112</v>
      </c>
      <c r="F48" s="4" t="s">
        <v>70</v>
      </c>
      <c r="G48" s="2">
        <v>42</v>
      </c>
      <c r="H48" s="2">
        <f t="shared" si="2"/>
        <v>7744.7799999999934</v>
      </c>
      <c r="I48" s="2">
        <f t="shared" si="0"/>
        <v>8671.2399999999943</v>
      </c>
      <c r="J48" s="57"/>
      <c r="K48" s="4" t="s">
        <v>140</v>
      </c>
      <c r="L48" s="1"/>
      <c r="M48" s="1"/>
      <c r="N48" s="1"/>
      <c r="O48" s="1"/>
      <c r="P48" s="1"/>
      <c r="Q48" s="1"/>
    </row>
    <row r="49" spans="1:17">
      <c r="A49" s="16">
        <f>A50/12</f>
        <v>2428.39</v>
      </c>
      <c r="B49" s="1"/>
      <c r="C49" s="1"/>
      <c r="D49" s="3">
        <v>43110</v>
      </c>
      <c r="E49" s="3">
        <v>43112</v>
      </c>
      <c r="F49" s="4" t="s">
        <v>70</v>
      </c>
      <c r="G49" s="2">
        <v>99.58</v>
      </c>
      <c r="H49" s="2">
        <f t="shared" si="2"/>
        <v>7645.1999999999935</v>
      </c>
      <c r="I49" s="2">
        <f t="shared" si="0"/>
        <v>8571.6599999999944</v>
      </c>
      <c r="J49" s="95" t="s">
        <v>51</v>
      </c>
      <c r="K49" s="4" t="s">
        <v>141</v>
      </c>
      <c r="L49" s="1"/>
      <c r="M49" s="1"/>
      <c r="N49" s="1"/>
      <c r="O49" s="1"/>
      <c r="P49" s="1"/>
      <c r="Q49" s="1"/>
    </row>
    <row r="50" spans="1:17">
      <c r="A50" s="16">
        <f>+A41+A46</f>
        <v>29140.679999999997</v>
      </c>
      <c r="B50" s="1"/>
      <c r="C50" s="1"/>
      <c r="D50" s="3">
        <v>43113</v>
      </c>
      <c r="E50" s="3">
        <v>43113</v>
      </c>
      <c r="F50" s="4" t="s">
        <v>70</v>
      </c>
      <c r="G50" s="2">
        <v>85</v>
      </c>
      <c r="H50" s="2">
        <f t="shared" si="2"/>
        <v>7560.1999999999935</v>
      </c>
      <c r="I50" s="2">
        <f t="shared" si="0"/>
        <v>8486.6599999999944</v>
      </c>
      <c r="J50" s="57" t="s">
        <v>57</v>
      </c>
      <c r="K50" s="4" t="s">
        <v>143</v>
      </c>
      <c r="L50" s="1"/>
      <c r="M50" s="1"/>
      <c r="N50" s="1"/>
      <c r="O50" s="1"/>
      <c r="P50" s="1"/>
      <c r="Q50" s="1"/>
    </row>
    <row r="51" spans="1:17">
      <c r="A51" s="16">
        <f>A49+549.41</f>
        <v>2977.7999999999997</v>
      </c>
      <c r="B51" s="1"/>
      <c r="C51" s="1"/>
      <c r="D51" s="3">
        <v>43111</v>
      </c>
      <c r="E51" s="3">
        <v>43113</v>
      </c>
      <c r="F51" s="4" t="s">
        <v>70</v>
      </c>
      <c r="G51" s="2">
        <v>6.8</v>
      </c>
      <c r="H51" s="2">
        <f t="shared" si="2"/>
        <v>7553.3999999999933</v>
      </c>
      <c r="I51" s="2">
        <f t="shared" si="0"/>
        <v>8479.8599999999951</v>
      </c>
      <c r="J51" s="57" t="s">
        <v>131</v>
      </c>
      <c r="K51" s="4" t="s">
        <v>151</v>
      </c>
      <c r="L51" s="1"/>
      <c r="M51" s="1"/>
      <c r="N51" s="1"/>
      <c r="O51" s="1"/>
      <c r="P51" s="1"/>
      <c r="Q51" s="1"/>
    </row>
    <row r="52" spans="1:17">
      <c r="A52" s="16">
        <f>A51*12</f>
        <v>35733.599999999999</v>
      </c>
      <c r="B52" s="1"/>
      <c r="C52" s="1"/>
      <c r="D52" s="3">
        <v>43114</v>
      </c>
      <c r="E52" s="3">
        <v>43115</v>
      </c>
      <c r="F52" s="4" t="s">
        <v>49</v>
      </c>
      <c r="G52" s="2">
        <v>255</v>
      </c>
      <c r="H52" s="2">
        <f t="shared" si="2"/>
        <v>7808.3999999999933</v>
      </c>
      <c r="I52" s="2">
        <f t="shared" si="0"/>
        <v>8734.8599999999951</v>
      </c>
      <c r="J52" s="57"/>
      <c r="K52" s="4"/>
      <c r="L52" s="1"/>
      <c r="M52" s="1"/>
      <c r="N52" s="1"/>
      <c r="O52" s="1"/>
      <c r="P52" s="1"/>
      <c r="Q52" s="1"/>
    </row>
    <row r="53" spans="1:17">
      <c r="A53" s="1" t="s">
        <v>18</v>
      </c>
      <c r="B53" s="1"/>
      <c r="C53" s="1"/>
      <c r="D53" s="3">
        <v>43114</v>
      </c>
      <c r="E53" s="3">
        <v>43115</v>
      </c>
      <c r="F53" s="4" t="s">
        <v>49</v>
      </c>
      <c r="G53" s="2">
        <v>35</v>
      </c>
      <c r="H53" s="2">
        <f t="shared" si="2"/>
        <v>7843.3999999999933</v>
      </c>
      <c r="I53" s="2">
        <f t="shared" si="0"/>
        <v>8769.8599999999951</v>
      </c>
      <c r="J53" s="95" t="s">
        <v>131</v>
      </c>
      <c r="K53" s="4" t="s">
        <v>152</v>
      </c>
      <c r="L53" s="1"/>
      <c r="M53" s="1"/>
      <c r="N53" s="1"/>
      <c r="O53" s="1"/>
      <c r="P53" s="1"/>
      <c r="Q53" s="1"/>
    </row>
    <row r="54" spans="1:17">
      <c r="A54" s="16">
        <v>549.41</v>
      </c>
      <c r="B54" s="1" t="s">
        <v>9</v>
      </c>
      <c r="C54" s="1"/>
      <c r="D54" s="3">
        <v>43112</v>
      </c>
      <c r="E54" s="3">
        <v>43115</v>
      </c>
      <c r="F54" s="4" t="s">
        <v>70</v>
      </c>
      <c r="G54" s="2">
        <v>132.34</v>
      </c>
      <c r="H54" s="2">
        <f t="shared" si="2"/>
        <v>7711.0599999999931</v>
      </c>
      <c r="I54" s="2">
        <f t="shared" si="0"/>
        <v>8637.519999999995</v>
      </c>
      <c r="J54" s="57" t="s">
        <v>50</v>
      </c>
      <c r="K54" s="4" t="s">
        <v>153</v>
      </c>
      <c r="L54" s="1"/>
      <c r="M54" s="1"/>
      <c r="N54" s="1"/>
      <c r="O54" s="1"/>
      <c r="P54" s="1"/>
      <c r="Q54" s="1"/>
    </row>
    <row r="55" spans="1:17">
      <c r="A55" s="16">
        <f>549.41*12</f>
        <v>6592.92</v>
      </c>
      <c r="B55" s="1" t="s">
        <v>10</v>
      </c>
      <c r="C55" s="1"/>
      <c r="D55" s="3">
        <v>43112</v>
      </c>
      <c r="E55" s="3">
        <v>43115</v>
      </c>
      <c r="F55" s="4" t="s">
        <v>70</v>
      </c>
      <c r="G55" s="2">
        <v>109.98</v>
      </c>
      <c r="H55" s="2">
        <f t="shared" si="2"/>
        <v>7601.0799999999936</v>
      </c>
      <c r="I55" s="2">
        <f t="shared" si="0"/>
        <v>8527.5399999999954</v>
      </c>
      <c r="J55" s="57" t="s">
        <v>56</v>
      </c>
      <c r="K55" s="4" t="s">
        <v>154</v>
      </c>
      <c r="L55" s="1"/>
      <c r="M55" s="1"/>
      <c r="N55" s="1"/>
      <c r="O55" s="1"/>
      <c r="P55" s="1"/>
      <c r="Q55" s="1"/>
    </row>
    <row r="56" spans="1:17">
      <c r="A56" s="1"/>
      <c r="B56" s="1"/>
      <c r="C56" s="1"/>
      <c r="D56" s="3">
        <v>43112</v>
      </c>
      <c r="E56" s="3">
        <v>43115</v>
      </c>
      <c r="F56" s="4" t="s">
        <v>70</v>
      </c>
      <c r="G56" s="2">
        <v>55.34</v>
      </c>
      <c r="H56" s="2">
        <f t="shared" si="2"/>
        <v>7545.7399999999934</v>
      </c>
      <c r="I56" s="2">
        <f t="shared" si="0"/>
        <v>8472.1999999999953</v>
      </c>
      <c r="J56" s="57" t="s">
        <v>50</v>
      </c>
      <c r="K56" s="4" t="s">
        <v>155</v>
      </c>
      <c r="L56" s="1"/>
      <c r="M56" s="1"/>
      <c r="N56" s="1"/>
      <c r="O56" s="1"/>
      <c r="P56" s="1"/>
      <c r="Q56" s="1"/>
    </row>
    <row r="57" spans="1:17">
      <c r="A57" s="1"/>
      <c r="B57" s="1"/>
      <c r="C57" s="1"/>
      <c r="D57" s="3">
        <v>43116</v>
      </c>
      <c r="E57" s="3">
        <v>43117</v>
      </c>
      <c r="F57" s="4" t="s">
        <v>49</v>
      </c>
      <c r="G57" s="2">
        <v>103</v>
      </c>
      <c r="H57" s="2">
        <f t="shared" si="2"/>
        <v>7648.7399999999934</v>
      </c>
      <c r="I57" s="2">
        <f t="shared" si="0"/>
        <v>8575.1999999999953</v>
      </c>
      <c r="J57" s="57" t="s">
        <v>138</v>
      </c>
      <c r="K57" s="4" t="s">
        <v>156</v>
      </c>
      <c r="L57" s="1"/>
      <c r="M57" s="1"/>
      <c r="N57" s="1"/>
      <c r="O57" s="1"/>
      <c r="P57" s="1"/>
      <c r="Q57" s="1"/>
    </row>
    <row r="58" spans="1:17">
      <c r="A58" s="16">
        <f>+A40+A54+A45</f>
        <v>2956.0233333333331</v>
      </c>
      <c r="B58" s="1"/>
      <c r="C58" s="1"/>
      <c r="D58" s="3"/>
      <c r="E58" s="3">
        <v>43116</v>
      </c>
      <c r="F58" s="4" t="s">
        <v>49</v>
      </c>
      <c r="G58" s="104">
        <v>9</v>
      </c>
      <c r="H58" s="2">
        <f t="shared" si="2"/>
        <v>7657.7399999999934</v>
      </c>
      <c r="I58" s="2">
        <f t="shared" si="0"/>
        <v>8584.1999999999953</v>
      </c>
      <c r="J58" s="57" t="s">
        <v>130</v>
      </c>
      <c r="K58" s="4" t="s">
        <v>85</v>
      </c>
      <c r="L58" s="1"/>
      <c r="M58" s="1"/>
      <c r="N58" s="1"/>
      <c r="O58" s="1"/>
      <c r="P58" s="1"/>
      <c r="Q58" s="1"/>
    </row>
    <row r="59" spans="1:17">
      <c r="A59" s="1"/>
      <c r="B59" s="1"/>
      <c r="C59" s="1"/>
      <c r="D59" s="3"/>
      <c r="E59" s="3">
        <v>43116</v>
      </c>
      <c r="F59" s="4" t="s">
        <v>49</v>
      </c>
      <c r="G59" s="2">
        <v>7.5</v>
      </c>
      <c r="H59" s="2">
        <f t="shared" si="2"/>
        <v>7665.2399999999934</v>
      </c>
      <c r="I59" s="2">
        <f t="shared" si="0"/>
        <v>8591.6999999999953</v>
      </c>
      <c r="J59" s="95" t="s">
        <v>130</v>
      </c>
      <c r="K59" s="4" t="s">
        <v>85</v>
      </c>
      <c r="L59" s="1"/>
      <c r="M59" s="1"/>
      <c r="N59" s="1"/>
      <c r="O59" s="1"/>
      <c r="P59" s="1"/>
      <c r="Q59" s="1"/>
    </row>
    <row r="60" spans="1:17">
      <c r="A60" s="1"/>
      <c r="B60" s="1"/>
      <c r="C60" s="1"/>
      <c r="D60" s="3"/>
      <c r="E60" s="3">
        <v>43116</v>
      </c>
      <c r="F60" s="4" t="s">
        <v>70</v>
      </c>
      <c r="G60" s="2">
        <v>5.4</v>
      </c>
      <c r="H60" s="2">
        <f t="shared" si="2"/>
        <v>7659.8399999999938</v>
      </c>
      <c r="I60" s="2">
        <f t="shared" si="0"/>
        <v>8586.2999999999956</v>
      </c>
      <c r="J60" s="95" t="s">
        <v>51</v>
      </c>
      <c r="K60" s="4" t="s">
        <v>125</v>
      </c>
      <c r="L60" s="1"/>
      <c r="M60" s="1"/>
      <c r="N60" s="1"/>
      <c r="O60" s="1"/>
      <c r="P60" s="1"/>
      <c r="Q60" s="1"/>
    </row>
    <row r="61" spans="1:17">
      <c r="A61" s="1"/>
      <c r="B61" s="1"/>
      <c r="C61" s="1"/>
      <c r="D61" s="3"/>
      <c r="E61" s="3">
        <v>43118</v>
      </c>
      <c r="F61" s="4" t="s">
        <v>70</v>
      </c>
      <c r="G61" s="2">
        <v>102.97</v>
      </c>
      <c r="H61" s="2">
        <f t="shared" si="2"/>
        <v>7556.8699999999935</v>
      </c>
      <c r="I61" s="2">
        <f t="shared" si="0"/>
        <v>8483.3299999999963</v>
      </c>
      <c r="J61" s="57" t="s">
        <v>84</v>
      </c>
      <c r="K61" s="4" t="s">
        <v>156</v>
      </c>
      <c r="L61" s="1"/>
      <c r="M61" s="1"/>
      <c r="N61" s="1"/>
      <c r="O61" s="1"/>
      <c r="P61" s="1"/>
      <c r="Q61" s="1"/>
    </row>
    <row r="62" spans="1:17">
      <c r="A62" s="1"/>
      <c r="B62" s="1"/>
      <c r="C62" s="1"/>
      <c r="D62" s="3">
        <v>43117</v>
      </c>
      <c r="E62" s="3">
        <v>43118</v>
      </c>
      <c r="F62" s="4" t="s">
        <v>70</v>
      </c>
      <c r="G62" s="2">
        <v>20.010000000000002</v>
      </c>
      <c r="H62" s="2">
        <f t="shared" si="2"/>
        <v>7536.8599999999933</v>
      </c>
      <c r="I62" s="2">
        <f t="shared" si="0"/>
        <v>8463.3199999999961</v>
      </c>
      <c r="J62" s="57" t="s">
        <v>51</v>
      </c>
      <c r="K62" s="4" t="s">
        <v>129</v>
      </c>
      <c r="L62" s="1"/>
      <c r="M62" s="1"/>
      <c r="N62" s="1"/>
      <c r="O62" s="1"/>
      <c r="P62" s="1"/>
      <c r="Q62" s="1"/>
    </row>
    <row r="63" spans="1:17">
      <c r="A63" s="1"/>
      <c r="B63" s="1"/>
      <c r="C63" s="1"/>
      <c r="D63" s="3">
        <v>43116</v>
      </c>
      <c r="E63" s="3">
        <v>43118</v>
      </c>
      <c r="F63" s="4" t="s">
        <v>70</v>
      </c>
      <c r="G63" s="2">
        <v>18.559999999999999</v>
      </c>
      <c r="H63" s="2">
        <f t="shared" si="2"/>
        <v>7518.2999999999929</v>
      </c>
      <c r="I63" s="2">
        <f t="shared" si="0"/>
        <v>8444.7599999999966</v>
      </c>
      <c r="J63" s="57" t="s">
        <v>56</v>
      </c>
      <c r="K63" s="4" t="s">
        <v>157</v>
      </c>
      <c r="L63" s="1"/>
      <c r="M63" s="1"/>
      <c r="N63" s="1"/>
      <c r="O63" s="1"/>
      <c r="P63" s="1"/>
      <c r="Q63" s="1"/>
    </row>
    <row r="64" spans="1:17">
      <c r="A64" s="1"/>
      <c r="B64" s="1"/>
      <c r="C64" s="1"/>
      <c r="D64" s="3">
        <v>43117</v>
      </c>
      <c r="E64" s="3">
        <v>43118</v>
      </c>
      <c r="F64" s="4" t="s">
        <v>70</v>
      </c>
      <c r="G64" s="2">
        <v>16.5</v>
      </c>
      <c r="H64" s="2">
        <f t="shared" si="2"/>
        <v>7501.7999999999929</v>
      </c>
      <c r="I64" s="2">
        <f t="shared" si="0"/>
        <v>8428.2599999999966</v>
      </c>
      <c r="J64" s="57" t="s">
        <v>86</v>
      </c>
      <c r="K64" s="4" t="s">
        <v>158</v>
      </c>
      <c r="L64" s="1"/>
      <c r="M64" s="1"/>
      <c r="N64" s="1"/>
      <c r="O64" s="1"/>
      <c r="P64" s="1"/>
      <c r="Q64" s="1"/>
    </row>
    <row r="65" spans="1:17">
      <c r="A65" s="1"/>
      <c r="B65" s="1"/>
      <c r="C65" s="1"/>
      <c r="D65" s="3"/>
      <c r="E65" s="3">
        <v>43119</v>
      </c>
      <c r="F65" s="4" t="s">
        <v>70</v>
      </c>
      <c r="G65" s="2">
        <v>25</v>
      </c>
      <c r="H65" s="2">
        <f t="shared" si="2"/>
        <v>7476.7999999999929</v>
      </c>
      <c r="I65" s="2">
        <f t="shared" si="0"/>
        <v>8403.2599999999966</v>
      </c>
      <c r="J65" s="57" t="s">
        <v>51</v>
      </c>
      <c r="K65" s="4" t="s">
        <v>159</v>
      </c>
      <c r="L65" s="1"/>
      <c r="M65" s="1"/>
      <c r="N65" s="1"/>
      <c r="O65" s="1"/>
      <c r="P65" s="1"/>
      <c r="Q65" s="1"/>
    </row>
    <row r="66" spans="1:17">
      <c r="A66" s="1"/>
      <c r="B66" s="1"/>
      <c r="C66" s="1"/>
      <c r="D66" s="3"/>
      <c r="E66" s="3">
        <v>43119</v>
      </c>
      <c r="F66" s="4" t="s">
        <v>70</v>
      </c>
      <c r="G66" s="2">
        <v>6.1</v>
      </c>
      <c r="H66" s="2">
        <f t="shared" si="2"/>
        <v>7470.6999999999925</v>
      </c>
      <c r="I66" s="2">
        <f t="shared" si="0"/>
        <v>8397.1599999999962</v>
      </c>
      <c r="J66" s="57" t="s">
        <v>51</v>
      </c>
      <c r="K66" s="4" t="s">
        <v>125</v>
      </c>
      <c r="L66" s="1"/>
      <c r="M66" s="1"/>
      <c r="N66" s="1"/>
      <c r="O66" s="1"/>
      <c r="P66" s="1"/>
      <c r="Q66" s="1"/>
    </row>
    <row r="67" spans="1:17">
      <c r="A67" s="1"/>
      <c r="B67" s="1"/>
      <c r="C67" s="1"/>
      <c r="D67" s="3"/>
      <c r="E67" s="3">
        <v>43123</v>
      </c>
      <c r="F67" s="4" t="s">
        <v>70</v>
      </c>
      <c r="G67" s="2">
        <v>16.8</v>
      </c>
      <c r="H67" s="2">
        <f t="shared" si="2"/>
        <v>7453.8999999999924</v>
      </c>
      <c r="I67" s="2">
        <f t="shared" si="0"/>
        <v>8380.3599999999969</v>
      </c>
      <c r="J67" s="57" t="s">
        <v>84</v>
      </c>
      <c r="K67" s="4" t="s">
        <v>131</v>
      </c>
      <c r="L67" s="1"/>
      <c r="M67" s="1"/>
      <c r="N67" s="1"/>
      <c r="O67" s="1"/>
      <c r="P67" s="1"/>
      <c r="Q67" s="1"/>
    </row>
    <row r="68" spans="1:17">
      <c r="A68" s="1"/>
      <c r="B68" s="1"/>
      <c r="C68" s="1"/>
      <c r="D68" s="3"/>
      <c r="E68" s="3">
        <v>43123</v>
      </c>
      <c r="F68" s="4" t="s">
        <v>70</v>
      </c>
      <c r="G68" s="2">
        <v>6</v>
      </c>
      <c r="H68" s="2">
        <f t="shared" si="2"/>
        <v>7447.8999999999924</v>
      </c>
      <c r="I68" s="2">
        <f t="shared" si="0"/>
        <v>8374.3599999999969</v>
      </c>
      <c r="J68" s="95" t="s">
        <v>51</v>
      </c>
      <c r="K68" s="4" t="s">
        <v>160</v>
      </c>
      <c r="L68" s="1"/>
      <c r="M68" s="1"/>
      <c r="N68" s="1"/>
      <c r="O68" s="1"/>
      <c r="P68" s="1"/>
      <c r="Q68" s="1"/>
    </row>
    <row r="69" spans="1:17">
      <c r="A69" s="1"/>
      <c r="B69" s="1"/>
      <c r="C69" s="1"/>
      <c r="D69" s="3"/>
      <c r="E69" s="3">
        <v>43123</v>
      </c>
      <c r="F69" s="4" t="s">
        <v>70</v>
      </c>
      <c r="G69" s="2">
        <v>4.8</v>
      </c>
      <c r="H69" s="2">
        <f t="shared" ref="H69:H89" si="4">H68+G69*IF(F69="C",1,-1)</f>
        <v>7443.0999999999922</v>
      </c>
      <c r="I69" s="2">
        <f t="shared" ref="I69:I90" si="5">I68+G69*IF(E69="",0,IF(F69="C",1,-1))</f>
        <v>8369.5599999999977</v>
      </c>
      <c r="J69" s="57" t="s">
        <v>161</v>
      </c>
      <c r="K69" s="4" t="s">
        <v>162</v>
      </c>
      <c r="L69" s="1"/>
      <c r="M69" s="1"/>
      <c r="N69" s="1"/>
      <c r="O69" s="1"/>
      <c r="P69" s="1"/>
      <c r="Q69" s="1"/>
    </row>
    <row r="70" spans="1:17">
      <c r="A70" s="1"/>
      <c r="B70" s="1"/>
      <c r="C70" s="1"/>
      <c r="D70" s="3"/>
      <c r="E70" s="3">
        <v>43123</v>
      </c>
      <c r="F70" s="4" t="s">
        <v>70</v>
      </c>
      <c r="G70" s="2">
        <v>134.1</v>
      </c>
      <c r="H70" s="2">
        <f t="shared" si="4"/>
        <v>7308.9999999999918</v>
      </c>
      <c r="I70" s="2">
        <f t="shared" si="5"/>
        <v>8235.4599999999973</v>
      </c>
      <c r="J70" s="57" t="s">
        <v>50</v>
      </c>
      <c r="K70" s="4" t="s">
        <v>132</v>
      </c>
      <c r="L70" s="1"/>
      <c r="M70" s="1"/>
      <c r="N70" s="1"/>
      <c r="O70" s="1"/>
      <c r="P70" s="1"/>
      <c r="Q70" s="1"/>
    </row>
    <row r="71" spans="1:17">
      <c r="A71" s="1"/>
      <c r="B71" s="1"/>
      <c r="C71" s="1"/>
      <c r="D71" s="3"/>
      <c r="E71" s="3">
        <v>43123</v>
      </c>
      <c r="F71" s="4" t="s">
        <v>70</v>
      </c>
      <c r="G71" s="2">
        <v>43.79</v>
      </c>
      <c r="H71" s="2">
        <f t="shared" si="4"/>
        <v>7265.2099999999919</v>
      </c>
      <c r="I71" s="2">
        <f t="shared" si="5"/>
        <v>8191.6699999999973</v>
      </c>
      <c r="J71" s="57" t="s">
        <v>51</v>
      </c>
      <c r="K71" s="4" t="s">
        <v>139</v>
      </c>
      <c r="L71" s="1"/>
      <c r="M71" s="1"/>
      <c r="N71" s="1"/>
      <c r="O71" s="1"/>
      <c r="P71" s="1"/>
      <c r="Q71" s="1"/>
    </row>
    <row r="72" spans="1:17">
      <c r="A72" s="1"/>
      <c r="B72" s="1"/>
      <c r="C72" s="1"/>
      <c r="D72" s="3"/>
      <c r="E72" s="3">
        <v>43123</v>
      </c>
      <c r="F72" s="4" t="s">
        <v>70</v>
      </c>
      <c r="G72" s="2">
        <v>13.18</v>
      </c>
      <c r="H72" s="2">
        <f t="shared" si="4"/>
        <v>7252.0299999999916</v>
      </c>
      <c r="I72" s="2">
        <f t="shared" si="5"/>
        <v>8178.4899999999971</v>
      </c>
      <c r="J72" s="95" t="s">
        <v>84</v>
      </c>
      <c r="K72" s="4" t="s">
        <v>131</v>
      </c>
      <c r="L72" s="1"/>
      <c r="M72" s="1"/>
      <c r="N72" s="1"/>
      <c r="O72" s="1"/>
      <c r="P72" s="1"/>
      <c r="Q72" s="1"/>
    </row>
    <row r="73" spans="1:17">
      <c r="A73" s="1"/>
      <c r="B73" s="1"/>
      <c r="C73" s="1"/>
      <c r="D73" s="3"/>
      <c r="E73" s="3">
        <v>43123</v>
      </c>
      <c r="F73" s="4" t="s">
        <v>70</v>
      </c>
      <c r="G73" s="2">
        <v>9.98</v>
      </c>
      <c r="H73" s="2">
        <f t="shared" si="4"/>
        <v>7242.049999999992</v>
      </c>
      <c r="I73" s="2">
        <f t="shared" si="5"/>
        <v>8168.5099999999975</v>
      </c>
      <c r="J73" s="95" t="s">
        <v>84</v>
      </c>
      <c r="K73" s="4" t="s">
        <v>131</v>
      </c>
      <c r="L73" s="1"/>
      <c r="M73" s="1"/>
      <c r="N73" s="1"/>
      <c r="O73" s="1"/>
      <c r="P73" s="1"/>
      <c r="Q73" s="1"/>
    </row>
    <row r="74" spans="1:17">
      <c r="A74" s="1"/>
      <c r="B74" s="1"/>
      <c r="C74" s="1"/>
      <c r="D74" s="3"/>
      <c r="E74" s="3"/>
      <c r="F74" s="4"/>
      <c r="G74" s="2"/>
      <c r="H74" s="2">
        <f t="shared" si="4"/>
        <v>7242.049999999992</v>
      </c>
      <c r="I74" s="2">
        <f t="shared" si="5"/>
        <v>8168.5099999999975</v>
      </c>
      <c r="J74" s="57"/>
      <c r="K74" s="4"/>
      <c r="L74" s="1"/>
      <c r="M74" s="1"/>
      <c r="N74" s="1"/>
      <c r="O74" s="1"/>
      <c r="P74" s="1"/>
      <c r="Q74" s="1"/>
    </row>
    <row r="75" spans="1:17">
      <c r="A75" s="1"/>
      <c r="B75" s="1"/>
      <c r="C75" s="1"/>
      <c r="D75" s="3"/>
      <c r="E75" s="3"/>
      <c r="F75" s="4"/>
      <c r="G75" s="2"/>
      <c r="H75" s="2">
        <f t="shared" si="4"/>
        <v>7242.049999999992</v>
      </c>
      <c r="I75" s="2">
        <f t="shared" si="5"/>
        <v>8168.5099999999975</v>
      </c>
      <c r="J75" s="57"/>
      <c r="K75" s="4"/>
      <c r="L75" s="1"/>
      <c r="M75" s="1"/>
      <c r="N75" s="1"/>
      <c r="O75" s="1"/>
      <c r="P75" s="1"/>
      <c r="Q75" s="1"/>
    </row>
    <row r="76" spans="1:17">
      <c r="A76" s="1"/>
      <c r="B76" s="1"/>
      <c r="C76" s="1"/>
      <c r="D76" s="3"/>
      <c r="E76" s="3"/>
      <c r="F76" s="4"/>
      <c r="G76" s="2"/>
      <c r="H76" s="2">
        <f t="shared" si="4"/>
        <v>7242.049999999992</v>
      </c>
      <c r="I76" s="2">
        <f t="shared" si="5"/>
        <v>8168.5099999999975</v>
      </c>
      <c r="J76" s="57"/>
      <c r="K76" s="4"/>
      <c r="L76" s="1"/>
      <c r="M76" s="1"/>
      <c r="N76" s="1"/>
      <c r="O76" s="1"/>
      <c r="P76" s="1"/>
      <c r="Q76" s="1"/>
    </row>
    <row r="77" spans="1:17">
      <c r="A77" s="1"/>
      <c r="B77" s="1"/>
      <c r="C77" s="1"/>
      <c r="D77" s="3"/>
      <c r="E77" s="3"/>
      <c r="F77" s="4"/>
      <c r="G77" s="2"/>
      <c r="H77" s="2">
        <f t="shared" si="4"/>
        <v>7242.049999999992</v>
      </c>
      <c r="I77" s="2">
        <f t="shared" si="5"/>
        <v>8168.5099999999975</v>
      </c>
      <c r="J77" s="57"/>
      <c r="K77" s="4"/>
      <c r="L77" s="1"/>
      <c r="M77" s="1"/>
      <c r="N77" s="1"/>
      <c r="O77" s="1"/>
      <c r="P77" s="1"/>
      <c r="Q77" s="1"/>
    </row>
    <row r="78" spans="1:17">
      <c r="A78" s="1"/>
      <c r="B78" s="1"/>
      <c r="C78" s="1"/>
      <c r="D78" s="3"/>
      <c r="E78" s="3"/>
      <c r="F78" s="4"/>
      <c r="G78" s="2"/>
      <c r="H78" s="2">
        <f t="shared" si="4"/>
        <v>7242.049999999992</v>
      </c>
      <c r="I78" s="2">
        <f t="shared" si="5"/>
        <v>8168.5099999999975</v>
      </c>
      <c r="J78" s="57"/>
      <c r="K78" s="4"/>
      <c r="L78" s="1"/>
      <c r="M78" s="1"/>
      <c r="N78" s="1"/>
      <c r="O78" s="1"/>
      <c r="P78" s="1"/>
      <c r="Q78" s="1"/>
    </row>
    <row r="79" spans="1:17">
      <c r="A79" s="1"/>
      <c r="B79" s="1"/>
      <c r="C79" s="1"/>
      <c r="D79" s="3"/>
      <c r="E79" s="3"/>
      <c r="F79" s="4"/>
      <c r="G79" s="2"/>
      <c r="H79" s="2">
        <f t="shared" si="4"/>
        <v>7242.049999999992</v>
      </c>
      <c r="I79" s="2">
        <f t="shared" si="5"/>
        <v>8168.5099999999975</v>
      </c>
      <c r="J79" s="57"/>
      <c r="K79" s="4"/>
      <c r="L79" s="1"/>
      <c r="M79" s="1"/>
      <c r="N79" s="1"/>
      <c r="O79" s="1"/>
      <c r="P79" s="1"/>
      <c r="Q79" s="1"/>
    </row>
    <row r="80" spans="1:17">
      <c r="A80" s="1"/>
      <c r="B80" s="1"/>
      <c r="C80" s="1"/>
      <c r="D80" s="3"/>
      <c r="E80" s="3"/>
      <c r="F80" s="4"/>
      <c r="G80" s="2"/>
      <c r="H80" s="2">
        <f t="shared" si="4"/>
        <v>7242.049999999992</v>
      </c>
      <c r="I80" s="2">
        <f t="shared" si="5"/>
        <v>8168.5099999999975</v>
      </c>
      <c r="J80" s="57"/>
      <c r="K80" s="4"/>
      <c r="L80" s="1"/>
      <c r="M80" s="1"/>
      <c r="N80" s="1"/>
      <c r="O80" s="1"/>
      <c r="P80" s="1"/>
      <c r="Q80" s="1"/>
    </row>
    <row r="81" spans="1:17">
      <c r="A81" s="1"/>
      <c r="B81" s="1"/>
      <c r="C81" s="1"/>
      <c r="D81" s="6"/>
      <c r="E81" s="6"/>
      <c r="F81" s="4"/>
      <c r="G81" s="2"/>
      <c r="H81" s="2">
        <f t="shared" si="4"/>
        <v>7242.049999999992</v>
      </c>
      <c r="I81" s="2">
        <f t="shared" si="5"/>
        <v>8168.5099999999975</v>
      </c>
      <c r="J81" s="57"/>
      <c r="K81" s="4"/>
      <c r="L81" s="1"/>
      <c r="M81" s="1"/>
      <c r="N81" s="1"/>
      <c r="O81" s="1"/>
      <c r="P81" s="1"/>
      <c r="Q81" s="1"/>
    </row>
    <row r="82" spans="1:17">
      <c r="A82" s="1"/>
      <c r="B82" s="1"/>
      <c r="C82" s="1"/>
      <c r="D82" s="6"/>
      <c r="E82" s="6"/>
      <c r="F82" s="4"/>
      <c r="G82" s="2"/>
      <c r="H82" s="2">
        <f t="shared" si="4"/>
        <v>7242.049999999992</v>
      </c>
      <c r="I82" s="2">
        <f t="shared" si="5"/>
        <v>8168.5099999999975</v>
      </c>
      <c r="J82" s="57"/>
      <c r="K82" s="4"/>
      <c r="L82" s="1"/>
      <c r="M82" s="1"/>
      <c r="N82" s="1"/>
      <c r="O82" s="1"/>
      <c r="P82" s="1"/>
      <c r="Q82" s="1"/>
    </row>
    <row r="83" spans="1:17">
      <c r="A83" s="1"/>
      <c r="B83" s="1"/>
      <c r="C83" s="1"/>
      <c r="D83" s="6"/>
      <c r="E83" s="6"/>
      <c r="F83" s="4"/>
      <c r="G83" s="2"/>
      <c r="H83" s="2">
        <f t="shared" si="4"/>
        <v>7242.049999999992</v>
      </c>
      <c r="I83" s="2">
        <f t="shared" si="5"/>
        <v>8168.5099999999975</v>
      </c>
      <c r="J83" s="57"/>
      <c r="K83" s="4"/>
      <c r="L83" s="1"/>
      <c r="M83" s="1"/>
      <c r="N83" s="1"/>
      <c r="O83" s="1"/>
      <c r="P83" s="1"/>
      <c r="Q83" s="1"/>
    </row>
    <row r="84" spans="1:17">
      <c r="A84" s="1"/>
      <c r="B84" s="1"/>
      <c r="C84" s="1"/>
      <c r="D84" s="6"/>
      <c r="E84" s="6"/>
      <c r="F84" s="4"/>
      <c r="G84" s="2"/>
      <c r="H84" s="2">
        <f t="shared" si="4"/>
        <v>7242.049999999992</v>
      </c>
      <c r="I84" s="2">
        <f t="shared" si="5"/>
        <v>8168.5099999999975</v>
      </c>
      <c r="J84" s="57"/>
      <c r="K84" s="4"/>
      <c r="L84" s="1"/>
      <c r="M84" s="1"/>
      <c r="N84" s="1"/>
      <c r="O84" s="1"/>
      <c r="P84" s="1"/>
      <c r="Q84" s="1"/>
    </row>
    <row r="85" spans="1:17">
      <c r="A85" s="1"/>
      <c r="B85" s="1"/>
      <c r="C85" s="1"/>
      <c r="D85" s="3"/>
      <c r="E85" s="3"/>
      <c r="F85" s="4"/>
      <c r="G85" s="2"/>
      <c r="H85" s="2">
        <f t="shared" si="4"/>
        <v>7242.049999999992</v>
      </c>
      <c r="I85" s="2">
        <f t="shared" si="5"/>
        <v>8168.5099999999975</v>
      </c>
      <c r="J85" s="57"/>
      <c r="K85" s="4"/>
      <c r="L85" s="1"/>
      <c r="M85" s="1"/>
      <c r="N85" s="1"/>
      <c r="O85" s="1"/>
      <c r="P85" s="1"/>
      <c r="Q85" s="1"/>
    </row>
    <row r="86" spans="1:17">
      <c r="A86" s="1"/>
      <c r="B86" s="1"/>
      <c r="C86" s="1"/>
      <c r="D86" s="3"/>
      <c r="E86" s="3"/>
      <c r="F86" s="4"/>
      <c r="G86" s="2"/>
      <c r="H86" s="2">
        <f t="shared" si="4"/>
        <v>7242.049999999992</v>
      </c>
      <c r="I86" s="2">
        <f t="shared" si="5"/>
        <v>8168.5099999999975</v>
      </c>
      <c r="J86" s="57"/>
      <c r="K86" s="4"/>
      <c r="L86" s="1"/>
      <c r="M86" s="1"/>
      <c r="N86" s="1"/>
      <c r="O86" s="1"/>
      <c r="P86" s="1"/>
      <c r="Q86" s="1"/>
    </row>
    <row r="87" spans="1:17">
      <c r="A87" s="1"/>
      <c r="B87" s="1"/>
      <c r="C87" s="1"/>
      <c r="D87" s="3"/>
      <c r="E87" s="3"/>
      <c r="F87" s="4"/>
      <c r="G87" s="2"/>
      <c r="H87" s="2">
        <f t="shared" si="4"/>
        <v>7242.049999999992</v>
      </c>
      <c r="I87" s="2">
        <f t="shared" si="5"/>
        <v>8168.5099999999975</v>
      </c>
      <c r="J87" s="57"/>
      <c r="K87" s="4"/>
      <c r="L87" s="1"/>
      <c r="M87" s="1"/>
      <c r="N87" s="1"/>
      <c r="O87" s="1"/>
      <c r="P87" s="1"/>
      <c r="Q87" s="1"/>
    </row>
    <row r="88" spans="1:17">
      <c r="A88" s="1"/>
      <c r="B88" s="1"/>
      <c r="C88" s="17"/>
      <c r="D88" s="3"/>
      <c r="E88" s="3"/>
      <c r="F88" s="4"/>
      <c r="G88" s="55"/>
      <c r="H88" s="2">
        <f t="shared" si="4"/>
        <v>7242.049999999992</v>
      </c>
      <c r="I88" s="2">
        <f t="shared" si="5"/>
        <v>8168.5099999999975</v>
      </c>
      <c r="J88" s="57"/>
      <c r="K88" s="4"/>
      <c r="L88" s="1"/>
      <c r="M88" s="1"/>
      <c r="N88" s="1"/>
      <c r="O88" s="1"/>
      <c r="P88" s="1"/>
      <c r="Q88" s="1"/>
    </row>
    <row r="89" spans="1:17">
      <c r="A89" s="1"/>
      <c r="B89" s="1"/>
      <c r="C89" s="1"/>
      <c r="D89" s="3"/>
      <c r="E89" s="3"/>
      <c r="F89" s="4"/>
      <c r="G89" s="55"/>
      <c r="H89" s="2">
        <f t="shared" si="4"/>
        <v>7242.049999999992</v>
      </c>
      <c r="I89" s="2">
        <f t="shared" si="5"/>
        <v>8168.5099999999975</v>
      </c>
      <c r="J89" s="57"/>
      <c r="K89" s="4"/>
      <c r="L89" s="1"/>
      <c r="M89" s="1"/>
      <c r="N89" s="1"/>
      <c r="O89" s="1"/>
      <c r="P89" s="1"/>
      <c r="Q89" s="1"/>
    </row>
    <row r="90" spans="1:17" ht="20">
      <c r="A90" s="1"/>
      <c r="B90" s="1"/>
      <c r="C90" s="1"/>
      <c r="D90" s="1"/>
      <c r="E90" s="1"/>
      <c r="F90" s="18" t="s">
        <v>19</v>
      </c>
      <c r="G90" s="19">
        <f>SUM(G3:G87)</f>
        <v>15298.409999999989</v>
      </c>
      <c r="H90" s="2">
        <f>H87</f>
        <v>7242.049999999992</v>
      </c>
      <c r="I90" s="2">
        <f t="shared" si="5"/>
        <v>8168.5099999999975</v>
      </c>
      <c r="J90" s="58"/>
      <c r="K90" s="4"/>
      <c r="L90" s="1"/>
      <c r="M90" s="1"/>
      <c r="N90" s="1"/>
      <c r="O90" s="1"/>
      <c r="P90" s="1"/>
      <c r="Q90" s="1"/>
    </row>
    <row r="91" spans="1:17">
      <c r="A91" s="1"/>
      <c r="B91" s="1"/>
      <c r="C91" s="1"/>
      <c r="D91" s="1"/>
      <c r="E91" s="1"/>
      <c r="F91" s="1"/>
      <c r="G91" s="1"/>
      <c r="H91" s="1"/>
      <c r="I91" s="1"/>
      <c r="J91" s="53"/>
      <c r="K91" s="1"/>
      <c r="L91" s="1"/>
      <c r="M91" s="1"/>
      <c r="N91" s="1"/>
      <c r="O91" s="1"/>
      <c r="P91" s="1"/>
      <c r="Q91" s="1"/>
    </row>
  </sheetData>
  <mergeCells count="3">
    <mergeCell ref="A1:K1"/>
    <mergeCell ref="A24:C24"/>
    <mergeCell ref="A39:B39"/>
  </mergeCells>
  <conditionalFormatting sqref="G23:G27 G29 G31:G86">
    <cfRule type="expression" dxfId="48" priority="3">
      <formula>$F23="X"</formula>
    </cfRule>
  </conditionalFormatting>
  <conditionalFormatting sqref="G4">
    <cfRule type="expression" dxfId="47" priority="2">
      <formula>$F4="X"</formula>
    </cfRule>
  </conditionalFormatting>
  <conditionalFormatting sqref="G6">
    <cfRule type="expression" dxfId="46" priority="6">
      <formula>$F21="X"</formula>
    </cfRule>
  </conditionalFormatting>
  <conditionalFormatting sqref="G9:G11">
    <cfRule type="expression" dxfId="45" priority="8">
      <formula>$F9="X"</formula>
    </cfRule>
  </conditionalFormatting>
  <conditionalFormatting sqref="G7">
    <cfRule type="expression" dxfId="44" priority="10">
      <formula>$F28="X"</formula>
    </cfRule>
  </conditionalFormatting>
  <conditionalFormatting sqref="G12:G15">
    <cfRule type="expression" dxfId="43" priority="11">
      <formula>$F13="X"</formula>
    </cfRule>
  </conditionalFormatting>
  <conditionalFormatting sqref="G8">
    <cfRule type="expression" dxfId="42" priority="13">
      <formula>$F30="X"</formula>
    </cfRule>
  </conditionalFormatting>
  <conditionalFormatting sqref="G20">
    <cfRule type="expression" dxfId="41" priority="15">
      <formula>$F29="X"</formula>
    </cfRule>
  </conditionalFormatting>
  <conditionalFormatting sqref="G19">
    <cfRule type="expression" dxfId="40" priority="16">
      <formula>$F25="X"</formula>
    </cfRule>
  </conditionalFormatting>
  <conditionalFormatting sqref="G18">
    <cfRule type="expression" dxfId="39" priority="17">
      <formula>$F22="X"</formula>
    </cfRule>
  </conditionalFormatting>
  <conditionalFormatting sqref="G17">
    <cfRule type="expression" dxfId="38" priority="18">
      <formula>$F20="X"</formula>
    </cfRule>
  </conditionalFormatting>
  <conditionalFormatting sqref="G16 G5">
    <cfRule type="expression" dxfId="37" priority="19">
      <formula>$F7="X"</formula>
    </cfRule>
  </conditionalFormatting>
  <conditionalFormatting sqref="G21">
    <cfRule type="expression" dxfId="36" priority="1">
      <formula>$F30="X"</formula>
    </cfRule>
  </conditionalFormatting>
  <dataValidations count="2">
    <dataValidation type="list" allowBlank="1" showInputMessage="1" showErrorMessage="1" sqref="F3:F89">
      <formula1>"D,C"</formula1>
    </dataValidation>
    <dataValidation type="list" showInputMessage="1" showErrorMessage="1" sqref="J3:J89">
      <formula1>INDIRECT("tblrubrique")</formula1>
    </dataValidation>
  </dataValidations>
  <pageMargins left="0.75" right="0.75" top="1" bottom="1" header="0.5" footer="0.5"/>
  <ignoredErrors>
    <ignoredError sqref="H21 H23:H89" emptyCellReference="1"/>
  </ignoredErrors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4"/>
  <sheetViews>
    <sheetView tabSelected="1" topLeftCell="L4" workbookViewId="0">
      <selection activeCell="X4" sqref="V4:X4"/>
    </sheetView>
  </sheetViews>
  <sheetFormatPr baseColWidth="10" defaultRowHeight="15" x14ac:dyDescent="0"/>
  <cols>
    <col min="1" max="1" width="25.83203125" bestFit="1" customWidth="1"/>
    <col min="2" max="2" width="22.83203125" bestFit="1" customWidth="1"/>
    <col min="3" max="3" width="15.1640625" bestFit="1" customWidth="1"/>
    <col min="4" max="4" width="16" bestFit="1" customWidth="1"/>
    <col min="5" max="5" width="18.5" bestFit="1" customWidth="1"/>
    <col min="6" max="6" width="15.1640625" bestFit="1" customWidth="1"/>
    <col min="7" max="7" width="18.33203125" bestFit="1" customWidth="1"/>
    <col min="8" max="8" width="17" bestFit="1" customWidth="1"/>
    <col min="9" max="9" width="19.1640625" bestFit="1" customWidth="1"/>
    <col min="10" max="10" width="15.33203125" bestFit="1" customWidth="1"/>
    <col min="11" max="11" width="16" bestFit="1" customWidth="1"/>
    <col min="12" max="12" width="19.5" bestFit="1" customWidth="1"/>
    <col min="13" max="13" width="16.1640625" bestFit="1" customWidth="1"/>
    <col min="14" max="14" width="19.33203125" bestFit="1" customWidth="1"/>
    <col min="15" max="15" width="18" bestFit="1" customWidth="1"/>
    <col min="16" max="16" width="20.1640625" bestFit="1" customWidth="1"/>
    <col min="17" max="17" width="16.1640625" bestFit="1" customWidth="1"/>
    <col min="18" max="18" width="17" bestFit="1" customWidth="1"/>
    <col min="19" max="19" width="19.5" bestFit="1" customWidth="1"/>
    <col min="20" max="20" width="16.1640625" bestFit="1" customWidth="1"/>
    <col min="21" max="21" width="19.33203125" bestFit="1" customWidth="1"/>
    <col min="22" max="22" width="18" bestFit="1" customWidth="1"/>
    <col min="23" max="23" width="20.1640625" bestFit="1" customWidth="1"/>
    <col min="24" max="24" width="16.1640625" bestFit="1" customWidth="1"/>
    <col min="25" max="25" width="17" bestFit="1" customWidth="1"/>
    <col min="26" max="26" width="19.5" bestFit="1" customWidth="1"/>
    <col min="27" max="27" width="16.1640625" bestFit="1" customWidth="1"/>
    <col min="28" max="28" width="19.33203125" bestFit="1" customWidth="1"/>
    <col min="29" max="29" width="18" bestFit="1" customWidth="1"/>
    <col min="30" max="30" width="20.1640625" bestFit="1" customWidth="1"/>
    <col min="31" max="31" width="16.1640625" bestFit="1" customWidth="1"/>
    <col min="32" max="32" width="17" bestFit="1" customWidth="1"/>
    <col min="33" max="33" width="19.5" bestFit="1" customWidth="1"/>
    <col min="34" max="34" width="13.33203125" bestFit="1" customWidth="1"/>
    <col min="35" max="35" width="12.83203125" customWidth="1"/>
    <col min="36" max="36" width="13.33203125" bestFit="1" customWidth="1"/>
    <col min="37" max="37" width="12.83203125" customWidth="1"/>
    <col min="38" max="38" width="13.33203125" bestFit="1" customWidth="1"/>
    <col min="39" max="39" width="12.83203125" customWidth="1"/>
    <col min="40" max="40" width="13.33203125" bestFit="1" customWidth="1"/>
    <col min="41" max="41" width="12.83203125" customWidth="1"/>
    <col min="42" max="42" width="11.1640625" bestFit="1" customWidth="1"/>
    <col min="43" max="43" width="12.83203125" customWidth="1"/>
    <col min="44" max="44" width="11.1640625" bestFit="1" customWidth="1"/>
    <col min="45" max="45" width="12.83203125" customWidth="1"/>
    <col min="46" max="46" width="11.1640625" bestFit="1" customWidth="1"/>
    <col min="47" max="47" width="12.83203125" customWidth="1"/>
    <col min="48" max="48" width="9.83203125" bestFit="1" customWidth="1"/>
    <col min="49" max="49" width="12.83203125" customWidth="1"/>
    <col min="50" max="50" width="12.83203125" bestFit="1" customWidth="1"/>
    <col min="51" max="51" width="12.83203125" customWidth="1"/>
    <col min="52" max="52" width="13.33203125" bestFit="1" customWidth="1"/>
    <col min="53" max="53" width="12.83203125" customWidth="1"/>
    <col min="54" max="54" width="7.5" bestFit="1" customWidth="1"/>
    <col min="55" max="55" width="12.83203125" bestFit="1" customWidth="1"/>
    <col min="56" max="56" width="7.5" bestFit="1" customWidth="1"/>
    <col min="57" max="57" width="12.83203125" bestFit="1" customWidth="1"/>
    <col min="58" max="58" width="7.5" bestFit="1" customWidth="1"/>
    <col min="59" max="59" width="12.83203125" bestFit="1" customWidth="1"/>
    <col min="60" max="60" width="7.5" bestFit="1" customWidth="1"/>
    <col min="61" max="61" width="12.83203125" bestFit="1" customWidth="1"/>
    <col min="62" max="62" width="7.5" bestFit="1" customWidth="1"/>
    <col min="63" max="63" width="12.83203125" bestFit="1" customWidth="1"/>
    <col min="64" max="64" width="7.5" customWidth="1"/>
    <col min="65" max="65" width="12.83203125" bestFit="1" customWidth="1"/>
    <col min="66" max="66" width="7.5" customWidth="1"/>
    <col min="67" max="67" width="12.83203125" bestFit="1" customWidth="1"/>
    <col min="68" max="68" width="7.5" customWidth="1"/>
    <col min="69" max="69" width="12.83203125" bestFit="1" customWidth="1"/>
    <col min="70" max="70" width="13.5" customWidth="1"/>
    <col min="343" max="343" width="10.5" customWidth="1"/>
  </cols>
  <sheetData>
    <row r="1" spans="1:342 14982:16384">
      <c r="A1" s="46" t="s">
        <v>88</v>
      </c>
      <c r="B1" s="46" t="s">
        <v>89</v>
      </c>
      <c r="C1" s="46" t="s">
        <v>90</v>
      </c>
      <c r="D1" s="46" t="s">
        <v>91</v>
      </c>
      <c r="E1" s="46" t="s">
        <v>92</v>
      </c>
      <c r="F1" s="46" t="s">
        <v>93</v>
      </c>
      <c r="G1" s="46" t="s">
        <v>94</v>
      </c>
      <c r="H1" s="46" t="s">
        <v>95</v>
      </c>
      <c r="I1" s="46" t="s">
        <v>96</v>
      </c>
      <c r="J1" s="46" t="s">
        <v>97</v>
      </c>
      <c r="K1" s="46" t="s">
        <v>98</v>
      </c>
      <c r="L1" s="46" t="s">
        <v>99</v>
      </c>
      <c r="M1" s="46" t="s">
        <v>100</v>
      </c>
      <c r="N1" s="46" t="s">
        <v>101</v>
      </c>
      <c r="O1" s="46" t="s">
        <v>102</v>
      </c>
      <c r="P1" s="46" t="s">
        <v>103</v>
      </c>
      <c r="Q1" s="46" t="s">
        <v>104</v>
      </c>
      <c r="R1" s="46" t="s">
        <v>105</v>
      </c>
      <c r="S1" s="46" t="s">
        <v>106</v>
      </c>
      <c r="T1" s="46" t="s">
        <v>107</v>
      </c>
      <c r="U1" s="46" t="s">
        <v>108</v>
      </c>
      <c r="V1" s="46" t="s">
        <v>109</v>
      </c>
      <c r="W1" s="46" t="s">
        <v>110</v>
      </c>
      <c r="X1" s="46" t="s">
        <v>111</v>
      </c>
      <c r="Y1" s="46" t="s">
        <v>112</v>
      </c>
      <c r="Z1" s="46" t="s">
        <v>113</v>
      </c>
      <c r="AA1" s="46" t="s">
        <v>114</v>
      </c>
      <c r="AB1" s="46" t="s">
        <v>115</v>
      </c>
      <c r="AC1" s="46" t="s">
        <v>116</v>
      </c>
      <c r="AD1" s="46" t="s">
        <v>117</v>
      </c>
      <c r="AE1" s="46" t="s">
        <v>118</v>
      </c>
      <c r="AF1" s="46" t="s">
        <v>119</v>
      </c>
      <c r="AG1" s="46" t="s">
        <v>120</v>
      </c>
    </row>
    <row r="2" spans="1:342 14982:16384">
      <c r="B2" s="46" t="s">
        <v>145</v>
      </c>
      <c r="C2" s="46" t="s">
        <v>146</v>
      </c>
      <c r="D2" s="46" t="s">
        <v>147</v>
      </c>
      <c r="E2" s="46" t="s">
        <v>148</v>
      </c>
      <c r="F2" s="46" t="s">
        <v>149</v>
      </c>
      <c r="G2" s="46" t="s">
        <v>150</v>
      </c>
      <c r="H2" s="46" t="s">
        <v>144</v>
      </c>
      <c r="I2" s="46" t="s">
        <v>145</v>
      </c>
      <c r="J2" s="46" t="s">
        <v>146</v>
      </c>
      <c r="K2" s="46" t="s">
        <v>147</v>
      </c>
      <c r="L2" s="46" t="s">
        <v>148</v>
      </c>
      <c r="M2" s="46" t="s">
        <v>149</v>
      </c>
      <c r="N2" s="46" t="s">
        <v>150</v>
      </c>
      <c r="O2" s="46" t="s">
        <v>144</v>
      </c>
      <c r="P2" s="46" t="s">
        <v>145</v>
      </c>
      <c r="Q2" s="46" t="s">
        <v>146</v>
      </c>
      <c r="R2" s="46" t="s">
        <v>147</v>
      </c>
      <c r="S2" s="46" t="s">
        <v>148</v>
      </c>
      <c r="T2" s="46" t="s">
        <v>149</v>
      </c>
      <c r="U2" s="46" t="s">
        <v>150</v>
      </c>
      <c r="V2" s="46" t="s">
        <v>144</v>
      </c>
      <c r="W2" s="46" t="s">
        <v>145</v>
      </c>
      <c r="X2" s="46" t="s">
        <v>146</v>
      </c>
      <c r="Y2" s="46" t="s">
        <v>147</v>
      </c>
      <c r="Z2" s="46" t="s">
        <v>148</v>
      </c>
      <c r="AA2" s="46" t="s">
        <v>149</v>
      </c>
      <c r="AB2" s="46" t="s">
        <v>150</v>
      </c>
      <c r="AC2" s="46" t="s">
        <v>144</v>
      </c>
      <c r="AD2" s="46" t="s">
        <v>145</v>
      </c>
      <c r="AE2" s="46" t="s">
        <v>146</v>
      </c>
      <c r="AF2" s="46" t="s">
        <v>147</v>
      </c>
      <c r="AG2" s="46" t="s">
        <v>148</v>
      </c>
    </row>
    <row r="3" spans="1:342 14982:16384" s="78" customFormat="1">
      <c r="A3" s="81" t="s">
        <v>21</v>
      </c>
      <c r="B3" s="76">
        <f>[1]Decembre17!AI2</f>
        <v>7995.91</v>
      </c>
      <c r="C3" s="80">
        <f>SUMIF(C26,G32,G43)</f>
        <v>7995.91</v>
      </c>
      <c r="D3" s="80">
        <f>SUMIF(D26,H32,H43)</f>
        <v>7995.91</v>
      </c>
      <c r="E3" s="80">
        <f t="shared" ref="E3:H3" si="0">SUMIF(E26,I32,I43)</f>
        <v>8026.16</v>
      </c>
      <c r="F3" s="80">
        <f t="shared" si="0"/>
        <v>8100.01</v>
      </c>
      <c r="G3" s="80">
        <f t="shared" si="0"/>
        <v>8111.3600000000006</v>
      </c>
      <c r="H3" s="80">
        <f t="shared" si="0"/>
        <v>8118.91</v>
      </c>
      <c r="I3" s="80">
        <f t="shared" ref="I3" si="1">SUMIF(I26,M32,M43)</f>
        <v>8118.91</v>
      </c>
      <c r="J3" s="80">
        <f t="shared" ref="J3" si="2">SUMIF(J26,N32,N43)</f>
        <v>8118.91</v>
      </c>
      <c r="K3" s="80">
        <f t="shared" ref="K3:L3" si="3">SUMIF(K26,O32,O43)</f>
        <v>8117.46</v>
      </c>
      <c r="L3" s="80">
        <f t="shared" si="3"/>
        <v>8171.51</v>
      </c>
      <c r="M3" s="80">
        <f t="shared" ref="M3" si="4">SUMIF(M26,Q32,Q43)</f>
        <v>8152.5599999999995</v>
      </c>
      <c r="N3" s="80">
        <f t="shared" ref="N3" si="5">SUMIF(N26,R32,R43)</f>
        <v>8238.4599999999991</v>
      </c>
      <c r="O3" s="80">
        <f t="shared" ref="O3:P3" si="6">SUMIF(O26,S32,S43)</f>
        <v>8232.06</v>
      </c>
      <c r="P3" s="80">
        <f t="shared" si="6"/>
        <v>8232.06</v>
      </c>
      <c r="Q3" s="80">
        <f t="shared" ref="Q3" si="7">SUMIF(Q26,U32,U43)</f>
        <v>8232.06</v>
      </c>
      <c r="R3" s="80">
        <f t="shared" ref="R3" si="8">SUMIF(R26,V32,V43)</f>
        <v>8321.4599999999991</v>
      </c>
      <c r="S3" s="80">
        <f t="shared" ref="S3:T3" si="9">SUMIF(S26,W32,W43)</f>
        <v>8286.61</v>
      </c>
      <c r="T3" s="80">
        <f t="shared" si="9"/>
        <v>8300.01</v>
      </c>
      <c r="U3" s="80">
        <f t="shared" ref="U3" si="10">SUMIF(U26,Y32,Y43)</f>
        <v>8270.36</v>
      </c>
      <c r="V3" s="80">
        <f t="shared" ref="V3" si="11">SUMIF(V26,Z32,Z43)</f>
        <v>8251.9599999999991</v>
      </c>
      <c r="W3" s="80">
        <f t="shared" ref="W3:X3" si="12">SUMIF(W26,AA32,AA43)</f>
        <v>8251.9599999999991</v>
      </c>
      <c r="X3" s="80">
        <f t="shared" si="12"/>
        <v>8251.9599999999991</v>
      </c>
      <c r="Y3" s="80">
        <f t="shared" ref="Y3" si="13">SUMIF(Y26,AC32,AC43)</f>
        <v>8228.16</v>
      </c>
      <c r="Z3" s="80">
        <f t="shared" ref="Z3" si="14">SUMIF(Z26,AD32,AD43)</f>
        <v>0</v>
      </c>
      <c r="AA3" s="80">
        <f t="shared" ref="AA3:AB3" si="15">SUMIF(AA26,AE32,AE43)</f>
        <v>0</v>
      </c>
      <c r="AB3" s="80">
        <f t="shared" si="15"/>
        <v>0</v>
      </c>
      <c r="AC3" s="80">
        <f t="shared" ref="AC3" si="16">SUMIF(AC26,AG32,AG43)</f>
        <v>0</v>
      </c>
      <c r="AD3" s="80">
        <f t="shared" ref="AD3" si="17">SUMIF(AD26,AH32,AH43)</f>
        <v>0</v>
      </c>
      <c r="AE3" s="80">
        <f t="shared" ref="AE3:AF3" si="18">SUMIF(AE26,AI32,AI43)</f>
        <v>0</v>
      </c>
      <c r="AF3" s="80">
        <f t="shared" si="18"/>
        <v>0</v>
      </c>
      <c r="AG3" s="80">
        <f t="shared" ref="AG3" si="19">SUMIF(AG26,AK32,AK43)</f>
        <v>0</v>
      </c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VDF3"/>
      <c r="VDG3"/>
      <c r="VDH3"/>
      <c r="VDI3"/>
      <c r="VDJ3"/>
      <c r="VDK3"/>
      <c r="VDL3"/>
      <c r="VDM3"/>
      <c r="VDN3"/>
      <c r="VDO3"/>
      <c r="VDP3"/>
      <c r="VDQ3"/>
      <c r="VDR3"/>
      <c r="VDS3"/>
      <c r="VDT3"/>
      <c r="VDU3"/>
      <c r="VDV3"/>
      <c r="VDW3"/>
      <c r="VDX3"/>
      <c r="VDY3"/>
      <c r="VDZ3"/>
      <c r="VEA3"/>
      <c r="VEB3"/>
      <c r="VEC3"/>
      <c r="VED3"/>
      <c r="VEE3"/>
      <c r="VEF3"/>
      <c r="VEG3"/>
      <c r="VEH3"/>
      <c r="VEI3"/>
      <c r="VEJ3"/>
      <c r="VEK3"/>
      <c r="VEL3"/>
      <c r="VEM3"/>
      <c r="VEN3"/>
      <c r="VEO3"/>
      <c r="VEP3"/>
      <c r="VEQ3"/>
      <c r="VER3"/>
      <c r="VES3"/>
      <c r="VET3"/>
      <c r="VEU3"/>
      <c r="VEV3"/>
      <c r="VEW3"/>
      <c r="VEX3"/>
      <c r="VEY3"/>
      <c r="VEZ3"/>
      <c r="VFA3"/>
      <c r="VFB3"/>
      <c r="VFC3"/>
      <c r="VFD3"/>
      <c r="VFE3"/>
      <c r="VFF3"/>
      <c r="VFG3"/>
      <c r="VFH3"/>
      <c r="VFI3"/>
      <c r="VFJ3"/>
      <c r="VFK3"/>
      <c r="VFL3"/>
      <c r="VFM3"/>
      <c r="VFN3"/>
      <c r="VFO3"/>
      <c r="VFP3"/>
      <c r="VFQ3"/>
      <c r="VFR3"/>
      <c r="VFS3"/>
      <c r="VFT3"/>
      <c r="VFU3"/>
      <c r="VFV3"/>
      <c r="VFW3"/>
      <c r="VFX3"/>
      <c r="VFY3"/>
      <c r="VFZ3"/>
      <c r="VGA3"/>
      <c r="VGB3"/>
      <c r="VGC3"/>
      <c r="VGD3"/>
      <c r="VGE3"/>
      <c r="VGF3"/>
      <c r="VGG3"/>
      <c r="VGH3"/>
      <c r="VGI3"/>
      <c r="VGJ3"/>
      <c r="VGK3"/>
      <c r="VGL3"/>
      <c r="VGM3"/>
      <c r="VGN3"/>
      <c r="VGO3"/>
      <c r="VGP3"/>
      <c r="VGQ3"/>
      <c r="VGR3"/>
      <c r="VGS3"/>
      <c r="VGT3"/>
      <c r="VGU3"/>
      <c r="VGV3"/>
      <c r="VGW3"/>
      <c r="VGX3"/>
      <c r="VGY3"/>
      <c r="VGZ3"/>
      <c r="VHA3"/>
      <c r="VHB3"/>
      <c r="VHC3"/>
      <c r="VHD3"/>
      <c r="VHE3"/>
      <c r="VHF3"/>
      <c r="VHG3"/>
      <c r="VHH3"/>
      <c r="VHI3"/>
      <c r="VHJ3"/>
      <c r="VHK3"/>
      <c r="VHL3"/>
      <c r="VHM3"/>
      <c r="VHN3"/>
      <c r="VHO3"/>
      <c r="VHP3"/>
      <c r="VHQ3"/>
      <c r="VHR3"/>
      <c r="VHS3"/>
      <c r="VHT3"/>
      <c r="VHU3"/>
      <c r="VHV3"/>
      <c r="VHW3"/>
      <c r="VHX3"/>
      <c r="VHY3"/>
      <c r="VHZ3"/>
      <c r="VIA3"/>
      <c r="VIB3"/>
      <c r="VIC3"/>
      <c r="VID3"/>
      <c r="VIE3"/>
      <c r="VIF3"/>
      <c r="VIG3"/>
      <c r="VIH3"/>
      <c r="VII3"/>
      <c r="VIJ3"/>
      <c r="VIK3"/>
      <c r="VIL3"/>
      <c r="VIM3"/>
      <c r="VIN3"/>
      <c r="VIO3"/>
      <c r="VIP3"/>
      <c r="VIQ3"/>
      <c r="VIR3"/>
      <c r="VIS3"/>
      <c r="VIT3"/>
      <c r="VIU3"/>
      <c r="VIV3"/>
      <c r="VIW3"/>
      <c r="VIX3"/>
      <c r="VIY3"/>
      <c r="VIZ3"/>
      <c r="VJA3"/>
      <c r="VJB3"/>
      <c r="VJC3"/>
      <c r="VJD3"/>
      <c r="VJE3"/>
      <c r="VJF3"/>
      <c r="VJG3"/>
      <c r="VJH3"/>
      <c r="VJI3"/>
      <c r="VJJ3"/>
      <c r="VJK3"/>
      <c r="VJL3"/>
      <c r="VJM3"/>
      <c r="VJN3"/>
      <c r="VJO3"/>
      <c r="VJP3"/>
      <c r="VJQ3"/>
      <c r="VJR3"/>
      <c r="VJS3"/>
      <c r="VJT3"/>
      <c r="VJU3"/>
      <c r="VJV3"/>
      <c r="VJW3"/>
      <c r="VJX3"/>
      <c r="VJY3"/>
      <c r="VJZ3"/>
      <c r="VKA3"/>
      <c r="VKB3"/>
      <c r="VKC3"/>
      <c r="VKD3"/>
      <c r="VKE3"/>
      <c r="VKF3"/>
      <c r="VKG3"/>
      <c r="VKH3"/>
      <c r="VKI3"/>
      <c r="VKJ3"/>
      <c r="VKK3"/>
      <c r="VKL3"/>
      <c r="VKM3"/>
      <c r="VKN3"/>
      <c r="VKO3"/>
      <c r="VKP3"/>
      <c r="VKQ3"/>
      <c r="VKR3"/>
      <c r="VKS3"/>
      <c r="VKT3"/>
      <c r="VKU3"/>
      <c r="VKV3"/>
      <c r="VKW3"/>
      <c r="VKX3"/>
      <c r="VKY3"/>
      <c r="VKZ3"/>
      <c r="VLA3"/>
      <c r="VLB3"/>
      <c r="VLC3"/>
      <c r="VLD3"/>
      <c r="VLE3"/>
      <c r="VLF3"/>
      <c r="VLG3"/>
      <c r="VLH3"/>
      <c r="VLI3"/>
      <c r="VLJ3"/>
      <c r="VLK3"/>
      <c r="VLL3"/>
      <c r="VLM3"/>
      <c r="VLN3"/>
      <c r="VLO3"/>
      <c r="VLP3"/>
      <c r="VLQ3"/>
      <c r="VLR3"/>
      <c r="VLS3"/>
      <c r="VLT3"/>
      <c r="VLU3"/>
      <c r="VLV3"/>
      <c r="VLW3"/>
      <c r="VLX3"/>
      <c r="VLY3"/>
      <c r="VLZ3"/>
      <c r="VMA3"/>
      <c r="VMB3"/>
      <c r="VMC3"/>
      <c r="VMD3"/>
      <c r="VME3"/>
      <c r="VMF3"/>
      <c r="VMG3"/>
      <c r="VMH3"/>
      <c r="VMI3"/>
      <c r="VMJ3"/>
      <c r="VMK3"/>
      <c r="VML3"/>
      <c r="VMM3"/>
      <c r="VMN3"/>
      <c r="VMO3"/>
      <c r="VMP3"/>
      <c r="VMQ3"/>
      <c r="VMR3"/>
      <c r="VMS3"/>
      <c r="VMT3"/>
      <c r="VMU3"/>
      <c r="VMV3"/>
      <c r="VMW3"/>
      <c r="VMX3"/>
      <c r="VMY3"/>
      <c r="VMZ3"/>
      <c r="VNA3"/>
      <c r="VNB3"/>
      <c r="VNC3"/>
      <c r="VND3"/>
      <c r="VNE3"/>
      <c r="VNF3"/>
      <c r="VNG3"/>
      <c r="VNH3"/>
      <c r="VNI3"/>
      <c r="VNJ3"/>
      <c r="VNK3"/>
      <c r="VNL3"/>
      <c r="VNM3"/>
      <c r="VNN3"/>
      <c r="VNO3"/>
      <c r="VNP3"/>
      <c r="VNQ3"/>
      <c r="VNR3"/>
      <c r="VNS3"/>
      <c r="VNT3"/>
      <c r="VNU3"/>
      <c r="VNV3"/>
      <c r="VNW3"/>
      <c r="VNX3"/>
      <c r="VNY3"/>
      <c r="VNZ3"/>
      <c r="VOA3"/>
      <c r="VOB3"/>
      <c r="VOC3"/>
      <c r="VOD3"/>
      <c r="VOE3"/>
      <c r="VOF3"/>
      <c r="VOG3"/>
      <c r="VOH3"/>
      <c r="VOI3"/>
      <c r="VOJ3"/>
      <c r="VOK3"/>
      <c r="VOL3"/>
      <c r="VOM3"/>
      <c r="VON3"/>
      <c r="VOO3"/>
      <c r="VOP3"/>
      <c r="VOQ3"/>
      <c r="VOR3"/>
      <c r="VOS3"/>
      <c r="VOT3"/>
      <c r="VOU3"/>
      <c r="VOV3"/>
      <c r="VOW3"/>
      <c r="VOX3"/>
      <c r="VOY3"/>
      <c r="VOZ3"/>
      <c r="VPA3"/>
      <c r="VPB3"/>
      <c r="VPC3"/>
      <c r="VPD3"/>
      <c r="VPE3"/>
      <c r="VPF3"/>
      <c r="VPG3"/>
      <c r="VPH3"/>
      <c r="VPI3"/>
      <c r="VPJ3"/>
      <c r="VPK3"/>
      <c r="VPL3"/>
      <c r="VPM3"/>
      <c r="VPN3"/>
      <c r="VPO3"/>
      <c r="VPP3"/>
      <c r="VPQ3"/>
      <c r="VPR3"/>
      <c r="VPS3"/>
      <c r="VPT3"/>
      <c r="VPU3"/>
      <c r="VPV3"/>
      <c r="VPW3"/>
      <c r="VPX3"/>
      <c r="VPY3"/>
      <c r="VPZ3"/>
      <c r="VQA3"/>
      <c r="VQB3"/>
      <c r="VQC3"/>
      <c r="VQD3"/>
      <c r="VQE3"/>
      <c r="VQF3"/>
      <c r="VQG3"/>
      <c r="VQH3"/>
      <c r="VQI3"/>
      <c r="VQJ3"/>
      <c r="VQK3"/>
      <c r="VQL3"/>
      <c r="VQM3"/>
      <c r="VQN3"/>
      <c r="VQO3"/>
      <c r="VQP3"/>
      <c r="VQQ3"/>
      <c r="VQR3"/>
      <c r="VQS3"/>
      <c r="VQT3"/>
      <c r="VQU3"/>
      <c r="VQV3"/>
      <c r="VQW3"/>
      <c r="VQX3"/>
      <c r="VQY3"/>
      <c r="VQZ3"/>
      <c r="VRA3"/>
      <c r="VRB3"/>
      <c r="VRC3"/>
      <c r="VRD3"/>
      <c r="VRE3"/>
      <c r="VRF3"/>
      <c r="VRG3"/>
      <c r="VRH3"/>
      <c r="VRI3"/>
      <c r="VRJ3"/>
      <c r="VRK3"/>
      <c r="VRL3"/>
      <c r="VRM3"/>
      <c r="VRN3"/>
      <c r="VRO3"/>
      <c r="VRP3"/>
      <c r="VRQ3"/>
      <c r="VRR3"/>
      <c r="VRS3"/>
      <c r="VRT3"/>
      <c r="VRU3"/>
      <c r="VRV3"/>
      <c r="VRW3"/>
      <c r="VRX3"/>
      <c r="VRY3"/>
      <c r="VRZ3"/>
      <c r="VSA3"/>
      <c r="VSB3"/>
      <c r="VSC3"/>
      <c r="VSD3"/>
      <c r="VSE3"/>
      <c r="VSF3"/>
      <c r="VSG3"/>
      <c r="VSH3"/>
      <c r="VSI3"/>
      <c r="VSJ3"/>
      <c r="VSK3"/>
      <c r="VSL3"/>
      <c r="VSM3"/>
      <c r="VSN3"/>
      <c r="VSO3"/>
      <c r="VSP3"/>
      <c r="VSQ3"/>
      <c r="VSR3"/>
      <c r="VSS3"/>
      <c r="VST3"/>
      <c r="VSU3"/>
      <c r="VSV3"/>
      <c r="VSW3"/>
      <c r="VSX3"/>
      <c r="VSY3"/>
      <c r="VSZ3"/>
      <c r="VTA3"/>
      <c r="VTB3"/>
      <c r="VTC3"/>
      <c r="VTD3"/>
      <c r="VTE3"/>
      <c r="VTF3"/>
      <c r="VTG3"/>
      <c r="VTH3"/>
      <c r="VTI3"/>
      <c r="VTJ3"/>
      <c r="VTK3"/>
      <c r="VTL3"/>
      <c r="VTM3"/>
      <c r="VTN3"/>
      <c r="VTO3"/>
      <c r="VTP3"/>
      <c r="VTQ3"/>
      <c r="VTR3"/>
      <c r="VTS3"/>
      <c r="VTT3"/>
      <c r="VTU3"/>
      <c r="VTV3"/>
      <c r="VTW3"/>
      <c r="VTX3"/>
      <c r="VTY3"/>
      <c r="VTZ3"/>
      <c r="VUA3"/>
      <c r="VUB3"/>
      <c r="VUC3"/>
      <c r="VUD3"/>
      <c r="VUE3"/>
      <c r="VUF3"/>
      <c r="VUG3"/>
      <c r="VUH3"/>
      <c r="VUI3"/>
      <c r="VUJ3"/>
      <c r="VUK3"/>
      <c r="VUL3"/>
      <c r="VUM3"/>
      <c r="VUN3"/>
      <c r="VUO3"/>
      <c r="VUP3"/>
      <c r="VUQ3"/>
      <c r="VUR3"/>
      <c r="VUS3"/>
      <c r="VUT3"/>
      <c r="VUU3"/>
      <c r="VUV3"/>
      <c r="VUW3"/>
      <c r="VUX3"/>
      <c r="VUY3"/>
      <c r="VUZ3"/>
      <c r="VVA3"/>
      <c r="VVB3"/>
      <c r="VVC3"/>
      <c r="VVD3"/>
      <c r="VVE3"/>
      <c r="VVF3"/>
      <c r="VVG3"/>
      <c r="VVH3"/>
      <c r="VVI3"/>
      <c r="VVJ3"/>
      <c r="VVK3"/>
      <c r="VVL3"/>
      <c r="VVM3"/>
      <c r="VVN3"/>
      <c r="VVO3"/>
      <c r="VVP3"/>
      <c r="VVQ3"/>
      <c r="VVR3"/>
      <c r="VVS3"/>
      <c r="VVT3"/>
      <c r="VVU3"/>
      <c r="VVV3"/>
      <c r="VVW3"/>
      <c r="VVX3"/>
      <c r="VVY3"/>
      <c r="VVZ3"/>
      <c r="VWA3"/>
      <c r="VWB3"/>
      <c r="VWC3"/>
      <c r="VWD3"/>
      <c r="VWE3"/>
      <c r="VWF3"/>
      <c r="VWG3"/>
      <c r="VWH3"/>
      <c r="VWI3"/>
      <c r="VWJ3"/>
      <c r="VWK3"/>
      <c r="VWL3"/>
      <c r="VWM3"/>
      <c r="VWN3"/>
      <c r="VWO3"/>
      <c r="VWP3"/>
      <c r="VWQ3"/>
      <c r="VWR3"/>
      <c r="VWS3"/>
      <c r="VWT3"/>
      <c r="VWU3"/>
      <c r="VWV3"/>
      <c r="VWW3"/>
      <c r="VWX3"/>
      <c r="VWY3"/>
      <c r="VWZ3"/>
      <c r="VXA3"/>
      <c r="VXB3"/>
      <c r="VXC3"/>
      <c r="VXD3"/>
      <c r="VXE3"/>
      <c r="VXF3"/>
      <c r="VXG3"/>
      <c r="VXH3"/>
      <c r="VXI3"/>
      <c r="VXJ3"/>
      <c r="VXK3"/>
      <c r="VXL3"/>
      <c r="VXM3"/>
      <c r="VXN3"/>
      <c r="VXO3"/>
      <c r="VXP3"/>
      <c r="VXQ3"/>
      <c r="VXR3"/>
      <c r="VXS3"/>
      <c r="VXT3"/>
      <c r="VXU3"/>
      <c r="VXV3"/>
      <c r="VXW3"/>
      <c r="VXX3"/>
      <c r="VXY3"/>
      <c r="VXZ3"/>
      <c r="VYA3"/>
      <c r="VYB3"/>
      <c r="VYC3"/>
      <c r="VYD3"/>
      <c r="VYE3"/>
      <c r="VYF3"/>
      <c r="VYG3"/>
      <c r="VYH3"/>
      <c r="VYI3"/>
      <c r="VYJ3"/>
      <c r="VYK3"/>
      <c r="VYL3"/>
      <c r="VYM3"/>
      <c r="VYN3"/>
      <c r="VYO3"/>
      <c r="VYP3"/>
      <c r="VYQ3"/>
      <c r="VYR3"/>
      <c r="VYS3"/>
      <c r="VYT3"/>
      <c r="VYU3"/>
      <c r="VYV3"/>
      <c r="VYW3"/>
      <c r="VYX3"/>
      <c r="VYY3"/>
      <c r="VYZ3"/>
      <c r="VZA3"/>
      <c r="VZB3"/>
      <c r="VZC3"/>
      <c r="VZD3"/>
      <c r="VZE3"/>
      <c r="VZF3"/>
      <c r="VZG3"/>
      <c r="VZH3"/>
      <c r="VZI3"/>
      <c r="VZJ3"/>
      <c r="VZK3"/>
      <c r="VZL3"/>
      <c r="VZM3"/>
      <c r="VZN3"/>
      <c r="VZO3"/>
      <c r="VZP3"/>
      <c r="VZQ3"/>
      <c r="VZR3"/>
      <c r="VZS3"/>
      <c r="VZT3"/>
      <c r="VZU3"/>
      <c r="VZV3"/>
      <c r="VZW3"/>
      <c r="VZX3"/>
      <c r="VZY3"/>
      <c r="VZZ3"/>
      <c r="WAA3"/>
      <c r="WAB3"/>
      <c r="WAC3"/>
      <c r="WAD3"/>
      <c r="WAE3"/>
      <c r="WAF3"/>
      <c r="WAG3"/>
      <c r="WAH3"/>
      <c r="WAI3"/>
      <c r="WAJ3"/>
      <c r="WAK3"/>
      <c r="WAL3"/>
      <c r="WAM3"/>
      <c r="WAN3"/>
      <c r="WAO3"/>
      <c r="WAP3"/>
      <c r="WAQ3"/>
      <c r="WAR3"/>
      <c r="WAS3"/>
      <c r="WAT3"/>
      <c r="WAU3"/>
      <c r="WAV3"/>
      <c r="WAW3"/>
      <c r="WAX3"/>
      <c r="WAY3"/>
      <c r="WAZ3"/>
      <c r="WBA3"/>
      <c r="WBB3"/>
      <c r="WBC3"/>
      <c r="WBD3"/>
      <c r="WBE3"/>
      <c r="WBF3"/>
      <c r="WBG3"/>
      <c r="WBH3"/>
      <c r="WBI3"/>
      <c r="WBJ3"/>
      <c r="WBK3"/>
      <c r="WBL3"/>
      <c r="WBM3"/>
      <c r="WBN3"/>
      <c r="WBO3"/>
      <c r="WBP3"/>
      <c r="WBQ3"/>
      <c r="WBR3"/>
      <c r="WBS3"/>
      <c r="WBT3"/>
      <c r="WBU3"/>
      <c r="WBV3"/>
      <c r="WBW3"/>
      <c r="WBX3"/>
      <c r="WBY3"/>
      <c r="WBZ3"/>
      <c r="WCA3"/>
      <c r="WCB3"/>
      <c r="WCC3"/>
      <c r="WCD3"/>
      <c r="WCE3"/>
      <c r="WCF3"/>
      <c r="WCG3"/>
      <c r="WCH3"/>
      <c r="WCI3"/>
      <c r="WCJ3"/>
      <c r="WCK3"/>
      <c r="WCL3"/>
      <c r="WCM3"/>
      <c r="WCN3"/>
      <c r="WCO3"/>
      <c r="WCP3"/>
      <c r="WCQ3"/>
      <c r="WCR3"/>
      <c r="WCS3"/>
      <c r="WCT3"/>
      <c r="WCU3"/>
      <c r="WCV3"/>
      <c r="WCW3"/>
      <c r="WCX3"/>
      <c r="WCY3"/>
      <c r="WCZ3"/>
      <c r="WDA3"/>
      <c r="WDB3"/>
      <c r="WDC3"/>
      <c r="WDD3"/>
      <c r="WDE3"/>
      <c r="WDF3"/>
      <c r="WDG3"/>
      <c r="WDH3"/>
      <c r="WDI3"/>
      <c r="WDJ3"/>
      <c r="WDK3"/>
      <c r="WDL3"/>
      <c r="WDM3"/>
      <c r="WDN3"/>
      <c r="WDO3"/>
      <c r="WDP3"/>
      <c r="WDQ3"/>
      <c r="WDR3"/>
      <c r="WDS3"/>
      <c r="WDT3"/>
      <c r="WDU3"/>
      <c r="WDV3"/>
      <c r="WDW3"/>
      <c r="WDX3"/>
      <c r="WDY3"/>
      <c r="WDZ3"/>
      <c r="WEA3"/>
      <c r="WEB3"/>
      <c r="WEC3"/>
      <c r="WED3"/>
      <c r="WEE3"/>
      <c r="WEF3"/>
      <c r="WEG3"/>
      <c r="WEH3"/>
      <c r="WEI3"/>
      <c r="WEJ3"/>
      <c r="WEK3"/>
      <c r="WEL3"/>
      <c r="WEM3"/>
      <c r="WEN3"/>
      <c r="WEO3"/>
      <c r="WEP3"/>
      <c r="WEQ3"/>
      <c r="WER3"/>
      <c r="WES3"/>
      <c r="WET3"/>
      <c r="WEU3"/>
      <c r="WEV3"/>
      <c r="WEW3"/>
      <c r="WEX3"/>
      <c r="WEY3"/>
      <c r="WEZ3"/>
      <c r="WFA3"/>
      <c r="WFB3"/>
      <c r="WFC3"/>
      <c r="WFD3"/>
      <c r="WFE3"/>
      <c r="WFF3"/>
      <c r="WFG3"/>
      <c r="WFH3"/>
      <c r="WFI3"/>
      <c r="WFJ3"/>
      <c r="WFK3"/>
      <c r="WFL3"/>
      <c r="WFM3"/>
      <c r="WFN3"/>
      <c r="WFO3"/>
      <c r="WFP3"/>
      <c r="WFQ3"/>
      <c r="WFR3"/>
      <c r="WFS3"/>
      <c r="WFT3"/>
      <c r="WFU3"/>
      <c r="WFV3"/>
      <c r="WFW3"/>
      <c r="WFX3"/>
      <c r="WFY3"/>
      <c r="WFZ3"/>
      <c r="WGA3"/>
      <c r="WGB3"/>
      <c r="WGC3"/>
      <c r="WGD3"/>
      <c r="WGE3"/>
      <c r="WGF3"/>
      <c r="WGG3"/>
      <c r="WGH3"/>
      <c r="WGI3"/>
      <c r="WGJ3"/>
      <c r="WGK3"/>
      <c r="WGL3"/>
      <c r="WGM3"/>
      <c r="WGN3"/>
      <c r="WGO3"/>
      <c r="WGP3"/>
      <c r="WGQ3"/>
      <c r="WGR3"/>
      <c r="WGS3"/>
      <c r="WGT3"/>
      <c r="WGU3"/>
      <c r="WGV3"/>
      <c r="WGW3"/>
      <c r="WGX3"/>
      <c r="WGY3"/>
      <c r="WGZ3"/>
      <c r="WHA3"/>
      <c r="WHB3"/>
      <c r="WHC3"/>
      <c r="WHD3"/>
      <c r="WHE3"/>
      <c r="WHF3"/>
      <c r="WHG3"/>
      <c r="WHH3"/>
      <c r="WHI3"/>
      <c r="WHJ3"/>
      <c r="WHK3"/>
      <c r="WHL3"/>
      <c r="WHM3"/>
      <c r="WHN3"/>
      <c r="WHO3"/>
      <c r="WHP3"/>
      <c r="WHQ3"/>
      <c r="WHR3"/>
      <c r="WHS3"/>
      <c r="WHT3"/>
      <c r="WHU3"/>
      <c r="WHV3"/>
      <c r="WHW3"/>
      <c r="WHX3"/>
      <c r="WHY3"/>
      <c r="WHZ3"/>
      <c r="WIA3"/>
      <c r="WIB3"/>
      <c r="WIC3"/>
      <c r="WID3"/>
      <c r="WIE3"/>
      <c r="WIF3"/>
      <c r="WIG3"/>
      <c r="WIH3"/>
      <c r="WII3"/>
      <c r="WIJ3"/>
      <c r="WIK3"/>
      <c r="WIL3"/>
      <c r="WIM3"/>
      <c r="WIN3"/>
      <c r="WIO3"/>
      <c r="WIP3"/>
      <c r="WIQ3"/>
      <c r="WIR3"/>
      <c r="WIS3"/>
      <c r="WIT3"/>
      <c r="WIU3"/>
      <c r="WIV3"/>
      <c r="WIW3"/>
      <c r="WIX3"/>
      <c r="WIY3"/>
      <c r="WIZ3"/>
      <c r="WJA3"/>
      <c r="WJB3"/>
      <c r="WJC3"/>
      <c r="WJD3"/>
      <c r="WJE3"/>
      <c r="WJF3"/>
      <c r="WJG3"/>
      <c r="WJH3"/>
      <c r="WJI3"/>
      <c r="WJJ3"/>
      <c r="WJK3"/>
      <c r="WJL3"/>
      <c r="WJM3"/>
      <c r="WJN3"/>
      <c r="WJO3"/>
      <c r="WJP3"/>
      <c r="WJQ3"/>
      <c r="WJR3"/>
      <c r="WJS3"/>
      <c r="WJT3"/>
      <c r="WJU3"/>
      <c r="WJV3"/>
      <c r="WJW3"/>
      <c r="WJX3"/>
      <c r="WJY3"/>
      <c r="WJZ3"/>
      <c r="WKA3"/>
      <c r="WKB3"/>
      <c r="WKC3"/>
      <c r="WKD3"/>
      <c r="WKE3"/>
      <c r="WKF3"/>
      <c r="WKG3"/>
      <c r="WKH3"/>
      <c r="WKI3"/>
      <c r="WKJ3"/>
      <c r="WKK3"/>
      <c r="WKL3"/>
      <c r="WKM3"/>
      <c r="WKN3"/>
      <c r="WKO3"/>
      <c r="WKP3"/>
      <c r="WKQ3"/>
      <c r="WKR3"/>
      <c r="WKS3"/>
      <c r="WKT3"/>
      <c r="WKU3"/>
      <c r="WKV3"/>
      <c r="WKW3"/>
      <c r="WKX3"/>
      <c r="WKY3"/>
      <c r="WKZ3"/>
      <c r="WLA3"/>
      <c r="WLB3"/>
      <c r="WLC3"/>
      <c r="WLD3"/>
      <c r="WLE3"/>
      <c r="WLF3"/>
      <c r="WLG3"/>
      <c r="WLH3"/>
      <c r="WLI3"/>
      <c r="WLJ3"/>
      <c r="WLK3"/>
      <c r="WLL3"/>
      <c r="WLM3"/>
      <c r="WLN3"/>
      <c r="WLO3"/>
      <c r="WLP3"/>
      <c r="WLQ3"/>
      <c r="WLR3"/>
      <c r="WLS3"/>
      <c r="WLT3"/>
      <c r="WLU3"/>
      <c r="WLV3"/>
      <c r="WLW3"/>
      <c r="WLX3"/>
      <c r="WLY3"/>
      <c r="WLZ3"/>
      <c r="WMA3"/>
      <c r="WMB3"/>
      <c r="WMC3"/>
      <c r="WMD3"/>
      <c r="WME3"/>
      <c r="WMF3"/>
      <c r="WMG3"/>
      <c r="WMH3"/>
      <c r="WMI3"/>
      <c r="WMJ3"/>
      <c r="WMK3"/>
      <c r="WML3"/>
      <c r="WMM3"/>
      <c r="WMN3"/>
      <c r="WMO3"/>
      <c r="WMP3"/>
      <c r="WMQ3"/>
      <c r="WMR3"/>
      <c r="WMS3"/>
      <c r="WMT3"/>
      <c r="WMU3"/>
      <c r="WMV3"/>
      <c r="WMW3"/>
      <c r="WMX3"/>
      <c r="WMY3"/>
      <c r="WMZ3"/>
      <c r="WNA3"/>
      <c r="WNB3"/>
      <c r="WNC3"/>
      <c r="WND3"/>
      <c r="WNE3"/>
      <c r="WNF3"/>
      <c r="WNG3"/>
      <c r="WNH3"/>
      <c r="WNI3"/>
      <c r="WNJ3"/>
      <c r="WNK3"/>
      <c r="WNL3"/>
      <c r="WNM3"/>
      <c r="WNN3"/>
      <c r="WNO3"/>
      <c r="WNP3"/>
      <c r="WNQ3"/>
      <c r="WNR3"/>
      <c r="WNS3"/>
      <c r="WNT3"/>
      <c r="WNU3"/>
      <c r="WNV3"/>
      <c r="WNW3"/>
      <c r="WNX3"/>
      <c r="WNY3"/>
      <c r="WNZ3"/>
      <c r="WOA3"/>
      <c r="WOB3"/>
      <c r="WOC3"/>
      <c r="WOD3"/>
      <c r="WOE3"/>
      <c r="WOF3"/>
      <c r="WOG3"/>
      <c r="WOH3"/>
      <c r="WOI3"/>
      <c r="WOJ3"/>
      <c r="WOK3"/>
      <c r="WOL3"/>
      <c r="WOM3"/>
      <c r="WON3"/>
      <c r="WOO3"/>
      <c r="WOP3"/>
      <c r="WOQ3"/>
      <c r="WOR3"/>
      <c r="WOS3"/>
      <c r="WOT3"/>
      <c r="WOU3"/>
      <c r="WOV3"/>
      <c r="WOW3"/>
      <c r="WOX3"/>
      <c r="WOY3"/>
      <c r="WOZ3"/>
      <c r="WPA3"/>
      <c r="WPB3"/>
      <c r="WPC3"/>
      <c r="WPD3"/>
      <c r="WPE3"/>
      <c r="WPF3"/>
      <c r="WPG3"/>
      <c r="WPH3"/>
      <c r="WPI3"/>
      <c r="WPJ3"/>
      <c r="WPK3"/>
      <c r="WPL3"/>
      <c r="WPM3"/>
      <c r="WPN3"/>
      <c r="WPO3"/>
      <c r="WPP3"/>
      <c r="WPQ3"/>
      <c r="WPR3"/>
      <c r="WPS3"/>
      <c r="WPT3"/>
      <c r="WPU3"/>
      <c r="WPV3"/>
      <c r="WPW3"/>
      <c r="WPX3"/>
      <c r="WPY3"/>
      <c r="WPZ3"/>
      <c r="WQA3"/>
      <c r="WQB3"/>
      <c r="WQC3"/>
      <c r="WQD3"/>
      <c r="WQE3"/>
      <c r="WQF3"/>
      <c r="WQG3"/>
      <c r="WQH3"/>
      <c r="WQI3"/>
      <c r="WQJ3"/>
      <c r="WQK3"/>
      <c r="WQL3"/>
      <c r="WQM3"/>
      <c r="WQN3"/>
      <c r="WQO3"/>
      <c r="WQP3"/>
      <c r="WQQ3"/>
      <c r="WQR3"/>
      <c r="WQS3"/>
      <c r="WQT3"/>
      <c r="WQU3"/>
      <c r="WQV3"/>
      <c r="WQW3"/>
      <c r="WQX3"/>
      <c r="WQY3"/>
      <c r="WQZ3"/>
      <c r="WRA3"/>
      <c r="WRB3"/>
      <c r="WRC3"/>
      <c r="WRD3"/>
      <c r="WRE3"/>
      <c r="WRF3"/>
      <c r="WRG3"/>
      <c r="WRH3"/>
      <c r="WRI3"/>
      <c r="WRJ3"/>
      <c r="WRK3"/>
      <c r="WRL3"/>
      <c r="WRM3"/>
      <c r="WRN3"/>
      <c r="WRO3"/>
      <c r="WRP3"/>
      <c r="WRQ3"/>
      <c r="WRR3"/>
      <c r="WRS3"/>
      <c r="WRT3"/>
      <c r="WRU3"/>
      <c r="WRV3"/>
      <c r="WRW3"/>
      <c r="WRX3"/>
      <c r="WRY3"/>
      <c r="WRZ3"/>
      <c r="WSA3"/>
      <c r="WSB3"/>
      <c r="WSC3"/>
      <c r="WSD3"/>
      <c r="WSE3"/>
      <c r="WSF3"/>
      <c r="WSG3"/>
      <c r="WSH3"/>
      <c r="WSI3"/>
      <c r="WSJ3"/>
      <c r="WSK3"/>
      <c r="WSL3"/>
      <c r="WSM3"/>
      <c r="WSN3"/>
      <c r="WSO3"/>
      <c r="WSP3"/>
      <c r="WSQ3"/>
      <c r="WSR3"/>
      <c r="WSS3"/>
      <c r="WST3"/>
      <c r="WSU3"/>
      <c r="WSV3"/>
      <c r="WSW3"/>
      <c r="WSX3"/>
      <c r="WSY3"/>
      <c r="WSZ3"/>
      <c r="WTA3"/>
      <c r="WTB3"/>
      <c r="WTC3"/>
      <c r="WTD3"/>
      <c r="WTE3"/>
      <c r="WTF3"/>
      <c r="WTG3"/>
      <c r="WTH3"/>
      <c r="WTI3"/>
      <c r="WTJ3"/>
      <c r="WTK3"/>
      <c r="WTL3"/>
      <c r="WTM3"/>
      <c r="WTN3"/>
      <c r="WTO3"/>
      <c r="WTP3"/>
      <c r="WTQ3"/>
      <c r="WTR3"/>
      <c r="WTS3"/>
      <c r="WTT3"/>
      <c r="WTU3"/>
      <c r="WTV3"/>
      <c r="WTW3"/>
      <c r="WTX3"/>
      <c r="WTY3"/>
      <c r="WTZ3"/>
      <c r="WUA3"/>
      <c r="WUB3"/>
      <c r="WUC3"/>
      <c r="WUD3"/>
      <c r="WUE3"/>
      <c r="WUF3"/>
      <c r="WUG3"/>
      <c r="WUH3"/>
      <c r="WUI3"/>
      <c r="WUJ3"/>
      <c r="WUK3"/>
      <c r="WUL3"/>
      <c r="WUM3"/>
      <c r="WUN3"/>
      <c r="WUO3"/>
      <c r="WUP3"/>
      <c r="WUQ3"/>
      <c r="WUR3"/>
      <c r="WUS3"/>
      <c r="WUT3"/>
      <c r="WUU3"/>
      <c r="WUV3"/>
      <c r="WUW3"/>
      <c r="WUX3"/>
      <c r="WUY3"/>
      <c r="WUZ3"/>
      <c r="WVA3"/>
      <c r="WVB3"/>
      <c r="WVC3"/>
      <c r="WVD3"/>
      <c r="WVE3"/>
      <c r="WVF3"/>
      <c r="WVG3"/>
      <c r="WVH3"/>
      <c r="WVI3"/>
      <c r="WVJ3"/>
      <c r="WVK3"/>
      <c r="WVL3"/>
      <c r="WVM3"/>
      <c r="WVN3"/>
      <c r="WVO3"/>
      <c r="WVP3"/>
      <c r="WVQ3"/>
      <c r="WVR3"/>
      <c r="WVS3"/>
      <c r="WVT3"/>
      <c r="WVU3"/>
      <c r="WVV3"/>
      <c r="WVW3"/>
      <c r="WVX3"/>
      <c r="WVY3"/>
      <c r="WVZ3"/>
      <c r="WWA3"/>
      <c r="WWB3"/>
      <c r="WWC3"/>
      <c r="WWD3"/>
      <c r="WWE3"/>
      <c r="WWF3"/>
      <c r="WWG3"/>
      <c r="WWH3"/>
      <c r="WWI3"/>
      <c r="WWJ3"/>
      <c r="WWK3"/>
      <c r="WWL3"/>
      <c r="WWM3"/>
      <c r="WWN3"/>
      <c r="WWO3"/>
      <c r="WWP3"/>
      <c r="WWQ3"/>
      <c r="WWR3"/>
      <c r="WWS3"/>
      <c r="WWT3"/>
      <c r="WWU3"/>
      <c r="WWV3"/>
      <c r="WWW3"/>
      <c r="WWX3"/>
      <c r="WWY3"/>
      <c r="WWZ3"/>
      <c r="WXA3"/>
      <c r="WXB3"/>
      <c r="WXC3"/>
      <c r="WXD3"/>
      <c r="WXE3"/>
      <c r="WXF3"/>
      <c r="WXG3"/>
      <c r="WXH3"/>
      <c r="WXI3"/>
      <c r="WXJ3"/>
      <c r="WXK3"/>
      <c r="WXL3"/>
      <c r="WXM3"/>
      <c r="WXN3"/>
      <c r="WXO3"/>
      <c r="WXP3"/>
      <c r="WXQ3"/>
      <c r="WXR3"/>
      <c r="WXS3"/>
      <c r="WXT3"/>
      <c r="WXU3"/>
      <c r="WXV3"/>
      <c r="WXW3"/>
      <c r="WXX3"/>
      <c r="WXY3"/>
      <c r="WXZ3"/>
      <c r="WYA3"/>
      <c r="WYB3"/>
      <c r="WYC3"/>
      <c r="WYD3"/>
      <c r="WYE3"/>
      <c r="WYF3"/>
      <c r="WYG3"/>
      <c r="WYH3"/>
      <c r="WYI3"/>
      <c r="WYJ3"/>
      <c r="WYK3"/>
      <c r="WYL3"/>
      <c r="WYM3"/>
      <c r="WYN3"/>
      <c r="WYO3"/>
      <c r="WYP3"/>
      <c r="WYQ3"/>
      <c r="WYR3"/>
      <c r="WYS3"/>
      <c r="WYT3"/>
      <c r="WYU3"/>
      <c r="WYV3"/>
      <c r="WYW3"/>
      <c r="WYX3"/>
      <c r="WYY3"/>
      <c r="WYZ3"/>
      <c r="WZA3"/>
      <c r="WZB3"/>
      <c r="WZC3"/>
      <c r="WZD3"/>
      <c r="WZE3"/>
      <c r="WZF3"/>
      <c r="WZG3"/>
      <c r="WZH3"/>
      <c r="WZI3"/>
      <c r="WZJ3"/>
      <c r="WZK3"/>
      <c r="WZL3"/>
      <c r="WZM3"/>
      <c r="WZN3"/>
      <c r="WZO3"/>
      <c r="WZP3"/>
      <c r="WZQ3"/>
      <c r="WZR3"/>
      <c r="WZS3"/>
      <c r="WZT3"/>
      <c r="WZU3"/>
      <c r="WZV3"/>
      <c r="WZW3"/>
      <c r="WZX3"/>
      <c r="WZY3"/>
      <c r="WZZ3"/>
      <c r="XAA3"/>
      <c r="XAB3"/>
      <c r="XAC3"/>
      <c r="XAD3"/>
      <c r="XAE3"/>
      <c r="XAF3"/>
      <c r="XAG3"/>
      <c r="XAH3"/>
      <c r="XAI3"/>
      <c r="XAJ3"/>
      <c r="XAK3"/>
      <c r="XAL3"/>
      <c r="XAM3"/>
      <c r="XAN3"/>
      <c r="XAO3"/>
      <c r="XAP3"/>
      <c r="XAQ3"/>
      <c r="XAR3"/>
      <c r="XAS3"/>
      <c r="XAT3"/>
      <c r="XAU3"/>
      <c r="XAV3"/>
      <c r="XAW3"/>
      <c r="XAX3"/>
      <c r="XAY3"/>
      <c r="XAZ3"/>
      <c r="XBA3"/>
      <c r="XBB3"/>
      <c r="XBC3"/>
      <c r="XBD3"/>
      <c r="XBE3"/>
      <c r="XBF3"/>
      <c r="XBG3"/>
      <c r="XBH3"/>
      <c r="XBI3"/>
      <c r="XBJ3"/>
      <c r="XBK3"/>
      <c r="XBL3"/>
      <c r="XBM3"/>
      <c r="XBN3"/>
      <c r="XBO3"/>
      <c r="XBP3"/>
      <c r="XBQ3"/>
      <c r="XBR3"/>
      <c r="XBS3"/>
      <c r="XBT3"/>
      <c r="XBU3"/>
      <c r="XBV3"/>
      <c r="XBW3"/>
      <c r="XBX3"/>
      <c r="XBY3"/>
      <c r="XBZ3"/>
      <c r="XCA3"/>
      <c r="XCB3"/>
      <c r="XCC3"/>
      <c r="XCD3"/>
      <c r="XCE3"/>
      <c r="XCF3"/>
      <c r="XCG3"/>
      <c r="XCH3"/>
      <c r="XCI3"/>
      <c r="XCJ3"/>
      <c r="XCK3"/>
      <c r="XCL3"/>
      <c r="XCM3"/>
      <c r="XCN3"/>
      <c r="XCO3"/>
      <c r="XCP3"/>
      <c r="XCQ3"/>
      <c r="XCR3"/>
      <c r="XCS3"/>
      <c r="XCT3"/>
      <c r="XCU3"/>
      <c r="XCV3"/>
      <c r="XCW3"/>
      <c r="XCX3"/>
      <c r="XCY3"/>
      <c r="XCZ3"/>
      <c r="XDA3"/>
      <c r="XDB3"/>
      <c r="XDC3"/>
      <c r="XDD3"/>
      <c r="XDE3"/>
      <c r="XDF3"/>
      <c r="XDG3"/>
      <c r="XDH3"/>
      <c r="XDI3"/>
      <c r="XDJ3"/>
      <c r="XDK3"/>
      <c r="XDL3"/>
      <c r="XDM3"/>
      <c r="XDN3"/>
      <c r="XDO3"/>
      <c r="XDP3"/>
      <c r="XDQ3"/>
      <c r="XDR3"/>
      <c r="XDS3"/>
      <c r="XDT3"/>
      <c r="XDU3"/>
      <c r="XDV3"/>
      <c r="XDW3"/>
      <c r="XDX3"/>
      <c r="XDY3"/>
      <c r="XDZ3"/>
      <c r="XEA3"/>
      <c r="XEB3"/>
      <c r="XEC3"/>
      <c r="XED3"/>
      <c r="XEE3"/>
      <c r="XEF3"/>
      <c r="XEG3"/>
      <c r="XEH3"/>
      <c r="XEI3"/>
      <c r="XEJ3"/>
      <c r="XEK3"/>
      <c r="XEL3"/>
      <c r="XEM3"/>
      <c r="XEN3"/>
      <c r="XEO3"/>
      <c r="XEP3"/>
      <c r="XEQ3"/>
      <c r="XER3"/>
      <c r="XES3"/>
      <c r="XET3"/>
      <c r="XEU3"/>
      <c r="XEV3"/>
      <c r="XEW3"/>
      <c r="XEX3"/>
      <c r="XEY3"/>
      <c r="XEZ3"/>
      <c r="XFA3"/>
      <c r="XFB3"/>
      <c r="XFC3"/>
      <c r="XFD3"/>
    </row>
    <row r="4" spans="1:342 14982:16384">
      <c r="A4" s="61" t="s">
        <v>22</v>
      </c>
      <c r="B4" s="2">
        <f>[1]Decembre17!AI3</f>
        <v>22629.59</v>
      </c>
      <c r="C4" s="2">
        <f>IF(C26='compte janvier'!L7,SUMIF(placements,Table1[[#This Row],[Colonne34]],'compte janvier'!K3:K7),B4)</f>
        <v>22629.59</v>
      </c>
      <c r="D4" s="2">
        <f>IF(D26='compte janvier'!M7,SUMIF(placements,Table1[[#This Row],[Colonne35]],'compte janvier'!L3:L7),C4)</f>
        <v>22629.59</v>
      </c>
      <c r="E4" s="2">
        <f>IF(E26='compte janvier'!N7,SUMIF(placements,Table1[[#This Row],[Colonne1]],'compte janvier'!M3:M7),D4)</f>
        <v>22625.09</v>
      </c>
      <c r="F4" s="2">
        <f>IF(F26='compte janvier'!O7,SUMIF(placements,Table1[[#This Row],[Colonne4]],'compte janvier'!N3:N7),E4)</f>
        <v>22625.09</v>
      </c>
      <c r="G4" s="2">
        <f>IF(G26='compte janvier'!P7,SUMIF(placements,Table1[[#This Row],[Colonne4]],'compte janvier'!O3:O7),F4)</f>
        <v>22625.09</v>
      </c>
      <c r="H4" s="2">
        <f>IF(H26='compte janvier'!Q7,SUMIF(placements,Table1[[#This Row],[Colonne5]],'compte janvier'!P3:P7),G4)</f>
        <v>22625.09</v>
      </c>
      <c r="I4" s="2">
        <f>IF(I26='compte janvier'!R7,SUMIF(placements,Table1[[#This Row],[Colonne5]],'compte janvier'!Q3:Q7),H4)</f>
        <v>22625.09</v>
      </c>
      <c r="J4" s="2">
        <f>IF(J26='compte janvier'!S7,SUMIF(placements,Table1[[#This Row],[Colonne6]],'compte janvier'!R3:R7),I4)</f>
        <v>22625.09</v>
      </c>
      <c r="K4" s="2">
        <f>IF(K26='compte janvier'!T7,SUMIF(placements,Table1[[#This Row],[Colonne6]],'compte janvier'!S3:S7),J4)</f>
        <v>22625.09</v>
      </c>
      <c r="L4" s="104">
        <f>IF(L26,Table1[[#This Row],[Colonne13]],IF(L$26,SUMIFS(sommejanvier,datejanvier,L26,placementsjanvier,$A$4),Table1[[#This Row],[Colonne13]]))</f>
        <v>22625.09</v>
      </c>
      <c r="M4" s="104">
        <f>IF(datejanvier,IF(M$26,SUMIFS(sommejanvier,datejanvier,M26,placementsjanvier,$A$4),Table1[[#This Row],[Colonne14]]))</f>
        <v>22628.75</v>
      </c>
      <c r="N4" s="104">
        <f>IF(datejanvier,IF(N$26,SUMIFS(sommejanvier,datejanvier,N26,placementsjanvier,$A$4),Table1[[#This Row],[Colonne15]]))</f>
        <v>22653.87</v>
      </c>
      <c r="O4" s="2">
        <f>IF(O26='compte janvier'!X7,SUMIF(placements,Table1[[#This Row],[Colonne8]],'compte janvier'!W3:W7),N4)</f>
        <v>22653.87</v>
      </c>
      <c r="P4" s="2">
        <f>IF(P26='compte janvier'!Y7,SUMIF(placements,Table1[[#This Row],[Colonne9]],'compte janvier'!X3:X7),O4)</f>
        <v>22653.87</v>
      </c>
      <c r="Q4" s="2">
        <f>IF(Q26='compte janvier'!Z7,SUMIF(placements,Table1[[#This Row],[Colonne9]],'compte janvier'!Y3:Y7),P4)</f>
        <v>22653.87</v>
      </c>
      <c r="R4" s="2">
        <f>IF(R26='compte janvier'!AA7,SUMIF(placements,Table1[[#This Row],[Colonne10]],'compte janvier'!Z3:Z7),Q4)</f>
        <v>22653.87</v>
      </c>
      <c r="S4" s="2">
        <f>IF(S26='compte janvier'!AB7,SUMIF(placements,Table1[[#This Row],[Colonne10]],'compte janvier'!AA3:AA7),R4)</f>
        <v>22653.87</v>
      </c>
      <c r="T4" s="2">
        <f>IF(T26='compte janvier'!AC7,SUMIF(placements,Table1[[#This Row],[Colonne11]],'compte janvier'!AB3:AB7),S4)</f>
        <v>22653.87</v>
      </c>
      <c r="U4" s="2">
        <f>IF(U26,SUMIFS(sommejanvier,datejanvier,U26,placementsjanvier,A4),(SUMIF(placements,Table1[[#This Row],[Colonne1]],sommejanvier)))</f>
        <v>22667.360000000001</v>
      </c>
      <c r="V4" s="2">
        <v>22667.360000000001</v>
      </c>
      <c r="W4" s="2">
        <v>22667.360000000001</v>
      </c>
      <c r="X4" s="2">
        <v>22667.360000000001</v>
      </c>
      <c r="Y4" s="2">
        <v>22667.360000000001</v>
      </c>
      <c r="Z4" s="2">
        <f>IF(Z26='compte janvier'!AI7,SUMIF(placements,Table1[[#This Row],[Colonne14]],'compte janvier'!AH3:AH7),Y4)</f>
        <v>22667.360000000001</v>
      </c>
      <c r="AA4" s="2">
        <f>IF(AA26='compte janvier'!AJ7,SUMIF(placements,Table1[[#This Row],[Colonne14]],'compte janvier'!AI3:AI7),Z4)</f>
        <v>22667.360000000001</v>
      </c>
      <c r="AB4" s="2">
        <f>IF(AB26='compte janvier'!AK7,SUMIF(placements,Table1[[#This Row],[Colonne15]],'compte janvier'!AJ3:AJ7),AA4)</f>
        <v>22667.360000000001</v>
      </c>
      <c r="AC4" s="2">
        <f>IF(AC26='compte janvier'!AL7,SUMIF(placements,Table1[[#This Row],[Colonne15]],'compte janvier'!AK3:AK7),AB4)</f>
        <v>22667.360000000001</v>
      </c>
      <c r="AD4" s="2">
        <f>IF(AD26='compte janvier'!AM7,SUMIF(placements,Table1[[#This Row],[Colonne16]],'compte janvier'!AL3:AL7),AC4)</f>
        <v>22667.360000000001</v>
      </c>
      <c r="AE4" s="2">
        <f>IF(AE26='compte janvier'!AN7,SUMIF(placements,Table1[[#This Row],[Colonne16]],'compte janvier'!AM3:AM7),AD4)</f>
        <v>22667.360000000001</v>
      </c>
      <c r="AF4" s="2">
        <f>IF(AF26='compte janvier'!AO7,SUMIF(placements,Table1[[#This Row],[Colonne17]],'compte janvier'!AN3:AN7),AE4)</f>
        <v>22667.360000000001</v>
      </c>
      <c r="AG4" s="2">
        <f>IF(AG26='compte janvier'!AP7,SUMIF(placements,Table1[[#This Row],[Colonne17]],'compte janvier'!AO3:AO7),AF4)</f>
        <v>22667.360000000001</v>
      </c>
    </row>
    <row r="5" spans="1:342 14982:16384" s="78" customFormat="1">
      <c r="A5" s="79" t="s">
        <v>23</v>
      </c>
      <c r="B5" s="76">
        <f>[1]Decembre17!AI4</f>
        <v>4117.46</v>
      </c>
      <c r="C5" s="80">
        <f>SUMIF(C26,G32,G37)</f>
        <v>4117.46</v>
      </c>
      <c r="D5" s="80">
        <f>SUMIF(D26,H32,H37)</f>
        <v>4117.46</v>
      </c>
      <c r="E5" s="80">
        <f t="shared" ref="E5:AG5" si="20">SUMIF(E26,I32,I37)</f>
        <v>4149.3</v>
      </c>
      <c r="F5" s="80">
        <f t="shared" si="20"/>
        <v>4196.22</v>
      </c>
      <c r="G5" s="80">
        <f t="shared" si="20"/>
        <v>4290.58</v>
      </c>
      <c r="H5" s="80">
        <f t="shared" si="20"/>
        <v>4289.38</v>
      </c>
      <c r="I5" s="80">
        <f t="shared" si="20"/>
        <v>4289.38</v>
      </c>
      <c r="J5" s="80">
        <f t="shared" si="20"/>
        <v>4289.38</v>
      </c>
      <c r="K5" s="80">
        <f t="shared" si="20"/>
        <v>4289.5</v>
      </c>
      <c r="L5" s="80">
        <f t="shared" si="20"/>
        <v>4326.9400000000005</v>
      </c>
      <c r="M5" s="80">
        <f t="shared" si="20"/>
        <v>4325.3999999999996</v>
      </c>
      <c r="N5" s="80">
        <f t="shared" si="20"/>
        <v>4369.6000000000004</v>
      </c>
      <c r="O5" s="80">
        <f t="shared" si="20"/>
        <v>4360.1399999999994</v>
      </c>
      <c r="P5" s="80">
        <f t="shared" si="20"/>
        <v>4360.1399999999994</v>
      </c>
      <c r="Q5" s="80">
        <f t="shared" si="20"/>
        <v>4360.1399999999994</v>
      </c>
      <c r="R5" s="80">
        <f t="shared" si="20"/>
        <v>4377.72</v>
      </c>
      <c r="S5" s="80">
        <f t="shared" si="20"/>
        <v>4364.2</v>
      </c>
      <c r="T5" s="80">
        <f t="shared" si="20"/>
        <v>4395.3999999999996</v>
      </c>
      <c r="U5" s="80">
        <f t="shared" si="20"/>
        <v>4440.38</v>
      </c>
      <c r="V5" s="80">
        <f t="shared" si="20"/>
        <v>4449.84</v>
      </c>
      <c r="W5" s="80">
        <f t="shared" si="20"/>
        <v>4449.84</v>
      </c>
      <c r="X5" s="80">
        <f t="shared" si="20"/>
        <v>4449.84</v>
      </c>
      <c r="Y5" s="80">
        <f t="shared" si="20"/>
        <v>4476.8999999999996</v>
      </c>
      <c r="Z5" s="80">
        <f t="shared" si="20"/>
        <v>0</v>
      </c>
      <c r="AA5" s="80">
        <f t="shared" si="20"/>
        <v>0</v>
      </c>
      <c r="AB5" s="80">
        <f t="shared" si="20"/>
        <v>0</v>
      </c>
      <c r="AC5" s="80">
        <f t="shared" si="20"/>
        <v>0</v>
      </c>
      <c r="AD5" s="80">
        <f t="shared" si="20"/>
        <v>0</v>
      </c>
      <c r="AE5" s="80">
        <f t="shared" si="20"/>
        <v>0</v>
      </c>
      <c r="AF5" s="80">
        <f t="shared" si="20"/>
        <v>0</v>
      </c>
      <c r="AG5" s="80">
        <f t="shared" si="20"/>
        <v>0</v>
      </c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VDF5"/>
      <c r="VDG5"/>
      <c r="VDH5"/>
      <c r="VDI5"/>
      <c r="VDJ5"/>
      <c r="VDK5"/>
      <c r="VDL5"/>
      <c r="VDM5"/>
      <c r="VDN5"/>
      <c r="VDO5"/>
      <c r="VDP5"/>
      <c r="VDQ5"/>
      <c r="VDR5"/>
      <c r="VDS5"/>
      <c r="VDT5"/>
      <c r="VDU5"/>
      <c r="VDV5"/>
      <c r="VDW5"/>
      <c r="VDX5"/>
      <c r="VDY5"/>
      <c r="VDZ5"/>
      <c r="VEA5"/>
      <c r="VEB5"/>
      <c r="VEC5"/>
      <c r="VED5"/>
      <c r="VEE5"/>
      <c r="VEF5"/>
      <c r="VEG5"/>
      <c r="VEH5"/>
      <c r="VEI5"/>
      <c r="VEJ5"/>
      <c r="VEK5"/>
      <c r="VEL5"/>
      <c r="VEM5"/>
      <c r="VEN5"/>
      <c r="VEO5"/>
      <c r="VEP5"/>
      <c r="VEQ5"/>
      <c r="VER5"/>
      <c r="VES5"/>
      <c r="VET5"/>
      <c r="VEU5"/>
      <c r="VEV5"/>
      <c r="VEW5"/>
      <c r="VEX5"/>
      <c r="VEY5"/>
      <c r="VEZ5"/>
      <c r="VFA5"/>
      <c r="VFB5"/>
      <c r="VFC5"/>
      <c r="VFD5"/>
      <c r="VFE5"/>
      <c r="VFF5"/>
      <c r="VFG5"/>
      <c r="VFH5"/>
      <c r="VFI5"/>
      <c r="VFJ5"/>
      <c r="VFK5"/>
      <c r="VFL5"/>
      <c r="VFM5"/>
      <c r="VFN5"/>
      <c r="VFO5"/>
      <c r="VFP5"/>
      <c r="VFQ5"/>
      <c r="VFR5"/>
      <c r="VFS5"/>
      <c r="VFT5"/>
      <c r="VFU5"/>
      <c r="VFV5"/>
      <c r="VFW5"/>
      <c r="VFX5"/>
      <c r="VFY5"/>
      <c r="VFZ5"/>
      <c r="VGA5"/>
      <c r="VGB5"/>
      <c r="VGC5"/>
      <c r="VGD5"/>
      <c r="VGE5"/>
      <c r="VGF5"/>
      <c r="VGG5"/>
      <c r="VGH5"/>
      <c r="VGI5"/>
      <c r="VGJ5"/>
      <c r="VGK5"/>
      <c r="VGL5"/>
      <c r="VGM5"/>
      <c r="VGN5"/>
      <c r="VGO5"/>
      <c r="VGP5"/>
      <c r="VGQ5"/>
      <c r="VGR5"/>
      <c r="VGS5"/>
      <c r="VGT5"/>
      <c r="VGU5"/>
      <c r="VGV5"/>
      <c r="VGW5"/>
      <c r="VGX5"/>
      <c r="VGY5"/>
      <c r="VGZ5"/>
      <c r="VHA5"/>
      <c r="VHB5"/>
      <c r="VHC5"/>
      <c r="VHD5"/>
      <c r="VHE5"/>
      <c r="VHF5"/>
      <c r="VHG5"/>
      <c r="VHH5"/>
      <c r="VHI5"/>
      <c r="VHJ5"/>
      <c r="VHK5"/>
      <c r="VHL5"/>
      <c r="VHM5"/>
      <c r="VHN5"/>
      <c r="VHO5"/>
      <c r="VHP5"/>
      <c r="VHQ5"/>
      <c r="VHR5"/>
      <c r="VHS5"/>
      <c r="VHT5"/>
      <c r="VHU5"/>
      <c r="VHV5"/>
      <c r="VHW5"/>
      <c r="VHX5"/>
      <c r="VHY5"/>
      <c r="VHZ5"/>
      <c r="VIA5"/>
      <c r="VIB5"/>
      <c r="VIC5"/>
      <c r="VID5"/>
      <c r="VIE5"/>
      <c r="VIF5"/>
      <c r="VIG5"/>
      <c r="VIH5"/>
      <c r="VII5"/>
      <c r="VIJ5"/>
      <c r="VIK5"/>
      <c r="VIL5"/>
      <c r="VIM5"/>
      <c r="VIN5"/>
      <c r="VIO5"/>
      <c r="VIP5"/>
      <c r="VIQ5"/>
      <c r="VIR5"/>
      <c r="VIS5"/>
      <c r="VIT5"/>
      <c r="VIU5"/>
      <c r="VIV5"/>
      <c r="VIW5"/>
      <c r="VIX5"/>
      <c r="VIY5"/>
      <c r="VIZ5"/>
      <c r="VJA5"/>
      <c r="VJB5"/>
      <c r="VJC5"/>
      <c r="VJD5"/>
      <c r="VJE5"/>
      <c r="VJF5"/>
      <c r="VJG5"/>
      <c r="VJH5"/>
      <c r="VJI5"/>
      <c r="VJJ5"/>
      <c r="VJK5"/>
      <c r="VJL5"/>
      <c r="VJM5"/>
      <c r="VJN5"/>
      <c r="VJO5"/>
      <c r="VJP5"/>
      <c r="VJQ5"/>
      <c r="VJR5"/>
      <c r="VJS5"/>
      <c r="VJT5"/>
      <c r="VJU5"/>
      <c r="VJV5"/>
      <c r="VJW5"/>
      <c r="VJX5"/>
      <c r="VJY5"/>
      <c r="VJZ5"/>
      <c r="VKA5"/>
      <c r="VKB5"/>
      <c r="VKC5"/>
      <c r="VKD5"/>
      <c r="VKE5"/>
      <c r="VKF5"/>
      <c r="VKG5"/>
      <c r="VKH5"/>
      <c r="VKI5"/>
      <c r="VKJ5"/>
      <c r="VKK5"/>
      <c r="VKL5"/>
      <c r="VKM5"/>
      <c r="VKN5"/>
      <c r="VKO5"/>
      <c r="VKP5"/>
      <c r="VKQ5"/>
      <c r="VKR5"/>
      <c r="VKS5"/>
      <c r="VKT5"/>
      <c r="VKU5"/>
      <c r="VKV5"/>
      <c r="VKW5"/>
      <c r="VKX5"/>
      <c r="VKY5"/>
      <c r="VKZ5"/>
      <c r="VLA5"/>
      <c r="VLB5"/>
      <c r="VLC5"/>
      <c r="VLD5"/>
      <c r="VLE5"/>
      <c r="VLF5"/>
      <c r="VLG5"/>
      <c r="VLH5"/>
      <c r="VLI5"/>
      <c r="VLJ5"/>
      <c r="VLK5"/>
      <c r="VLL5"/>
      <c r="VLM5"/>
      <c r="VLN5"/>
      <c r="VLO5"/>
      <c r="VLP5"/>
      <c r="VLQ5"/>
      <c r="VLR5"/>
      <c r="VLS5"/>
      <c r="VLT5"/>
      <c r="VLU5"/>
      <c r="VLV5"/>
      <c r="VLW5"/>
      <c r="VLX5"/>
      <c r="VLY5"/>
      <c r="VLZ5"/>
      <c r="VMA5"/>
      <c r="VMB5"/>
      <c r="VMC5"/>
      <c r="VMD5"/>
      <c r="VME5"/>
      <c r="VMF5"/>
      <c r="VMG5"/>
      <c r="VMH5"/>
      <c r="VMI5"/>
      <c r="VMJ5"/>
      <c r="VMK5"/>
      <c r="VML5"/>
      <c r="VMM5"/>
      <c r="VMN5"/>
      <c r="VMO5"/>
      <c r="VMP5"/>
      <c r="VMQ5"/>
      <c r="VMR5"/>
      <c r="VMS5"/>
      <c r="VMT5"/>
      <c r="VMU5"/>
      <c r="VMV5"/>
      <c r="VMW5"/>
      <c r="VMX5"/>
      <c r="VMY5"/>
      <c r="VMZ5"/>
      <c r="VNA5"/>
      <c r="VNB5"/>
      <c r="VNC5"/>
      <c r="VND5"/>
      <c r="VNE5"/>
      <c r="VNF5"/>
      <c r="VNG5"/>
      <c r="VNH5"/>
      <c r="VNI5"/>
      <c r="VNJ5"/>
      <c r="VNK5"/>
      <c r="VNL5"/>
      <c r="VNM5"/>
      <c r="VNN5"/>
      <c r="VNO5"/>
      <c r="VNP5"/>
      <c r="VNQ5"/>
      <c r="VNR5"/>
      <c r="VNS5"/>
      <c r="VNT5"/>
      <c r="VNU5"/>
      <c r="VNV5"/>
      <c r="VNW5"/>
      <c r="VNX5"/>
      <c r="VNY5"/>
      <c r="VNZ5"/>
      <c r="VOA5"/>
      <c r="VOB5"/>
      <c r="VOC5"/>
      <c r="VOD5"/>
      <c r="VOE5"/>
      <c r="VOF5"/>
      <c r="VOG5"/>
      <c r="VOH5"/>
      <c r="VOI5"/>
      <c r="VOJ5"/>
      <c r="VOK5"/>
      <c r="VOL5"/>
      <c r="VOM5"/>
      <c r="VON5"/>
      <c r="VOO5"/>
      <c r="VOP5"/>
      <c r="VOQ5"/>
      <c r="VOR5"/>
      <c r="VOS5"/>
      <c r="VOT5"/>
      <c r="VOU5"/>
      <c r="VOV5"/>
      <c r="VOW5"/>
      <c r="VOX5"/>
      <c r="VOY5"/>
      <c r="VOZ5"/>
      <c r="VPA5"/>
      <c r="VPB5"/>
      <c r="VPC5"/>
      <c r="VPD5"/>
      <c r="VPE5"/>
      <c r="VPF5"/>
      <c r="VPG5"/>
      <c r="VPH5"/>
      <c r="VPI5"/>
      <c r="VPJ5"/>
      <c r="VPK5"/>
      <c r="VPL5"/>
      <c r="VPM5"/>
      <c r="VPN5"/>
      <c r="VPO5"/>
      <c r="VPP5"/>
      <c r="VPQ5"/>
      <c r="VPR5"/>
      <c r="VPS5"/>
      <c r="VPT5"/>
      <c r="VPU5"/>
      <c r="VPV5"/>
      <c r="VPW5"/>
      <c r="VPX5"/>
      <c r="VPY5"/>
      <c r="VPZ5"/>
      <c r="VQA5"/>
      <c r="VQB5"/>
      <c r="VQC5"/>
      <c r="VQD5"/>
      <c r="VQE5"/>
      <c r="VQF5"/>
      <c r="VQG5"/>
      <c r="VQH5"/>
      <c r="VQI5"/>
      <c r="VQJ5"/>
      <c r="VQK5"/>
      <c r="VQL5"/>
      <c r="VQM5"/>
      <c r="VQN5"/>
      <c r="VQO5"/>
      <c r="VQP5"/>
      <c r="VQQ5"/>
      <c r="VQR5"/>
      <c r="VQS5"/>
      <c r="VQT5"/>
      <c r="VQU5"/>
      <c r="VQV5"/>
      <c r="VQW5"/>
      <c r="VQX5"/>
      <c r="VQY5"/>
      <c r="VQZ5"/>
      <c r="VRA5"/>
      <c r="VRB5"/>
      <c r="VRC5"/>
      <c r="VRD5"/>
      <c r="VRE5"/>
      <c r="VRF5"/>
      <c r="VRG5"/>
      <c r="VRH5"/>
      <c r="VRI5"/>
      <c r="VRJ5"/>
      <c r="VRK5"/>
      <c r="VRL5"/>
      <c r="VRM5"/>
      <c r="VRN5"/>
      <c r="VRO5"/>
      <c r="VRP5"/>
      <c r="VRQ5"/>
      <c r="VRR5"/>
      <c r="VRS5"/>
      <c r="VRT5"/>
      <c r="VRU5"/>
      <c r="VRV5"/>
      <c r="VRW5"/>
      <c r="VRX5"/>
      <c r="VRY5"/>
      <c r="VRZ5"/>
      <c r="VSA5"/>
      <c r="VSB5"/>
      <c r="VSC5"/>
      <c r="VSD5"/>
      <c r="VSE5"/>
      <c r="VSF5"/>
      <c r="VSG5"/>
      <c r="VSH5"/>
      <c r="VSI5"/>
      <c r="VSJ5"/>
      <c r="VSK5"/>
      <c r="VSL5"/>
      <c r="VSM5"/>
      <c r="VSN5"/>
      <c r="VSO5"/>
      <c r="VSP5"/>
      <c r="VSQ5"/>
      <c r="VSR5"/>
      <c r="VSS5"/>
      <c r="VST5"/>
      <c r="VSU5"/>
      <c r="VSV5"/>
      <c r="VSW5"/>
      <c r="VSX5"/>
      <c r="VSY5"/>
      <c r="VSZ5"/>
      <c r="VTA5"/>
      <c r="VTB5"/>
      <c r="VTC5"/>
      <c r="VTD5"/>
      <c r="VTE5"/>
      <c r="VTF5"/>
      <c r="VTG5"/>
      <c r="VTH5"/>
      <c r="VTI5"/>
      <c r="VTJ5"/>
      <c r="VTK5"/>
      <c r="VTL5"/>
      <c r="VTM5"/>
      <c r="VTN5"/>
      <c r="VTO5"/>
      <c r="VTP5"/>
      <c r="VTQ5"/>
      <c r="VTR5"/>
      <c r="VTS5"/>
      <c r="VTT5"/>
      <c r="VTU5"/>
      <c r="VTV5"/>
      <c r="VTW5"/>
      <c r="VTX5"/>
      <c r="VTY5"/>
      <c r="VTZ5"/>
      <c r="VUA5"/>
      <c r="VUB5"/>
      <c r="VUC5"/>
      <c r="VUD5"/>
      <c r="VUE5"/>
      <c r="VUF5"/>
      <c r="VUG5"/>
      <c r="VUH5"/>
      <c r="VUI5"/>
      <c r="VUJ5"/>
      <c r="VUK5"/>
      <c r="VUL5"/>
      <c r="VUM5"/>
      <c r="VUN5"/>
      <c r="VUO5"/>
      <c r="VUP5"/>
      <c r="VUQ5"/>
      <c r="VUR5"/>
      <c r="VUS5"/>
      <c r="VUT5"/>
      <c r="VUU5"/>
      <c r="VUV5"/>
      <c r="VUW5"/>
      <c r="VUX5"/>
      <c r="VUY5"/>
      <c r="VUZ5"/>
      <c r="VVA5"/>
      <c r="VVB5"/>
      <c r="VVC5"/>
      <c r="VVD5"/>
      <c r="VVE5"/>
      <c r="VVF5"/>
      <c r="VVG5"/>
      <c r="VVH5"/>
      <c r="VVI5"/>
      <c r="VVJ5"/>
      <c r="VVK5"/>
      <c r="VVL5"/>
      <c r="VVM5"/>
      <c r="VVN5"/>
      <c r="VVO5"/>
      <c r="VVP5"/>
      <c r="VVQ5"/>
      <c r="VVR5"/>
      <c r="VVS5"/>
      <c r="VVT5"/>
      <c r="VVU5"/>
      <c r="VVV5"/>
      <c r="VVW5"/>
      <c r="VVX5"/>
      <c r="VVY5"/>
      <c r="VVZ5"/>
      <c r="VWA5"/>
      <c r="VWB5"/>
      <c r="VWC5"/>
      <c r="VWD5"/>
      <c r="VWE5"/>
      <c r="VWF5"/>
      <c r="VWG5"/>
      <c r="VWH5"/>
      <c r="VWI5"/>
      <c r="VWJ5"/>
      <c r="VWK5"/>
      <c r="VWL5"/>
      <c r="VWM5"/>
      <c r="VWN5"/>
      <c r="VWO5"/>
      <c r="VWP5"/>
      <c r="VWQ5"/>
      <c r="VWR5"/>
      <c r="VWS5"/>
      <c r="VWT5"/>
      <c r="VWU5"/>
      <c r="VWV5"/>
      <c r="VWW5"/>
      <c r="VWX5"/>
      <c r="VWY5"/>
      <c r="VWZ5"/>
      <c r="VXA5"/>
      <c r="VXB5"/>
      <c r="VXC5"/>
      <c r="VXD5"/>
      <c r="VXE5"/>
      <c r="VXF5"/>
      <c r="VXG5"/>
      <c r="VXH5"/>
      <c r="VXI5"/>
      <c r="VXJ5"/>
      <c r="VXK5"/>
      <c r="VXL5"/>
      <c r="VXM5"/>
      <c r="VXN5"/>
      <c r="VXO5"/>
      <c r="VXP5"/>
      <c r="VXQ5"/>
      <c r="VXR5"/>
      <c r="VXS5"/>
      <c r="VXT5"/>
      <c r="VXU5"/>
      <c r="VXV5"/>
      <c r="VXW5"/>
      <c r="VXX5"/>
      <c r="VXY5"/>
      <c r="VXZ5"/>
      <c r="VYA5"/>
      <c r="VYB5"/>
      <c r="VYC5"/>
      <c r="VYD5"/>
      <c r="VYE5"/>
      <c r="VYF5"/>
      <c r="VYG5"/>
      <c r="VYH5"/>
      <c r="VYI5"/>
      <c r="VYJ5"/>
      <c r="VYK5"/>
      <c r="VYL5"/>
      <c r="VYM5"/>
      <c r="VYN5"/>
      <c r="VYO5"/>
      <c r="VYP5"/>
      <c r="VYQ5"/>
      <c r="VYR5"/>
      <c r="VYS5"/>
      <c r="VYT5"/>
      <c r="VYU5"/>
      <c r="VYV5"/>
      <c r="VYW5"/>
      <c r="VYX5"/>
      <c r="VYY5"/>
      <c r="VYZ5"/>
      <c r="VZA5"/>
      <c r="VZB5"/>
      <c r="VZC5"/>
      <c r="VZD5"/>
      <c r="VZE5"/>
      <c r="VZF5"/>
      <c r="VZG5"/>
      <c r="VZH5"/>
      <c r="VZI5"/>
      <c r="VZJ5"/>
      <c r="VZK5"/>
      <c r="VZL5"/>
      <c r="VZM5"/>
      <c r="VZN5"/>
      <c r="VZO5"/>
      <c r="VZP5"/>
      <c r="VZQ5"/>
      <c r="VZR5"/>
      <c r="VZS5"/>
      <c r="VZT5"/>
      <c r="VZU5"/>
      <c r="VZV5"/>
      <c r="VZW5"/>
      <c r="VZX5"/>
      <c r="VZY5"/>
      <c r="VZZ5"/>
      <c r="WAA5"/>
      <c r="WAB5"/>
      <c r="WAC5"/>
      <c r="WAD5"/>
      <c r="WAE5"/>
      <c r="WAF5"/>
      <c r="WAG5"/>
      <c r="WAH5"/>
      <c r="WAI5"/>
      <c r="WAJ5"/>
      <c r="WAK5"/>
      <c r="WAL5"/>
      <c r="WAM5"/>
      <c r="WAN5"/>
      <c r="WAO5"/>
      <c r="WAP5"/>
      <c r="WAQ5"/>
      <c r="WAR5"/>
      <c r="WAS5"/>
      <c r="WAT5"/>
      <c r="WAU5"/>
      <c r="WAV5"/>
      <c r="WAW5"/>
      <c r="WAX5"/>
      <c r="WAY5"/>
      <c r="WAZ5"/>
      <c r="WBA5"/>
      <c r="WBB5"/>
      <c r="WBC5"/>
      <c r="WBD5"/>
      <c r="WBE5"/>
      <c r="WBF5"/>
      <c r="WBG5"/>
      <c r="WBH5"/>
      <c r="WBI5"/>
      <c r="WBJ5"/>
      <c r="WBK5"/>
      <c r="WBL5"/>
      <c r="WBM5"/>
      <c r="WBN5"/>
      <c r="WBO5"/>
      <c r="WBP5"/>
      <c r="WBQ5"/>
      <c r="WBR5"/>
      <c r="WBS5"/>
      <c r="WBT5"/>
      <c r="WBU5"/>
      <c r="WBV5"/>
      <c r="WBW5"/>
      <c r="WBX5"/>
      <c r="WBY5"/>
      <c r="WBZ5"/>
      <c r="WCA5"/>
      <c r="WCB5"/>
      <c r="WCC5"/>
      <c r="WCD5"/>
      <c r="WCE5"/>
      <c r="WCF5"/>
      <c r="WCG5"/>
      <c r="WCH5"/>
      <c r="WCI5"/>
      <c r="WCJ5"/>
      <c r="WCK5"/>
      <c r="WCL5"/>
      <c r="WCM5"/>
      <c r="WCN5"/>
      <c r="WCO5"/>
      <c r="WCP5"/>
      <c r="WCQ5"/>
      <c r="WCR5"/>
      <c r="WCS5"/>
      <c r="WCT5"/>
      <c r="WCU5"/>
      <c r="WCV5"/>
      <c r="WCW5"/>
      <c r="WCX5"/>
      <c r="WCY5"/>
      <c r="WCZ5"/>
      <c r="WDA5"/>
      <c r="WDB5"/>
      <c r="WDC5"/>
      <c r="WDD5"/>
      <c r="WDE5"/>
      <c r="WDF5"/>
      <c r="WDG5"/>
      <c r="WDH5"/>
      <c r="WDI5"/>
      <c r="WDJ5"/>
      <c r="WDK5"/>
      <c r="WDL5"/>
      <c r="WDM5"/>
      <c r="WDN5"/>
      <c r="WDO5"/>
      <c r="WDP5"/>
      <c r="WDQ5"/>
      <c r="WDR5"/>
      <c r="WDS5"/>
      <c r="WDT5"/>
      <c r="WDU5"/>
      <c r="WDV5"/>
      <c r="WDW5"/>
      <c r="WDX5"/>
      <c r="WDY5"/>
      <c r="WDZ5"/>
      <c r="WEA5"/>
      <c r="WEB5"/>
      <c r="WEC5"/>
      <c r="WED5"/>
      <c r="WEE5"/>
      <c r="WEF5"/>
      <c r="WEG5"/>
      <c r="WEH5"/>
      <c r="WEI5"/>
      <c r="WEJ5"/>
      <c r="WEK5"/>
      <c r="WEL5"/>
      <c r="WEM5"/>
      <c r="WEN5"/>
      <c r="WEO5"/>
      <c r="WEP5"/>
      <c r="WEQ5"/>
      <c r="WER5"/>
      <c r="WES5"/>
      <c r="WET5"/>
      <c r="WEU5"/>
      <c r="WEV5"/>
      <c r="WEW5"/>
      <c r="WEX5"/>
      <c r="WEY5"/>
      <c r="WEZ5"/>
      <c r="WFA5"/>
      <c r="WFB5"/>
      <c r="WFC5"/>
      <c r="WFD5"/>
      <c r="WFE5"/>
      <c r="WFF5"/>
      <c r="WFG5"/>
      <c r="WFH5"/>
      <c r="WFI5"/>
      <c r="WFJ5"/>
      <c r="WFK5"/>
      <c r="WFL5"/>
      <c r="WFM5"/>
      <c r="WFN5"/>
      <c r="WFO5"/>
      <c r="WFP5"/>
      <c r="WFQ5"/>
      <c r="WFR5"/>
      <c r="WFS5"/>
      <c r="WFT5"/>
      <c r="WFU5"/>
      <c r="WFV5"/>
      <c r="WFW5"/>
      <c r="WFX5"/>
      <c r="WFY5"/>
      <c r="WFZ5"/>
      <c r="WGA5"/>
      <c r="WGB5"/>
      <c r="WGC5"/>
      <c r="WGD5"/>
      <c r="WGE5"/>
      <c r="WGF5"/>
      <c r="WGG5"/>
      <c r="WGH5"/>
      <c r="WGI5"/>
      <c r="WGJ5"/>
      <c r="WGK5"/>
      <c r="WGL5"/>
      <c r="WGM5"/>
      <c r="WGN5"/>
      <c r="WGO5"/>
      <c r="WGP5"/>
      <c r="WGQ5"/>
      <c r="WGR5"/>
      <c r="WGS5"/>
      <c r="WGT5"/>
      <c r="WGU5"/>
      <c r="WGV5"/>
      <c r="WGW5"/>
      <c r="WGX5"/>
      <c r="WGY5"/>
      <c r="WGZ5"/>
      <c r="WHA5"/>
      <c r="WHB5"/>
      <c r="WHC5"/>
      <c r="WHD5"/>
      <c r="WHE5"/>
      <c r="WHF5"/>
      <c r="WHG5"/>
      <c r="WHH5"/>
      <c r="WHI5"/>
      <c r="WHJ5"/>
      <c r="WHK5"/>
      <c r="WHL5"/>
      <c r="WHM5"/>
      <c r="WHN5"/>
      <c r="WHO5"/>
      <c r="WHP5"/>
      <c r="WHQ5"/>
      <c r="WHR5"/>
      <c r="WHS5"/>
      <c r="WHT5"/>
      <c r="WHU5"/>
      <c r="WHV5"/>
      <c r="WHW5"/>
      <c r="WHX5"/>
      <c r="WHY5"/>
      <c r="WHZ5"/>
      <c r="WIA5"/>
      <c r="WIB5"/>
      <c r="WIC5"/>
      <c r="WID5"/>
      <c r="WIE5"/>
      <c r="WIF5"/>
      <c r="WIG5"/>
      <c r="WIH5"/>
      <c r="WII5"/>
      <c r="WIJ5"/>
      <c r="WIK5"/>
      <c r="WIL5"/>
      <c r="WIM5"/>
      <c r="WIN5"/>
      <c r="WIO5"/>
      <c r="WIP5"/>
      <c r="WIQ5"/>
      <c r="WIR5"/>
      <c r="WIS5"/>
      <c r="WIT5"/>
      <c r="WIU5"/>
      <c r="WIV5"/>
      <c r="WIW5"/>
      <c r="WIX5"/>
      <c r="WIY5"/>
      <c r="WIZ5"/>
      <c r="WJA5"/>
      <c r="WJB5"/>
      <c r="WJC5"/>
      <c r="WJD5"/>
      <c r="WJE5"/>
      <c r="WJF5"/>
      <c r="WJG5"/>
      <c r="WJH5"/>
      <c r="WJI5"/>
      <c r="WJJ5"/>
      <c r="WJK5"/>
      <c r="WJL5"/>
      <c r="WJM5"/>
      <c r="WJN5"/>
      <c r="WJO5"/>
      <c r="WJP5"/>
      <c r="WJQ5"/>
      <c r="WJR5"/>
      <c r="WJS5"/>
      <c r="WJT5"/>
      <c r="WJU5"/>
      <c r="WJV5"/>
      <c r="WJW5"/>
      <c r="WJX5"/>
      <c r="WJY5"/>
      <c r="WJZ5"/>
      <c r="WKA5"/>
      <c r="WKB5"/>
      <c r="WKC5"/>
      <c r="WKD5"/>
      <c r="WKE5"/>
      <c r="WKF5"/>
      <c r="WKG5"/>
      <c r="WKH5"/>
      <c r="WKI5"/>
      <c r="WKJ5"/>
      <c r="WKK5"/>
      <c r="WKL5"/>
      <c r="WKM5"/>
      <c r="WKN5"/>
      <c r="WKO5"/>
      <c r="WKP5"/>
      <c r="WKQ5"/>
      <c r="WKR5"/>
      <c r="WKS5"/>
      <c r="WKT5"/>
      <c r="WKU5"/>
      <c r="WKV5"/>
      <c r="WKW5"/>
      <c r="WKX5"/>
      <c r="WKY5"/>
      <c r="WKZ5"/>
      <c r="WLA5"/>
      <c r="WLB5"/>
      <c r="WLC5"/>
      <c r="WLD5"/>
      <c r="WLE5"/>
      <c r="WLF5"/>
      <c r="WLG5"/>
      <c r="WLH5"/>
      <c r="WLI5"/>
      <c r="WLJ5"/>
      <c r="WLK5"/>
      <c r="WLL5"/>
      <c r="WLM5"/>
      <c r="WLN5"/>
      <c r="WLO5"/>
      <c r="WLP5"/>
      <c r="WLQ5"/>
      <c r="WLR5"/>
      <c r="WLS5"/>
      <c r="WLT5"/>
      <c r="WLU5"/>
      <c r="WLV5"/>
      <c r="WLW5"/>
      <c r="WLX5"/>
      <c r="WLY5"/>
      <c r="WLZ5"/>
      <c r="WMA5"/>
      <c r="WMB5"/>
      <c r="WMC5"/>
      <c r="WMD5"/>
      <c r="WME5"/>
      <c r="WMF5"/>
      <c r="WMG5"/>
      <c r="WMH5"/>
      <c r="WMI5"/>
      <c r="WMJ5"/>
      <c r="WMK5"/>
      <c r="WML5"/>
      <c r="WMM5"/>
      <c r="WMN5"/>
      <c r="WMO5"/>
      <c r="WMP5"/>
      <c r="WMQ5"/>
      <c r="WMR5"/>
      <c r="WMS5"/>
      <c r="WMT5"/>
      <c r="WMU5"/>
      <c r="WMV5"/>
      <c r="WMW5"/>
      <c r="WMX5"/>
      <c r="WMY5"/>
      <c r="WMZ5"/>
      <c r="WNA5"/>
      <c r="WNB5"/>
      <c r="WNC5"/>
      <c r="WND5"/>
      <c r="WNE5"/>
      <c r="WNF5"/>
      <c r="WNG5"/>
      <c r="WNH5"/>
      <c r="WNI5"/>
      <c r="WNJ5"/>
      <c r="WNK5"/>
      <c r="WNL5"/>
      <c r="WNM5"/>
      <c r="WNN5"/>
      <c r="WNO5"/>
      <c r="WNP5"/>
      <c r="WNQ5"/>
      <c r="WNR5"/>
      <c r="WNS5"/>
      <c r="WNT5"/>
      <c r="WNU5"/>
      <c r="WNV5"/>
      <c r="WNW5"/>
      <c r="WNX5"/>
      <c r="WNY5"/>
      <c r="WNZ5"/>
      <c r="WOA5"/>
      <c r="WOB5"/>
      <c r="WOC5"/>
      <c r="WOD5"/>
      <c r="WOE5"/>
      <c r="WOF5"/>
      <c r="WOG5"/>
      <c r="WOH5"/>
      <c r="WOI5"/>
      <c r="WOJ5"/>
      <c r="WOK5"/>
      <c r="WOL5"/>
      <c r="WOM5"/>
      <c r="WON5"/>
      <c r="WOO5"/>
      <c r="WOP5"/>
      <c r="WOQ5"/>
      <c r="WOR5"/>
      <c r="WOS5"/>
      <c r="WOT5"/>
      <c r="WOU5"/>
      <c r="WOV5"/>
      <c r="WOW5"/>
      <c r="WOX5"/>
      <c r="WOY5"/>
      <c r="WOZ5"/>
      <c r="WPA5"/>
      <c r="WPB5"/>
      <c r="WPC5"/>
      <c r="WPD5"/>
      <c r="WPE5"/>
      <c r="WPF5"/>
      <c r="WPG5"/>
      <c r="WPH5"/>
      <c r="WPI5"/>
      <c r="WPJ5"/>
      <c r="WPK5"/>
      <c r="WPL5"/>
      <c r="WPM5"/>
      <c r="WPN5"/>
      <c r="WPO5"/>
      <c r="WPP5"/>
      <c r="WPQ5"/>
      <c r="WPR5"/>
      <c r="WPS5"/>
      <c r="WPT5"/>
      <c r="WPU5"/>
      <c r="WPV5"/>
      <c r="WPW5"/>
      <c r="WPX5"/>
      <c r="WPY5"/>
      <c r="WPZ5"/>
      <c r="WQA5"/>
      <c r="WQB5"/>
      <c r="WQC5"/>
      <c r="WQD5"/>
      <c r="WQE5"/>
      <c r="WQF5"/>
      <c r="WQG5"/>
      <c r="WQH5"/>
      <c r="WQI5"/>
      <c r="WQJ5"/>
      <c r="WQK5"/>
      <c r="WQL5"/>
      <c r="WQM5"/>
      <c r="WQN5"/>
      <c r="WQO5"/>
      <c r="WQP5"/>
      <c r="WQQ5"/>
      <c r="WQR5"/>
      <c r="WQS5"/>
      <c r="WQT5"/>
      <c r="WQU5"/>
      <c r="WQV5"/>
      <c r="WQW5"/>
      <c r="WQX5"/>
      <c r="WQY5"/>
      <c r="WQZ5"/>
      <c r="WRA5"/>
      <c r="WRB5"/>
      <c r="WRC5"/>
      <c r="WRD5"/>
      <c r="WRE5"/>
      <c r="WRF5"/>
      <c r="WRG5"/>
      <c r="WRH5"/>
      <c r="WRI5"/>
      <c r="WRJ5"/>
      <c r="WRK5"/>
      <c r="WRL5"/>
      <c r="WRM5"/>
      <c r="WRN5"/>
      <c r="WRO5"/>
      <c r="WRP5"/>
      <c r="WRQ5"/>
      <c r="WRR5"/>
      <c r="WRS5"/>
      <c r="WRT5"/>
      <c r="WRU5"/>
      <c r="WRV5"/>
      <c r="WRW5"/>
      <c r="WRX5"/>
      <c r="WRY5"/>
      <c r="WRZ5"/>
      <c r="WSA5"/>
      <c r="WSB5"/>
      <c r="WSC5"/>
      <c r="WSD5"/>
      <c r="WSE5"/>
      <c r="WSF5"/>
      <c r="WSG5"/>
      <c r="WSH5"/>
      <c r="WSI5"/>
      <c r="WSJ5"/>
      <c r="WSK5"/>
      <c r="WSL5"/>
      <c r="WSM5"/>
      <c r="WSN5"/>
      <c r="WSO5"/>
      <c r="WSP5"/>
      <c r="WSQ5"/>
      <c r="WSR5"/>
      <c r="WSS5"/>
      <c r="WST5"/>
      <c r="WSU5"/>
      <c r="WSV5"/>
      <c r="WSW5"/>
      <c r="WSX5"/>
      <c r="WSY5"/>
      <c r="WSZ5"/>
      <c r="WTA5"/>
      <c r="WTB5"/>
      <c r="WTC5"/>
      <c r="WTD5"/>
      <c r="WTE5"/>
      <c r="WTF5"/>
      <c r="WTG5"/>
      <c r="WTH5"/>
      <c r="WTI5"/>
      <c r="WTJ5"/>
      <c r="WTK5"/>
      <c r="WTL5"/>
      <c r="WTM5"/>
      <c r="WTN5"/>
      <c r="WTO5"/>
      <c r="WTP5"/>
      <c r="WTQ5"/>
      <c r="WTR5"/>
      <c r="WTS5"/>
      <c r="WTT5"/>
      <c r="WTU5"/>
      <c r="WTV5"/>
      <c r="WTW5"/>
      <c r="WTX5"/>
      <c r="WTY5"/>
      <c r="WTZ5"/>
      <c r="WUA5"/>
      <c r="WUB5"/>
      <c r="WUC5"/>
      <c r="WUD5"/>
      <c r="WUE5"/>
      <c r="WUF5"/>
      <c r="WUG5"/>
      <c r="WUH5"/>
      <c r="WUI5"/>
      <c r="WUJ5"/>
      <c r="WUK5"/>
      <c r="WUL5"/>
      <c r="WUM5"/>
      <c r="WUN5"/>
      <c r="WUO5"/>
      <c r="WUP5"/>
      <c r="WUQ5"/>
      <c r="WUR5"/>
      <c r="WUS5"/>
      <c r="WUT5"/>
      <c r="WUU5"/>
      <c r="WUV5"/>
      <c r="WUW5"/>
      <c r="WUX5"/>
      <c r="WUY5"/>
      <c r="WUZ5"/>
      <c r="WVA5"/>
      <c r="WVB5"/>
      <c r="WVC5"/>
      <c r="WVD5"/>
      <c r="WVE5"/>
      <c r="WVF5"/>
      <c r="WVG5"/>
      <c r="WVH5"/>
      <c r="WVI5"/>
      <c r="WVJ5"/>
      <c r="WVK5"/>
      <c r="WVL5"/>
      <c r="WVM5"/>
      <c r="WVN5"/>
      <c r="WVO5"/>
      <c r="WVP5"/>
      <c r="WVQ5"/>
      <c r="WVR5"/>
      <c r="WVS5"/>
      <c r="WVT5"/>
      <c r="WVU5"/>
      <c r="WVV5"/>
      <c r="WVW5"/>
      <c r="WVX5"/>
      <c r="WVY5"/>
      <c r="WVZ5"/>
      <c r="WWA5"/>
      <c r="WWB5"/>
      <c r="WWC5"/>
      <c r="WWD5"/>
      <c r="WWE5"/>
      <c r="WWF5"/>
      <c r="WWG5"/>
      <c r="WWH5"/>
      <c r="WWI5"/>
      <c r="WWJ5"/>
      <c r="WWK5"/>
      <c r="WWL5"/>
      <c r="WWM5"/>
      <c r="WWN5"/>
      <c r="WWO5"/>
      <c r="WWP5"/>
      <c r="WWQ5"/>
      <c r="WWR5"/>
      <c r="WWS5"/>
      <c r="WWT5"/>
      <c r="WWU5"/>
      <c r="WWV5"/>
      <c r="WWW5"/>
      <c r="WWX5"/>
      <c r="WWY5"/>
      <c r="WWZ5"/>
      <c r="WXA5"/>
      <c r="WXB5"/>
      <c r="WXC5"/>
      <c r="WXD5"/>
      <c r="WXE5"/>
      <c r="WXF5"/>
      <c r="WXG5"/>
      <c r="WXH5"/>
      <c r="WXI5"/>
      <c r="WXJ5"/>
      <c r="WXK5"/>
      <c r="WXL5"/>
      <c r="WXM5"/>
      <c r="WXN5"/>
      <c r="WXO5"/>
      <c r="WXP5"/>
      <c r="WXQ5"/>
      <c r="WXR5"/>
      <c r="WXS5"/>
      <c r="WXT5"/>
      <c r="WXU5"/>
      <c r="WXV5"/>
      <c r="WXW5"/>
      <c r="WXX5"/>
      <c r="WXY5"/>
      <c r="WXZ5"/>
      <c r="WYA5"/>
      <c r="WYB5"/>
      <c r="WYC5"/>
      <c r="WYD5"/>
      <c r="WYE5"/>
      <c r="WYF5"/>
      <c r="WYG5"/>
      <c r="WYH5"/>
      <c r="WYI5"/>
      <c r="WYJ5"/>
      <c r="WYK5"/>
      <c r="WYL5"/>
      <c r="WYM5"/>
      <c r="WYN5"/>
      <c r="WYO5"/>
      <c r="WYP5"/>
      <c r="WYQ5"/>
      <c r="WYR5"/>
      <c r="WYS5"/>
      <c r="WYT5"/>
      <c r="WYU5"/>
      <c r="WYV5"/>
      <c r="WYW5"/>
      <c r="WYX5"/>
      <c r="WYY5"/>
      <c r="WYZ5"/>
      <c r="WZA5"/>
      <c r="WZB5"/>
      <c r="WZC5"/>
      <c r="WZD5"/>
      <c r="WZE5"/>
      <c r="WZF5"/>
      <c r="WZG5"/>
      <c r="WZH5"/>
      <c r="WZI5"/>
      <c r="WZJ5"/>
      <c r="WZK5"/>
      <c r="WZL5"/>
      <c r="WZM5"/>
      <c r="WZN5"/>
      <c r="WZO5"/>
      <c r="WZP5"/>
      <c r="WZQ5"/>
      <c r="WZR5"/>
      <c r="WZS5"/>
      <c r="WZT5"/>
      <c r="WZU5"/>
      <c r="WZV5"/>
      <c r="WZW5"/>
      <c r="WZX5"/>
      <c r="WZY5"/>
      <c r="WZZ5"/>
      <c r="XAA5"/>
      <c r="XAB5"/>
      <c r="XAC5"/>
      <c r="XAD5"/>
      <c r="XAE5"/>
      <c r="XAF5"/>
      <c r="XAG5"/>
      <c r="XAH5"/>
      <c r="XAI5"/>
      <c r="XAJ5"/>
      <c r="XAK5"/>
      <c r="XAL5"/>
      <c r="XAM5"/>
      <c r="XAN5"/>
      <c r="XAO5"/>
      <c r="XAP5"/>
      <c r="XAQ5"/>
      <c r="XAR5"/>
      <c r="XAS5"/>
      <c r="XAT5"/>
      <c r="XAU5"/>
      <c r="XAV5"/>
      <c r="XAW5"/>
      <c r="XAX5"/>
      <c r="XAY5"/>
      <c r="XAZ5"/>
      <c r="XBA5"/>
      <c r="XBB5"/>
      <c r="XBC5"/>
      <c r="XBD5"/>
      <c r="XBE5"/>
      <c r="XBF5"/>
      <c r="XBG5"/>
      <c r="XBH5"/>
      <c r="XBI5"/>
      <c r="XBJ5"/>
      <c r="XBK5"/>
      <c r="XBL5"/>
      <c r="XBM5"/>
      <c r="XBN5"/>
      <c r="XBO5"/>
      <c r="XBP5"/>
      <c r="XBQ5"/>
      <c r="XBR5"/>
      <c r="XBS5"/>
      <c r="XBT5"/>
      <c r="XBU5"/>
      <c r="XBV5"/>
      <c r="XBW5"/>
      <c r="XBX5"/>
      <c r="XBY5"/>
      <c r="XBZ5"/>
      <c r="XCA5"/>
      <c r="XCB5"/>
      <c r="XCC5"/>
      <c r="XCD5"/>
      <c r="XCE5"/>
      <c r="XCF5"/>
      <c r="XCG5"/>
      <c r="XCH5"/>
      <c r="XCI5"/>
      <c r="XCJ5"/>
      <c r="XCK5"/>
      <c r="XCL5"/>
      <c r="XCM5"/>
      <c r="XCN5"/>
      <c r="XCO5"/>
      <c r="XCP5"/>
      <c r="XCQ5"/>
      <c r="XCR5"/>
      <c r="XCS5"/>
      <c r="XCT5"/>
      <c r="XCU5"/>
      <c r="XCV5"/>
      <c r="XCW5"/>
      <c r="XCX5"/>
      <c r="XCY5"/>
      <c r="XCZ5"/>
      <c r="XDA5"/>
      <c r="XDB5"/>
      <c r="XDC5"/>
      <c r="XDD5"/>
      <c r="XDE5"/>
      <c r="XDF5"/>
      <c r="XDG5"/>
      <c r="XDH5"/>
      <c r="XDI5"/>
      <c r="XDJ5"/>
      <c r="XDK5"/>
      <c r="XDL5"/>
      <c r="XDM5"/>
      <c r="XDN5"/>
      <c r="XDO5"/>
      <c r="XDP5"/>
      <c r="XDQ5"/>
      <c r="XDR5"/>
      <c r="XDS5"/>
      <c r="XDT5"/>
      <c r="XDU5"/>
      <c r="XDV5"/>
      <c r="XDW5"/>
      <c r="XDX5"/>
      <c r="XDY5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pans="1:342 14982:16384">
      <c r="A6" s="61" t="s">
        <v>24</v>
      </c>
      <c r="B6" s="2">
        <f>[1]Decembre17!AI5</f>
        <v>336.99</v>
      </c>
      <c r="C6" s="2">
        <f t="shared" ref="C6:R6" si="21">B6</f>
        <v>336.99</v>
      </c>
      <c r="D6" s="2">
        <f t="shared" si="21"/>
        <v>336.99</v>
      </c>
      <c r="E6" s="2">
        <f t="shared" si="21"/>
        <v>336.99</v>
      </c>
      <c r="F6" s="2">
        <f t="shared" si="21"/>
        <v>336.99</v>
      </c>
      <c r="G6" s="2">
        <f t="shared" si="21"/>
        <v>336.99</v>
      </c>
      <c r="H6" s="2">
        <f t="shared" si="21"/>
        <v>336.99</v>
      </c>
      <c r="I6" s="20">
        <f t="shared" si="21"/>
        <v>336.99</v>
      </c>
      <c r="J6" s="20">
        <f t="shared" si="21"/>
        <v>336.99</v>
      </c>
      <c r="K6" s="20">
        <v>336.99</v>
      </c>
      <c r="L6" s="20">
        <f t="shared" si="21"/>
        <v>336.99</v>
      </c>
      <c r="M6" s="20">
        <f t="shared" si="21"/>
        <v>336.99</v>
      </c>
      <c r="N6" s="20">
        <f t="shared" si="21"/>
        <v>336.99</v>
      </c>
      <c r="O6" s="20">
        <f t="shared" si="21"/>
        <v>336.99</v>
      </c>
      <c r="P6" s="20">
        <f t="shared" si="21"/>
        <v>336.99</v>
      </c>
      <c r="Q6" s="20">
        <f t="shared" si="21"/>
        <v>336.99</v>
      </c>
      <c r="R6" s="20">
        <f t="shared" si="21"/>
        <v>336.99</v>
      </c>
      <c r="S6" s="20">
        <f t="shared" ref="S6:AG6" si="22">R6</f>
        <v>336.99</v>
      </c>
      <c r="T6" s="20">
        <f t="shared" si="22"/>
        <v>336.99</v>
      </c>
      <c r="U6" s="20">
        <f t="shared" si="22"/>
        <v>336.99</v>
      </c>
      <c r="V6" s="20">
        <f t="shared" si="22"/>
        <v>336.99</v>
      </c>
      <c r="W6" s="20">
        <f t="shared" si="22"/>
        <v>336.99</v>
      </c>
      <c r="X6" s="20">
        <f t="shared" si="22"/>
        <v>336.99</v>
      </c>
      <c r="Y6" s="20">
        <f t="shared" si="22"/>
        <v>336.99</v>
      </c>
      <c r="Z6" s="20">
        <f t="shared" si="22"/>
        <v>336.99</v>
      </c>
      <c r="AA6" s="20">
        <f t="shared" si="22"/>
        <v>336.99</v>
      </c>
      <c r="AB6" s="20">
        <f t="shared" si="22"/>
        <v>336.99</v>
      </c>
      <c r="AC6" s="20">
        <f t="shared" si="22"/>
        <v>336.99</v>
      </c>
      <c r="AD6" s="20">
        <f t="shared" si="22"/>
        <v>336.99</v>
      </c>
      <c r="AE6" s="20">
        <f t="shared" si="22"/>
        <v>336.99</v>
      </c>
      <c r="AF6" s="20">
        <f t="shared" si="22"/>
        <v>336.99</v>
      </c>
      <c r="AG6" s="21">
        <f t="shared" si="22"/>
        <v>336.99</v>
      </c>
    </row>
    <row r="7" spans="1:342 14982:16384" s="78" customFormat="1">
      <c r="A7" s="75" t="s">
        <v>25</v>
      </c>
      <c r="B7" s="76">
        <f>[1]Decembre17!AI6</f>
        <v>21081.89</v>
      </c>
      <c r="C7" s="77">
        <f>IF('compte janvier'!L6=janvier18!C26,SUMIFS(montant,libelle,Table1[[#This Row],[Colonne35]],Datevaleur,C26,sens,"D")+Table1[[#This Row],[Colonne4]])+IF(C26='compte janvier'!L6,'compte janvier'!K6,Table1[[#This Row],[Colonne4]])</f>
        <v>21081.89</v>
      </c>
      <c r="D7" s="96">
        <f>IF(D26,SUMIFS(montant,libelle,Table1[[#This Row],[Colonne5]],Datevaleur,D26,sens,"D")+Table1[[#This Row],[Colonne5]]+SUMIFS(sommejanvier,datejanvier,D26,placementsjanvier,$A$7),Table1[[#This Row],[Colonne5]])</f>
        <v>21081.89</v>
      </c>
      <c r="E7" s="96">
        <f>IF(E26,SUMIFS(montant,libelle,Table1[[#This Row],[Colonne6]],Datevaleur,E26,sens,"D")+Table1[[#This Row],[Colonne6]]+SUMIFS(sommejanvier,datejanvier,E26,placementsjanvier,$A$7),Table1[[#This Row],[Colonne6]])</f>
        <v>21237.02</v>
      </c>
      <c r="F7" s="96">
        <f>IF(F26,SUMIFS(montant,libelle,Table1[[#This Row],[Colonne7]],Datevaleur,F26,sens,"D")+Table1[[#This Row],[Colonne7]]+SUMIFS(sommejanvier,datejanvier,F26,placementsjanvier,$A$7),Table1[[#This Row],[Colonne7]])</f>
        <v>21237.02</v>
      </c>
      <c r="G7" s="96">
        <f>IF(G26,SUMIFS(montant,libelle,Table1[[#This Row],[Colonne8]],Datevaleur,G26,sens,"D")+Table1[[#This Row],[Colonne8]]+SUMIFS(sommejanvier,datejanvier,G26,placementsjanvier,$A$7),Table1[[#This Row],[Colonne8]])</f>
        <v>21237.02</v>
      </c>
      <c r="H7" s="96">
        <f>IF(H26,SUMIFS(montant,libelle,Table1[[#This Row],[Colonne9]],Datevaleur,H26,sens,"D")+Table1[[#This Row],[Colonne9]]+SUMIFS(sommejanvier,datejanvier,H26,placementsjanvier,$A$7),Table1[[#This Row],[Colonne9]])</f>
        <v>21237.02</v>
      </c>
      <c r="I7" s="96">
        <f>IF(I26,SUMIFS(montant,libelle,Table1[[#This Row],[Colonne10]],Datevaleur,I26,sens,"D")+Table1[[#This Row],[Colonne10]]+SUMIFS(sommejanvier,datejanvier,I26,placementsjanvier,$A$7),Table1[[#This Row],[Colonne10]])</f>
        <v>21237.02</v>
      </c>
      <c r="J7" s="96">
        <f>IF(J26,SUMIFS(montant,libelle,Table1[[#This Row],[Colonne11]],Datevaleur,J26,sens,"D")+Table1[[#This Row],[Colonne11]]+SUMIFS(sommejanvier,datejanvier,J26,placementsjanvier,$A$7),Table1[[#This Row],[Colonne11]])</f>
        <v>21237.02</v>
      </c>
      <c r="K7" s="96">
        <f>IF(K26,SUMIFS(montant,libelle,Table1[[#This Row],[Colonne12]],Datevaleur,K26,sens,"D")+Table1[[#This Row],[Colonne12]]+SUMIFS(sommejanvier,datejanvier,K26,placementsjanvier,$A$7),Table1[[#This Row],[Colonne12]])</f>
        <v>21237.02</v>
      </c>
      <c r="L7" s="96">
        <f>IF(L26,SUMIFS(montant,libelle,Table1[[#This Row],[Colonne13]],Datevaleur,L26,sens,"D")+Table1[[#This Row],[Colonne13]]+SUMIFS(sommejanvier,datejanvier,L26,placementsjanvier,$A$7),Table1[[#This Row],[Colonne13]])</f>
        <v>21237.02</v>
      </c>
      <c r="M7" s="96">
        <f>IF(M26,SUMIFS(montant,libelle,Table1[[#This Row],[Colonne14]],Datevaleur,M26,sens,"D")+Table1[[#This Row],[Colonne14]]+SUMIFS(sommejanvier,datejanvier,M26,placementsjanvier,$A$7),Table1[[#This Row],[Colonne14]])</f>
        <v>21237.02</v>
      </c>
      <c r="N7" s="96">
        <f>IF(N26,SUMIFS(montant,libelle,Table1[[#This Row],[Colonne15]],Datevaleur,N26,sens,"D")+Table1[[#This Row],[Colonne15]]+SUMIFS(sommejanvier,datejanvier,N26,placementsjanvier,$A$7),Table1[[#This Row],[Colonne15]])</f>
        <v>21237.02</v>
      </c>
      <c r="O7" s="96">
        <f>IF(O26,SUMIFS(montant,libelle,Table1[[#This Row],[Colonne16]],Datevaleur,O26,sens,"D")+Table1[[#This Row],[Colonne16]]+SUMIFS(sommejanvier,datejanvier,O26,placementsjanvier,$A$7),Table1[[#This Row],[Colonne16]])</f>
        <v>21237.02</v>
      </c>
      <c r="P7" s="96">
        <f>IF(P26,SUMIFS(montant,libelle,Table1[[#This Row],[Colonne17]],Datevaleur,P26,sens,"D")+Table1[[#This Row],[Colonne17]]+SUMIFS(sommejanvier,datejanvier,P26,placementsjanvier,$A$7),Table1[[#This Row],[Colonne17]])</f>
        <v>21237.02</v>
      </c>
      <c r="Q7" s="96">
        <f>IF(Q26,SUMIFS(montant,libelle,Table1[[#This Row],[Colonne18]],Datevaleur,Q26,sens,"D")+Table1[[#This Row],[Colonne18]]+SUMIFS(sommejanvier,datejanvier,Q26,placementsjanvier,$A$7),Table1[[#This Row],[Colonne18]])</f>
        <v>21237.02</v>
      </c>
      <c r="R7" s="96">
        <f>IF(R26,SUMIFS(montant,libelle,Table1[[#This Row],[Colonne19]],Datevaleur,R26,sens,"D")+Table1[[#This Row],[Colonne19]]+SUMIFS(sommejanvier,datejanvier,R26,placementsjanvier,$A$7),Table1[[#This Row],[Colonne19]])</f>
        <v>21237.02</v>
      </c>
      <c r="S7" s="96">
        <f>IF(S26,SUMIFS(montant,libelle,Table1[[#This Row],[Colonne20]],Datevaleur,S26,sens,"D")+Table1[[#This Row],[Colonne20]]+SUMIFS(sommejanvier,datejanvier,S26,placementsjanvier,$A$7),Table1[[#This Row],[Colonne20]])</f>
        <v>21237.02</v>
      </c>
      <c r="T7" s="96">
        <f>IF(T26,SUMIFS(montant,libelle,Table1[[#This Row],[Colonne21]],Datevaleur,T26,sens,"D")+Table1[[#This Row],[Colonne21]]+SUMIFS(sommejanvier,datejanvier,T26,placementsjanvier,$A$7),Table1[[#This Row],[Colonne21]])</f>
        <v>21287.02</v>
      </c>
      <c r="U7" s="96">
        <f>IF(U26,SUMIFS(montant,libelle,Table1[[#This Row],[Colonne22]],Datevaleur,U26,sens,"D")+Table1[[#This Row],[Colonne22]]+SUMIFS(sommejanvier,datejanvier,U26,placementsjanvier,$A$7),Table1[[#This Row],[Colonne22]])</f>
        <v>21287.02</v>
      </c>
      <c r="V7" s="96">
        <f>IF(V26,SUMIFS(montant,libelle,Table1[[#This Row],[Colonne23]],Datevaleur,V26,sens,"D")+Table1[[#This Row],[Colonne23]]+SUMIFS(sommejanvier,datejanvier,V26,placementsjanvier,$A$7),Table1[[#This Row],[Colonne23]])</f>
        <v>21287.02</v>
      </c>
      <c r="W7" s="96">
        <f>IF(W26,SUMIFS(montant,libelle,Table1[[#This Row],[Colonne24]],Datevaleur,W26,sens,"D")+Table1[[#This Row],[Colonne24]]+SUMIFS(sommejanvier,datejanvier,W26,placementsjanvier,$A$7),Table1[[#This Row],[Colonne24]])</f>
        <v>21287.02</v>
      </c>
      <c r="X7" s="96">
        <f>IF(X26,SUMIFS(montant,libelle,Table1[[#This Row],[Colonne25]],Datevaleur,X26,sens,"D")+Table1[[#This Row],[Colonne25]]+SUMIFS(sommejanvier,datejanvier,X26,placementsjanvier,$A$7),Table1[[#This Row],[Colonne25]])</f>
        <v>21287.02</v>
      </c>
      <c r="Y7" s="96">
        <f>IF(Y26,SUMIFS(montant,libelle,Table1[[#This Row],[Colonne26]],Datevaleur,Y26,sens,"D")+Table1[[#This Row],[Colonne26]]+SUMIFS(sommejanvier,datejanvier,Y26,placementsjanvier,$A$7),Table1[[#This Row],[Colonne26]])</f>
        <v>21287.02</v>
      </c>
      <c r="Z7" s="96">
        <f>IF(Z26,SUMIFS(montant,libelle,Table1[[#This Row],[Colonne27]],Datevaleur,Z26,sens,"D")+Table1[[#This Row],[Colonne27]]+SUMIFS(sommejanvier,datejanvier,Z26,placementsjanvier,$A$7),Table1[[#This Row],[Colonne27]])</f>
        <v>21287.02</v>
      </c>
      <c r="AA7" s="96">
        <f>IF(AA26,SUMIFS(montant,libelle,Table1[[#This Row],[Colonne28]],Datevaleur,AA26,sens,"D")+Table1[[#This Row],[Colonne28]]+SUMIFS(sommejanvier,datejanvier,AA26,placementsjanvier,$A$7),Table1[[#This Row],[Colonne28]])</f>
        <v>21287.02</v>
      </c>
      <c r="AB7" s="96">
        <f>IF(AB26,SUMIFS(montant,libelle,Table1[[#This Row],[Colonne29]],Datevaleur,AB26,sens,"D")+Table1[[#This Row],[Colonne29]]+SUMIFS(sommejanvier,datejanvier,AB26,placementsjanvier,$A$7),Table1[[#This Row],[Colonne29]])</f>
        <v>21287.02</v>
      </c>
      <c r="AC7" s="96">
        <f>IF(AC26,SUMIFS(montant,libelle,Table1[[#This Row],[Colonne30]],Datevaleur,AC26,sens,"D")+Table1[[#This Row],[Colonne30]]+SUMIFS(sommejanvier,datejanvier,AC26,placementsjanvier,$A$7),Table1[[#This Row],[Colonne30]])</f>
        <v>21287.02</v>
      </c>
      <c r="AD7" s="96">
        <f>IF(AD26,SUMIFS(montant,libelle,Table1[[#This Row],[Colonne31]],Datevaleur,AD26,sens,"D")+Table1[[#This Row],[Colonne31]]+SUMIFS(sommejanvier,datejanvier,AD26,placementsjanvier,$A$7),Table1[[#This Row],[Colonne31]])</f>
        <v>21287.02</v>
      </c>
      <c r="AE7" s="96">
        <f>IF(AE26,SUMIFS(montant,libelle,Table1[[#This Row],[Colonne32]],Datevaleur,AE26,sens,"D")+Table1[[#This Row],[Colonne32]]+SUMIFS(sommejanvier,datejanvier,AE26,placementsjanvier,$A$7),Table1[[#This Row],[Colonne32]])</f>
        <v>21287.02</v>
      </c>
      <c r="AF7" s="96">
        <f>IF(AF26,SUMIFS(montant,libelle,Table1[[#This Row],[Colonne33]],Datevaleur,AF26,sens,"D")+Table1[[#This Row],[Colonne33]]+SUMIFS(sommejanvier,datejanvier,AF26,placementsjanvier,$A$7),Table1[[#This Row],[Colonne33]])</f>
        <v>21287.02</v>
      </c>
      <c r="AG7" s="96">
        <f>IF(AG26,SUMIFS(montant,libelle,Table1[[#This Row],[Colonne34]],Datevaleur,AG26,sens,"D")+Table1[[#This Row],[Colonne34]]+SUMIFS(sommejanvier,datejanvier,AG26,placementsjanvier,$A$7),Table1[[#This Row],[Colonne34]])</f>
        <v>21287.02</v>
      </c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VDF7"/>
      <c r="VDG7"/>
      <c r="VDH7"/>
      <c r="VDI7"/>
      <c r="VDJ7"/>
      <c r="VDK7"/>
      <c r="VDL7"/>
      <c r="VDM7"/>
      <c r="VDN7"/>
      <c r="VDO7"/>
      <c r="VDP7"/>
      <c r="VDQ7"/>
      <c r="VDR7"/>
      <c r="VDS7"/>
      <c r="VDT7"/>
      <c r="VDU7"/>
      <c r="VDV7"/>
      <c r="VDW7"/>
      <c r="VDX7"/>
      <c r="VDY7"/>
      <c r="VDZ7"/>
      <c r="VEA7"/>
      <c r="VEB7"/>
      <c r="VEC7"/>
      <c r="VED7"/>
      <c r="VEE7"/>
      <c r="VEF7"/>
      <c r="VEG7"/>
      <c r="VEH7"/>
      <c r="VEI7"/>
      <c r="VEJ7"/>
      <c r="VEK7"/>
      <c r="VEL7"/>
      <c r="VEM7"/>
      <c r="VEN7"/>
      <c r="VEO7"/>
      <c r="VEP7"/>
      <c r="VEQ7"/>
      <c r="VER7"/>
      <c r="VES7"/>
      <c r="VET7"/>
      <c r="VEU7"/>
      <c r="VEV7"/>
      <c r="VEW7"/>
      <c r="VEX7"/>
      <c r="VEY7"/>
      <c r="VEZ7"/>
      <c r="VFA7"/>
      <c r="VFB7"/>
      <c r="VFC7"/>
      <c r="VFD7"/>
      <c r="VFE7"/>
      <c r="VFF7"/>
      <c r="VFG7"/>
      <c r="VFH7"/>
      <c r="VFI7"/>
      <c r="VFJ7"/>
      <c r="VFK7"/>
      <c r="VFL7"/>
      <c r="VFM7"/>
      <c r="VFN7"/>
      <c r="VFO7"/>
      <c r="VFP7"/>
      <c r="VFQ7"/>
      <c r="VFR7"/>
      <c r="VFS7"/>
      <c r="VFT7"/>
      <c r="VFU7"/>
      <c r="VFV7"/>
      <c r="VFW7"/>
      <c r="VFX7"/>
      <c r="VFY7"/>
      <c r="VFZ7"/>
      <c r="VGA7"/>
      <c r="VGB7"/>
      <c r="VGC7"/>
      <c r="VGD7"/>
      <c r="VGE7"/>
      <c r="VGF7"/>
      <c r="VGG7"/>
      <c r="VGH7"/>
      <c r="VGI7"/>
      <c r="VGJ7"/>
      <c r="VGK7"/>
      <c r="VGL7"/>
      <c r="VGM7"/>
      <c r="VGN7"/>
      <c r="VGO7"/>
      <c r="VGP7"/>
      <c r="VGQ7"/>
      <c r="VGR7"/>
      <c r="VGS7"/>
      <c r="VGT7"/>
      <c r="VGU7"/>
      <c r="VGV7"/>
      <c r="VGW7"/>
      <c r="VGX7"/>
      <c r="VGY7"/>
      <c r="VGZ7"/>
      <c r="VHA7"/>
      <c r="VHB7"/>
      <c r="VHC7"/>
      <c r="VHD7"/>
      <c r="VHE7"/>
      <c r="VHF7"/>
      <c r="VHG7"/>
      <c r="VHH7"/>
      <c r="VHI7"/>
      <c r="VHJ7"/>
      <c r="VHK7"/>
      <c r="VHL7"/>
      <c r="VHM7"/>
      <c r="VHN7"/>
      <c r="VHO7"/>
      <c r="VHP7"/>
      <c r="VHQ7"/>
      <c r="VHR7"/>
      <c r="VHS7"/>
      <c r="VHT7"/>
      <c r="VHU7"/>
      <c r="VHV7"/>
      <c r="VHW7"/>
      <c r="VHX7"/>
      <c r="VHY7"/>
      <c r="VHZ7"/>
      <c r="VIA7"/>
      <c r="VIB7"/>
      <c r="VIC7"/>
      <c r="VID7"/>
      <c r="VIE7"/>
      <c r="VIF7"/>
      <c r="VIG7"/>
      <c r="VIH7"/>
      <c r="VII7"/>
      <c r="VIJ7"/>
      <c r="VIK7"/>
      <c r="VIL7"/>
      <c r="VIM7"/>
      <c r="VIN7"/>
      <c r="VIO7"/>
      <c r="VIP7"/>
      <c r="VIQ7"/>
      <c r="VIR7"/>
      <c r="VIS7"/>
      <c r="VIT7"/>
      <c r="VIU7"/>
      <c r="VIV7"/>
      <c r="VIW7"/>
      <c r="VIX7"/>
      <c r="VIY7"/>
      <c r="VIZ7"/>
      <c r="VJA7"/>
      <c r="VJB7"/>
      <c r="VJC7"/>
      <c r="VJD7"/>
      <c r="VJE7"/>
      <c r="VJF7"/>
      <c r="VJG7"/>
      <c r="VJH7"/>
      <c r="VJI7"/>
      <c r="VJJ7"/>
      <c r="VJK7"/>
      <c r="VJL7"/>
      <c r="VJM7"/>
      <c r="VJN7"/>
      <c r="VJO7"/>
      <c r="VJP7"/>
      <c r="VJQ7"/>
      <c r="VJR7"/>
      <c r="VJS7"/>
      <c r="VJT7"/>
      <c r="VJU7"/>
      <c r="VJV7"/>
      <c r="VJW7"/>
      <c r="VJX7"/>
      <c r="VJY7"/>
      <c r="VJZ7"/>
      <c r="VKA7"/>
      <c r="VKB7"/>
      <c r="VKC7"/>
      <c r="VKD7"/>
      <c r="VKE7"/>
      <c r="VKF7"/>
      <c r="VKG7"/>
      <c r="VKH7"/>
      <c r="VKI7"/>
      <c r="VKJ7"/>
      <c r="VKK7"/>
      <c r="VKL7"/>
      <c r="VKM7"/>
      <c r="VKN7"/>
      <c r="VKO7"/>
      <c r="VKP7"/>
      <c r="VKQ7"/>
      <c r="VKR7"/>
      <c r="VKS7"/>
      <c r="VKT7"/>
      <c r="VKU7"/>
      <c r="VKV7"/>
      <c r="VKW7"/>
      <c r="VKX7"/>
      <c r="VKY7"/>
      <c r="VKZ7"/>
      <c r="VLA7"/>
      <c r="VLB7"/>
      <c r="VLC7"/>
      <c r="VLD7"/>
      <c r="VLE7"/>
      <c r="VLF7"/>
      <c r="VLG7"/>
      <c r="VLH7"/>
      <c r="VLI7"/>
      <c r="VLJ7"/>
      <c r="VLK7"/>
      <c r="VLL7"/>
      <c r="VLM7"/>
      <c r="VLN7"/>
      <c r="VLO7"/>
      <c r="VLP7"/>
      <c r="VLQ7"/>
      <c r="VLR7"/>
      <c r="VLS7"/>
      <c r="VLT7"/>
      <c r="VLU7"/>
      <c r="VLV7"/>
      <c r="VLW7"/>
      <c r="VLX7"/>
      <c r="VLY7"/>
      <c r="VLZ7"/>
      <c r="VMA7"/>
      <c r="VMB7"/>
      <c r="VMC7"/>
      <c r="VMD7"/>
      <c r="VME7"/>
      <c r="VMF7"/>
      <c r="VMG7"/>
      <c r="VMH7"/>
      <c r="VMI7"/>
      <c r="VMJ7"/>
      <c r="VMK7"/>
      <c r="VML7"/>
      <c r="VMM7"/>
      <c r="VMN7"/>
      <c r="VMO7"/>
      <c r="VMP7"/>
      <c r="VMQ7"/>
      <c r="VMR7"/>
      <c r="VMS7"/>
      <c r="VMT7"/>
      <c r="VMU7"/>
      <c r="VMV7"/>
      <c r="VMW7"/>
      <c r="VMX7"/>
      <c r="VMY7"/>
      <c r="VMZ7"/>
      <c r="VNA7"/>
      <c r="VNB7"/>
      <c r="VNC7"/>
      <c r="VND7"/>
      <c r="VNE7"/>
      <c r="VNF7"/>
      <c r="VNG7"/>
      <c r="VNH7"/>
      <c r="VNI7"/>
      <c r="VNJ7"/>
      <c r="VNK7"/>
      <c r="VNL7"/>
      <c r="VNM7"/>
      <c r="VNN7"/>
      <c r="VNO7"/>
      <c r="VNP7"/>
      <c r="VNQ7"/>
      <c r="VNR7"/>
      <c r="VNS7"/>
      <c r="VNT7"/>
      <c r="VNU7"/>
      <c r="VNV7"/>
      <c r="VNW7"/>
      <c r="VNX7"/>
      <c r="VNY7"/>
      <c r="VNZ7"/>
      <c r="VOA7"/>
      <c r="VOB7"/>
      <c r="VOC7"/>
      <c r="VOD7"/>
      <c r="VOE7"/>
      <c r="VOF7"/>
      <c r="VOG7"/>
      <c r="VOH7"/>
      <c r="VOI7"/>
      <c r="VOJ7"/>
      <c r="VOK7"/>
      <c r="VOL7"/>
      <c r="VOM7"/>
      <c r="VON7"/>
      <c r="VOO7"/>
      <c r="VOP7"/>
      <c r="VOQ7"/>
      <c r="VOR7"/>
      <c r="VOS7"/>
      <c r="VOT7"/>
      <c r="VOU7"/>
      <c r="VOV7"/>
      <c r="VOW7"/>
      <c r="VOX7"/>
      <c r="VOY7"/>
      <c r="VOZ7"/>
      <c r="VPA7"/>
      <c r="VPB7"/>
      <c r="VPC7"/>
      <c r="VPD7"/>
      <c r="VPE7"/>
      <c r="VPF7"/>
      <c r="VPG7"/>
      <c r="VPH7"/>
      <c r="VPI7"/>
      <c r="VPJ7"/>
      <c r="VPK7"/>
      <c r="VPL7"/>
      <c r="VPM7"/>
      <c r="VPN7"/>
      <c r="VPO7"/>
      <c r="VPP7"/>
      <c r="VPQ7"/>
      <c r="VPR7"/>
      <c r="VPS7"/>
      <c r="VPT7"/>
      <c r="VPU7"/>
      <c r="VPV7"/>
      <c r="VPW7"/>
      <c r="VPX7"/>
      <c r="VPY7"/>
      <c r="VPZ7"/>
      <c r="VQA7"/>
      <c r="VQB7"/>
      <c r="VQC7"/>
      <c r="VQD7"/>
      <c r="VQE7"/>
      <c r="VQF7"/>
      <c r="VQG7"/>
      <c r="VQH7"/>
      <c r="VQI7"/>
      <c r="VQJ7"/>
      <c r="VQK7"/>
      <c r="VQL7"/>
      <c r="VQM7"/>
      <c r="VQN7"/>
      <c r="VQO7"/>
      <c r="VQP7"/>
      <c r="VQQ7"/>
      <c r="VQR7"/>
      <c r="VQS7"/>
      <c r="VQT7"/>
      <c r="VQU7"/>
      <c r="VQV7"/>
      <c r="VQW7"/>
      <c r="VQX7"/>
      <c r="VQY7"/>
      <c r="VQZ7"/>
      <c r="VRA7"/>
      <c r="VRB7"/>
      <c r="VRC7"/>
      <c r="VRD7"/>
      <c r="VRE7"/>
      <c r="VRF7"/>
      <c r="VRG7"/>
      <c r="VRH7"/>
      <c r="VRI7"/>
      <c r="VRJ7"/>
      <c r="VRK7"/>
      <c r="VRL7"/>
      <c r="VRM7"/>
      <c r="VRN7"/>
      <c r="VRO7"/>
      <c r="VRP7"/>
      <c r="VRQ7"/>
      <c r="VRR7"/>
      <c r="VRS7"/>
      <c r="VRT7"/>
      <c r="VRU7"/>
      <c r="VRV7"/>
      <c r="VRW7"/>
      <c r="VRX7"/>
      <c r="VRY7"/>
      <c r="VRZ7"/>
      <c r="VSA7"/>
      <c r="VSB7"/>
      <c r="VSC7"/>
      <c r="VSD7"/>
      <c r="VSE7"/>
      <c r="VSF7"/>
      <c r="VSG7"/>
      <c r="VSH7"/>
      <c r="VSI7"/>
      <c r="VSJ7"/>
      <c r="VSK7"/>
      <c r="VSL7"/>
      <c r="VSM7"/>
      <c r="VSN7"/>
      <c r="VSO7"/>
      <c r="VSP7"/>
      <c r="VSQ7"/>
      <c r="VSR7"/>
      <c r="VSS7"/>
      <c r="VST7"/>
      <c r="VSU7"/>
      <c r="VSV7"/>
      <c r="VSW7"/>
      <c r="VSX7"/>
      <c r="VSY7"/>
      <c r="VSZ7"/>
      <c r="VTA7"/>
      <c r="VTB7"/>
      <c r="VTC7"/>
      <c r="VTD7"/>
      <c r="VTE7"/>
      <c r="VTF7"/>
      <c r="VTG7"/>
      <c r="VTH7"/>
      <c r="VTI7"/>
      <c r="VTJ7"/>
      <c r="VTK7"/>
      <c r="VTL7"/>
      <c r="VTM7"/>
      <c r="VTN7"/>
      <c r="VTO7"/>
      <c r="VTP7"/>
      <c r="VTQ7"/>
      <c r="VTR7"/>
      <c r="VTS7"/>
      <c r="VTT7"/>
      <c r="VTU7"/>
      <c r="VTV7"/>
      <c r="VTW7"/>
      <c r="VTX7"/>
      <c r="VTY7"/>
      <c r="VTZ7"/>
      <c r="VUA7"/>
      <c r="VUB7"/>
      <c r="VUC7"/>
      <c r="VUD7"/>
      <c r="VUE7"/>
      <c r="VUF7"/>
      <c r="VUG7"/>
      <c r="VUH7"/>
      <c r="VUI7"/>
      <c r="VUJ7"/>
      <c r="VUK7"/>
      <c r="VUL7"/>
      <c r="VUM7"/>
      <c r="VUN7"/>
      <c r="VUO7"/>
      <c r="VUP7"/>
      <c r="VUQ7"/>
      <c r="VUR7"/>
      <c r="VUS7"/>
      <c r="VUT7"/>
      <c r="VUU7"/>
      <c r="VUV7"/>
      <c r="VUW7"/>
      <c r="VUX7"/>
      <c r="VUY7"/>
      <c r="VUZ7"/>
      <c r="VVA7"/>
      <c r="VVB7"/>
      <c r="VVC7"/>
      <c r="VVD7"/>
      <c r="VVE7"/>
      <c r="VVF7"/>
      <c r="VVG7"/>
      <c r="VVH7"/>
      <c r="VVI7"/>
      <c r="VVJ7"/>
      <c r="VVK7"/>
      <c r="VVL7"/>
      <c r="VVM7"/>
      <c r="VVN7"/>
      <c r="VVO7"/>
      <c r="VVP7"/>
      <c r="VVQ7"/>
      <c r="VVR7"/>
      <c r="VVS7"/>
      <c r="VVT7"/>
      <c r="VVU7"/>
      <c r="VVV7"/>
      <c r="VVW7"/>
      <c r="VVX7"/>
      <c r="VVY7"/>
      <c r="VVZ7"/>
      <c r="VWA7"/>
      <c r="VWB7"/>
      <c r="VWC7"/>
      <c r="VWD7"/>
      <c r="VWE7"/>
      <c r="VWF7"/>
      <c r="VWG7"/>
      <c r="VWH7"/>
      <c r="VWI7"/>
      <c r="VWJ7"/>
      <c r="VWK7"/>
      <c r="VWL7"/>
      <c r="VWM7"/>
      <c r="VWN7"/>
      <c r="VWO7"/>
      <c r="VWP7"/>
      <c r="VWQ7"/>
      <c r="VWR7"/>
      <c r="VWS7"/>
      <c r="VWT7"/>
      <c r="VWU7"/>
      <c r="VWV7"/>
      <c r="VWW7"/>
      <c r="VWX7"/>
      <c r="VWY7"/>
      <c r="VWZ7"/>
      <c r="VXA7"/>
      <c r="VXB7"/>
      <c r="VXC7"/>
      <c r="VXD7"/>
      <c r="VXE7"/>
      <c r="VXF7"/>
      <c r="VXG7"/>
      <c r="VXH7"/>
      <c r="VXI7"/>
      <c r="VXJ7"/>
      <c r="VXK7"/>
      <c r="VXL7"/>
      <c r="VXM7"/>
      <c r="VXN7"/>
      <c r="VXO7"/>
      <c r="VXP7"/>
      <c r="VXQ7"/>
      <c r="VXR7"/>
      <c r="VXS7"/>
      <c r="VXT7"/>
      <c r="VXU7"/>
      <c r="VXV7"/>
      <c r="VXW7"/>
      <c r="VXX7"/>
      <c r="VXY7"/>
      <c r="VXZ7"/>
      <c r="VYA7"/>
      <c r="VYB7"/>
      <c r="VYC7"/>
      <c r="VYD7"/>
      <c r="VYE7"/>
      <c r="VYF7"/>
      <c r="VYG7"/>
      <c r="VYH7"/>
      <c r="VYI7"/>
      <c r="VYJ7"/>
      <c r="VYK7"/>
      <c r="VYL7"/>
      <c r="VYM7"/>
      <c r="VYN7"/>
      <c r="VYO7"/>
      <c r="VYP7"/>
      <c r="VYQ7"/>
      <c r="VYR7"/>
      <c r="VYS7"/>
      <c r="VYT7"/>
      <c r="VYU7"/>
      <c r="VYV7"/>
      <c r="VYW7"/>
      <c r="VYX7"/>
      <c r="VYY7"/>
      <c r="VYZ7"/>
      <c r="VZA7"/>
      <c r="VZB7"/>
      <c r="VZC7"/>
      <c r="VZD7"/>
      <c r="VZE7"/>
      <c r="VZF7"/>
      <c r="VZG7"/>
      <c r="VZH7"/>
      <c r="VZI7"/>
      <c r="VZJ7"/>
      <c r="VZK7"/>
      <c r="VZL7"/>
      <c r="VZM7"/>
      <c r="VZN7"/>
      <c r="VZO7"/>
      <c r="VZP7"/>
      <c r="VZQ7"/>
      <c r="VZR7"/>
      <c r="VZS7"/>
      <c r="VZT7"/>
      <c r="VZU7"/>
      <c r="VZV7"/>
      <c r="VZW7"/>
      <c r="VZX7"/>
      <c r="VZY7"/>
      <c r="VZZ7"/>
      <c r="WAA7"/>
      <c r="WAB7"/>
      <c r="WAC7"/>
      <c r="WAD7"/>
      <c r="WAE7"/>
      <c r="WAF7"/>
      <c r="WAG7"/>
      <c r="WAH7"/>
      <c r="WAI7"/>
      <c r="WAJ7"/>
      <c r="WAK7"/>
      <c r="WAL7"/>
      <c r="WAM7"/>
      <c r="WAN7"/>
      <c r="WAO7"/>
      <c r="WAP7"/>
      <c r="WAQ7"/>
      <c r="WAR7"/>
      <c r="WAS7"/>
      <c r="WAT7"/>
      <c r="WAU7"/>
      <c r="WAV7"/>
      <c r="WAW7"/>
      <c r="WAX7"/>
      <c r="WAY7"/>
      <c r="WAZ7"/>
      <c r="WBA7"/>
      <c r="WBB7"/>
      <c r="WBC7"/>
      <c r="WBD7"/>
      <c r="WBE7"/>
      <c r="WBF7"/>
      <c r="WBG7"/>
      <c r="WBH7"/>
      <c r="WBI7"/>
      <c r="WBJ7"/>
      <c r="WBK7"/>
      <c r="WBL7"/>
      <c r="WBM7"/>
      <c r="WBN7"/>
      <c r="WBO7"/>
      <c r="WBP7"/>
      <c r="WBQ7"/>
      <c r="WBR7"/>
      <c r="WBS7"/>
      <c r="WBT7"/>
      <c r="WBU7"/>
      <c r="WBV7"/>
      <c r="WBW7"/>
      <c r="WBX7"/>
      <c r="WBY7"/>
      <c r="WBZ7"/>
      <c r="WCA7"/>
      <c r="WCB7"/>
      <c r="WCC7"/>
      <c r="WCD7"/>
      <c r="WCE7"/>
      <c r="WCF7"/>
      <c r="WCG7"/>
      <c r="WCH7"/>
      <c r="WCI7"/>
      <c r="WCJ7"/>
      <c r="WCK7"/>
      <c r="WCL7"/>
      <c r="WCM7"/>
      <c r="WCN7"/>
      <c r="WCO7"/>
      <c r="WCP7"/>
      <c r="WCQ7"/>
      <c r="WCR7"/>
      <c r="WCS7"/>
      <c r="WCT7"/>
      <c r="WCU7"/>
      <c r="WCV7"/>
      <c r="WCW7"/>
      <c r="WCX7"/>
      <c r="WCY7"/>
      <c r="WCZ7"/>
      <c r="WDA7"/>
      <c r="WDB7"/>
      <c r="WDC7"/>
      <c r="WDD7"/>
      <c r="WDE7"/>
      <c r="WDF7"/>
      <c r="WDG7"/>
      <c r="WDH7"/>
      <c r="WDI7"/>
      <c r="WDJ7"/>
      <c r="WDK7"/>
      <c r="WDL7"/>
      <c r="WDM7"/>
      <c r="WDN7"/>
      <c r="WDO7"/>
      <c r="WDP7"/>
      <c r="WDQ7"/>
      <c r="WDR7"/>
      <c r="WDS7"/>
      <c r="WDT7"/>
      <c r="WDU7"/>
      <c r="WDV7"/>
      <c r="WDW7"/>
      <c r="WDX7"/>
      <c r="WDY7"/>
      <c r="WDZ7"/>
      <c r="WEA7"/>
      <c r="WEB7"/>
      <c r="WEC7"/>
      <c r="WED7"/>
      <c r="WEE7"/>
      <c r="WEF7"/>
      <c r="WEG7"/>
      <c r="WEH7"/>
      <c r="WEI7"/>
      <c r="WEJ7"/>
      <c r="WEK7"/>
      <c r="WEL7"/>
      <c r="WEM7"/>
      <c r="WEN7"/>
      <c r="WEO7"/>
      <c r="WEP7"/>
      <c r="WEQ7"/>
      <c r="WER7"/>
      <c r="WES7"/>
      <c r="WET7"/>
      <c r="WEU7"/>
      <c r="WEV7"/>
      <c r="WEW7"/>
      <c r="WEX7"/>
      <c r="WEY7"/>
      <c r="WEZ7"/>
      <c r="WFA7"/>
      <c r="WFB7"/>
      <c r="WFC7"/>
      <c r="WFD7"/>
      <c r="WFE7"/>
      <c r="WFF7"/>
      <c r="WFG7"/>
      <c r="WFH7"/>
      <c r="WFI7"/>
      <c r="WFJ7"/>
      <c r="WFK7"/>
      <c r="WFL7"/>
      <c r="WFM7"/>
      <c r="WFN7"/>
      <c r="WFO7"/>
      <c r="WFP7"/>
      <c r="WFQ7"/>
      <c r="WFR7"/>
      <c r="WFS7"/>
      <c r="WFT7"/>
      <c r="WFU7"/>
      <c r="WFV7"/>
      <c r="WFW7"/>
      <c r="WFX7"/>
      <c r="WFY7"/>
      <c r="WFZ7"/>
      <c r="WGA7"/>
      <c r="WGB7"/>
      <c r="WGC7"/>
      <c r="WGD7"/>
      <c r="WGE7"/>
      <c r="WGF7"/>
      <c r="WGG7"/>
      <c r="WGH7"/>
      <c r="WGI7"/>
      <c r="WGJ7"/>
      <c r="WGK7"/>
      <c r="WGL7"/>
      <c r="WGM7"/>
      <c r="WGN7"/>
      <c r="WGO7"/>
      <c r="WGP7"/>
      <c r="WGQ7"/>
      <c r="WGR7"/>
      <c r="WGS7"/>
      <c r="WGT7"/>
      <c r="WGU7"/>
      <c r="WGV7"/>
      <c r="WGW7"/>
      <c r="WGX7"/>
      <c r="WGY7"/>
      <c r="WGZ7"/>
      <c r="WHA7"/>
      <c r="WHB7"/>
      <c r="WHC7"/>
      <c r="WHD7"/>
      <c r="WHE7"/>
      <c r="WHF7"/>
      <c r="WHG7"/>
      <c r="WHH7"/>
      <c r="WHI7"/>
      <c r="WHJ7"/>
      <c r="WHK7"/>
      <c r="WHL7"/>
      <c r="WHM7"/>
      <c r="WHN7"/>
      <c r="WHO7"/>
      <c r="WHP7"/>
      <c r="WHQ7"/>
      <c r="WHR7"/>
      <c r="WHS7"/>
      <c r="WHT7"/>
      <c r="WHU7"/>
      <c r="WHV7"/>
      <c r="WHW7"/>
      <c r="WHX7"/>
      <c r="WHY7"/>
      <c r="WHZ7"/>
      <c r="WIA7"/>
      <c r="WIB7"/>
      <c r="WIC7"/>
      <c r="WID7"/>
      <c r="WIE7"/>
      <c r="WIF7"/>
      <c r="WIG7"/>
      <c r="WIH7"/>
      <c r="WII7"/>
      <c r="WIJ7"/>
      <c r="WIK7"/>
      <c r="WIL7"/>
      <c r="WIM7"/>
      <c r="WIN7"/>
      <c r="WIO7"/>
      <c r="WIP7"/>
      <c r="WIQ7"/>
      <c r="WIR7"/>
      <c r="WIS7"/>
      <c r="WIT7"/>
      <c r="WIU7"/>
      <c r="WIV7"/>
      <c r="WIW7"/>
      <c r="WIX7"/>
      <c r="WIY7"/>
      <c r="WIZ7"/>
      <c r="WJA7"/>
      <c r="WJB7"/>
      <c r="WJC7"/>
      <c r="WJD7"/>
      <c r="WJE7"/>
      <c r="WJF7"/>
      <c r="WJG7"/>
      <c r="WJH7"/>
      <c r="WJI7"/>
      <c r="WJJ7"/>
      <c r="WJK7"/>
      <c r="WJL7"/>
      <c r="WJM7"/>
      <c r="WJN7"/>
      <c r="WJO7"/>
      <c r="WJP7"/>
      <c r="WJQ7"/>
      <c r="WJR7"/>
      <c r="WJS7"/>
      <c r="WJT7"/>
      <c r="WJU7"/>
      <c r="WJV7"/>
      <c r="WJW7"/>
      <c r="WJX7"/>
      <c r="WJY7"/>
      <c r="WJZ7"/>
      <c r="WKA7"/>
      <c r="WKB7"/>
      <c r="WKC7"/>
      <c r="WKD7"/>
      <c r="WKE7"/>
      <c r="WKF7"/>
      <c r="WKG7"/>
      <c r="WKH7"/>
      <c r="WKI7"/>
      <c r="WKJ7"/>
      <c r="WKK7"/>
      <c r="WKL7"/>
      <c r="WKM7"/>
      <c r="WKN7"/>
      <c r="WKO7"/>
      <c r="WKP7"/>
      <c r="WKQ7"/>
      <c r="WKR7"/>
      <c r="WKS7"/>
      <c r="WKT7"/>
      <c r="WKU7"/>
      <c r="WKV7"/>
      <c r="WKW7"/>
      <c r="WKX7"/>
      <c r="WKY7"/>
      <c r="WKZ7"/>
      <c r="WLA7"/>
      <c r="WLB7"/>
      <c r="WLC7"/>
      <c r="WLD7"/>
      <c r="WLE7"/>
      <c r="WLF7"/>
      <c r="WLG7"/>
      <c r="WLH7"/>
      <c r="WLI7"/>
      <c r="WLJ7"/>
      <c r="WLK7"/>
      <c r="WLL7"/>
      <c r="WLM7"/>
      <c r="WLN7"/>
      <c r="WLO7"/>
      <c r="WLP7"/>
      <c r="WLQ7"/>
      <c r="WLR7"/>
      <c r="WLS7"/>
      <c r="WLT7"/>
      <c r="WLU7"/>
      <c r="WLV7"/>
      <c r="WLW7"/>
      <c r="WLX7"/>
      <c r="WLY7"/>
      <c r="WLZ7"/>
      <c r="WMA7"/>
      <c r="WMB7"/>
      <c r="WMC7"/>
      <c r="WMD7"/>
      <c r="WME7"/>
      <c r="WMF7"/>
      <c r="WMG7"/>
      <c r="WMH7"/>
      <c r="WMI7"/>
      <c r="WMJ7"/>
      <c r="WMK7"/>
      <c r="WML7"/>
      <c r="WMM7"/>
      <c r="WMN7"/>
      <c r="WMO7"/>
      <c r="WMP7"/>
      <c r="WMQ7"/>
      <c r="WMR7"/>
      <c r="WMS7"/>
      <c r="WMT7"/>
      <c r="WMU7"/>
      <c r="WMV7"/>
      <c r="WMW7"/>
      <c r="WMX7"/>
      <c r="WMY7"/>
      <c r="WMZ7"/>
      <c r="WNA7"/>
      <c r="WNB7"/>
      <c r="WNC7"/>
      <c r="WND7"/>
      <c r="WNE7"/>
      <c r="WNF7"/>
      <c r="WNG7"/>
      <c r="WNH7"/>
      <c r="WNI7"/>
      <c r="WNJ7"/>
      <c r="WNK7"/>
      <c r="WNL7"/>
      <c r="WNM7"/>
      <c r="WNN7"/>
      <c r="WNO7"/>
      <c r="WNP7"/>
      <c r="WNQ7"/>
      <c r="WNR7"/>
      <c r="WNS7"/>
      <c r="WNT7"/>
      <c r="WNU7"/>
      <c r="WNV7"/>
      <c r="WNW7"/>
      <c r="WNX7"/>
      <c r="WNY7"/>
      <c r="WNZ7"/>
      <c r="WOA7"/>
      <c r="WOB7"/>
      <c r="WOC7"/>
      <c r="WOD7"/>
      <c r="WOE7"/>
      <c r="WOF7"/>
      <c r="WOG7"/>
      <c r="WOH7"/>
      <c r="WOI7"/>
      <c r="WOJ7"/>
      <c r="WOK7"/>
      <c r="WOL7"/>
      <c r="WOM7"/>
      <c r="WON7"/>
      <c r="WOO7"/>
      <c r="WOP7"/>
      <c r="WOQ7"/>
      <c r="WOR7"/>
      <c r="WOS7"/>
      <c r="WOT7"/>
      <c r="WOU7"/>
      <c r="WOV7"/>
      <c r="WOW7"/>
      <c r="WOX7"/>
      <c r="WOY7"/>
      <c r="WOZ7"/>
      <c r="WPA7"/>
      <c r="WPB7"/>
      <c r="WPC7"/>
      <c r="WPD7"/>
      <c r="WPE7"/>
      <c r="WPF7"/>
      <c r="WPG7"/>
      <c r="WPH7"/>
      <c r="WPI7"/>
      <c r="WPJ7"/>
      <c r="WPK7"/>
      <c r="WPL7"/>
      <c r="WPM7"/>
      <c r="WPN7"/>
      <c r="WPO7"/>
      <c r="WPP7"/>
      <c r="WPQ7"/>
      <c r="WPR7"/>
      <c r="WPS7"/>
      <c r="WPT7"/>
      <c r="WPU7"/>
      <c r="WPV7"/>
      <c r="WPW7"/>
      <c r="WPX7"/>
      <c r="WPY7"/>
      <c r="WPZ7"/>
      <c r="WQA7"/>
      <c r="WQB7"/>
      <c r="WQC7"/>
      <c r="WQD7"/>
      <c r="WQE7"/>
      <c r="WQF7"/>
      <c r="WQG7"/>
      <c r="WQH7"/>
      <c r="WQI7"/>
      <c r="WQJ7"/>
      <c r="WQK7"/>
      <c r="WQL7"/>
      <c r="WQM7"/>
      <c r="WQN7"/>
      <c r="WQO7"/>
      <c r="WQP7"/>
      <c r="WQQ7"/>
      <c r="WQR7"/>
      <c r="WQS7"/>
      <c r="WQT7"/>
      <c r="WQU7"/>
      <c r="WQV7"/>
      <c r="WQW7"/>
      <c r="WQX7"/>
      <c r="WQY7"/>
      <c r="WQZ7"/>
      <c r="WRA7"/>
      <c r="WRB7"/>
      <c r="WRC7"/>
      <c r="WRD7"/>
      <c r="WRE7"/>
      <c r="WRF7"/>
      <c r="WRG7"/>
      <c r="WRH7"/>
      <c r="WRI7"/>
      <c r="WRJ7"/>
      <c r="WRK7"/>
      <c r="WRL7"/>
      <c r="WRM7"/>
      <c r="WRN7"/>
      <c r="WRO7"/>
      <c r="WRP7"/>
      <c r="WRQ7"/>
      <c r="WRR7"/>
      <c r="WRS7"/>
      <c r="WRT7"/>
      <c r="WRU7"/>
      <c r="WRV7"/>
      <c r="WRW7"/>
      <c r="WRX7"/>
      <c r="WRY7"/>
      <c r="WRZ7"/>
      <c r="WSA7"/>
      <c r="WSB7"/>
      <c r="WSC7"/>
      <c r="WSD7"/>
      <c r="WSE7"/>
      <c r="WSF7"/>
      <c r="WSG7"/>
      <c r="WSH7"/>
      <c r="WSI7"/>
      <c r="WSJ7"/>
      <c r="WSK7"/>
      <c r="WSL7"/>
      <c r="WSM7"/>
      <c r="WSN7"/>
      <c r="WSO7"/>
      <c r="WSP7"/>
      <c r="WSQ7"/>
      <c r="WSR7"/>
      <c r="WSS7"/>
      <c r="WST7"/>
      <c r="WSU7"/>
      <c r="WSV7"/>
      <c r="WSW7"/>
      <c r="WSX7"/>
      <c r="WSY7"/>
      <c r="WSZ7"/>
      <c r="WTA7"/>
      <c r="WTB7"/>
      <c r="WTC7"/>
      <c r="WTD7"/>
      <c r="WTE7"/>
      <c r="WTF7"/>
      <c r="WTG7"/>
      <c r="WTH7"/>
      <c r="WTI7"/>
      <c r="WTJ7"/>
      <c r="WTK7"/>
      <c r="WTL7"/>
      <c r="WTM7"/>
      <c r="WTN7"/>
      <c r="WTO7"/>
      <c r="WTP7"/>
      <c r="WTQ7"/>
      <c r="WTR7"/>
      <c r="WTS7"/>
      <c r="WTT7"/>
      <c r="WTU7"/>
      <c r="WTV7"/>
      <c r="WTW7"/>
      <c r="WTX7"/>
      <c r="WTY7"/>
      <c r="WTZ7"/>
      <c r="WUA7"/>
      <c r="WUB7"/>
      <c r="WUC7"/>
      <c r="WUD7"/>
      <c r="WUE7"/>
      <c r="WUF7"/>
      <c r="WUG7"/>
      <c r="WUH7"/>
      <c r="WUI7"/>
      <c r="WUJ7"/>
      <c r="WUK7"/>
      <c r="WUL7"/>
      <c r="WUM7"/>
      <c r="WUN7"/>
      <c r="WUO7"/>
      <c r="WUP7"/>
      <c r="WUQ7"/>
      <c r="WUR7"/>
      <c r="WUS7"/>
      <c r="WUT7"/>
      <c r="WUU7"/>
      <c r="WUV7"/>
      <c r="WUW7"/>
      <c r="WUX7"/>
      <c r="WUY7"/>
      <c r="WUZ7"/>
      <c r="WVA7"/>
      <c r="WVB7"/>
      <c r="WVC7"/>
      <c r="WVD7"/>
      <c r="WVE7"/>
      <c r="WVF7"/>
      <c r="WVG7"/>
      <c r="WVH7"/>
      <c r="WVI7"/>
      <c r="WVJ7"/>
      <c r="WVK7"/>
      <c r="WVL7"/>
      <c r="WVM7"/>
      <c r="WVN7"/>
      <c r="WVO7"/>
      <c r="WVP7"/>
      <c r="WVQ7"/>
      <c r="WVR7"/>
      <c r="WVS7"/>
      <c r="WVT7"/>
      <c r="WVU7"/>
      <c r="WVV7"/>
      <c r="WVW7"/>
      <c r="WVX7"/>
      <c r="WVY7"/>
      <c r="WVZ7"/>
      <c r="WWA7"/>
      <c r="WWB7"/>
      <c r="WWC7"/>
      <c r="WWD7"/>
      <c r="WWE7"/>
      <c r="WWF7"/>
      <c r="WWG7"/>
      <c r="WWH7"/>
      <c r="WWI7"/>
      <c r="WWJ7"/>
      <c r="WWK7"/>
      <c r="WWL7"/>
      <c r="WWM7"/>
      <c r="WWN7"/>
      <c r="WWO7"/>
      <c r="WWP7"/>
      <c r="WWQ7"/>
      <c r="WWR7"/>
      <c r="WWS7"/>
      <c r="WWT7"/>
      <c r="WWU7"/>
      <c r="WWV7"/>
      <c r="WWW7"/>
      <c r="WWX7"/>
      <c r="WWY7"/>
      <c r="WWZ7"/>
      <c r="WXA7"/>
      <c r="WXB7"/>
      <c r="WXC7"/>
      <c r="WXD7"/>
      <c r="WXE7"/>
      <c r="WXF7"/>
      <c r="WXG7"/>
      <c r="WXH7"/>
      <c r="WXI7"/>
      <c r="WXJ7"/>
      <c r="WXK7"/>
      <c r="WXL7"/>
      <c r="WXM7"/>
      <c r="WXN7"/>
      <c r="WXO7"/>
      <c r="WXP7"/>
      <c r="WXQ7"/>
      <c r="WXR7"/>
      <c r="WXS7"/>
      <c r="WXT7"/>
      <c r="WXU7"/>
      <c r="WXV7"/>
      <c r="WXW7"/>
      <c r="WXX7"/>
      <c r="WXY7"/>
      <c r="WXZ7"/>
      <c r="WYA7"/>
      <c r="WYB7"/>
      <c r="WYC7"/>
      <c r="WYD7"/>
      <c r="WYE7"/>
      <c r="WYF7"/>
      <c r="WYG7"/>
      <c r="WYH7"/>
      <c r="WYI7"/>
      <c r="WYJ7"/>
      <c r="WYK7"/>
      <c r="WYL7"/>
      <c r="WYM7"/>
      <c r="WYN7"/>
      <c r="WYO7"/>
      <c r="WYP7"/>
      <c r="WYQ7"/>
      <c r="WYR7"/>
      <c r="WYS7"/>
      <c r="WYT7"/>
      <c r="WYU7"/>
      <c r="WYV7"/>
      <c r="WYW7"/>
      <c r="WYX7"/>
      <c r="WYY7"/>
      <c r="WYZ7"/>
      <c r="WZA7"/>
      <c r="WZB7"/>
      <c r="WZC7"/>
      <c r="WZD7"/>
      <c r="WZE7"/>
      <c r="WZF7"/>
      <c r="WZG7"/>
      <c r="WZH7"/>
      <c r="WZI7"/>
      <c r="WZJ7"/>
      <c r="WZK7"/>
      <c r="WZL7"/>
      <c r="WZM7"/>
      <c r="WZN7"/>
      <c r="WZO7"/>
      <c r="WZP7"/>
      <c r="WZQ7"/>
      <c r="WZR7"/>
      <c r="WZS7"/>
      <c r="WZT7"/>
      <c r="WZU7"/>
      <c r="WZV7"/>
      <c r="WZW7"/>
      <c r="WZX7"/>
      <c r="WZY7"/>
      <c r="WZZ7"/>
      <c r="XAA7"/>
      <c r="XAB7"/>
      <c r="XAC7"/>
      <c r="XAD7"/>
      <c r="XAE7"/>
      <c r="XAF7"/>
      <c r="XAG7"/>
      <c r="XAH7"/>
      <c r="XAI7"/>
      <c r="XAJ7"/>
      <c r="XAK7"/>
      <c r="XAL7"/>
      <c r="XAM7"/>
      <c r="XAN7"/>
      <c r="XAO7"/>
      <c r="XAP7"/>
      <c r="XAQ7"/>
      <c r="XAR7"/>
      <c r="XAS7"/>
      <c r="XAT7"/>
      <c r="XAU7"/>
      <c r="XAV7"/>
      <c r="XAW7"/>
      <c r="XAX7"/>
      <c r="XAY7"/>
      <c r="XAZ7"/>
      <c r="XBA7"/>
      <c r="XBB7"/>
      <c r="XBC7"/>
      <c r="XBD7"/>
      <c r="XBE7"/>
      <c r="XBF7"/>
      <c r="XBG7"/>
      <c r="XBH7"/>
      <c r="XBI7"/>
      <c r="XBJ7"/>
      <c r="XBK7"/>
      <c r="XBL7"/>
      <c r="XBM7"/>
      <c r="XBN7"/>
      <c r="XBO7"/>
      <c r="XBP7"/>
      <c r="XBQ7"/>
      <c r="XBR7"/>
      <c r="XBS7"/>
      <c r="XBT7"/>
      <c r="XBU7"/>
      <c r="XBV7"/>
      <c r="XBW7"/>
      <c r="XBX7"/>
      <c r="XBY7"/>
      <c r="XBZ7"/>
      <c r="XCA7"/>
      <c r="XCB7"/>
      <c r="XCC7"/>
      <c r="XCD7"/>
      <c r="XCE7"/>
      <c r="XCF7"/>
      <c r="XCG7"/>
      <c r="XCH7"/>
      <c r="XCI7"/>
      <c r="XCJ7"/>
      <c r="XCK7"/>
      <c r="XCL7"/>
      <c r="XCM7"/>
      <c r="XCN7"/>
      <c r="XCO7"/>
      <c r="XCP7"/>
      <c r="XCQ7"/>
      <c r="XCR7"/>
      <c r="XCS7"/>
      <c r="XCT7"/>
      <c r="XCU7"/>
      <c r="XCV7"/>
      <c r="XCW7"/>
      <c r="XCX7"/>
      <c r="XCY7"/>
      <c r="XCZ7"/>
      <c r="XDA7"/>
      <c r="XDB7"/>
      <c r="XDC7"/>
      <c r="XDD7"/>
      <c r="XDE7"/>
      <c r="XDF7"/>
      <c r="XDG7"/>
      <c r="XDH7"/>
      <c r="XDI7"/>
      <c r="XDJ7"/>
      <c r="XDK7"/>
      <c r="XDL7"/>
      <c r="XDM7"/>
      <c r="XDN7"/>
      <c r="XDO7"/>
      <c r="XDP7"/>
      <c r="XDQ7"/>
      <c r="XDR7"/>
      <c r="XDS7"/>
      <c r="XDT7"/>
      <c r="XDU7"/>
      <c r="XDV7"/>
      <c r="XDW7"/>
      <c r="XDX7"/>
      <c r="XDY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pans="1:342 14982:16384">
      <c r="A8" s="61" t="s">
        <v>82</v>
      </c>
      <c r="B8" s="2">
        <f>[1]Decembre17!AI7</f>
        <v>12371.55</v>
      </c>
      <c r="C8" s="96">
        <f>IF(C26,SUMIFS(montant,libelle,Table1[[#This Row],[Colonne4]],Datevaleur,C26,sens,"D")+Table1[[#This Row],[Colonne4]]+SUMIFS(sommejanvier,datejanvier,C26,placementsjanvier,$A$8),Table1[[#This Row],[Colonne4]])</f>
        <v>12371.55</v>
      </c>
      <c r="D8" s="96">
        <f>IF(D26,SUMIFS(montant,libelle,Table1[[#This Row],[Colonne5]],Datevaleur,D26,sens,"D")+Table1[[#This Row],[Colonne5]]+SUMIFS(sommejanvier,datejanvier,D26,placementsjanvier,$A$8),Table1[[#This Row],[Colonne5]])</f>
        <v>12371.55</v>
      </c>
      <c r="E8" s="96">
        <f>IF(E26,SUMIFS(montant,libelle,Table1[[#This Row],[Colonne6]],Datevaleur,E26,sens,"D")+Table1[[#This Row],[Colonne6]]+SUMIFS(sommejanvier,datejanvier,E26,placementsjanvier,$A$8),Table1[[#This Row],[Colonne6]])</f>
        <v>12371.55</v>
      </c>
      <c r="F8" s="96">
        <f>IF(F26,SUMIFS(montant,libelle,Table1[[#This Row],[Colonne7]],Datevaleur,F26,sens,"D")+Table1[[#This Row],[Colonne7]]+SUMIFS(sommejanvier,datejanvier,F26,placementsjanvier,$A$8),Table1[[#This Row],[Colonne7]])</f>
        <v>12371.55</v>
      </c>
      <c r="G8" s="96">
        <f>IF(G26,SUMIFS(montant,libelle,Table1[[#This Row],[Colonne8]],Datevaleur,G26,sens,"D")+Table1[[#This Row],[Colonne8]]+SUMIFS(sommejanvier,datejanvier,G26,placementsjanvier,$A$8),Table1[[#This Row],[Colonne8]])</f>
        <v>12525.869999999999</v>
      </c>
      <c r="H8" s="96">
        <f>IF(H26,SUMIFS(montant,libelle,Table1[[#This Row],[Colonne9]],Datevaleur,H26,sens,"D")+Table1[[#This Row],[Colonne9]]+SUMIFS(sommejanvier,datejanvier,H26,placementsjanvier,$A$8),Table1[[#This Row],[Colonne9]])</f>
        <v>12525.869999999999</v>
      </c>
      <c r="I8" s="96">
        <f>IF(I26,SUMIFS(montant,libelle,Table1[[#This Row],[Colonne10]],Datevaleur,I26,sens,"D")+Table1[[#This Row],[Colonne10]]+SUMIFS(sommejanvier,datejanvier,I26,placementsjanvier,$A$8),Table1[[#This Row],[Colonne10]])</f>
        <v>12525.869999999999</v>
      </c>
      <c r="J8" s="96">
        <f>IF(J26,SUMIFS(montant,libelle,Table1[[#This Row],[Colonne11]],Datevaleur,J26,sens,"D")+Table1[[#This Row],[Colonne11]]+SUMIFS(sommejanvier,datejanvier,J26,placementsjanvier,$A$8),Table1[[#This Row],[Colonne11]])</f>
        <v>12525.869999999999</v>
      </c>
      <c r="K8" s="96">
        <f>IF(K26,SUMIFS(montant,libelle,Table1[[#This Row],[Colonne12]],Datevaleur,K26,sens,"D")+Table1[[#This Row],[Colonne12]]+SUMIFS(sommejanvier,datejanvier,K26,placementsjanvier,$A$8),Table1[[#This Row],[Colonne12]])</f>
        <v>12525.869999999999</v>
      </c>
      <c r="L8" s="96">
        <f>IF(L26,SUMIFS(montant,libelle,Table1[[#This Row],[Colonne13]],Datevaleur,L26,sens,"D")+Table1[[#This Row],[Colonne13]]+SUMIFS(sommejanvier,datejanvier,L26,placementsjanvier,$A$8),Table1[[#This Row],[Colonne13]])</f>
        <v>12525.869999999999</v>
      </c>
      <c r="M8" s="96">
        <f>IF(M26,SUMIFS(montant,libelle,Table1[[#This Row],[Colonne14]],Datevaleur,M26,sens,"D")+Table1[[#This Row],[Colonne14]]+SUMIFS(sommejanvier,datejanvier,M26,placementsjanvier,$A$8),Table1[[#This Row],[Colonne14]])</f>
        <v>12525.869999999999</v>
      </c>
      <c r="N8" s="96">
        <f>IF(N26,SUMIFS(montant,libelle,Table1[[#This Row],[Colonne15]],Datevaleur,N26,sens,"D")+Table1[[#This Row],[Colonne15]]+SUMIFS(sommejanvier,datejanvier,N26,placementsjanvier,$A$8),Table1[[#This Row],[Colonne15]])</f>
        <v>12525.869999999999</v>
      </c>
      <c r="O8" s="96">
        <f>IF(O26,SUMIFS(montant,libelle,Table1[[#This Row],[Colonne16]],Datevaleur,O26,sens,"D")+Table1[[#This Row],[Colonne16]]+SUMIFS(sommejanvier,datejanvier,O26,placementsjanvier,$A$8),Table1[[#This Row],[Colonne16]])</f>
        <v>12525.869999999999</v>
      </c>
      <c r="P8" s="96">
        <f>IF(P26,SUMIFS(montant,libelle,Table1[[#This Row],[Colonne17]],Datevaleur,P26,sens,"D")+Table1[[#This Row],[Colonne17]]+SUMIFS(sommejanvier,datejanvier,P26,placementsjanvier,$A$8),Table1[[#This Row],[Colonne17]])</f>
        <v>12525.869999999999</v>
      </c>
      <c r="Q8" s="96">
        <f>IF(Q26,SUMIFS(montant,libelle,Table1[[#This Row],[Colonne18]],Datevaleur,Q26,sens,"D")+Table1[[#This Row],[Colonne18]]+SUMIFS(sommejanvier,datejanvier,Q26,placementsjanvier,$A$8),Table1[[#This Row],[Colonne18]])</f>
        <v>12570.869999999999</v>
      </c>
      <c r="R8" s="96">
        <f>IF(R26,SUMIFS(montant,libelle,Table1[[#This Row],[Colonne19]],Datevaleur,R26,sens,"D")+Table1[[#This Row],[Colonne19]]+SUMIFS(sommejanvier,datejanvier,R26,placementsjanvier,$A$8),Table1[[#This Row],[Colonne19]])</f>
        <v>12570.869999999999</v>
      </c>
      <c r="S8" s="96">
        <f>IF(S26,SUMIFS(montant,libelle,Table1[[#This Row],[Colonne20]],Datevaleur,S26,sens,"D")+Table1[[#This Row],[Colonne20]]+SUMIFS(sommejanvier,datejanvier,S26,placementsjanvier,$A$8),Table1[[#This Row],[Colonne20]])</f>
        <v>12570.869999999999</v>
      </c>
      <c r="T8" s="96">
        <f>IF(T26,SUMIFS(montant,libelle,Table1[[#This Row],[Colonne21]],Datevaleur,T26,sens,"D")+Table1[[#This Row],[Colonne21]]+SUMIFS(sommejanvier,datejanvier,T26,placementsjanvier,$A$8),Table1[[#This Row],[Colonne21]])</f>
        <v>12570.869999999999</v>
      </c>
      <c r="U8" s="96">
        <f>IF(U26,SUMIFS(montant,libelle,Table1[[#This Row],[Colonne22]],Datevaleur,U26,sens,"D")+Table1[[#This Row],[Colonne22]]+SUMIFS(sommejanvier,datejanvier,U26,placementsjanvier,$A$8),Table1[[#This Row],[Colonne22]])</f>
        <v>12570.869999999999</v>
      </c>
      <c r="V8" s="96">
        <f>IF(V26,SUMIFS(montant,libelle,Table1[[#This Row],[Colonne23]],Datevaleur,V26,sens,"D")+Table1[[#This Row],[Colonne23]]+SUMIFS(sommejanvier,datejanvier,V26,placementsjanvier,$A$8),Table1[[#This Row],[Colonne23]])</f>
        <v>12570.869999999999</v>
      </c>
      <c r="W8" s="96">
        <f>IF(W26,SUMIFS(montant,libelle,Table1[[#This Row],[Colonne24]],Datevaleur,W26,sens,"D")+Table1[[#This Row],[Colonne24]]+SUMIFS(sommejanvier,datejanvier,W26,placementsjanvier,$A$8),Table1[[#This Row],[Colonne24]])</f>
        <v>12570.869999999999</v>
      </c>
      <c r="X8" s="96">
        <f>IF(X26,SUMIFS(montant,libelle,Table1[[#This Row],[Colonne25]],Datevaleur,X26,sens,"D")+Table1[[#This Row],[Colonne25]]+SUMIFS(sommejanvier,datejanvier,X26,placementsjanvier,$A$8),Table1[[#This Row],[Colonne25]])</f>
        <v>12570.869999999999</v>
      </c>
      <c r="Y8" s="96">
        <f>IF(Y26,SUMIFS(montant,libelle,Table1[[#This Row],[Colonne26]],Datevaleur,Y26,sens,"D")+Table1[[#This Row],[Colonne26]]+SUMIFS(sommejanvier,datejanvier,Y26,placementsjanvier,$A$8),Table1[[#This Row],[Colonne26]])</f>
        <v>12570.869999999999</v>
      </c>
      <c r="Z8" s="96">
        <f>IF(Z26,SUMIFS(montant,libelle,Table1[[#This Row],[Colonne27]],Datevaleur,Z26,sens,"D")+Table1[[#This Row],[Colonne27]]+SUMIFS(sommejanvier,datejanvier,Z26,placementsjanvier,$A$8),Table1[[#This Row],[Colonne27]])</f>
        <v>12570.869999999999</v>
      </c>
      <c r="AA8" s="96">
        <f>IF(AA26,SUMIFS(montant,libelle,Table1[[#This Row],[Colonne28]],Datevaleur,AA26,sens,"D")+Table1[[#This Row],[Colonne28]]+SUMIFS(sommejanvier,datejanvier,AA26,placementsjanvier,$A$8),Table1[[#This Row],[Colonne28]])</f>
        <v>12570.869999999999</v>
      </c>
      <c r="AB8" s="96">
        <f>IF(AB26,SUMIFS(montant,libelle,Table1[[#This Row],[Colonne29]],Datevaleur,AB26,sens,"D")+Table1[[#This Row],[Colonne29]]+SUMIFS(sommejanvier,datejanvier,AB26,placementsjanvier,$A$8),Table1[[#This Row],[Colonne29]])</f>
        <v>12570.869999999999</v>
      </c>
      <c r="AC8" s="96">
        <f>IF(AC26,SUMIFS(montant,libelle,Table1[[#This Row],[Colonne30]],Datevaleur,AC26,sens,"D")+Table1[[#This Row],[Colonne30]]+SUMIFS(sommejanvier,datejanvier,AC26,placementsjanvier,$A$8),Table1[[#This Row],[Colonne30]])</f>
        <v>12570.869999999999</v>
      </c>
      <c r="AD8" s="96">
        <f>IF(AD26,SUMIFS(montant,libelle,Table1[[#This Row],[Colonne31]],Datevaleur,AD26,sens,"D")+Table1[[#This Row],[Colonne31]]+SUMIFS(sommejanvier,datejanvier,AD26,placementsjanvier,$A$8),Table1[[#This Row],[Colonne31]])</f>
        <v>12570.869999999999</v>
      </c>
      <c r="AE8" s="96">
        <f>IF(AE26,SUMIFS(montant,libelle,Table1[[#This Row],[Colonne32]],Datevaleur,AE26,sens,"D")+Table1[[#This Row],[Colonne32]]+SUMIFS(sommejanvier,datejanvier,AE26,placementsjanvier,$A$8),Table1[[#This Row],[Colonne32]])</f>
        <v>12570.869999999999</v>
      </c>
      <c r="AF8" s="96">
        <f>IF(AF26,SUMIFS(montant,libelle,Table1[[#This Row],[Colonne33]],Datevaleur,AF26,sens,"D")+Table1[[#This Row],[Colonne33]]+SUMIFS(sommejanvier,datejanvier,AF26,placementsjanvier,$A$8),Table1[[#This Row],[Colonne33]])</f>
        <v>12570.869999999999</v>
      </c>
      <c r="AG8" s="96">
        <f>IF(AG26,SUMIFS(montant,libelle,Table1[[#This Row],[Colonne34]],Datevaleur,AG26,sens,"D")+Table1[[#This Row],[Colonne34]]+SUMIFS(sommejanvier,datejanvier,AG26,placementsjanvier,$A$8),Table1[[#This Row],[Colonne34]])</f>
        <v>12570.869999999999</v>
      </c>
    </row>
    <row r="9" spans="1:342 14982:16384" s="78" customFormat="1" ht="17" customHeight="1">
      <c r="A9" s="75" t="s">
        <v>26</v>
      </c>
      <c r="B9" s="76">
        <f>[1]Decembre17!AI8</f>
        <v>11922.95</v>
      </c>
      <c r="C9" s="77">
        <f>IF(C$26,SUMIFS(montant,libelle,Table1[[#This Row],[Colonne4]],Datevaleur,C$26,sens,"D")+Table1[[#This Row],[Colonne4]]+SUMIFS(sommejanvier,datejanvier,C$26,placementsjanvier,$A$9),Table1[[#This Row],[Colonne4]])</f>
        <v>11922.95</v>
      </c>
      <c r="D9" s="77">
        <f>IF(D$26,SUMIFS(montant,libelle,Table1[[#This Row],[Colonne5]],Datevaleur,D$26,sens,"D")+Table1[[#This Row],[Colonne5]]+SUMIFS(sommejanvier,datejanvier,D$26,placementsjanvier,$A$9),Table1[[#This Row],[Colonne5]])</f>
        <v>12008.42</v>
      </c>
      <c r="E9" s="77">
        <f>IF(E$26,SUMIFS(montant,libelle,Table1[[#This Row],[Colonne6]],Datevaleur,E$26,sens,"D")+Table1[[#This Row],[Colonne6]]+SUMIFS(sommejanvier,datejanvier,E$26,placementsjanvier,$A$9),Table1[[#This Row],[Colonne6]])</f>
        <v>12008.42</v>
      </c>
      <c r="F9" s="77">
        <f>IF(F$26,SUMIFS(montant,libelle,Table1[[#This Row],[Colonne7]],Datevaleur,F$26,sens,"D")+Table1[[#This Row],[Colonne7]]+SUMIFS(sommejanvier,datejanvier,F$26,placementsjanvier,$A$9),Table1[[#This Row],[Colonne7]])</f>
        <v>12008.42</v>
      </c>
      <c r="G9" s="77">
        <f>IF(G$26,SUMIFS(montant,libelle,Table1[[#This Row],[Colonne8]],Datevaleur,G$26,sens,"D")+Table1[[#This Row],[Colonne8]]+SUMIFS(sommejanvier,datejanvier,G$26,placementsjanvier,$A$9),Table1[[#This Row],[Colonne8]])</f>
        <v>12008.42</v>
      </c>
      <c r="H9" s="77">
        <f>IF(H$26,SUMIFS(montant,libelle,Table1[[#This Row],[Colonne9]],Datevaleur,H$26,sens,"D")+Table1[[#This Row],[Colonne9]]+SUMIFS(sommejanvier,datejanvier,H$26,placementsjanvier,$A$9),Table1[[#This Row],[Colonne9]])</f>
        <v>12008.42</v>
      </c>
      <c r="I9" s="77">
        <f>IF(I$26,SUMIFS(montant,libelle,Table1[[#This Row],[Colonne10]],Datevaleur,I$26,sens,"D")+Table1[[#This Row],[Colonne10]]+SUMIFS(sommejanvier,datejanvier,I$26,placementsjanvier,$A$9),Table1[[#This Row],[Colonne10]])</f>
        <v>12008.42</v>
      </c>
      <c r="J9" s="77">
        <f>IF(J$26,SUMIFS(montant,libelle,Table1[[#This Row],[Colonne11]],Datevaleur,J$26,sens,"D")+Table1[[#This Row],[Colonne11]]+SUMIFS(sommejanvier,datejanvier,J$26,placementsjanvier,$A$9),Table1[[#This Row],[Colonne11]])</f>
        <v>12008.42</v>
      </c>
      <c r="K9" s="77">
        <f>IF(K$26,SUMIFS(montant,libelle,Table1[[#This Row],[Colonne12]],Datevaleur,K$26,sens,"D")+Table1[[#This Row],[Colonne12]]+SUMIFS(sommejanvier,datejanvier,K$26,placementsjanvier,$A$9),Table1[[#This Row],[Colonne12]])</f>
        <v>12008.42</v>
      </c>
      <c r="L9" s="77">
        <f>IF(L$26,SUMIFS(montant,libelle,Table1[[#This Row],[Colonne13]],Datevaleur,L$26,sens,"D")+Table1[[#This Row],[Colonne13]]+SUMIFS(sommejanvier,datejanvier,L$26,placementsjanvier,$A$9),Table1[[#This Row],[Colonne13]])</f>
        <v>12008.42</v>
      </c>
      <c r="M9" s="77">
        <f>IF(M$26,SUMIFS(montant,libelle,Table1[[#This Row],[Colonne14]],Datevaleur,M$26,sens,"D")+Table1[[#This Row],[Colonne14]]+SUMIFS(sommejanvier,datejanvier,M$26,placementsjanvier,$A$9),Table1[[#This Row],[Colonne14]])</f>
        <v>12008.42</v>
      </c>
      <c r="N9" s="77">
        <f>IF(N$26,SUMIFS(montant,libelle,Table1[[#This Row],[Colonne15]],Datevaleur,N$26,sens,"D")+Table1[[#This Row],[Colonne15]]+SUMIFS(sommejanvier,datejanvier,N$26,placementsjanvier,$A$9),Table1[[#This Row],[Colonne15]])</f>
        <v>12008.42</v>
      </c>
      <c r="O9" s="77">
        <f>IF(O$26,SUMIFS(montant,libelle,Table1[[#This Row],[Colonne16]],Datevaleur,O$26,sens,"D")+Table1[[#This Row],[Colonne16]]+SUMIFS(sommejanvier,datejanvier,O$26,placementsjanvier,$A$9),Table1[[#This Row],[Colonne16]])</f>
        <v>12008.42</v>
      </c>
      <c r="P9" s="77">
        <f>IF(P$26,SUMIFS(montant,libelle,Table1[[#This Row],[Colonne17]],Datevaleur,P$26,sens,"D")+Table1[[#This Row],[Colonne17]]+SUMIFS(sommejanvier,datejanvier,P$26,placementsjanvier,$A$9),Table1[[#This Row],[Colonne17]])</f>
        <v>12008.42</v>
      </c>
      <c r="Q9" s="77">
        <f>IF(Q$26,SUMIFS(montant,libelle,Table1[[#This Row],[Colonne18]],Datevaleur,Q$26,sens,"D")+Table1[[#This Row],[Colonne18]]+SUMIFS(sommejanvier,datejanvier,Q$26,placementsjanvier,$A$9),Table1[[#This Row],[Colonne18]])</f>
        <v>12008.42</v>
      </c>
      <c r="R9" s="77">
        <f>IF(R$26,SUMIFS(montant,libelle,Table1[[#This Row],[Colonne19]],Datevaleur,R$26,sens,"D")+Table1[[#This Row],[Colonne19]]+SUMIFS(sommejanvier,datejanvier,R$26,placementsjanvier,$A$9),Table1[[#This Row],[Colonne19]])</f>
        <v>12008.42</v>
      </c>
      <c r="S9" s="77">
        <f>IF(S$26,SUMIFS(montant,libelle,Table1[[#This Row],[Colonne20]],Datevaleur,S$26,sens,"D")+Table1[[#This Row],[Colonne20]]+SUMIFS(sommejanvier,datejanvier,S$26,placementsjanvier,$A$9),Table1[[#This Row],[Colonne20]])</f>
        <v>12008.42</v>
      </c>
      <c r="T9" s="77">
        <f>IF(T$26,SUMIFS(montant,libelle,Table1[[#This Row],[Colonne21]],Datevaleur,T$26,sens,"D")+Table1[[#This Row],[Colonne21]]+SUMIFS(sommejanvier,datejanvier,T$26,placementsjanvier,$A$9),Table1[[#This Row],[Colonne21]])</f>
        <v>12008.42</v>
      </c>
      <c r="U9" s="77">
        <f>IF(U$26,SUMIFS(montant,libelle,Table1[[#This Row],[Colonne22]],Datevaleur,U$26,sens,"D")+Table1[[#This Row],[Colonne22]]+SUMIFS(sommejanvier,datejanvier,U$26,placementsjanvier,$A$9),Table1[[#This Row],[Colonne22]])</f>
        <v>12008.42</v>
      </c>
      <c r="V9" s="77">
        <f>IF(V$26,SUMIFS(montant,libelle,Table1[[#This Row],[Colonne23]],Datevaleur,V$26,sens,"D")+Table1[[#This Row],[Colonne23]]+SUMIFS(sommejanvier,datejanvier,V$26,placementsjanvier,$A$9),Table1[[#This Row],[Colonne23]])</f>
        <v>12008.42</v>
      </c>
      <c r="W9" s="77">
        <f>IF(W$26,SUMIFS(montant,libelle,Table1[[#This Row],[Colonne24]],Datevaleur,W$26,sens,"D")+Table1[[#This Row],[Colonne24]]+SUMIFS(sommejanvier,datejanvier,W$26,placementsjanvier,$A$9),Table1[[#This Row],[Colonne24]])</f>
        <v>12008.42</v>
      </c>
      <c r="X9" s="77">
        <f>IF(X$26,SUMIFS(montant,libelle,Table1[[#This Row],[Colonne25]],Datevaleur,X$26,sens,"D")+Table1[[#This Row],[Colonne25]]+SUMIFS(sommejanvier,datejanvier,X$26,placementsjanvier,$A$9),Table1[[#This Row],[Colonne25]])</f>
        <v>12008.42</v>
      </c>
      <c r="Y9" s="77">
        <f>IF(Y$26,SUMIFS(montant,libelle,Table1[[#This Row],[Colonne26]],Datevaleur,Y$26,sens,"D")+Table1[[#This Row],[Colonne26]]+SUMIFS(sommejanvier,datejanvier,Y$26,placementsjanvier,$A$9),Table1[[#This Row],[Colonne26]])</f>
        <v>12008.42</v>
      </c>
      <c r="Z9" s="77">
        <f>IF(Z$26,SUMIFS(montant,libelle,Table1[[#This Row],[Colonne27]],Datevaleur,Z$26,sens,"D")+Table1[[#This Row],[Colonne27]]+SUMIFS(sommejanvier,datejanvier,Z$26,placementsjanvier,$A$9),Table1[[#This Row],[Colonne27]])</f>
        <v>12008.42</v>
      </c>
      <c r="AA9" s="77">
        <f>IF(AA$26,SUMIFS(montant,libelle,Table1[[#This Row],[Colonne28]],Datevaleur,AA$26,sens,"D")+Table1[[#This Row],[Colonne28]]+SUMIFS(sommejanvier,datejanvier,AA$26,placementsjanvier,$A$9),Table1[[#This Row],[Colonne28]])</f>
        <v>12008.42</v>
      </c>
      <c r="AB9" s="77">
        <f>IF(AB$26,SUMIFS(montant,libelle,Table1[[#This Row],[Colonne29]],Datevaleur,AB$26,sens,"D")+Table1[[#This Row],[Colonne29]]+SUMIFS(sommejanvier,datejanvier,AB$26,placementsjanvier,$A$9),Table1[[#This Row],[Colonne29]])</f>
        <v>12008.42</v>
      </c>
      <c r="AC9" s="77">
        <f>IF(AC$26,SUMIFS(montant,libelle,Table1[[#This Row],[Colonne30]],Datevaleur,AC$26,sens,"D")+Table1[[#This Row],[Colonne30]]+SUMIFS(sommejanvier,datejanvier,AC$26,placementsjanvier,$A$9),Table1[[#This Row],[Colonne30]])</f>
        <v>12008.42</v>
      </c>
      <c r="AD9" s="77">
        <f>IF(AD$26,SUMIFS(montant,libelle,Table1[[#This Row],[Colonne31]],Datevaleur,AD$26,sens,"D")+Table1[[#This Row],[Colonne31]]+SUMIFS(sommejanvier,datejanvier,AD$26,placementsjanvier,$A$9),Table1[[#This Row],[Colonne31]])</f>
        <v>12008.42</v>
      </c>
      <c r="AE9" s="77">
        <f>IF(AE$26,SUMIFS(montant,libelle,Table1[[#This Row],[Colonne32]],Datevaleur,AE$26,sens,"D")+Table1[[#This Row],[Colonne32]]+SUMIFS(sommejanvier,datejanvier,AE$26,placementsjanvier,$A$9),Table1[[#This Row],[Colonne32]])</f>
        <v>12008.42</v>
      </c>
      <c r="AF9" s="77">
        <f>IF(AF$26,SUMIFS(montant,libelle,Table1[[#This Row],[Colonne33]],Datevaleur,AF$26,sens,"D")+Table1[[#This Row],[Colonne33]]+SUMIFS(sommejanvier,datejanvier,AF$26,placementsjanvier,$A$9),Table1[[#This Row],[Colonne33]])</f>
        <v>12008.42</v>
      </c>
      <c r="AG9" s="77">
        <f>IF(AG$26,SUMIFS(montant,libelle,Table1[[#This Row],[Colonne34]],Datevaleur,AG$26,sens,"D")+Table1[[#This Row],[Colonne34]]+SUMIFS(sommejanvier,datejanvier,AG$26,placementsjanvier,$A$9),Table1[[#This Row],[Colonne34]])</f>
        <v>12008.42</v>
      </c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VDF9"/>
      <c r="VDG9"/>
      <c r="VDH9"/>
      <c r="VDI9"/>
      <c r="VDJ9"/>
      <c r="VDK9"/>
      <c r="VDL9"/>
      <c r="VDM9"/>
      <c r="VDN9"/>
      <c r="VDO9"/>
      <c r="VDP9"/>
      <c r="VDQ9"/>
      <c r="VDR9"/>
      <c r="VDS9"/>
      <c r="VDT9"/>
      <c r="VDU9"/>
      <c r="VDV9"/>
      <c r="VDW9"/>
      <c r="VDX9"/>
      <c r="VDY9"/>
      <c r="VDZ9"/>
      <c r="VEA9"/>
      <c r="VEB9"/>
      <c r="VEC9"/>
      <c r="VED9"/>
      <c r="VEE9"/>
      <c r="VEF9"/>
      <c r="VEG9"/>
      <c r="VEH9"/>
      <c r="VEI9"/>
      <c r="VEJ9"/>
      <c r="VEK9"/>
      <c r="VEL9"/>
      <c r="VEM9"/>
      <c r="VEN9"/>
      <c r="VEO9"/>
      <c r="VEP9"/>
      <c r="VEQ9"/>
      <c r="VER9"/>
      <c r="VES9"/>
      <c r="VET9"/>
      <c r="VEU9"/>
      <c r="VEV9"/>
      <c r="VEW9"/>
      <c r="VEX9"/>
      <c r="VEY9"/>
      <c r="VEZ9"/>
      <c r="VFA9"/>
      <c r="VFB9"/>
      <c r="VFC9"/>
      <c r="VFD9"/>
      <c r="VFE9"/>
      <c r="VFF9"/>
      <c r="VFG9"/>
      <c r="VFH9"/>
      <c r="VFI9"/>
      <c r="VFJ9"/>
      <c r="VFK9"/>
      <c r="VFL9"/>
      <c r="VFM9"/>
      <c r="VFN9"/>
      <c r="VFO9"/>
      <c r="VFP9"/>
      <c r="VFQ9"/>
      <c r="VFR9"/>
      <c r="VFS9"/>
      <c r="VFT9"/>
      <c r="VFU9"/>
      <c r="VFV9"/>
      <c r="VFW9"/>
      <c r="VFX9"/>
      <c r="VFY9"/>
      <c r="VFZ9"/>
      <c r="VGA9"/>
      <c r="VGB9"/>
      <c r="VGC9"/>
      <c r="VGD9"/>
      <c r="VGE9"/>
      <c r="VGF9"/>
      <c r="VGG9"/>
      <c r="VGH9"/>
      <c r="VGI9"/>
      <c r="VGJ9"/>
      <c r="VGK9"/>
      <c r="VGL9"/>
      <c r="VGM9"/>
      <c r="VGN9"/>
      <c r="VGO9"/>
      <c r="VGP9"/>
      <c r="VGQ9"/>
      <c r="VGR9"/>
      <c r="VGS9"/>
      <c r="VGT9"/>
      <c r="VGU9"/>
      <c r="VGV9"/>
      <c r="VGW9"/>
      <c r="VGX9"/>
      <c r="VGY9"/>
      <c r="VGZ9"/>
      <c r="VHA9"/>
      <c r="VHB9"/>
      <c r="VHC9"/>
      <c r="VHD9"/>
      <c r="VHE9"/>
      <c r="VHF9"/>
      <c r="VHG9"/>
      <c r="VHH9"/>
      <c r="VHI9"/>
      <c r="VHJ9"/>
      <c r="VHK9"/>
      <c r="VHL9"/>
      <c r="VHM9"/>
      <c r="VHN9"/>
      <c r="VHO9"/>
      <c r="VHP9"/>
      <c r="VHQ9"/>
      <c r="VHR9"/>
      <c r="VHS9"/>
      <c r="VHT9"/>
      <c r="VHU9"/>
      <c r="VHV9"/>
      <c r="VHW9"/>
      <c r="VHX9"/>
      <c r="VHY9"/>
      <c r="VHZ9"/>
      <c r="VIA9"/>
      <c r="VIB9"/>
      <c r="VIC9"/>
      <c r="VID9"/>
      <c r="VIE9"/>
      <c r="VIF9"/>
      <c r="VIG9"/>
      <c r="VIH9"/>
      <c r="VII9"/>
      <c r="VIJ9"/>
      <c r="VIK9"/>
      <c r="VIL9"/>
      <c r="VIM9"/>
      <c r="VIN9"/>
      <c r="VIO9"/>
      <c r="VIP9"/>
      <c r="VIQ9"/>
      <c r="VIR9"/>
      <c r="VIS9"/>
      <c r="VIT9"/>
      <c r="VIU9"/>
      <c r="VIV9"/>
      <c r="VIW9"/>
      <c r="VIX9"/>
      <c r="VIY9"/>
      <c r="VIZ9"/>
      <c r="VJA9"/>
      <c r="VJB9"/>
      <c r="VJC9"/>
      <c r="VJD9"/>
      <c r="VJE9"/>
      <c r="VJF9"/>
      <c r="VJG9"/>
      <c r="VJH9"/>
      <c r="VJI9"/>
      <c r="VJJ9"/>
      <c r="VJK9"/>
      <c r="VJL9"/>
      <c r="VJM9"/>
      <c r="VJN9"/>
      <c r="VJO9"/>
      <c r="VJP9"/>
      <c r="VJQ9"/>
      <c r="VJR9"/>
      <c r="VJS9"/>
      <c r="VJT9"/>
      <c r="VJU9"/>
      <c r="VJV9"/>
      <c r="VJW9"/>
      <c r="VJX9"/>
      <c r="VJY9"/>
      <c r="VJZ9"/>
      <c r="VKA9"/>
      <c r="VKB9"/>
      <c r="VKC9"/>
      <c r="VKD9"/>
      <c r="VKE9"/>
      <c r="VKF9"/>
      <c r="VKG9"/>
      <c r="VKH9"/>
      <c r="VKI9"/>
      <c r="VKJ9"/>
      <c r="VKK9"/>
      <c r="VKL9"/>
      <c r="VKM9"/>
      <c r="VKN9"/>
      <c r="VKO9"/>
      <c r="VKP9"/>
      <c r="VKQ9"/>
      <c r="VKR9"/>
      <c r="VKS9"/>
      <c r="VKT9"/>
      <c r="VKU9"/>
      <c r="VKV9"/>
      <c r="VKW9"/>
      <c r="VKX9"/>
      <c r="VKY9"/>
      <c r="VKZ9"/>
      <c r="VLA9"/>
      <c r="VLB9"/>
      <c r="VLC9"/>
      <c r="VLD9"/>
      <c r="VLE9"/>
      <c r="VLF9"/>
      <c r="VLG9"/>
      <c r="VLH9"/>
      <c r="VLI9"/>
      <c r="VLJ9"/>
      <c r="VLK9"/>
      <c r="VLL9"/>
      <c r="VLM9"/>
      <c r="VLN9"/>
      <c r="VLO9"/>
      <c r="VLP9"/>
      <c r="VLQ9"/>
      <c r="VLR9"/>
      <c r="VLS9"/>
      <c r="VLT9"/>
      <c r="VLU9"/>
      <c r="VLV9"/>
      <c r="VLW9"/>
      <c r="VLX9"/>
      <c r="VLY9"/>
      <c r="VLZ9"/>
      <c r="VMA9"/>
      <c r="VMB9"/>
      <c r="VMC9"/>
      <c r="VMD9"/>
      <c r="VME9"/>
      <c r="VMF9"/>
      <c r="VMG9"/>
      <c r="VMH9"/>
      <c r="VMI9"/>
      <c r="VMJ9"/>
      <c r="VMK9"/>
      <c r="VML9"/>
      <c r="VMM9"/>
      <c r="VMN9"/>
      <c r="VMO9"/>
      <c r="VMP9"/>
      <c r="VMQ9"/>
      <c r="VMR9"/>
      <c r="VMS9"/>
      <c r="VMT9"/>
      <c r="VMU9"/>
      <c r="VMV9"/>
      <c r="VMW9"/>
      <c r="VMX9"/>
      <c r="VMY9"/>
      <c r="VMZ9"/>
      <c r="VNA9"/>
      <c r="VNB9"/>
      <c r="VNC9"/>
      <c r="VND9"/>
      <c r="VNE9"/>
      <c r="VNF9"/>
      <c r="VNG9"/>
      <c r="VNH9"/>
      <c r="VNI9"/>
      <c r="VNJ9"/>
      <c r="VNK9"/>
      <c r="VNL9"/>
      <c r="VNM9"/>
      <c r="VNN9"/>
      <c r="VNO9"/>
      <c r="VNP9"/>
      <c r="VNQ9"/>
      <c r="VNR9"/>
      <c r="VNS9"/>
      <c r="VNT9"/>
      <c r="VNU9"/>
      <c r="VNV9"/>
      <c r="VNW9"/>
      <c r="VNX9"/>
      <c r="VNY9"/>
      <c r="VNZ9"/>
      <c r="VOA9"/>
      <c r="VOB9"/>
      <c r="VOC9"/>
      <c r="VOD9"/>
      <c r="VOE9"/>
      <c r="VOF9"/>
      <c r="VOG9"/>
      <c r="VOH9"/>
      <c r="VOI9"/>
      <c r="VOJ9"/>
      <c r="VOK9"/>
      <c r="VOL9"/>
      <c r="VOM9"/>
      <c r="VON9"/>
      <c r="VOO9"/>
      <c r="VOP9"/>
      <c r="VOQ9"/>
      <c r="VOR9"/>
      <c r="VOS9"/>
      <c r="VOT9"/>
      <c r="VOU9"/>
      <c r="VOV9"/>
      <c r="VOW9"/>
      <c r="VOX9"/>
      <c r="VOY9"/>
      <c r="VOZ9"/>
      <c r="VPA9"/>
      <c r="VPB9"/>
      <c r="VPC9"/>
      <c r="VPD9"/>
      <c r="VPE9"/>
      <c r="VPF9"/>
      <c r="VPG9"/>
      <c r="VPH9"/>
      <c r="VPI9"/>
      <c r="VPJ9"/>
      <c r="VPK9"/>
      <c r="VPL9"/>
      <c r="VPM9"/>
      <c r="VPN9"/>
      <c r="VPO9"/>
      <c r="VPP9"/>
      <c r="VPQ9"/>
      <c r="VPR9"/>
      <c r="VPS9"/>
      <c r="VPT9"/>
      <c r="VPU9"/>
      <c r="VPV9"/>
      <c r="VPW9"/>
      <c r="VPX9"/>
      <c r="VPY9"/>
      <c r="VPZ9"/>
      <c r="VQA9"/>
      <c r="VQB9"/>
      <c r="VQC9"/>
      <c r="VQD9"/>
      <c r="VQE9"/>
      <c r="VQF9"/>
      <c r="VQG9"/>
      <c r="VQH9"/>
      <c r="VQI9"/>
      <c r="VQJ9"/>
      <c r="VQK9"/>
      <c r="VQL9"/>
      <c r="VQM9"/>
      <c r="VQN9"/>
      <c r="VQO9"/>
      <c r="VQP9"/>
      <c r="VQQ9"/>
      <c r="VQR9"/>
      <c r="VQS9"/>
      <c r="VQT9"/>
      <c r="VQU9"/>
      <c r="VQV9"/>
      <c r="VQW9"/>
      <c r="VQX9"/>
      <c r="VQY9"/>
      <c r="VQZ9"/>
      <c r="VRA9"/>
      <c r="VRB9"/>
      <c r="VRC9"/>
      <c r="VRD9"/>
      <c r="VRE9"/>
      <c r="VRF9"/>
      <c r="VRG9"/>
      <c r="VRH9"/>
      <c r="VRI9"/>
      <c r="VRJ9"/>
      <c r="VRK9"/>
      <c r="VRL9"/>
      <c r="VRM9"/>
      <c r="VRN9"/>
      <c r="VRO9"/>
      <c r="VRP9"/>
      <c r="VRQ9"/>
      <c r="VRR9"/>
      <c r="VRS9"/>
      <c r="VRT9"/>
      <c r="VRU9"/>
      <c r="VRV9"/>
      <c r="VRW9"/>
      <c r="VRX9"/>
      <c r="VRY9"/>
      <c r="VRZ9"/>
      <c r="VSA9"/>
      <c r="VSB9"/>
      <c r="VSC9"/>
      <c r="VSD9"/>
      <c r="VSE9"/>
      <c r="VSF9"/>
      <c r="VSG9"/>
      <c r="VSH9"/>
      <c r="VSI9"/>
      <c r="VSJ9"/>
      <c r="VSK9"/>
      <c r="VSL9"/>
      <c r="VSM9"/>
      <c r="VSN9"/>
      <c r="VSO9"/>
      <c r="VSP9"/>
      <c r="VSQ9"/>
      <c r="VSR9"/>
      <c r="VSS9"/>
      <c r="VST9"/>
      <c r="VSU9"/>
      <c r="VSV9"/>
      <c r="VSW9"/>
      <c r="VSX9"/>
      <c r="VSY9"/>
      <c r="VSZ9"/>
      <c r="VTA9"/>
      <c r="VTB9"/>
      <c r="VTC9"/>
      <c r="VTD9"/>
      <c r="VTE9"/>
      <c r="VTF9"/>
      <c r="VTG9"/>
      <c r="VTH9"/>
      <c r="VTI9"/>
      <c r="VTJ9"/>
      <c r="VTK9"/>
      <c r="VTL9"/>
      <c r="VTM9"/>
      <c r="VTN9"/>
      <c r="VTO9"/>
      <c r="VTP9"/>
      <c r="VTQ9"/>
      <c r="VTR9"/>
      <c r="VTS9"/>
      <c r="VTT9"/>
      <c r="VTU9"/>
      <c r="VTV9"/>
      <c r="VTW9"/>
      <c r="VTX9"/>
      <c r="VTY9"/>
      <c r="VTZ9"/>
      <c r="VUA9"/>
      <c r="VUB9"/>
      <c r="VUC9"/>
      <c r="VUD9"/>
      <c r="VUE9"/>
      <c r="VUF9"/>
      <c r="VUG9"/>
      <c r="VUH9"/>
      <c r="VUI9"/>
      <c r="VUJ9"/>
      <c r="VUK9"/>
      <c r="VUL9"/>
      <c r="VUM9"/>
      <c r="VUN9"/>
      <c r="VUO9"/>
      <c r="VUP9"/>
      <c r="VUQ9"/>
      <c r="VUR9"/>
      <c r="VUS9"/>
      <c r="VUT9"/>
      <c r="VUU9"/>
      <c r="VUV9"/>
      <c r="VUW9"/>
      <c r="VUX9"/>
      <c r="VUY9"/>
      <c r="VUZ9"/>
      <c r="VVA9"/>
      <c r="VVB9"/>
      <c r="VVC9"/>
      <c r="VVD9"/>
      <c r="VVE9"/>
      <c r="VVF9"/>
      <c r="VVG9"/>
      <c r="VVH9"/>
      <c r="VVI9"/>
      <c r="VVJ9"/>
      <c r="VVK9"/>
      <c r="VVL9"/>
      <c r="VVM9"/>
      <c r="VVN9"/>
      <c r="VVO9"/>
      <c r="VVP9"/>
      <c r="VVQ9"/>
      <c r="VVR9"/>
      <c r="VVS9"/>
      <c r="VVT9"/>
      <c r="VVU9"/>
      <c r="VVV9"/>
      <c r="VVW9"/>
      <c r="VVX9"/>
      <c r="VVY9"/>
      <c r="VVZ9"/>
      <c r="VWA9"/>
      <c r="VWB9"/>
      <c r="VWC9"/>
      <c r="VWD9"/>
      <c r="VWE9"/>
      <c r="VWF9"/>
      <c r="VWG9"/>
      <c r="VWH9"/>
      <c r="VWI9"/>
      <c r="VWJ9"/>
      <c r="VWK9"/>
      <c r="VWL9"/>
      <c r="VWM9"/>
      <c r="VWN9"/>
      <c r="VWO9"/>
      <c r="VWP9"/>
      <c r="VWQ9"/>
      <c r="VWR9"/>
      <c r="VWS9"/>
      <c r="VWT9"/>
      <c r="VWU9"/>
      <c r="VWV9"/>
      <c r="VWW9"/>
      <c r="VWX9"/>
      <c r="VWY9"/>
      <c r="VWZ9"/>
      <c r="VXA9"/>
      <c r="VXB9"/>
      <c r="VXC9"/>
      <c r="VXD9"/>
      <c r="VXE9"/>
      <c r="VXF9"/>
      <c r="VXG9"/>
      <c r="VXH9"/>
      <c r="VXI9"/>
      <c r="VXJ9"/>
      <c r="VXK9"/>
      <c r="VXL9"/>
      <c r="VXM9"/>
      <c r="VXN9"/>
      <c r="VXO9"/>
      <c r="VXP9"/>
      <c r="VXQ9"/>
      <c r="VXR9"/>
      <c r="VXS9"/>
      <c r="VXT9"/>
      <c r="VXU9"/>
      <c r="VXV9"/>
      <c r="VXW9"/>
      <c r="VXX9"/>
      <c r="VXY9"/>
      <c r="VXZ9"/>
      <c r="VYA9"/>
      <c r="VYB9"/>
      <c r="VYC9"/>
      <c r="VYD9"/>
      <c r="VYE9"/>
      <c r="VYF9"/>
      <c r="VYG9"/>
      <c r="VYH9"/>
      <c r="VYI9"/>
      <c r="VYJ9"/>
      <c r="VYK9"/>
      <c r="VYL9"/>
      <c r="VYM9"/>
      <c r="VYN9"/>
      <c r="VYO9"/>
      <c r="VYP9"/>
      <c r="VYQ9"/>
      <c r="VYR9"/>
      <c r="VYS9"/>
      <c r="VYT9"/>
      <c r="VYU9"/>
      <c r="VYV9"/>
      <c r="VYW9"/>
      <c r="VYX9"/>
      <c r="VYY9"/>
      <c r="VYZ9"/>
      <c r="VZA9"/>
      <c r="VZB9"/>
      <c r="VZC9"/>
      <c r="VZD9"/>
      <c r="VZE9"/>
      <c r="VZF9"/>
      <c r="VZG9"/>
      <c r="VZH9"/>
      <c r="VZI9"/>
      <c r="VZJ9"/>
      <c r="VZK9"/>
      <c r="VZL9"/>
      <c r="VZM9"/>
      <c r="VZN9"/>
      <c r="VZO9"/>
      <c r="VZP9"/>
      <c r="VZQ9"/>
      <c r="VZR9"/>
      <c r="VZS9"/>
      <c r="VZT9"/>
      <c r="VZU9"/>
      <c r="VZV9"/>
      <c r="VZW9"/>
      <c r="VZX9"/>
      <c r="VZY9"/>
      <c r="VZZ9"/>
      <c r="WAA9"/>
      <c r="WAB9"/>
      <c r="WAC9"/>
      <c r="WAD9"/>
      <c r="WAE9"/>
      <c r="WAF9"/>
      <c r="WAG9"/>
      <c r="WAH9"/>
      <c r="WAI9"/>
      <c r="WAJ9"/>
      <c r="WAK9"/>
      <c r="WAL9"/>
      <c r="WAM9"/>
      <c r="WAN9"/>
      <c r="WAO9"/>
      <c r="WAP9"/>
      <c r="WAQ9"/>
      <c r="WAR9"/>
      <c r="WAS9"/>
      <c r="WAT9"/>
      <c r="WAU9"/>
      <c r="WAV9"/>
      <c r="WAW9"/>
      <c r="WAX9"/>
      <c r="WAY9"/>
      <c r="WAZ9"/>
      <c r="WBA9"/>
      <c r="WBB9"/>
      <c r="WBC9"/>
      <c r="WBD9"/>
      <c r="WBE9"/>
      <c r="WBF9"/>
      <c r="WBG9"/>
      <c r="WBH9"/>
      <c r="WBI9"/>
      <c r="WBJ9"/>
      <c r="WBK9"/>
      <c r="WBL9"/>
      <c r="WBM9"/>
      <c r="WBN9"/>
      <c r="WBO9"/>
      <c r="WBP9"/>
      <c r="WBQ9"/>
      <c r="WBR9"/>
      <c r="WBS9"/>
      <c r="WBT9"/>
      <c r="WBU9"/>
      <c r="WBV9"/>
      <c r="WBW9"/>
      <c r="WBX9"/>
      <c r="WBY9"/>
      <c r="WBZ9"/>
      <c r="WCA9"/>
      <c r="WCB9"/>
      <c r="WCC9"/>
      <c r="WCD9"/>
      <c r="WCE9"/>
      <c r="WCF9"/>
      <c r="WCG9"/>
      <c r="WCH9"/>
      <c r="WCI9"/>
      <c r="WCJ9"/>
      <c r="WCK9"/>
      <c r="WCL9"/>
      <c r="WCM9"/>
      <c r="WCN9"/>
      <c r="WCO9"/>
      <c r="WCP9"/>
      <c r="WCQ9"/>
      <c r="WCR9"/>
      <c r="WCS9"/>
      <c r="WCT9"/>
      <c r="WCU9"/>
      <c r="WCV9"/>
      <c r="WCW9"/>
      <c r="WCX9"/>
      <c r="WCY9"/>
      <c r="WCZ9"/>
      <c r="WDA9"/>
      <c r="WDB9"/>
      <c r="WDC9"/>
      <c r="WDD9"/>
      <c r="WDE9"/>
      <c r="WDF9"/>
      <c r="WDG9"/>
      <c r="WDH9"/>
      <c r="WDI9"/>
      <c r="WDJ9"/>
      <c r="WDK9"/>
      <c r="WDL9"/>
      <c r="WDM9"/>
      <c r="WDN9"/>
      <c r="WDO9"/>
      <c r="WDP9"/>
      <c r="WDQ9"/>
      <c r="WDR9"/>
      <c r="WDS9"/>
      <c r="WDT9"/>
      <c r="WDU9"/>
      <c r="WDV9"/>
      <c r="WDW9"/>
      <c r="WDX9"/>
      <c r="WDY9"/>
      <c r="WDZ9"/>
      <c r="WEA9"/>
      <c r="WEB9"/>
      <c r="WEC9"/>
      <c r="WED9"/>
      <c r="WEE9"/>
      <c r="WEF9"/>
      <c r="WEG9"/>
      <c r="WEH9"/>
      <c r="WEI9"/>
      <c r="WEJ9"/>
      <c r="WEK9"/>
      <c r="WEL9"/>
      <c r="WEM9"/>
      <c r="WEN9"/>
      <c r="WEO9"/>
      <c r="WEP9"/>
      <c r="WEQ9"/>
      <c r="WER9"/>
      <c r="WES9"/>
      <c r="WET9"/>
      <c r="WEU9"/>
      <c r="WEV9"/>
      <c r="WEW9"/>
      <c r="WEX9"/>
      <c r="WEY9"/>
      <c r="WEZ9"/>
      <c r="WFA9"/>
      <c r="WFB9"/>
      <c r="WFC9"/>
      <c r="WFD9"/>
      <c r="WFE9"/>
      <c r="WFF9"/>
      <c r="WFG9"/>
      <c r="WFH9"/>
      <c r="WFI9"/>
      <c r="WFJ9"/>
      <c r="WFK9"/>
      <c r="WFL9"/>
      <c r="WFM9"/>
      <c r="WFN9"/>
      <c r="WFO9"/>
      <c r="WFP9"/>
      <c r="WFQ9"/>
      <c r="WFR9"/>
      <c r="WFS9"/>
      <c r="WFT9"/>
      <c r="WFU9"/>
      <c r="WFV9"/>
      <c r="WFW9"/>
      <c r="WFX9"/>
      <c r="WFY9"/>
      <c r="WFZ9"/>
      <c r="WGA9"/>
      <c r="WGB9"/>
      <c r="WGC9"/>
      <c r="WGD9"/>
      <c r="WGE9"/>
      <c r="WGF9"/>
      <c r="WGG9"/>
      <c r="WGH9"/>
      <c r="WGI9"/>
      <c r="WGJ9"/>
      <c r="WGK9"/>
      <c r="WGL9"/>
      <c r="WGM9"/>
      <c r="WGN9"/>
      <c r="WGO9"/>
      <c r="WGP9"/>
      <c r="WGQ9"/>
      <c r="WGR9"/>
      <c r="WGS9"/>
      <c r="WGT9"/>
      <c r="WGU9"/>
      <c r="WGV9"/>
      <c r="WGW9"/>
      <c r="WGX9"/>
      <c r="WGY9"/>
      <c r="WGZ9"/>
      <c r="WHA9"/>
      <c r="WHB9"/>
      <c r="WHC9"/>
      <c r="WHD9"/>
      <c r="WHE9"/>
      <c r="WHF9"/>
      <c r="WHG9"/>
      <c r="WHH9"/>
      <c r="WHI9"/>
      <c r="WHJ9"/>
      <c r="WHK9"/>
      <c r="WHL9"/>
      <c r="WHM9"/>
      <c r="WHN9"/>
      <c r="WHO9"/>
      <c r="WHP9"/>
      <c r="WHQ9"/>
      <c r="WHR9"/>
      <c r="WHS9"/>
      <c r="WHT9"/>
      <c r="WHU9"/>
      <c r="WHV9"/>
      <c r="WHW9"/>
      <c r="WHX9"/>
      <c r="WHY9"/>
      <c r="WHZ9"/>
      <c r="WIA9"/>
      <c r="WIB9"/>
      <c r="WIC9"/>
      <c r="WID9"/>
      <c r="WIE9"/>
      <c r="WIF9"/>
      <c r="WIG9"/>
      <c r="WIH9"/>
      <c r="WII9"/>
      <c r="WIJ9"/>
      <c r="WIK9"/>
      <c r="WIL9"/>
      <c r="WIM9"/>
      <c r="WIN9"/>
      <c r="WIO9"/>
      <c r="WIP9"/>
      <c r="WIQ9"/>
      <c r="WIR9"/>
      <c r="WIS9"/>
      <c r="WIT9"/>
      <c r="WIU9"/>
      <c r="WIV9"/>
      <c r="WIW9"/>
      <c r="WIX9"/>
      <c r="WIY9"/>
      <c r="WIZ9"/>
      <c r="WJA9"/>
      <c r="WJB9"/>
      <c r="WJC9"/>
      <c r="WJD9"/>
      <c r="WJE9"/>
      <c r="WJF9"/>
      <c r="WJG9"/>
      <c r="WJH9"/>
      <c r="WJI9"/>
      <c r="WJJ9"/>
      <c r="WJK9"/>
      <c r="WJL9"/>
      <c r="WJM9"/>
      <c r="WJN9"/>
      <c r="WJO9"/>
      <c r="WJP9"/>
      <c r="WJQ9"/>
      <c r="WJR9"/>
      <c r="WJS9"/>
      <c r="WJT9"/>
      <c r="WJU9"/>
      <c r="WJV9"/>
      <c r="WJW9"/>
      <c r="WJX9"/>
      <c r="WJY9"/>
      <c r="WJZ9"/>
      <c r="WKA9"/>
      <c r="WKB9"/>
      <c r="WKC9"/>
      <c r="WKD9"/>
      <c r="WKE9"/>
      <c r="WKF9"/>
      <c r="WKG9"/>
      <c r="WKH9"/>
      <c r="WKI9"/>
      <c r="WKJ9"/>
      <c r="WKK9"/>
      <c r="WKL9"/>
      <c r="WKM9"/>
      <c r="WKN9"/>
      <c r="WKO9"/>
      <c r="WKP9"/>
      <c r="WKQ9"/>
      <c r="WKR9"/>
      <c r="WKS9"/>
      <c r="WKT9"/>
      <c r="WKU9"/>
      <c r="WKV9"/>
      <c r="WKW9"/>
      <c r="WKX9"/>
      <c r="WKY9"/>
      <c r="WKZ9"/>
      <c r="WLA9"/>
      <c r="WLB9"/>
      <c r="WLC9"/>
      <c r="WLD9"/>
      <c r="WLE9"/>
      <c r="WLF9"/>
      <c r="WLG9"/>
      <c r="WLH9"/>
      <c r="WLI9"/>
      <c r="WLJ9"/>
      <c r="WLK9"/>
      <c r="WLL9"/>
      <c r="WLM9"/>
      <c r="WLN9"/>
      <c r="WLO9"/>
      <c r="WLP9"/>
      <c r="WLQ9"/>
      <c r="WLR9"/>
      <c r="WLS9"/>
      <c r="WLT9"/>
      <c r="WLU9"/>
      <c r="WLV9"/>
      <c r="WLW9"/>
      <c r="WLX9"/>
      <c r="WLY9"/>
      <c r="WLZ9"/>
      <c r="WMA9"/>
      <c r="WMB9"/>
      <c r="WMC9"/>
      <c r="WMD9"/>
      <c r="WME9"/>
      <c r="WMF9"/>
      <c r="WMG9"/>
      <c r="WMH9"/>
      <c r="WMI9"/>
      <c r="WMJ9"/>
      <c r="WMK9"/>
      <c r="WML9"/>
      <c r="WMM9"/>
      <c r="WMN9"/>
      <c r="WMO9"/>
      <c r="WMP9"/>
      <c r="WMQ9"/>
      <c r="WMR9"/>
      <c r="WMS9"/>
      <c r="WMT9"/>
      <c r="WMU9"/>
      <c r="WMV9"/>
      <c r="WMW9"/>
      <c r="WMX9"/>
      <c r="WMY9"/>
      <c r="WMZ9"/>
      <c r="WNA9"/>
      <c r="WNB9"/>
      <c r="WNC9"/>
      <c r="WND9"/>
      <c r="WNE9"/>
      <c r="WNF9"/>
      <c r="WNG9"/>
      <c r="WNH9"/>
      <c r="WNI9"/>
      <c r="WNJ9"/>
      <c r="WNK9"/>
      <c r="WNL9"/>
      <c r="WNM9"/>
      <c r="WNN9"/>
      <c r="WNO9"/>
      <c r="WNP9"/>
      <c r="WNQ9"/>
      <c r="WNR9"/>
      <c r="WNS9"/>
      <c r="WNT9"/>
      <c r="WNU9"/>
      <c r="WNV9"/>
      <c r="WNW9"/>
      <c r="WNX9"/>
      <c r="WNY9"/>
      <c r="WNZ9"/>
      <c r="WOA9"/>
      <c r="WOB9"/>
      <c r="WOC9"/>
      <c r="WOD9"/>
      <c r="WOE9"/>
      <c r="WOF9"/>
      <c r="WOG9"/>
      <c r="WOH9"/>
      <c r="WOI9"/>
      <c r="WOJ9"/>
      <c r="WOK9"/>
      <c r="WOL9"/>
      <c r="WOM9"/>
      <c r="WON9"/>
      <c r="WOO9"/>
      <c r="WOP9"/>
      <c r="WOQ9"/>
      <c r="WOR9"/>
      <c r="WOS9"/>
      <c r="WOT9"/>
      <c r="WOU9"/>
      <c r="WOV9"/>
      <c r="WOW9"/>
      <c r="WOX9"/>
      <c r="WOY9"/>
      <c r="WOZ9"/>
      <c r="WPA9"/>
      <c r="WPB9"/>
      <c r="WPC9"/>
      <c r="WPD9"/>
      <c r="WPE9"/>
      <c r="WPF9"/>
      <c r="WPG9"/>
      <c r="WPH9"/>
      <c r="WPI9"/>
      <c r="WPJ9"/>
      <c r="WPK9"/>
      <c r="WPL9"/>
      <c r="WPM9"/>
      <c r="WPN9"/>
      <c r="WPO9"/>
      <c r="WPP9"/>
      <c r="WPQ9"/>
      <c r="WPR9"/>
      <c r="WPS9"/>
      <c r="WPT9"/>
      <c r="WPU9"/>
      <c r="WPV9"/>
      <c r="WPW9"/>
      <c r="WPX9"/>
      <c r="WPY9"/>
      <c r="WPZ9"/>
      <c r="WQA9"/>
      <c r="WQB9"/>
      <c r="WQC9"/>
      <c r="WQD9"/>
      <c r="WQE9"/>
      <c r="WQF9"/>
      <c r="WQG9"/>
      <c r="WQH9"/>
      <c r="WQI9"/>
      <c r="WQJ9"/>
      <c r="WQK9"/>
      <c r="WQL9"/>
      <c r="WQM9"/>
      <c r="WQN9"/>
      <c r="WQO9"/>
      <c r="WQP9"/>
      <c r="WQQ9"/>
      <c r="WQR9"/>
      <c r="WQS9"/>
      <c r="WQT9"/>
      <c r="WQU9"/>
      <c r="WQV9"/>
      <c r="WQW9"/>
      <c r="WQX9"/>
      <c r="WQY9"/>
      <c r="WQZ9"/>
      <c r="WRA9"/>
      <c r="WRB9"/>
      <c r="WRC9"/>
      <c r="WRD9"/>
      <c r="WRE9"/>
      <c r="WRF9"/>
      <c r="WRG9"/>
      <c r="WRH9"/>
      <c r="WRI9"/>
      <c r="WRJ9"/>
      <c r="WRK9"/>
      <c r="WRL9"/>
      <c r="WRM9"/>
      <c r="WRN9"/>
      <c r="WRO9"/>
      <c r="WRP9"/>
      <c r="WRQ9"/>
      <c r="WRR9"/>
      <c r="WRS9"/>
      <c r="WRT9"/>
      <c r="WRU9"/>
      <c r="WRV9"/>
      <c r="WRW9"/>
      <c r="WRX9"/>
      <c r="WRY9"/>
      <c r="WRZ9"/>
      <c r="WSA9"/>
      <c r="WSB9"/>
      <c r="WSC9"/>
      <c r="WSD9"/>
      <c r="WSE9"/>
      <c r="WSF9"/>
      <c r="WSG9"/>
      <c r="WSH9"/>
      <c r="WSI9"/>
      <c r="WSJ9"/>
      <c r="WSK9"/>
      <c r="WSL9"/>
      <c r="WSM9"/>
      <c r="WSN9"/>
      <c r="WSO9"/>
      <c r="WSP9"/>
      <c r="WSQ9"/>
      <c r="WSR9"/>
      <c r="WSS9"/>
      <c r="WST9"/>
      <c r="WSU9"/>
      <c r="WSV9"/>
      <c r="WSW9"/>
      <c r="WSX9"/>
      <c r="WSY9"/>
      <c r="WSZ9"/>
      <c r="WTA9"/>
      <c r="WTB9"/>
      <c r="WTC9"/>
      <c r="WTD9"/>
      <c r="WTE9"/>
      <c r="WTF9"/>
      <c r="WTG9"/>
      <c r="WTH9"/>
      <c r="WTI9"/>
      <c r="WTJ9"/>
      <c r="WTK9"/>
      <c r="WTL9"/>
      <c r="WTM9"/>
      <c r="WTN9"/>
      <c r="WTO9"/>
      <c r="WTP9"/>
      <c r="WTQ9"/>
      <c r="WTR9"/>
      <c r="WTS9"/>
      <c r="WTT9"/>
      <c r="WTU9"/>
      <c r="WTV9"/>
      <c r="WTW9"/>
      <c r="WTX9"/>
      <c r="WTY9"/>
      <c r="WTZ9"/>
      <c r="WUA9"/>
      <c r="WUB9"/>
      <c r="WUC9"/>
      <c r="WUD9"/>
      <c r="WUE9"/>
      <c r="WUF9"/>
      <c r="WUG9"/>
      <c r="WUH9"/>
      <c r="WUI9"/>
      <c r="WUJ9"/>
      <c r="WUK9"/>
      <c r="WUL9"/>
      <c r="WUM9"/>
      <c r="WUN9"/>
      <c r="WUO9"/>
      <c r="WUP9"/>
      <c r="WUQ9"/>
      <c r="WUR9"/>
      <c r="WUS9"/>
      <c r="WUT9"/>
      <c r="WUU9"/>
      <c r="WUV9"/>
      <c r="WUW9"/>
      <c r="WUX9"/>
      <c r="WUY9"/>
      <c r="WUZ9"/>
      <c r="WVA9"/>
      <c r="WVB9"/>
      <c r="WVC9"/>
      <c r="WVD9"/>
      <c r="WVE9"/>
      <c r="WVF9"/>
      <c r="WVG9"/>
      <c r="WVH9"/>
      <c r="WVI9"/>
      <c r="WVJ9"/>
      <c r="WVK9"/>
      <c r="WVL9"/>
      <c r="WVM9"/>
      <c r="WVN9"/>
      <c r="WVO9"/>
      <c r="WVP9"/>
      <c r="WVQ9"/>
      <c r="WVR9"/>
      <c r="WVS9"/>
      <c r="WVT9"/>
      <c r="WVU9"/>
      <c r="WVV9"/>
      <c r="WVW9"/>
      <c r="WVX9"/>
      <c r="WVY9"/>
      <c r="WVZ9"/>
      <c r="WWA9"/>
      <c r="WWB9"/>
      <c r="WWC9"/>
      <c r="WWD9"/>
      <c r="WWE9"/>
      <c r="WWF9"/>
      <c r="WWG9"/>
      <c r="WWH9"/>
      <c r="WWI9"/>
      <c r="WWJ9"/>
      <c r="WWK9"/>
      <c r="WWL9"/>
      <c r="WWM9"/>
      <c r="WWN9"/>
      <c r="WWO9"/>
      <c r="WWP9"/>
      <c r="WWQ9"/>
      <c r="WWR9"/>
      <c r="WWS9"/>
      <c r="WWT9"/>
      <c r="WWU9"/>
      <c r="WWV9"/>
      <c r="WWW9"/>
      <c r="WWX9"/>
      <c r="WWY9"/>
      <c r="WWZ9"/>
      <c r="WXA9"/>
      <c r="WXB9"/>
      <c r="WXC9"/>
      <c r="WXD9"/>
      <c r="WXE9"/>
      <c r="WXF9"/>
      <c r="WXG9"/>
      <c r="WXH9"/>
      <c r="WXI9"/>
      <c r="WXJ9"/>
      <c r="WXK9"/>
      <c r="WXL9"/>
      <c r="WXM9"/>
      <c r="WXN9"/>
      <c r="WXO9"/>
      <c r="WXP9"/>
      <c r="WXQ9"/>
      <c r="WXR9"/>
      <c r="WXS9"/>
      <c r="WXT9"/>
      <c r="WXU9"/>
      <c r="WXV9"/>
      <c r="WXW9"/>
      <c r="WXX9"/>
      <c r="WXY9"/>
      <c r="WXZ9"/>
      <c r="WYA9"/>
      <c r="WYB9"/>
      <c r="WYC9"/>
      <c r="WYD9"/>
      <c r="WYE9"/>
      <c r="WYF9"/>
      <c r="WYG9"/>
      <c r="WYH9"/>
      <c r="WYI9"/>
      <c r="WYJ9"/>
      <c r="WYK9"/>
      <c r="WYL9"/>
      <c r="WYM9"/>
      <c r="WYN9"/>
      <c r="WYO9"/>
      <c r="WYP9"/>
      <c r="WYQ9"/>
      <c r="WYR9"/>
      <c r="WYS9"/>
      <c r="WYT9"/>
      <c r="WYU9"/>
      <c r="WYV9"/>
      <c r="WYW9"/>
      <c r="WYX9"/>
      <c r="WYY9"/>
      <c r="WYZ9"/>
      <c r="WZA9"/>
      <c r="WZB9"/>
      <c r="WZC9"/>
      <c r="WZD9"/>
      <c r="WZE9"/>
      <c r="WZF9"/>
      <c r="WZG9"/>
      <c r="WZH9"/>
      <c r="WZI9"/>
      <c r="WZJ9"/>
      <c r="WZK9"/>
      <c r="WZL9"/>
      <c r="WZM9"/>
      <c r="WZN9"/>
      <c r="WZO9"/>
      <c r="WZP9"/>
      <c r="WZQ9"/>
      <c r="WZR9"/>
      <c r="WZS9"/>
      <c r="WZT9"/>
      <c r="WZU9"/>
      <c r="WZV9"/>
      <c r="WZW9"/>
      <c r="WZX9"/>
      <c r="WZY9"/>
      <c r="WZZ9"/>
      <c r="XAA9"/>
      <c r="XAB9"/>
      <c r="XAC9"/>
      <c r="XAD9"/>
      <c r="XAE9"/>
      <c r="XAF9"/>
      <c r="XAG9"/>
      <c r="XAH9"/>
      <c r="XAI9"/>
      <c r="XAJ9"/>
      <c r="XAK9"/>
      <c r="XAL9"/>
      <c r="XAM9"/>
      <c r="XAN9"/>
      <c r="XAO9"/>
      <c r="XAP9"/>
      <c r="XAQ9"/>
      <c r="XAR9"/>
      <c r="XAS9"/>
      <c r="XAT9"/>
      <c r="XAU9"/>
      <c r="XAV9"/>
      <c r="XAW9"/>
      <c r="XAX9"/>
      <c r="XAY9"/>
      <c r="XAZ9"/>
      <c r="XBA9"/>
      <c r="XBB9"/>
      <c r="XBC9"/>
      <c r="XBD9"/>
      <c r="XBE9"/>
      <c r="XBF9"/>
      <c r="XBG9"/>
      <c r="XBH9"/>
      <c r="XBI9"/>
      <c r="XBJ9"/>
      <c r="XBK9"/>
      <c r="XBL9"/>
      <c r="XBM9"/>
      <c r="XBN9"/>
      <c r="XBO9"/>
      <c r="XBP9"/>
      <c r="XBQ9"/>
      <c r="XBR9"/>
      <c r="XBS9"/>
      <c r="XBT9"/>
      <c r="XBU9"/>
      <c r="XBV9"/>
      <c r="XBW9"/>
      <c r="XBX9"/>
      <c r="XBY9"/>
      <c r="XBZ9"/>
      <c r="XCA9"/>
      <c r="XCB9"/>
      <c r="XCC9"/>
      <c r="XCD9"/>
      <c r="XCE9"/>
      <c r="XCF9"/>
      <c r="XCG9"/>
      <c r="XCH9"/>
      <c r="XCI9"/>
      <c r="XCJ9"/>
      <c r="XCK9"/>
      <c r="XCL9"/>
      <c r="XCM9"/>
      <c r="XCN9"/>
      <c r="XCO9"/>
      <c r="XCP9"/>
      <c r="XCQ9"/>
      <c r="XCR9"/>
      <c r="XCS9"/>
      <c r="XCT9"/>
      <c r="XCU9"/>
      <c r="XCV9"/>
      <c r="XCW9"/>
      <c r="XCX9"/>
      <c r="XCY9"/>
      <c r="XCZ9"/>
      <c r="XDA9"/>
      <c r="XDB9"/>
      <c r="XDC9"/>
      <c r="XDD9"/>
      <c r="XDE9"/>
      <c r="XDF9"/>
      <c r="XDG9"/>
      <c r="XDH9"/>
      <c r="XDI9"/>
      <c r="XDJ9"/>
      <c r="XDK9"/>
      <c r="XDL9"/>
      <c r="XDM9"/>
      <c r="XDN9"/>
      <c r="XDO9"/>
      <c r="XDP9"/>
      <c r="XDQ9"/>
      <c r="XDR9"/>
      <c r="XDS9"/>
      <c r="XDT9"/>
      <c r="XDU9"/>
      <c r="XDV9"/>
      <c r="XDW9"/>
      <c r="XDX9"/>
      <c r="XDY9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pans="1:342 14982:16384">
      <c r="A10" s="62"/>
      <c r="B10" s="22"/>
      <c r="C10" s="23"/>
      <c r="D10" s="23"/>
      <c r="E10" s="24"/>
      <c r="F10" s="24"/>
      <c r="G10" s="24"/>
      <c r="H10" s="24"/>
      <c r="I10" s="25"/>
      <c r="J10" s="25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7"/>
    </row>
    <row r="11" spans="1:342 14982:16384" s="69" customFormat="1">
      <c r="A11" s="61" t="s">
        <v>122</v>
      </c>
      <c r="B11" s="28">
        <f>SUM(B2:B10)</f>
        <v>80456.34</v>
      </c>
      <c r="C11" s="28">
        <f>SUM(C2:C9)</f>
        <v>80456.34</v>
      </c>
      <c r="D11" s="28">
        <f t="shared" ref="D11:AG11" si="23">SUM(D2:D9)</f>
        <v>80541.81</v>
      </c>
      <c r="E11" s="28">
        <f t="shared" si="23"/>
        <v>80754.53</v>
      </c>
      <c r="F11" s="28">
        <f t="shared" si="23"/>
        <v>80875.3</v>
      </c>
      <c r="G11" s="28">
        <f t="shared" si="23"/>
        <v>81135.329999999987</v>
      </c>
      <c r="H11" s="28">
        <f t="shared" si="23"/>
        <v>81141.679999999993</v>
      </c>
      <c r="I11" s="28">
        <f t="shared" si="23"/>
        <v>81141.679999999993</v>
      </c>
      <c r="J11" s="28">
        <f t="shared" si="23"/>
        <v>81141.679999999993</v>
      </c>
      <c r="K11" s="28">
        <f t="shared" si="23"/>
        <v>81140.349999999991</v>
      </c>
      <c r="L11" s="28">
        <f t="shared" si="23"/>
        <v>81231.839999999997</v>
      </c>
      <c r="M11" s="28">
        <f t="shared" si="23"/>
        <v>81215.009999999995</v>
      </c>
      <c r="N11" s="28">
        <f t="shared" si="23"/>
        <v>81370.23</v>
      </c>
      <c r="O11" s="28">
        <f t="shared" si="23"/>
        <v>81354.37</v>
      </c>
      <c r="P11" s="28">
        <f t="shared" si="23"/>
        <v>81354.37</v>
      </c>
      <c r="Q11" s="28">
        <f t="shared" si="23"/>
        <v>81399.37</v>
      </c>
      <c r="R11" s="28">
        <f t="shared" si="23"/>
        <v>81506.349999999991</v>
      </c>
      <c r="S11" s="28">
        <f t="shared" si="23"/>
        <v>81457.98</v>
      </c>
      <c r="T11" s="28">
        <f t="shared" si="23"/>
        <v>81552.579999999987</v>
      </c>
      <c r="U11" s="28">
        <f t="shared" si="23"/>
        <v>81581.399999999994</v>
      </c>
      <c r="V11" s="28">
        <f t="shared" si="23"/>
        <v>81572.459999999992</v>
      </c>
      <c r="W11" s="28">
        <f t="shared" si="23"/>
        <v>81572.459999999992</v>
      </c>
      <c r="X11" s="28">
        <f t="shared" si="23"/>
        <v>81572.459999999992</v>
      </c>
      <c r="Y11" s="28">
        <f t="shared" si="23"/>
        <v>81575.719999999987</v>
      </c>
      <c r="Z11" s="28">
        <f t="shared" si="23"/>
        <v>68870.66</v>
      </c>
      <c r="AA11" s="28">
        <f t="shared" si="23"/>
        <v>68870.66</v>
      </c>
      <c r="AB11" s="28">
        <f t="shared" si="23"/>
        <v>68870.66</v>
      </c>
      <c r="AC11" s="28">
        <f t="shared" si="23"/>
        <v>68870.66</v>
      </c>
      <c r="AD11" s="28">
        <f t="shared" si="23"/>
        <v>68870.66</v>
      </c>
      <c r="AE11" s="28">
        <f t="shared" si="23"/>
        <v>68870.66</v>
      </c>
      <c r="AF11" s="28">
        <f t="shared" si="23"/>
        <v>68870.66</v>
      </c>
      <c r="AG11" s="28">
        <f t="shared" si="23"/>
        <v>68870.66</v>
      </c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VDF11"/>
      <c r="VDG11"/>
      <c r="VDH11"/>
      <c r="VDI11"/>
      <c r="VDJ11"/>
      <c r="VDK11"/>
      <c r="VDL11"/>
      <c r="VDM11"/>
      <c r="VDN11"/>
      <c r="VDO11"/>
      <c r="VDP11"/>
      <c r="VDQ11"/>
      <c r="VDR11"/>
      <c r="VDS11"/>
      <c r="VDT11"/>
      <c r="VDU11"/>
      <c r="VDV11"/>
      <c r="VDW11"/>
      <c r="VDX11"/>
      <c r="VDY11"/>
      <c r="VDZ11"/>
      <c r="VEA11"/>
      <c r="VEB11"/>
      <c r="VEC11"/>
      <c r="VED11"/>
      <c r="VEE11"/>
      <c r="VEF11"/>
      <c r="VEG11"/>
      <c r="VEH11"/>
      <c r="VEI11"/>
      <c r="VEJ11"/>
      <c r="VEK11"/>
      <c r="VEL11"/>
      <c r="VEM11"/>
      <c r="VEN11"/>
      <c r="VEO11"/>
      <c r="VEP11"/>
      <c r="VEQ11"/>
      <c r="VER11"/>
      <c r="VES11"/>
      <c r="VET11"/>
      <c r="VEU11"/>
      <c r="VEV11"/>
      <c r="VEW11"/>
      <c r="VEX11"/>
      <c r="VEY11"/>
      <c r="VEZ11"/>
      <c r="VFA11"/>
      <c r="VFB11"/>
      <c r="VFC11"/>
      <c r="VFD11"/>
      <c r="VFE11"/>
      <c r="VFF11"/>
      <c r="VFG11"/>
      <c r="VFH11"/>
      <c r="VFI11"/>
      <c r="VFJ11"/>
      <c r="VFK11"/>
      <c r="VFL11"/>
      <c r="VFM11"/>
      <c r="VFN11"/>
      <c r="VFO11"/>
      <c r="VFP11"/>
      <c r="VFQ11"/>
      <c r="VFR11"/>
      <c r="VFS11"/>
      <c r="VFT11"/>
      <c r="VFU11"/>
      <c r="VFV11"/>
      <c r="VFW11"/>
      <c r="VFX11"/>
      <c r="VFY11"/>
      <c r="VFZ11"/>
      <c r="VGA11"/>
      <c r="VGB11"/>
      <c r="VGC11"/>
      <c r="VGD11"/>
      <c r="VGE11"/>
      <c r="VGF11"/>
      <c r="VGG11"/>
      <c r="VGH11"/>
      <c r="VGI11"/>
      <c r="VGJ11"/>
      <c r="VGK11"/>
      <c r="VGL11"/>
      <c r="VGM11"/>
      <c r="VGN11"/>
      <c r="VGO11"/>
      <c r="VGP11"/>
      <c r="VGQ11"/>
      <c r="VGR11"/>
      <c r="VGS11"/>
      <c r="VGT11"/>
      <c r="VGU11"/>
      <c r="VGV11"/>
      <c r="VGW11"/>
      <c r="VGX11"/>
      <c r="VGY11"/>
      <c r="VGZ11"/>
      <c r="VHA11"/>
      <c r="VHB11"/>
      <c r="VHC11"/>
      <c r="VHD11"/>
      <c r="VHE11"/>
      <c r="VHF11"/>
      <c r="VHG11"/>
      <c r="VHH11"/>
      <c r="VHI11"/>
      <c r="VHJ11"/>
      <c r="VHK11"/>
      <c r="VHL11"/>
      <c r="VHM11"/>
      <c r="VHN11"/>
      <c r="VHO11"/>
      <c r="VHP11"/>
      <c r="VHQ11"/>
      <c r="VHR11"/>
      <c r="VHS11"/>
      <c r="VHT11"/>
      <c r="VHU11"/>
      <c r="VHV11"/>
      <c r="VHW11"/>
      <c r="VHX11"/>
      <c r="VHY11"/>
      <c r="VHZ11"/>
      <c r="VIA11"/>
      <c r="VIB11"/>
      <c r="VIC11"/>
      <c r="VID11"/>
      <c r="VIE11"/>
      <c r="VIF11"/>
      <c r="VIG11"/>
      <c r="VIH11"/>
      <c r="VII11"/>
      <c r="VIJ11"/>
      <c r="VIK11"/>
      <c r="VIL11"/>
      <c r="VIM11"/>
      <c r="VIN11"/>
      <c r="VIO11"/>
      <c r="VIP11"/>
      <c r="VIQ11"/>
      <c r="VIR11"/>
      <c r="VIS11"/>
      <c r="VIT11"/>
      <c r="VIU11"/>
      <c r="VIV11"/>
      <c r="VIW11"/>
      <c r="VIX11"/>
      <c r="VIY11"/>
      <c r="VIZ11"/>
      <c r="VJA11"/>
      <c r="VJB11"/>
      <c r="VJC11"/>
      <c r="VJD11"/>
      <c r="VJE11"/>
      <c r="VJF11"/>
      <c r="VJG11"/>
      <c r="VJH11"/>
      <c r="VJI11"/>
      <c r="VJJ11"/>
      <c r="VJK11"/>
      <c r="VJL11"/>
      <c r="VJM11"/>
      <c r="VJN11"/>
      <c r="VJO11"/>
      <c r="VJP11"/>
      <c r="VJQ11"/>
      <c r="VJR11"/>
      <c r="VJS11"/>
      <c r="VJT11"/>
      <c r="VJU11"/>
      <c r="VJV11"/>
      <c r="VJW11"/>
      <c r="VJX11"/>
      <c r="VJY11"/>
      <c r="VJZ11"/>
      <c r="VKA11"/>
      <c r="VKB11"/>
      <c r="VKC11"/>
      <c r="VKD11"/>
      <c r="VKE11"/>
      <c r="VKF11"/>
      <c r="VKG11"/>
      <c r="VKH11"/>
      <c r="VKI11"/>
      <c r="VKJ11"/>
      <c r="VKK11"/>
      <c r="VKL11"/>
      <c r="VKM11"/>
      <c r="VKN11"/>
      <c r="VKO11"/>
      <c r="VKP11"/>
      <c r="VKQ11"/>
      <c r="VKR11"/>
      <c r="VKS11"/>
      <c r="VKT11"/>
      <c r="VKU11"/>
      <c r="VKV11"/>
      <c r="VKW11"/>
      <c r="VKX11"/>
      <c r="VKY11"/>
      <c r="VKZ11"/>
      <c r="VLA11"/>
      <c r="VLB11"/>
      <c r="VLC11"/>
      <c r="VLD11"/>
      <c r="VLE11"/>
      <c r="VLF11"/>
      <c r="VLG11"/>
      <c r="VLH11"/>
      <c r="VLI11"/>
      <c r="VLJ11"/>
      <c r="VLK11"/>
      <c r="VLL11"/>
      <c r="VLM11"/>
      <c r="VLN11"/>
      <c r="VLO11"/>
      <c r="VLP11"/>
      <c r="VLQ11"/>
      <c r="VLR11"/>
      <c r="VLS11"/>
      <c r="VLT11"/>
      <c r="VLU11"/>
      <c r="VLV11"/>
      <c r="VLW11"/>
      <c r="VLX11"/>
      <c r="VLY11"/>
      <c r="VLZ11"/>
      <c r="VMA11"/>
      <c r="VMB11"/>
      <c r="VMC11"/>
      <c r="VMD11"/>
      <c r="VME11"/>
      <c r="VMF11"/>
      <c r="VMG11"/>
      <c r="VMH11"/>
      <c r="VMI11"/>
      <c r="VMJ11"/>
      <c r="VMK11"/>
      <c r="VML11"/>
      <c r="VMM11"/>
      <c r="VMN11"/>
      <c r="VMO11"/>
      <c r="VMP11"/>
      <c r="VMQ11"/>
      <c r="VMR11"/>
      <c r="VMS11"/>
      <c r="VMT11"/>
      <c r="VMU11"/>
      <c r="VMV11"/>
      <c r="VMW11"/>
      <c r="VMX11"/>
      <c r="VMY11"/>
      <c r="VMZ11"/>
      <c r="VNA11"/>
      <c r="VNB11"/>
      <c r="VNC11"/>
      <c r="VND11"/>
      <c r="VNE11"/>
      <c r="VNF11"/>
      <c r="VNG11"/>
      <c r="VNH11"/>
      <c r="VNI11"/>
      <c r="VNJ11"/>
      <c r="VNK11"/>
      <c r="VNL11"/>
      <c r="VNM11"/>
      <c r="VNN11"/>
      <c r="VNO11"/>
      <c r="VNP11"/>
      <c r="VNQ11"/>
      <c r="VNR11"/>
      <c r="VNS11"/>
      <c r="VNT11"/>
      <c r="VNU11"/>
      <c r="VNV11"/>
      <c r="VNW11"/>
      <c r="VNX11"/>
      <c r="VNY11"/>
      <c r="VNZ11"/>
      <c r="VOA11"/>
      <c r="VOB11"/>
      <c r="VOC11"/>
      <c r="VOD11"/>
      <c r="VOE11"/>
      <c r="VOF11"/>
      <c r="VOG11"/>
      <c r="VOH11"/>
      <c r="VOI11"/>
      <c r="VOJ11"/>
      <c r="VOK11"/>
      <c r="VOL11"/>
      <c r="VOM11"/>
      <c r="VON11"/>
      <c r="VOO11"/>
      <c r="VOP11"/>
      <c r="VOQ11"/>
      <c r="VOR11"/>
      <c r="VOS11"/>
      <c r="VOT11"/>
      <c r="VOU11"/>
      <c r="VOV11"/>
      <c r="VOW11"/>
      <c r="VOX11"/>
      <c r="VOY11"/>
      <c r="VOZ11"/>
      <c r="VPA11"/>
      <c r="VPB11"/>
      <c r="VPC11"/>
      <c r="VPD11"/>
      <c r="VPE11"/>
      <c r="VPF11"/>
      <c r="VPG11"/>
      <c r="VPH11"/>
      <c r="VPI11"/>
      <c r="VPJ11"/>
      <c r="VPK11"/>
      <c r="VPL11"/>
      <c r="VPM11"/>
      <c r="VPN11"/>
      <c r="VPO11"/>
      <c r="VPP11"/>
      <c r="VPQ11"/>
      <c r="VPR11"/>
      <c r="VPS11"/>
      <c r="VPT11"/>
      <c r="VPU11"/>
      <c r="VPV11"/>
      <c r="VPW11"/>
      <c r="VPX11"/>
      <c r="VPY11"/>
      <c r="VPZ11"/>
      <c r="VQA11"/>
      <c r="VQB11"/>
      <c r="VQC11"/>
      <c r="VQD11"/>
      <c r="VQE11"/>
      <c r="VQF11"/>
      <c r="VQG11"/>
      <c r="VQH11"/>
      <c r="VQI11"/>
      <c r="VQJ11"/>
      <c r="VQK11"/>
      <c r="VQL11"/>
      <c r="VQM11"/>
      <c r="VQN11"/>
      <c r="VQO11"/>
      <c r="VQP11"/>
      <c r="VQQ11"/>
      <c r="VQR11"/>
      <c r="VQS11"/>
      <c r="VQT11"/>
      <c r="VQU11"/>
      <c r="VQV11"/>
      <c r="VQW11"/>
      <c r="VQX11"/>
      <c r="VQY11"/>
      <c r="VQZ11"/>
      <c r="VRA11"/>
      <c r="VRB11"/>
      <c r="VRC11"/>
      <c r="VRD11"/>
      <c r="VRE11"/>
      <c r="VRF11"/>
      <c r="VRG11"/>
      <c r="VRH11"/>
      <c r="VRI11"/>
      <c r="VRJ11"/>
      <c r="VRK11"/>
      <c r="VRL11"/>
      <c r="VRM11"/>
      <c r="VRN11"/>
      <c r="VRO11"/>
      <c r="VRP11"/>
      <c r="VRQ11"/>
      <c r="VRR11"/>
      <c r="VRS11"/>
      <c r="VRT11"/>
      <c r="VRU11"/>
      <c r="VRV11"/>
      <c r="VRW11"/>
      <c r="VRX11"/>
      <c r="VRY11"/>
      <c r="VRZ11"/>
      <c r="VSA11"/>
      <c r="VSB11"/>
      <c r="VSC11"/>
      <c r="VSD11"/>
      <c r="VSE11"/>
      <c r="VSF11"/>
      <c r="VSG11"/>
      <c r="VSH11"/>
      <c r="VSI11"/>
      <c r="VSJ11"/>
      <c r="VSK11"/>
      <c r="VSL11"/>
      <c r="VSM11"/>
      <c r="VSN11"/>
      <c r="VSO11"/>
      <c r="VSP11"/>
      <c r="VSQ11"/>
      <c r="VSR11"/>
      <c r="VSS11"/>
      <c r="VST11"/>
      <c r="VSU11"/>
      <c r="VSV11"/>
      <c r="VSW11"/>
      <c r="VSX11"/>
      <c r="VSY11"/>
      <c r="VSZ11"/>
      <c r="VTA11"/>
      <c r="VTB11"/>
      <c r="VTC11"/>
      <c r="VTD11"/>
      <c r="VTE11"/>
      <c r="VTF11"/>
      <c r="VTG11"/>
      <c r="VTH11"/>
      <c r="VTI11"/>
      <c r="VTJ11"/>
      <c r="VTK11"/>
      <c r="VTL11"/>
      <c r="VTM11"/>
      <c r="VTN11"/>
      <c r="VTO11"/>
      <c r="VTP11"/>
      <c r="VTQ11"/>
      <c r="VTR11"/>
      <c r="VTS11"/>
      <c r="VTT11"/>
      <c r="VTU11"/>
      <c r="VTV11"/>
      <c r="VTW11"/>
      <c r="VTX11"/>
      <c r="VTY11"/>
      <c r="VTZ11"/>
      <c r="VUA11"/>
      <c r="VUB11"/>
      <c r="VUC11"/>
      <c r="VUD11"/>
      <c r="VUE11"/>
      <c r="VUF11"/>
      <c r="VUG11"/>
      <c r="VUH11"/>
      <c r="VUI11"/>
      <c r="VUJ11"/>
      <c r="VUK11"/>
      <c r="VUL11"/>
      <c r="VUM11"/>
      <c r="VUN11"/>
      <c r="VUO11"/>
      <c r="VUP11"/>
      <c r="VUQ11"/>
      <c r="VUR11"/>
      <c r="VUS11"/>
      <c r="VUT11"/>
      <c r="VUU11"/>
      <c r="VUV11"/>
      <c r="VUW11"/>
      <c r="VUX11"/>
      <c r="VUY11"/>
      <c r="VUZ11"/>
      <c r="VVA11"/>
      <c r="VVB11"/>
      <c r="VVC11"/>
      <c r="VVD11"/>
      <c r="VVE11"/>
      <c r="VVF11"/>
      <c r="VVG11"/>
      <c r="VVH11"/>
      <c r="VVI11"/>
      <c r="VVJ11"/>
      <c r="VVK11"/>
      <c r="VVL11"/>
      <c r="VVM11"/>
      <c r="VVN11"/>
      <c r="VVO11"/>
      <c r="VVP11"/>
      <c r="VVQ11"/>
      <c r="VVR11"/>
      <c r="VVS11"/>
      <c r="VVT11"/>
      <c r="VVU11"/>
      <c r="VVV11"/>
      <c r="VVW11"/>
      <c r="VVX11"/>
      <c r="VVY11"/>
      <c r="VVZ11"/>
      <c r="VWA11"/>
      <c r="VWB11"/>
      <c r="VWC11"/>
      <c r="VWD11"/>
      <c r="VWE11"/>
      <c r="VWF11"/>
      <c r="VWG11"/>
      <c r="VWH11"/>
      <c r="VWI11"/>
      <c r="VWJ11"/>
      <c r="VWK11"/>
      <c r="VWL11"/>
      <c r="VWM11"/>
      <c r="VWN11"/>
      <c r="VWO11"/>
      <c r="VWP11"/>
      <c r="VWQ11"/>
      <c r="VWR11"/>
      <c r="VWS11"/>
      <c r="VWT11"/>
      <c r="VWU11"/>
      <c r="VWV11"/>
      <c r="VWW11"/>
      <c r="VWX11"/>
      <c r="VWY11"/>
      <c r="VWZ11"/>
      <c r="VXA11"/>
      <c r="VXB11"/>
      <c r="VXC11"/>
      <c r="VXD11"/>
      <c r="VXE11"/>
      <c r="VXF11"/>
      <c r="VXG11"/>
      <c r="VXH11"/>
      <c r="VXI11"/>
      <c r="VXJ11"/>
      <c r="VXK11"/>
      <c r="VXL11"/>
      <c r="VXM11"/>
      <c r="VXN11"/>
      <c r="VXO11"/>
      <c r="VXP11"/>
      <c r="VXQ11"/>
      <c r="VXR11"/>
      <c r="VXS11"/>
      <c r="VXT11"/>
      <c r="VXU11"/>
      <c r="VXV11"/>
      <c r="VXW11"/>
      <c r="VXX11"/>
      <c r="VXY11"/>
      <c r="VXZ11"/>
      <c r="VYA11"/>
      <c r="VYB11"/>
      <c r="VYC11"/>
      <c r="VYD11"/>
      <c r="VYE11"/>
      <c r="VYF11"/>
      <c r="VYG11"/>
      <c r="VYH11"/>
      <c r="VYI11"/>
      <c r="VYJ11"/>
      <c r="VYK11"/>
      <c r="VYL11"/>
      <c r="VYM11"/>
      <c r="VYN11"/>
      <c r="VYO11"/>
      <c r="VYP11"/>
      <c r="VYQ11"/>
      <c r="VYR11"/>
      <c r="VYS11"/>
      <c r="VYT11"/>
      <c r="VYU11"/>
      <c r="VYV11"/>
      <c r="VYW11"/>
      <c r="VYX11"/>
      <c r="VYY11"/>
      <c r="VYZ11"/>
      <c r="VZA11"/>
      <c r="VZB11"/>
      <c r="VZC11"/>
      <c r="VZD11"/>
      <c r="VZE11"/>
      <c r="VZF11"/>
      <c r="VZG11"/>
      <c r="VZH11"/>
      <c r="VZI11"/>
      <c r="VZJ11"/>
      <c r="VZK11"/>
      <c r="VZL11"/>
      <c r="VZM11"/>
      <c r="VZN11"/>
      <c r="VZO11"/>
      <c r="VZP11"/>
      <c r="VZQ11"/>
      <c r="VZR11"/>
      <c r="VZS11"/>
      <c r="VZT11"/>
      <c r="VZU11"/>
      <c r="VZV11"/>
      <c r="VZW11"/>
      <c r="VZX11"/>
      <c r="VZY11"/>
      <c r="VZZ11"/>
      <c r="WAA11"/>
      <c r="WAB11"/>
      <c r="WAC11"/>
      <c r="WAD11"/>
      <c r="WAE11"/>
      <c r="WAF11"/>
      <c r="WAG11"/>
      <c r="WAH11"/>
      <c r="WAI11"/>
      <c r="WAJ11"/>
      <c r="WAK11"/>
      <c r="WAL11"/>
      <c r="WAM11"/>
      <c r="WAN11"/>
      <c r="WAO11"/>
      <c r="WAP11"/>
      <c r="WAQ11"/>
      <c r="WAR11"/>
      <c r="WAS11"/>
      <c r="WAT11"/>
      <c r="WAU11"/>
      <c r="WAV11"/>
      <c r="WAW11"/>
      <c r="WAX11"/>
      <c r="WAY11"/>
      <c r="WAZ11"/>
      <c r="WBA11"/>
      <c r="WBB11"/>
      <c r="WBC11"/>
      <c r="WBD11"/>
      <c r="WBE11"/>
      <c r="WBF11"/>
      <c r="WBG11"/>
      <c r="WBH11"/>
      <c r="WBI11"/>
      <c r="WBJ11"/>
      <c r="WBK11"/>
      <c r="WBL11"/>
      <c r="WBM11"/>
      <c r="WBN11"/>
      <c r="WBO11"/>
      <c r="WBP11"/>
      <c r="WBQ11"/>
      <c r="WBR11"/>
      <c r="WBS11"/>
      <c r="WBT11"/>
      <c r="WBU11"/>
      <c r="WBV11"/>
      <c r="WBW11"/>
      <c r="WBX11"/>
      <c r="WBY11"/>
      <c r="WBZ11"/>
      <c r="WCA11"/>
      <c r="WCB11"/>
      <c r="WCC11"/>
      <c r="WCD11"/>
      <c r="WCE11"/>
      <c r="WCF11"/>
      <c r="WCG11"/>
      <c r="WCH11"/>
      <c r="WCI11"/>
      <c r="WCJ11"/>
      <c r="WCK11"/>
      <c r="WCL11"/>
      <c r="WCM11"/>
      <c r="WCN11"/>
      <c r="WCO11"/>
      <c r="WCP11"/>
      <c r="WCQ11"/>
      <c r="WCR11"/>
      <c r="WCS11"/>
      <c r="WCT11"/>
      <c r="WCU11"/>
      <c r="WCV11"/>
      <c r="WCW11"/>
      <c r="WCX11"/>
      <c r="WCY11"/>
      <c r="WCZ11"/>
      <c r="WDA11"/>
      <c r="WDB11"/>
      <c r="WDC11"/>
      <c r="WDD11"/>
      <c r="WDE11"/>
      <c r="WDF11"/>
      <c r="WDG11"/>
      <c r="WDH11"/>
      <c r="WDI11"/>
      <c r="WDJ11"/>
      <c r="WDK11"/>
      <c r="WDL11"/>
      <c r="WDM11"/>
      <c r="WDN11"/>
      <c r="WDO11"/>
      <c r="WDP11"/>
      <c r="WDQ11"/>
      <c r="WDR11"/>
      <c r="WDS11"/>
      <c r="WDT11"/>
      <c r="WDU11"/>
      <c r="WDV11"/>
      <c r="WDW11"/>
      <c r="WDX11"/>
      <c r="WDY11"/>
      <c r="WDZ11"/>
      <c r="WEA11"/>
      <c r="WEB11"/>
      <c r="WEC11"/>
      <c r="WED11"/>
      <c r="WEE11"/>
      <c r="WEF11"/>
      <c r="WEG11"/>
      <c r="WEH11"/>
      <c r="WEI11"/>
      <c r="WEJ11"/>
      <c r="WEK11"/>
      <c r="WEL11"/>
      <c r="WEM11"/>
      <c r="WEN11"/>
      <c r="WEO11"/>
      <c r="WEP11"/>
      <c r="WEQ11"/>
      <c r="WER11"/>
      <c r="WES11"/>
      <c r="WET11"/>
      <c r="WEU11"/>
      <c r="WEV11"/>
      <c r="WEW11"/>
      <c r="WEX11"/>
      <c r="WEY11"/>
      <c r="WEZ11"/>
      <c r="WFA11"/>
      <c r="WFB11"/>
      <c r="WFC11"/>
      <c r="WFD11"/>
      <c r="WFE11"/>
      <c r="WFF11"/>
      <c r="WFG11"/>
      <c r="WFH11"/>
      <c r="WFI11"/>
      <c r="WFJ11"/>
      <c r="WFK11"/>
      <c r="WFL11"/>
      <c r="WFM11"/>
      <c r="WFN11"/>
      <c r="WFO11"/>
      <c r="WFP11"/>
      <c r="WFQ11"/>
      <c r="WFR11"/>
      <c r="WFS11"/>
      <c r="WFT11"/>
      <c r="WFU11"/>
      <c r="WFV11"/>
      <c r="WFW11"/>
      <c r="WFX11"/>
      <c r="WFY11"/>
      <c r="WFZ11"/>
      <c r="WGA11"/>
      <c r="WGB11"/>
      <c r="WGC11"/>
      <c r="WGD11"/>
      <c r="WGE11"/>
      <c r="WGF11"/>
      <c r="WGG11"/>
      <c r="WGH11"/>
      <c r="WGI11"/>
      <c r="WGJ11"/>
      <c r="WGK11"/>
      <c r="WGL11"/>
      <c r="WGM11"/>
      <c r="WGN11"/>
      <c r="WGO11"/>
      <c r="WGP11"/>
      <c r="WGQ11"/>
      <c r="WGR11"/>
      <c r="WGS11"/>
      <c r="WGT11"/>
      <c r="WGU11"/>
      <c r="WGV11"/>
      <c r="WGW11"/>
      <c r="WGX11"/>
      <c r="WGY11"/>
      <c r="WGZ11"/>
      <c r="WHA11"/>
      <c r="WHB11"/>
      <c r="WHC11"/>
      <c r="WHD11"/>
      <c r="WHE11"/>
      <c r="WHF11"/>
      <c r="WHG11"/>
      <c r="WHH11"/>
      <c r="WHI11"/>
      <c r="WHJ11"/>
      <c r="WHK11"/>
      <c r="WHL11"/>
      <c r="WHM11"/>
      <c r="WHN11"/>
      <c r="WHO11"/>
      <c r="WHP11"/>
      <c r="WHQ11"/>
      <c r="WHR11"/>
      <c r="WHS11"/>
      <c r="WHT11"/>
      <c r="WHU11"/>
      <c r="WHV11"/>
      <c r="WHW11"/>
      <c r="WHX11"/>
      <c r="WHY11"/>
      <c r="WHZ11"/>
      <c r="WIA11"/>
      <c r="WIB11"/>
      <c r="WIC11"/>
      <c r="WID11"/>
      <c r="WIE11"/>
      <c r="WIF11"/>
      <c r="WIG11"/>
      <c r="WIH11"/>
      <c r="WII11"/>
      <c r="WIJ11"/>
      <c r="WIK11"/>
      <c r="WIL11"/>
      <c r="WIM11"/>
      <c r="WIN11"/>
      <c r="WIO11"/>
      <c r="WIP11"/>
      <c r="WIQ11"/>
      <c r="WIR11"/>
      <c r="WIS11"/>
      <c r="WIT11"/>
      <c r="WIU11"/>
      <c r="WIV11"/>
      <c r="WIW11"/>
      <c r="WIX11"/>
      <c r="WIY11"/>
      <c r="WIZ11"/>
      <c r="WJA11"/>
      <c r="WJB11"/>
      <c r="WJC11"/>
      <c r="WJD11"/>
      <c r="WJE11"/>
      <c r="WJF11"/>
      <c r="WJG11"/>
      <c r="WJH11"/>
      <c r="WJI11"/>
      <c r="WJJ11"/>
      <c r="WJK11"/>
      <c r="WJL11"/>
      <c r="WJM11"/>
      <c r="WJN11"/>
      <c r="WJO11"/>
      <c r="WJP11"/>
      <c r="WJQ11"/>
      <c r="WJR11"/>
      <c r="WJS11"/>
      <c r="WJT11"/>
      <c r="WJU11"/>
      <c r="WJV11"/>
      <c r="WJW11"/>
      <c r="WJX11"/>
      <c r="WJY11"/>
      <c r="WJZ11"/>
      <c r="WKA11"/>
      <c r="WKB11"/>
      <c r="WKC11"/>
      <c r="WKD11"/>
      <c r="WKE11"/>
      <c r="WKF11"/>
      <c r="WKG11"/>
      <c r="WKH11"/>
      <c r="WKI11"/>
      <c r="WKJ11"/>
      <c r="WKK11"/>
      <c r="WKL11"/>
      <c r="WKM11"/>
      <c r="WKN11"/>
      <c r="WKO11"/>
      <c r="WKP11"/>
      <c r="WKQ11"/>
      <c r="WKR11"/>
      <c r="WKS11"/>
      <c r="WKT11"/>
      <c r="WKU11"/>
      <c r="WKV11"/>
      <c r="WKW11"/>
      <c r="WKX11"/>
      <c r="WKY11"/>
      <c r="WKZ11"/>
      <c r="WLA11"/>
      <c r="WLB11"/>
      <c r="WLC11"/>
      <c r="WLD11"/>
      <c r="WLE11"/>
      <c r="WLF11"/>
      <c r="WLG11"/>
      <c r="WLH11"/>
      <c r="WLI11"/>
      <c r="WLJ11"/>
      <c r="WLK11"/>
      <c r="WLL11"/>
      <c r="WLM11"/>
      <c r="WLN11"/>
      <c r="WLO11"/>
      <c r="WLP11"/>
      <c r="WLQ11"/>
      <c r="WLR11"/>
      <c r="WLS11"/>
      <c r="WLT11"/>
      <c r="WLU11"/>
      <c r="WLV11"/>
      <c r="WLW11"/>
      <c r="WLX11"/>
      <c r="WLY11"/>
      <c r="WLZ11"/>
      <c r="WMA11"/>
      <c r="WMB11"/>
      <c r="WMC11"/>
      <c r="WMD11"/>
      <c r="WME11"/>
      <c r="WMF11"/>
      <c r="WMG11"/>
      <c r="WMH11"/>
      <c r="WMI11"/>
      <c r="WMJ11"/>
      <c r="WMK11"/>
      <c r="WML11"/>
      <c r="WMM11"/>
      <c r="WMN11"/>
      <c r="WMO11"/>
      <c r="WMP11"/>
      <c r="WMQ11"/>
      <c r="WMR11"/>
      <c r="WMS11"/>
      <c r="WMT11"/>
      <c r="WMU11"/>
      <c r="WMV11"/>
      <c r="WMW11"/>
      <c r="WMX11"/>
      <c r="WMY11"/>
      <c r="WMZ11"/>
      <c r="WNA11"/>
      <c r="WNB11"/>
      <c r="WNC11"/>
      <c r="WND11"/>
      <c r="WNE11"/>
      <c r="WNF11"/>
      <c r="WNG11"/>
      <c r="WNH11"/>
      <c r="WNI11"/>
      <c r="WNJ11"/>
      <c r="WNK11"/>
      <c r="WNL11"/>
      <c r="WNM11"/>
      <c r="WNN11"/>
      <c r="WNO11"/>
      <c r="WNP11"/>
      <c r="WNQ11"/>
      <c r="WNR11"/>
      <c r="WNS11"/>
      <c r="WNT11"/>
      <c r="WNU11"/>
      <c r="WNV11"/>
      <c r="WNW11"/>
      <c r="WNX11"/>
      <c r="WNY11"/>
      <c r="WNZ11"/>
      <c r="WOA11"/>
      <c r="WOB11"/>
      <c r="WOC11"/>
      <c r="WOD11"/>
      <c r="WOE11"/>
      <c r="WOF11"/>
      <c r="WOG11"/>
      <c r="WOH11"/>
      <c r="WOI11"/>
      <c r="WOJ11"/>
      <c r="WOK11"/>
      <c r="WOL11"/>
      <c r="WOM11"/>
      <c r="WON11"/>
      <c r="WOO11"/>
      <c r="WOP11"/>
      <c r="WOQ11"/>
      <c r="WOR11"/>
      <c r="WOS11"/>
      <c r="WOT11"/>
      <c r="WOU11"/>
      <c r="WOV11"/>
      <c r="WOW11"/>
      <c r="WOX11"/>
      <c r="WOY11"/>
      <c r="WOZ11"/>
      <c r="WPA11"/>
      <c r="WPB11"/>
      <c r="WPC11"/>
      <c r="WPD11"/>
      <c r="WPE11"/>
      <c r="WPF11"/>
      <c r="WPG11"/>
      <c r="WPH11"/>
      <c r="WPI11"/>
      <c r="WPJ11"/>
      <c r="WPK11"/>
      <c r="WPL11"/>
      <c r="WPM11"/>
      <c r="WPN11"/>
      <c r="WPO11"/>
      <c r="WPP11"/>
      <c r="WPQ11"/>
      <c r="WPR11"/>
      <c r="WPS11"/>
      <c r="WPT11"/>
      <c r="WPU11"/>
      <c r="WPV11"/>
      <c r="WPW11"/>
      <c r="WPX11"/>
      <c r="WPY11"/>
      <c r="WPZ11"/>
      <c r="WQA11"/>
      <c r="WQB11"/>
      <c r="WQC11"/>
      <c r="WQD11"/>
      <c r="WQE11"/>
      <c r="WQF11"/>
      <c r="WQG11"/>
      <c r="WQH11"/>
      <c r="WQI11"/>
      <c r="WQJ11"/>
      <c r="WQK11"/>
      <c r="WQL11"/>
      <c r="WQM11"/>
      <c r="WQN11"/>
      <c r="WQO11"/>
      <c r="WQP11"/>
      <c r="WQQ11"/>
      <c r="WQR11"/>
      <c r="WQS11"/>
      <c r="WQT11"/>
      <c r="WQU11"/>
      <c r="WQV11"/>
      <c r="WQW11"/>
      <c r="WQX11"/>
      <c r="WQY11"/>
      <c r="WQZ11"/>
      <c r="WRA11"/>
      <c r="WRB11"/>
      <c r="WRC11"/>
      <c r="WRD11"/>
      <c r="WRE11"/>
      <c r="WRF11"/>
      <c r="WRG11"/>
      <c r="WRH11"/>
      <c r="WRI11"/>
      <c r="WRJ11"/>
      <c r="WRK11"/>
      <c r="WRL11"/>
      <c r="WRM11"/>
      <c r="WRN11"/>
      <c r="WRO11"/>
      <c r="WRP11"/>
      <c r="WRQ11"/>
      <c r="WRR11"/>
      <c r="WRS11"/>
      <c r="WRT11"/>
      <c r="WRU11"/>
      <c r="WRV11"/>
      <c r="WRW11"/>
      <c r="WRX11"/>
      <c r="WRY11"/>
      <c r="WRZ11"/>
      <c r="WSA11"/>
      <c r="WSB11"/>
      <c r="WSC11"/>
      <c r="WSD11"/>
      <c r="WSE11"/>
      <c r="WSF11"/>
      <c r="WSG11"/>
      <c r="WSH11"/>
      <c r="WSI11"/>
      <c r="WSJ11"/>
      <c r="WSK11"/>
      <c r="WSL11"/>
      <c r="WSM11"/>
      <c r="WSN11"/>
      <c r="WSO11"/>
      <c r="WSP11"/>
      <c r="WSQ11"/>
      <c r="WSR11"/>
      <c r="WSS11"/>
      <c r="WST11"/>
      <c r="WSU11"/>
      <c r="WSV11"/>
      <c r="WSW11"/>
      <c r="WSX11"/>
      <c r="WSY11"/>
      <c r="WSZ11"/>
      <c r="WTA11"/>
      <c r="WTB11"/>
      <c r="WTC11"/>
      <c r="WTD11"/>
      <c r="WTE11"/>
      <c r="WTF11"/>
      <c r="WTG11"/>
      <c r="WTH11"/>
      <c r="WTI11"/>
      <c r="WTJ11"/>
      <c r="WTK11"/>
      <c r="WTL11"/>
      <c r="WTM11"/>
      <c r="WTN11"/>
      <c r="WTO11"/>
      <c r="WTP11"/>
      <c r="WTQ11"/>
      <c r="WTR11"/>
      <c r="WTS11"/>
      <c r="WTT11"/>
      <c r="WTU11"/>
      <c r="WTV11"/>
      <c r="WTW11"/>
      <c r="WTX11"/>
      <c r="WTY11"/>
      <c r="WTZ11"/>
      <c r="WUA11"/>
      <c r="WUB11"/>
      <c r="WUC11"/>
      <c r="WUD11"/>
      <c r="WUE11"/>
      <c r="WUF11"/>
      <c r="WUG11"/>
      <c r="WUH11"/>
      <c r="WUI11"/>
      <c r="WUJ11"/>
      <c r="WUK11"/>
      <c r="WUL11"/>
      <c r="WUM11"/>
      <c r="WUN11"/>
      <c r="WUO11"/>
      <c r="WUP11"/>
      <c r="WUQ11"/>
      <c r="WUR11"/>
      <c r="WUS11"/>
      <c r="WUT11"/>
      <c r="WUU11"/>
      <c r="WUV11"/>
      <c r="WUW11"/>
      <c r="WUX11"/>
      <c r="WUY11"/>
      <c r="WUZ11"/>
      <c r="WVA11"/>
      <c r="WVB11"/>
      <c r="WVC11"/>
      <c r="WVD11"/>
      <c r="WVE11"/>
      <c r="WVF11"/>
      <c r="WVG11"/>
      <c r="WVH11"/>
      <c r="WVI11"/>
      <c r="WVJ11"/>
      <c r="WVK11"/>
      <c r="WVL11"/>
      <c r="WVM11"/>
      <c r="WVN11"/>
      <c r="WVO11"/>
      <c r="WVP11"/>
      <c r="WVQ11"/>
      <c r="WVR11"/>
      <c r="WVS11"/>
      <c r="WVT11"/>
      <c r="WVU11"/>
      <c r="WVV11"/>
      <c r="WVW11"/>
      <c r="WVX11"/>
      <c r="WVY11"/>
      <c r="WVZ11"/>
      <c r="WWA11"/>
      <c r="WWB11"/>
      <c r="WWC11"/>
      <c r="WWD11"/>
      <c r="WWE11"/>
      <c r="WWF11"/>
      <c r="WWG11"/>
      <c r="WWH11"/>
      <c r="WWI11"/>
      <c r="WWJ11"/>
      <c r="WWK11"/>
      <c r="WWL11"/>
      <c r="WWM11"/>
      <c r="WWN11"/>
      <c r="WWO11"/>
      <c r="WWP11"/>
      <c r="WWQ11"/>
      <c r="WWR11"/>
      <c r="WWS11"/>
      <c r="WWT11"/>
      <c r="WWU11"/>
      <c r="WWV11"/>
      <c r="WWW11"/>
      <c r="WWX11"/>
      <c r="WWY11"/>
      <c r="WWZ11"/>
      <c r="WXA11"/>
      <c r="WXB11"/>
      <c r="WXC11"/>
      <c r="WXD11"/>
      <c r="WXE11"/>
      <c r="WXF11"/>
      <c r="WXG11"/>
      <c r="WXH11"/>
      <c r="WXI11"/>
      <c r="WXJ11"/>
      <c r="WXK11"/>
      <c r="WXL11"/>
      <c r="WXM11"/>
      <c r="WXN11"/>
      <c r="WXO11"/>
      <c r="WXP11"/>
      <c r="WXQ11"/>
      <c r="WXR11"/>
      <c r="WXS11"/>
      <c r="WXT11"/>
      <c r="WXU11"/>
      <c r="WXV11"/>
      <c r="WXW11"/>
      <c r="WXX11"/>
      <c r="WXY11"/>
      <c r="WXZ11"/>
      <c r="WYA11"/>
      <c r="WYB11"/>
      <c r="WYC11"/>
      <c r="WYD11"/>
      <c r="WYE11"/>
      <c r="WYF11"/>
      <c r="WYG11"/>
      <c r="WYH11"/>
      <c r="WYI11"/>
      <c r="WYJ11"/>
      <c r="WYK11"/>
      <c r="WYL11"/>
      <c r="WYM11"/>
      <c r="WYN11"/>
      <c r="WYO11"/>
      <c r="WYP11"/>
      <c r="WYQ11"/>
      <c r="WYR11"/>
      <c r="WYS11"/>
      <c r="WYT11"/>
      <c r="WYU11"/>
      <c r="WYV11"/>
      <c r="WYW11"/>
      <c r="WYX11"/>
      <c r="WYY11"/>
      <c r="WYZ11"/>
      <c r="WZA11"/>
      <c r="WZB11"/>
      <c r="WZC11"/>
      <c r="WZD11"/>
      <c r="WZE11"/>
      <c r="WZF11"/>
      <c r="WZG11"/>
      <c r="WZH11"/>
      <c r="WZI11"/>
      <c r="WZJ11"/>
      <c r="WZK11"/>
      <c r="WZL11"/>
      <c r="WZM11"/>
      <c r="WZN11"/>
      <c r="WZO11"/>
      <c r="WZP11"/>
      <c r="WZQ11"/>
      <c r="WZR11"/>
      <c r="WZS11"/>
      <c r="WZT11"/>
      <c r="WZU11"/>
      <c r="WZV11"/>
      <c r="WZW11"/>
      <c r="WZX11"/>
      <c r="WZY11"/>
      <c r="WZZ11"/>
      <c r="XAA11"/>
      <c r="XAB11"/>
      <c r="XAC11"/>
      <c r="XAD11"/>
      <c r="XAE11"/>
      <c r="XAF11"/>
      <c r="XAG11"/>
      <c r="XAH11"/>
      <c r="XAI11"/>
      <c r="XAJ11"/>
      <c r="XAK11"/>
      <c r="XAL11"/>
      <c r="XAM11"/>
      <c r="XAN11"/>
      <c r="XAO11"/>
      <c r="XAP11"/>
      <c r="XAQ11"/>
      <c r="XAR11"/>
      <c r="XAS11"/>
      <c r="XAT11"/>
      <c r="XAU11"/>
      <c r="XAV11"/>
      <c r="XAW11"/>
      <c r="XAX11"/>
      <c r="XAY11"/>
      <c r="XAZ11"/>
      <c r="XBA11"/>
      <c r="XBB11"/>
      <c r="XBC11"/>
      <c r="XBD11"/>
      <c r="XBE11"/>
      <c r="XBF11"/>
      <c r="XBG11"/>
      <c r="XBH11"/>
      <c r="XBI11"/>
      <c r="XBJ11"/>
      <c r="XBK11"/>
      <c r="XBL11"/>
      <c r="XBM11"/>
      <c r="XBN11"/>
      <c r="XBO11"/>
      <c r="XBP11"/>
      <c r="XBQ11"/>
      <c r="XBR11"/>
      <c r="XBS11"/>
      <c r="XBT11"/>
      <c r="XBU11"/>
      <c r="XBV11"/>
      <c r="XBW11"/>
      <c r="XBX11"/>
      <c r="XBY11"/>
      <c r="XBZ11"/>
      <c r="XCA11"/>
      <c r="XCB11"/>
      <c r="XCC11"/>
      <c r="XCD11"/>
      <c r="XCE11"/>
      <c r="XCF11"/>
      <c r="XCG11"/>
      <c r="XCH11"/>
      <c r="XCI11"/>
      <c r="XCJ11"/>
      <c r="XCK11"/>
      <c r="XCL11"/>
      <c r="XCM11"/>
      <c r="XCN11"/>
      <c r="XCO11"/>
      <c r="XCP11"/>
      <c r="XCQ11"/>
      <c r="XCR11"/>
      <c r="XCS11"/>
      <c r="XCT11"/>
      <c r="XCU11"/>
      <c r="XCV11"/>
      <c r="XCW11"/>
      <c r="XCX11"/>
      <c r="XCY11"/>
      <c r="XCZ11"/>
      <c r="XDA11"/>
      <c r="XDB11"/>
      <c r="XDC11"/>
      <c r="XDD11"/>
      <c r="XDE11"/>
      <c r="XDF11"/>
      <c r="XDG11"/>
      <c r="XDH11"/>
      <c r="XDI11"/>
      <c r="XDJ11"/>
      <c r="XDK11"/>
      <c r="XDL11"/>
      <c r="XDM11"/>
      <c r="XDN11"/>
      <c r="XDO11"/>
      <c r="XDP11"/>
      <c r="XDQ11"/>
      <c r="XDR11"/>
      <c r="XDS11"/>
      <c r="XDT11"/>
      <c r="XDU11"/>
      <c r="XDV11"/>
      <c r="XDW11"/>
      <c r="XDX11"/>
      <c r="XDY11"/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pans="1:342 14982:16384">
      <c r="A12" s="74"/>
      <c r="B12" s="71"/>
      <c r="C12" s="71"/>
      <c r="D12" s="71"/>
      <c r="E12" s="71"/>
      <c r="F12" s="71"/>
      <c r="G12" s="71"/>
      <c r="H12" s="71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3"/>
    </row>
    <row r="13" spans="1:342 14982:16384" s="78" customFormat="1">
      <c r="A13" s="75" t="s">
        <v>28</v>
      </c>
      <c r="B13" s="80">
        <f>[1]Decembre17!AI12</f>
        <v>8607.65</v>
      </c>
      <c r="C13" s="76">
        <f>SUMIFS(montant,sens,"C",Datevaleur,C26)-SUMIFS(montant,sens,"D",Datevaleur,C26)+Table1[[#This Row],[Colonne4]]</f>
        <v>8607.65</v>
      </c>
      <c r="D13" s="76">
        <f>SUMIFS(montant,sens,"C",Datevaleur,D26)-SUMIFS(montant,sens,"D",Datevaleur,D26)+Table1[[#This Row],[Colonne5]]</f>
        <v>8607.65</v>
      </c>
      <c r="E13" s="76">
        <f>SUMIFS(montant,sens,"C",Datevaleur,E26)-SUMIFS(montant,sens,"D",Datevaleur,E26)+Table1[[#This Row],[Colonne6]]</f>
        <v>8574.4699999999993</v>
      </c>
      <c r="F13" s="76">
        <f>SUMIFS(montant,sens,"C",Datevaleur,F26)-SUMIFS(montant,sens,"D",Datevaleur,F26)+Table1[[#This Row],[Colonne7]]</f>
        <v>8238.0999999999985</v>
      </c>
      <c r="G13" s="76">
        <f>SUMIFS(montant,sens,"C",Datevaleur,G26)-SUMIFS(montant,sens,"D",Datevaleur,G26)+Table1[[#This Row],[Colonne8]]</f>
        <v>8156.1299999999983</v>
      </c>
      <c r="H13" s="76">
        <f>SUMIFS(montant,sens,"C",Datevaleur,H26)-SUMIFS(montant,sens,"D",Datevaleur,H26)+Table1[[#This Row],[Colonne9]]</f>
        <v>7881.7499999999982</v>
      </c>
      <c r="I13" s="76">
        <f>SUMIFS(montant,sens,"C",Datevaleur,I26)-SUMIFS(montant,sens,"D",Datevaleur,I26)+Table1[[#This Row],[Colonne10]]</f>
        <v>7881.7499999999982</v>
      </c>
      <c r="J13" s="76">
        <f>SUMIFS(montant,sens,"C",Datevaleur,J26)-SUMIFS(montant,sens,"D",Datevaleur,J26)+Table1[[#This Row],[Colonne11]]</f>
        <v>7881.7499999999982</v>
      </c>
      <c r="K13" s="76">
        <f>SUMIFS(montant,sens,"C",Datevaleur,K26)-SUMIFS(montant,sens,"D",Datevaleur,K26)+Table1[[#This Row],[Colonne12]]</f>
        <v>7625.449999999998</v>
      </c>
      <c r="L13" s="76">
        <f>SUMIFS(montant,sens,"C",Datevaleur,L26)-SUMIFS(montant,sens,"D",Datevaleur,L26)+Table1[[#This Row],[Colonne13]]</f>
        <v>8664.8299999999981</v>
      </c>
      <c r="M13" s="76">
        <f>SUMIFS(montant,sens,"C",Datevaleur,M26)-SUMIFS(montant,sens,"D",Datevaleur,M26)+Table1[[#This Row],[Colonne14]]</f>
        <v>8664.8299999999981</v>
      </c>
      <c r="N13" s="76">
        <f>SUMIFS(montant,sens,"C",Datevaleur,N26)-SUMIFS(montant,sens,"D",Datevaleur,N26)+Table1[[#This Row],[Colonne15]]</f>
        <v>8523.2499999999982</v>
      </c>
      <c r="O13" s="76">
        <f>SUMIFS(montant,sens,"C",Datevaleur,O26)-SUMIFS(montant,sens,"D",Datevaleur,O26)+Table1[[#This Row],[Colonne16]]</f>
        <v>7865.449999999998</v>
      </c>
      <c r="P13" s="76">
        <f>SUMIFS(montant,sens,"C",Datevaleur,P26)-SUMIFS(montant,sens,"D",Datevaleur,P26)+Table1[[#This Row],[Colonne17]]</f>
        <v>7865.449999999998</v>
      </c>
      <c r="Q13" s="76">
        <f>SUMIFS(montant,sens,"C",Datevaleur,Q26)-SUMIFS(montant,sens,"D",Datevaleur,Q26)+Table1[[#This Row],[Colonne18]]</f>
        <v>8522.1999999999971</v>
      </c>
      <c r="R13" s="76">
        <f>SUMIFS(montant,sens,"C",Datevaleur,R26)-SUMIFS(montant,sens,"D",Datevaleur,R26)+Table1[[#This Row],[Colonne19]]</f>
        <v>8533.2999999999975</v>
      </c>
      <c r="S13" s="76">
        <f>SUMIFS(montant,sens,"C",Datevaleur,S26)-SUMIFS(montant,sens,"D",Datevaleur,S26)+Table1[[#This Row],[Colonne20]]</f>
        <v>8636.2999999999975</v>
      </c>
      <c r="T13" s="76">
        <f>SUMIFS(montant,sens,"C",Datevaleur,T26)-SUMIFS(montant,sens,"D",Datevaleur,T26)+Table1[[#This Row],[Colonne21]]</f>
        <v>8428.2599999999966</v>
      </c>
      <c r="U13" s="76">
        <f>SUMIFS(montant,sens,"C",Datevaleur,U26)-SUMIFS(montant,sens,"D",Datevaleur,U26)+Table1[[#This Row],[Colonne22]]</f>
        <v>8397.1599999999962</v>
      </c>
      <c r="V13" s="76">
        <f>SUMIFS(montant,sens,"C",Datevaleur,V26)-SUMIFS(montant,sens,"D",Datevaleur,V26)+Table1[[#This Row],[Colonne23]]</f>
        <v>8397.1599999999962</v>
      </c>
      <c r="W13" s="76">
        <f>SUMIFS(montant,sens,"C",Datevaleur,W26)-SUMIFS(montant,sens,"D",Datevaleur,W26)+Table1[[#This Row],[Colonne24]]</f>
        <v>8397.1599999999962</v>
      </c>
      <c r="X13" s="76">
        <f>SUMIFS(montant,sens,"C",Datevaleur,X26)-SUMIFS(montant,sens,"D",Datevaleur,X26)+Table1[[#This Row],[Colonne25]]</f>
        <v>8397.1599999999962</v>
      </c>
      <c r="Y13" s="76">
        <f>SUMIFS(montant,sens,"C",Datevaleur,Y26)-SUMIFS(montant,sens,"D",Datevaleur,Y26)+Table1[[#This Row],[Colonne26]]</f>
        <v>8168.5099999999966</v>
      </c>
      <c r="Z13" s="76">
        <f>SUMIFS(montant,sens,"C",Datevaleur,Z26)-SUMIFS(montant,sens,"D",Datevaleur,Z26)+Table1[[#This Row],[Colonne27]]</f>
        <v>8168.5099999999966</v>
      </c>
      <c r="AA13" s="76">
        <f>SUMIFS(montant,sens,"C",Datevaleur,AA26)-SUMIFS(montant,sens,"D",Datevaleur,AA26)+Table1[[#This Row],[Colonne28]]</f>
        <v>8168.5099999999966</v>
      </c>
      <c r="AB13" s="76">
        <f>SUMIFS(montant,sens,"C",Datevaleur,AB26)-SUMIFS(montant,sens,"D",Datevaleur,AB26)+Table1[[#This Row],[Colonne29]]</f>
        <v>8168.5099999999966</v>
      </c>
      <c r="AC13" s="76">
        <f>SUMIFS(montant,sens,"C",Datevaleur,AC26)-SUMIFS(montant,sens,"D",Datevaleur,AC26)+Table1[[#This Row],[Colonne30]]</f>
        <v>8168.5099999999966</v>
      </c>
      <c r="AD13" s="76">
        <f>SUMIFS(montant,sens,"C",Datevaleur,AD26)-SUMIFS(montant,sens,"D",Datevaleur,AD26)+Table1[[#This Row],[Colonne31]]</f>
        <v>8168.5099999999966</v>
      </c>
      <c r="AE13" s="76">
        <f>SUMIFS(montant,sens,"C",Datevaleur,AE26)-SUMIFS(montant,sens,"D",Datevaleur,AE26)+Table1[[#This Row],[Colonne32]]</f>
        <v>8168.5099999999966</v>
      </c>
      <c r="AF13" s="76">
        <f>SUMIFS(montant,sens,"C",Datevaleur,AF26)-SUMIFS(montant,sens,"D",Datevaleur,AF26)+Table1[[#This Row],[Colonne33]]</f>
        <v>8168.5099999999966</v>
      </c>
      <c r="AG13" s="76">
        <f>SUMIFS(montant,sens,"C",Datevaleur,AG26)-SUMIFS(montant,sens,"D",Datevaleur,AG26)+Table1[[#This Row],[Colonne34]]</f>
        <v>8168.5099999999966</v>
      </c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VDF13"/>
      <c r="VDG13"/>
      <c r="VDH13"/>
      <c r="VDI13"/>
      <c r="VDJ13"/>
      <c r="VDK13"/>
      <c r="VDL13"/>
      <c r="VDM13"/>
      <c r="VDN13"/>
      <c r="VDO13"/>
      <c r="VDP13"/>
      <c r="VDQ13"/>
      <c r="VDR13"/>
      <c r="VDS13"/>
      <c r="VDT13"/>
      <c r="VDU13"/>
      <c r="VDV13"/>
      <c r="VDW13"/>
      <c r="VDX13"/>
      <c r="VDY13"/>
      <c r="VDZ13"/>
      <c r="VEA13"/>
      <c r="VEB13"/>
      <c r="VEC13"/>
      <c r="VED13"/>
      <c r="VEE13"/>
      <c r="VEF13"/>
      <c r="VEG13"/>
      <c r="VEH13"/>
      <c r="VEI13"/>
      <c r="VEJ13"/>
      <c r="VEK13"/>
      <c r="VEL13"/>
      <c r="VEM13"/>
      <c r="VEN13"/>
      <c r="VEO13"/>
      <c r="VEP13"/>
      <c r="VEQ13"/>
      <c r="VER13"/>
      <c r="VES13"/>
      <c r="VET13"/>
      <c r="VEU13"/>
      <c r="VEV13"/>
      <c r="VEW13"/>
      <c r="VEX13"/>
      <c r="VEY13"/>
      <c r="VEZ13"/>
      <c r="VFA13"/>
      <c r="VFB13"/>
      <c r="VFC13"/>
      <c r="VFD13"/>
      <c r="VFE13"/>
      <c r="VFF13"/>
      <c r="VFG13"/>
      <c r="VFH13"/>
      <c r="VFI13"/>
      <c r="VFJ13"/>
      <c r="VFK13"/>
      <c r="VFL13"/>
      <c r="VFM13"/>
      <c r="VFN13"/>
      <c r="VFO13"/>
      <c r="VFP13"/>
      <c r="VFQ13"/>
      <c r="VFR13"/>
      <c r="VFS13"/>
      <c r="VFT13"/>
      <c r="VFU13"/>
      <c r="VFV13"/>
      <c r="VFW13"/>
      <c r="VFX13"/>
      <c r="VFY13"/>
      <c r="VFZ13"/>
      <c r="VGA13"/>
      <c r="VGB13"/>
      <c r="VGC13"/>
      <c r="VGD13"/>
      <c r="VGE13"/>
      <c r="VGF13"/>
      <c r="VGG13"/>
      <c r="VGH13"/>
      <c r="VGI13"/>
      <c r="VGJ13"/>
      <c r="VGK13"/>
      <c r="VGL13"/>
      <c r="VGM13"/>
      <c r="VGN13"/>
      <c r="VGO13"/>
      <c r="VGP13"/>
      <c r="VGQ13"/>
      <c r="VGR13"/>
      <c r="VGS13"/>
      <c r="VGT13"/>
      <c r="VGU13"/>
      <c r="VGV13"/>
      <c r="VGW13"/>
      <c r="VGX13"/>
      <c r="VGY13"/>
      <c r="VGZ13"/>
      <c r="VHA13"/>
      <c r="VHB13"/>
      <c r="VHC13"/>
      <c r="VHD13"/>
      <c r="VHE13"/>
      <c r="VHF13"/>
      <c r="VHG13"/>
      <c r="VHH13"/>
      <c r="VHI13"/>
      <c r="VHJ13"/>
      <c r="VHK13"/>
      <c r="VHL13"/>
      <c r="VHM13"/>
      <c r="VHN13"/>
      <c r="VHO13"/>
      <c r="VHP13"/>
      <c r="VHQ13"/>
      <c r="VHR13"/>
      <c r="VHS13"/>
      <c r="VHT13"/>
      <c r="VHU13"/>
      <c r="VHV13"/>
      <c r="VHW13"/>
      <c r="VHX13"/>
      <c r="VHY13"/>
      <c r="VHZ13"/>
      <c r="VIA13"/>
      <c r="VIB13"/>
      <c r="VIC13"/>
      <c r="VID13"/>
      <c r="VIE13"/>
      <c r="VIF13"/>
      <c r="VIG13"/>
      <c r="VIH13"/>
      <c r="VII13"/>
      <c r="VIJ13"/>
      <c r="VIK13"/>
      <c r="VIL13"/>
      <c r="VIM13"/>
      <c r="VIN13"/>
      <c r="VIO13"/>
      <c r="VIP13"/>
      <c r="VIQ13"/>
      <c r="VIR13"/>
      <c r="VIS13"/>
      <c r="VIT13"/>
      <c r="VIU13"/>
      <c r="VIV13"/>
      <c r="VIW13"/>
      <c r="VIX13"/>
      <c r="VIY13"/>
      <c r="VIZ13"/>
      <c r="VJA13"/>
      <c r="VJB13"/>
      <c r="VJC13"/>
      <c r="VJD13"/>
      <c r="VJE13"/>
      <c r="VJF13"/>
      <c r="VJG13"/>
      <c r="VJH13"/>
      <c r="VJI13"/>
      <c r="VJJ13"/>
      <c r="VJK13"/>
      <c r="VJL13"/>
      <c r="VJM13"/>
      <c r="VJN13"/>
      <c r="VJO13"/>
      <c r="VJP13"/>
      <c r="VJQ13"/>
      <c r="VJR13"/>
      <c r="VJS13"/>
      <c r="VJT13"/>
      <c r="VJU13"/>
      <c r="VJV13"/>
      <c r="VJW13"/>
      <c r="VJX13"/>
      <c r="VJY13"/>
      <c r="VJZ13"/>
      <c r="VKA13"/>
      <c r="VKB13"/>
      <c r="VKC13"/>
      <c r="VKD13"/>
      <c r="VKE13"/>
      <c r="VKF13"/>
      <c r="VKG13"/>
      <c r="VKH13"/>
      <c r="VKI13"/>
      <c r="VKJ13"/>
      <c r="VKK13"/>
      <c r="VKL13"/>
      <c r="VKM13"/>
      <c r="VKN13"/>
      <c r="VKO13"/>
      <c r="VKP13"/>
      <c r="VKQ13"/>
      <c r="VKR13"/>
      <c r="VKS13"/>
      <c r="VKT13"/>
      <c r="VKU13"/>
      <c r="VKV13"/>
      <c r="VKW13"/>
      <c r="VKX13"/>
      <c r="VKY13"/>
      <c r="VKZ13"/>
      <c r="VLA13"/>
      <c r="VLB13"/>
      <c r="VLC13"/>
      <c r="VLD13"/>
      <c r="VLE13"/>
      <c r="VLF13"/>
      <c r="VLG13"/>
      <c r="VLH13"/>
      <c r="VLI13"/>
      <c r="VLJ13"/>
      <c r="VLK13"/>
      <c r="VLL13"/>
      <c r="VLM13"/>
      <c r="VLN13"/>
      <c r="VLO13"/>
      <c r="VLP13"/>
      <c r="VLQ13"/>
      <c r="VLR13"/>
      <c r="VLS13"/>
      <c r="VLT13"/>
      <c r="VLU13"/>
      <c r="VLV13"/>
      <c r="VLW13"/>
      <c r="VLX13"/>
      <c r="VLY13"/>
      <c r="VLZ13"/>
      <c r="VMA13"/>
      <c r="VMB13"/>
      <c r="VMC13"/>
      <c r="VMD13"/>
      <c r="VME13"/>
      <c r="VMF13"/>
      <c r="VMG13"/>
      <c r="VMH13"/>
      <c r="VMI13"/>
      <c r="VMJ13"/>
      <c r="VMK13"/>
      <c r="VML13"/>
      <c r="VMM13"/>
      <c r="VMN13"/>
      <c r="VMO13"/>
      <c r="VMP13"/>
      <c r="VMQ13"/>
      <c r="VMR13"/>
      <c r="VMS13"/>
      <c r="VMT13"/>
      <c r="VMU13"/>
      <c r="VMV13"/>
      <c r="VMW13"/>
      <c r="VMX13"/>
      <c r="VMY13"/>
      <c r="VMZ13"/>
      <c r="VNA13"/>
      <c r="VNB13"/>
      <c r="VNC13"/>
      <c r="VND13"/>
      <c r="VNE13"/>
      <c r="VNF13"/>
      <c r="VNG13"/>
      <c r="VNH13"/>
      <c r="VNI13"/>
      <c r="VNJ13"/>
      <c r="VNK13"/>
      <c r="VNL13"/>
      <c r="VNM13"/>
      <c r="VNN13"/>
      <c r="VNO13"/>
      <c r="VNP13"/>
      <c r="VNQ13"/>
      <c r="VNR13"/>
      <c r="VNS13"/>
      <c r="VNT13"/>
      <c r="VNU13"/>
      <c r="VNV13"/>
      <c r="VNW13"/>
      <c r="VNX13"/>
      <c r="VNY13"/>
      <c r="VNZ13"/>
      <c r="VOA13"/>
      <c r="VOB13"/>
      <c r="VOC13"/>
      <c r="VOD13"/>
      <c r="VOE13"/>
      <c r="VOF13"/>
      <c r="VOG13"/>
      <c r="VOH13"/>
      <c r="VOI13"/>
      <c r="VOJ13"/>
      <c r="VOK13"/>
      <c r="VOL13"/>
      <c r="VOM13"/>
      <c r="VON13"/>
      <c r="VOO13"/>
      <c r="VOP13"/>
      <c r="VOQ13"/>
      <c r="VOR13"/>
      <c r="VOS13"/>
      <c r="VOT13"/>
      <c r="VOU13"/>
      <c r="VOV13"/>
      <c r="VOW13"/>
      <c r="VOX13"/>
      <c r="VOY13"/>
      <c r="VOZ13"/>
      <c r="VPA13"/>
      <c r="VPB13"/>
      <c r="VPC13"/>
      <c r="VPD13"/>
      <c r="VPE13"/>
      <c r="VPF13"/>
      <c r="VPG13"/>
      <c r="VPH13"/>
      <c r="VPI13"/>
      <c r="VPJ13"/>
      <c r="VPK13"/>
      <c r="VPL13"/>
      <c r="VPM13"/>
      <c r="VPN13"/>
      <c r="VPO13"/>
      <c r="VPP13"/>
      <c r="VPQ13"/>
      <c r="VPR13"/>
      <c r="VPS13"/>
      <c r="VPT13"/>
      <c r="VPU13"/>
      <c r="VPV13"/>
      <c r="VPW13"/>
      <c r="VPX13"/>
      <c r="VPY13"/>
      <c r="VPZ13"/>
      <c r="VQA13"/>
      <c r="VQB13"/>
      <c r="VQC13"/>
      <c r="VQD13"/>
      <c r="VQE13"/>
      <c r="VQF13"/>
      <c r="VQG13"/>
      <c r="VQH13"/>
      <c r="VQI13"/>
      <c r="VQJ13"/>
      <c r="VQK13"/>
      <c r="VQL13"/>
      <c r="VQM13"/>
      <c r="VQN13"/>
      <c r="VQO13"/>
      <c r="VQP13"/>
      <c r="VQQ13"/>
      <c r="VQR13"/>
      <c r="VQS13"/>
      <c r="VQT13"/>
      <c r="VQU13"/>
      <c r="VQV13"/>
      <c r="VQW13"/>
      <c r="VQX13"/>
      <c r="VQY13"/>
      <c r="VQZ13"/>
      <c r="VRA13"/>
      <c r="VRB13"/>
      <c r="VRC13"/>
      <c r="VRD13"/>
      <c r="VRE13"/>
      <c r="VRF13"/>
      <c r="VRG13"/>
      <c r="VRH13"/>
      <c r="VRI13"/>
      <c r="VRJ13"/>
      <c r="VRK13"/>
      <c r="VRL13"/>
      <c r="VRM13"/>
      <c r="VRN13"/>
      <c r="VRO13"/>
      <c r="VRP13"/>
      <c r="VRQ13"/>
      <c r="VRR13"/>
      <c r="VRS13"/>
      <c r="VRT13"/>
      <c r="VRU13"/>
      <c r="VRV13"/>
      <c r="VRW13"/>
      <c r="VRX13"/>
      <c r="VRY13"/>
      <c r="VRZ13"/>
      <c r="VSA13"/>
      <c r="VSB13"/>
      <c r="VSC13"/>
      <c r="VSD13"/>
      <c r="VSE13"/>
      <c r="VSF13"/>
      <c r="VSG13"/>
      <c r="VSH13"/>
      <c r="VSI13"/>
      <c r="VSJ13"/>
      <c r="VSK13"/>
      <c r="VSL13"/>
      <c r="VSM13"/>
      <c r="VSN13"/>
      <c r="VSO13"/>
      <c r="VSP13"/>
      <c r="VSQ13"/>
      <c r="VSR13"/>
      <c r="VSS13"/>
      <c r="VST13"/>
      <c r="VSU13"/>
      <c r="VSV13"/>
      <c r="VSW13"/>
      <c r="VSX13"/>
      <c r="VSY13"/>
      <c r="VSZ13"/>
      <c r="VTA13"/>
      <c r="VTB13"/>
      <c r="VTC13"/>
      <c r="VTD13"/>
      <c r="VTE13"/>
      <c r="VTF13"/>
      <c r="VTG13"/>
      <c r="VTH13"/>
      <c r="VTI13"/>
      <c r="VTJ13"/>
      <c r="VTK13"/>
      <c r="VTL13"/>
      <c r="VTM13"/>
      <c r="VTN13"/>
      <c r="VTO13"/>
      <c r="VTP13"/>
      <c r="VTQ13"/>
      <c r="VTR13"/>
      <c r="VTS13"/>
      <c r="VTT13"/>
      <c r="VTU13"/>
      <c r="VTV13"/>
      <c r="VTW13"/>
      <c r="VTX13"/>
      <c r="VTY13"/>
      <c r="VTZ13"/>
      <c r="VUA13"/>
      <c r="VUB13"/>
      <c r="VUC13"/>
      <c r="VUD13"/>
      <c r="VUE13"/>
      <c r="VUF13"/>
      <c r="VUG13"/>
      <c r="VUH13"/>
      <c r="VUI13"/>
      <c r="VUJ13"/>
      <c r="VUK13"/>
      <c r="VUL13"/>
      <c r="VUM13"/>
      <c r="VUN13"/>
      <c r="VUO13"/>
      <c r="VUP13"/>
      <c r="VUQ13"/>
      <c r="VUR13"/>
      <c r="VUS13"/>
      <c r="VUT13"/>
      <c r="VUU13"/>
      <c r="VUV13"/>
      <c r="VUW13"/>
      <c r="VUX13"/>
      <c r="VUY13"/>
      <c r="VUZ13"/>
      <c r="VVA13"/>
      <c r="VVB13"/>
      <c r="VVC13"/>
      <c r="VVD13"/>
      <c r="VVE13"/>
      <c r="VVF13"/>
      <c r="VVG13"/>
      <c r="VVH13"/>
      <c r="VVI13"/>
      <c r="VVJ13"/>
      <c r="VVK13"/>
      <c r="VVL13"/>
      <c r="VVM13"/>
      <c r="VVN13"/>
      <c r="VVO13"/>
      <c r="VVP13"/>
      <c r="VVQ13"/>
      <c r="VVR13"/>
      <c r="VVS13"/>
      <c r="VVT13"/>
      <c r="VVU13"/>
      <c r="VVV13"/>
      <c r="VVW13"/>
      <c r="VVX13"/>
      <c r="VVY13"/>
      <c r="VVZ13"/>
      <c r="VWA13"/>
      <c r="VWB13"/>
      <c r="VWC13"/>
      <c r="VWD13"/>
      <c r="VWE13"/>
      <c r="VWF13"/>
      <c r="VWG13"/>
      <c r="VWH13"/>
      <c r="VWI13"/>
      <c r="VWJ13"/>
      <c r="VWK13"/>
      <c r="VWL13"/>
      <c r="VWM13"/>
      <c r="VWN13"/>
      <c r="VWO13"/>
      <c r="VWP13"/>
      <c r="VWQ13"/>
      <c r="VWR13"/>
      <c r="VWS13"/>
      <c r="VWT13"/>
      <c r="VWU13"/>
      <c r="VWV13"/>
      <c r="VWW13"/>
      <c r="VWX13"/>
      <c r="VWY13"/>
      <c r="VWZ13"/>
      <c r="VXA13"/>
      <c r="VXB13"/>
      <c r="VXC13"/>
      <c r="VXD13"/>
      <c r="VXE13"/>
      <c r="VXF13"/>
      <c r="VXG13"/>
      <c r="VXH13"/>
      <c r="VXI13"/>
      <c r="VXJ13"/>
      <c r="VXK13"/>
      <c r="VXL13"/>
      <c r="VXM13"/>
      <c r="VXN13"/>
      <c r="VXO13"/>
      <c r="VXP13"/>
      <c r="VXQ13"/>
      <c r="VXR13"/>
      <c r="VXS13"/>
      <c r="VXT13"/>
      <c r="VXU13"/>
      <c r="VXV13"/>
      <c r="VXW13"/>
      <c r="VXX13"/>
      <c r="VXY13"/>
      <c r="VXZ13"/>
      <c r="VYA13"/>
      <c r="VYB13"/>
      <c r="VYC13"/>
      <c r="VYD13"/>
      <c r="VYE13"/>
      <c r="VYF13"/>
      <c r="VYG13"/>
      <c r="VYH13"/>
      <c r="VYI13"/>
      <c r="VYJ13"/>
      <c r="VYK13"/>
      <c r="VYL13"/>
      <c r="VYM13"/>
      <c r="VYN13"/>
      <c r="VYO13"/>
      <c r="VYP13"/>
      <c r="VYQ13"/>
      <c r="VYR13"/>
      <c r="VYS13"/>
      <c r="VYT13"/>
      <c r="VYU13"/>
      <c r="VYV13"/>
      <c r="VYW13"/>
      <c r="VYX13"/>
      <c r="VYY13"/>
      <c r="VYZ13"/>
      <c r="VZA13"/>
      <c r="VZB13"/>
      <c r="VZC13"/>
      <c r="VZD13"/>
      <c r="VZE13"/>
      <c r="VZF13"/>
      <c r="VZG13"/>
      <c r="VZH13"/>
      <c r="VZI13"/>
      <c r="VZJ13"/>
      <c r="VZK13"/>
      <c r="VZL13"/>
      <c r="VZM13"/>
      <c r="VZN13"/>
      <c r="VZO13"/>
      <c r="VZP13"/>
      <c r="VZQ13"/>
      <c r="VZR13"/>
      <c r="VZS13"/>
      <c r="VZT13"/>
      <c r="VZU13"/>
      <c r="VZV13"/>
      <c r="VZW13"/>
      <c r="VZX13"/>
      <c r="VZY13"/>
      <c r="VZZ13"/>
      <c r="WAA13"/>
      <c r="WAB13"/>
      <c r="WAC13"/>
      <c r="WAD13"/>
      <c r="WAE13"/>
      <c r="WAF13"/>
      <c r="WAG13"/>
      <c r="WAH13"/>
      <c r="WAI13"/>
      <c r="WAJ13"/>
      <c r="WAK13"/>
      <c r="WAL13"/>
      <c r="WAM13"/>
      <c r="WAN13"/>
      <c r="WAO13"/>
      <c r="WAP13"/>
      <c r="WAQ13"/>
      <c r="WAR13"/>
      <c r="WAS13"/>
      <c r="WAT13"/>
      <c r="WAU13"/>
      <c r="WAV13"/>
      <c r="WAW13"/>
      <c r="WAX13"/>
      <c r="WAY13"/>
      <c r="WAZ13"/>
      <c r="WBA13"/>
      <c r="WBB13"/>
      <c r="WBC13"/>
      <c r="WBD13"/>
      <c r="WBE13"/>
      <c r="WBF13"/>
      <c r="WBG13"/>
      <c r="WBH13"/>
      <c r="WBI13"/>
      <c r="WBJ13"/>
      <c r="WBK13"/>
      <c r="WBL13"/>
      <c r="WBM13"/>
      <c r="WBN13"/>
      <c r="WBO13"/>
      <c r="WBP13"/>
      <c r="WBQ13"/>
      <c r="WBR13"/>
      <c r="WBS13"/>
      <c r="WBT13"/>
      <c r="WBU13"/>
      <c r="WBV13"/>
      <c r="WBW13"/>
      <c r="WBX13"/>
      <c r="WBY13"/>
      <c r="WBZ13"/>
      <c r="WCA13"/>
      <c r="WCB13"/>
      <c r="WCC13"/>
      <c r="WCD13"/>
      <c r="WCE13"/>
      <c r="WCF13"/>
      <c r="WCG13"/>
      <c r="WCH13"/>
      <c r="WCI13"/>
      <c r="WCJ13"/>
      <c r="WCK13"/>
      <c r="WCL13"/>
      <c r="WCM13"/>
      <c r="WCN13"/>
      <c r="WCO13"/>
      <c r="WCP13"/>
      <c r="WCQ13"/>
      <c r="WCR13"/>
      <c r="WCS13"/>
      <c r="WCT13"/>
      <c r="WCU13"/>
      <c r="WCV13"/>
      <c r="WCW13"/>
      <c r="WCX13"/>
      <c r="WCY13"/>
      <c r="WCZ13"/>
      <c r="WDA13"/>
      <c r="WDB13"/>
      <c r="WDC13"/>
      <c r="WDD13"/>
      <c r="WDE13"/>
      <c r="WDF13"/>
      <c r="WDG13"/>
      <c r="WDH13"/>
      <c r="WDI13"/>
      <c r="WDJ13"/>
      <c r="WDK13"/>
      <c r="WDL13"/>
      <c r="WDM13"/>
      <c r="WDN13"/>
      <c r="WDO13"/>
      <c r="WDP13"/>
      <c r="WDQ13"/>
      <c r="WDR13"/>
      <c r="WDS13"/>
      <c r="WDT13"/>
      <c r="WDU13"/>
      <c r="WDV13"/>
      <c r="WDW13"/>
      <c r="WDX13"/>
      <c r="WDY13"/>
      <c r="WDZ13"/>
      <c r="WEA13"/>
      <c r="WEB13"/>
      <c r="WEC13"/>
      <c r="WED13"/>
      <c r="WEE13"/>
      <c r="WEF13"/>
      <c r="WEG13"/>
      <c r="WEH13"/>
      <c r="WEI13"/>
      <c r="WEJ13"/>
      <c r="WEK13"/>
      <c r="WEL13"/>
      <c r="WEM13"/>
      <c r="WEN13"/>
      <c r="WEO13"/>
      <c r="WEP13"/>
      <c r="WEQ13"/>
      <c r="WER13"/>
      <c r="WES13"/>
      <c r="WET13"/>
      <c r="WEU13"/>
      <c r="WEV13"/>
      <c r="WEW13"/>
      <c r="WEX13"/>
      <c r="WEY13"/>
      <c r="WEZ13"/>
      <c r="WFA13"/>
      <c r="WFB13"/>
      <c r="WFC13"/>
      <c r="WFD13"/>
      <c r="WFE13"/>
      <c r="WFF13"/>
      <c r="WFG13"/>
      <c r="WFH13"/>
      <c r="WFI13"/>
      <c r="WFJ13"/>
      <c r="WFK13"/>
      <c r="WFL13"/>
      <c r="WFM13"/>
      <c r="WFN13"/>
      <c r="WFO13"/>
      <c r="WFP13"/>
      <c r="WFQ13"/>
      <c r="WFR13"/>
      <c r="WFS13"/>
      <c r="WFT13"/>
      <c r="WFU13"/>
      <c r="WFV13"/>
      <c r="WFW13"/>
      <c r="WFX13"/>
      <c r="WFY13"/>
      <c r="WFZ13"/>
      <c r="WGA13"/>
      <c r="WGB13"/>
      <c r="WGC13"/>
      <c r="WGD13"/>
      <c r="WGE13"/>
      <c r="WGF13"/>
      <c r="WGG13"/>
      <c r="WGH13"/>
      <c r="WGI13"/>
      <c r="WGJ13"/>
      <c r="WGK13"/>
      <c r="WGL13"/>
      <c r="WGM13"/>
      <c r="WGN13"/>
      <c r="WGO13"/>
      <c r="WGP13"/>
      <c r="WGQ13"/>
      <c r="WGR13"/>
      <c r="WGS13"/>
      <c r="WGT13"/>
      <c r="WGU13"/>
      <c r="WGV13"/>
      <c r="WGW13"/>
      <c r="WGX13"/>
      <c r="WGY13"/>
      <c r="WGZ13"/>
      <c r="WHA13"/>
      <c r="WHB13"/>
      <c r="WHC13"/>
      <c r="WHD13"/>
      <c r="WHE13"/>
      <c r="WHF13"/>
      <c r="WHG13"/>
      <c r="WHH13"/>
      <c r="WHI13"/>
      <c r="WHJ13"/>
      <c r="WHK13"/>
      <c r="WHL13"/>
      <c r="WHM13"/>
      <c r="WHN13"/>
      <c r="WHO13"/>
      <c r="WHP13"/>
      <c r="WHQ13"/>
      <c r="WHR13"/>
      <c r="WHS13"/>
      <c r="WHT13"/>
      <c r="WHU13"/>
      <c r="WHV13"/>
      <c r="WHW13"/>
      <c r="WHX13"/>
      <c r="WHY13"/>
      <c r="WHZ13"/>
      <c r="WIA13"/>
      <c r="WIB13"/>
      <c r="WIC13"/>
      <c r="WID13"/>
      <c r="WIE13"/>
      <c r="WIF13"/>
      <c r="WIG13"/>
      <c r="WIH13"/>
      <c r="WII13"/>
      <c r="WIJ13"/>
      <c r="WIK13"/>
      <c r="WIL13"/>
      <c r="WIM13"/>
      <c r="WIN13"/>
      <c r="WIO13"/>
      <c r="WIP13"/>
      <c r="WIQ13"/>
      <c r="WIR13"/>
      <c r="WIS13"/>
      <c r="WIT13"/>
      <c r="WIU13"/>
      <c r="WIV13"/>
      <c r="WIW13"/>
      <c r="WIX13"/>
      <c r="WIY13"/>
      <c r="WIZ13"/>
      <c r="WJA13"/>
      <c r="WJB13"/>
      <c r="WJC13"/>
      <c r="WJD13"/>
      <c r="WJE13"/>
      <c r="WJF13"/>
      <c r="WJG13"/>
      <c r="WJH13"/>
      <c r="WJI13"/>
      <c r="WJJ13"/>
      <c r="WJK13"/>
      <c r="WJL13"/>
      <c r="WJM13"/>
      <c r="WJN13"/>
      <c r="WJO13"/>
      <c r="WJP13"/>
      <c r="WJQ13"/>
      <c r="WJR13"/>
      <c r="WJS13"/>
      <c r="WJT13"/>
      <c r="WJU13"/>
      <c r="WJV13"/>
      <c r="WJW13"/>
      <c r="WJX13"/>
      <c r="WJY13"/>
      <c r="WJZ13"/>
      <c r="WKA13"/>
      <c r="WKB13"/>
      <c r="WKC13"/>
      <c r="WKD13"/>
      <c r="WKE13"/>
      <c r="WKF13"/>
      <c r="WKG13"/>
      <c r="WKH13"/>
      <c r="WKI13"/>
      <c r="WKJ13"/>
      <c r="WKK13"/>
      <c r="WKL13"/>
      <c r="WKM13"/>
      <c r="WKN13"/>
      <c r="WKO13"/>
      <c r="WKP13"/>
      <c r="WKQ13"/>
      <c r="WKR13"/>
      <c r="WKS13"/>
      <c r="WKT13"/>
      <c r="WKU13"/>
      <c r="WKV13"/>
      <c r="WKW13"/>
      <c r="WKX13"/>
      <c r="WKY13"/>
      <c r="WKZ13"/>
      <c r="WLA13"/>
      <c r="WLB13"/>
      <c r="WLC13"/>
      <c r="WLD13"/>
      <c r="WLE13"/>
      <c r="WLF13"/>
      <c r="WLG13"/>
      <c r="WLH13"/>
      <c r="WLI13"/>
      <c r="WLJ13"/>
      <c r="WLK13"/>
      <c r="WLL13"/>
      <c r="WLM13"/>
      <c r="WLN13"/>
      <c r="WLO13"/>
      <c r="WLP13"/>
      <c r="WLQ13"/>
      <c r="WLR13"/>
      <c r="WLS13"/>
      <c r="WLT13"/>
      <c r="WLU13"/>
      <c r="WLV13"/>
      <c r="WLW13"/>
      <c r="WLX13"/>
      <c r="WLY13"/>
      <c r="WLZ13"/>
      <c r="WMA13"/>
      <c r="WMB13"/>
      <c r="WMC13"/>
      <c r="WMD13"/>
      <c r="WME13"/>
      <c r="WMF13"/>
      <c r="WMG13"/>
      <c r="WMH13"/>
      <c r="WMI13"/>
      <c r="WMJ13"/>
      <c r="WMK13"/>
      <c r="WML13"/>
      <c r="WMM13"/>
      <c r="WMN13"/>
      <c r="WMO13"/>
      <c r="WMP13"/>
      <c r="WMQ13"/>
      <c r="WMR13"/>
      <c r="WMS13"/>
      <c r="WMT13"/>
      <c r="WMU13"/>
      <c r="WMV13"/>
      <c r="WMW13"/>
      <c r="WMX13"/>
      <c r="WMY13"/>
      <c r="WMZ13"/>
      <c r="WNA13"/>
      <c r="WNB13"/>
      <c r="WNC13"/>
      <c r="WND13"/>
      <c r="WNE13"/>
      <c r="WNF13"/>
      <c r="WNG13"/>
      <c r="WNH13"/>
      <c r="WNI13"/>
      <c r="WNJ13"/>
      <c r="WNK13"/>
      <c r="WNL13"/>
      <c r="WNM13"/>
      <c r="WNN13"/>
      <c r="WNO13"/>
      <c r="WNP13"/>
      <c r="WNQ13"/>
      <c r="WNR13"/>
      <c r="WNS13"/>
      <c r="WNT13"/>
      <c r="WNU13"/>
      <c r="WNV13"/>
      <c r="WNW13"/>
      <c r="WNX13"/>
      <c r="WNY13"/>
      <c r="WNZ13"/>
      <c r="WOA13"/>
      <c r="WOB13"/>
      <c r="WOC13"/>
      <c r="WOD13"/>
      <c r="WOE13"/>
      <c r="WOF13"/>
      <c r="WOG13"/>
      <c r="WOH13"/>
      <c r="WOI13"/>
      <c r="WOJ13"/>
      <c r="WOK13"/>
      <c r="WOL13"/>
      <c r="WOM13"/>
      <c r="WON13"/>
      <c r="WOO13"/>
      <c r="WOP13"/>
      <c r="WOQ13"/>
      <c r="WOR13"/>
      <c r="WOS13"/>
      <c r="WOT13"/>
      <c r="WOU13"/>
      <c r="WOV13"/>
      <c r="WOW13"/>
      <c r="WOX13"/>
      <c r="WOY13"/>
      <c r="WOZ13"/>
      <c r="WPA13"/>
      <c r="WPB13"/>
      <c r="WPC13"/>
      <c r="WPD13"/>
      <c r="WPE13"/>
      <c r="WPF13"/>
      <c r="WPG13"/>
      <c r="WPH13"/>
      <c r="WPI13"/>
      <c r="WPJ13"/>
      <c r="WPK13"/>
      <c r="WPL13"/>
      <c r="WPM13"/>
      <c r="WPN13"/>
      <c r="WPO13"/>
      <c r="WPP13"/>
      <c r="WPQ13"/>
      <c r="WPR13"/>
      <c r="WPS13"/>
      <c r="WPT13"/>
      <c r="WPU13"/>
      <c r="WPV13"/>
      <c r="WPW13"/>
      <c r="WPX13"/>
      <c r="WPY13"/>
      <c r="WPZ13"/>
      <c r="WQA13"/>
      <c r="WQB13"/>
      <c r="WQC13"/>
      <c r="WQD13"/>
      <c r="WQE13"/>
      <c r="WQF13"/>
      <c r="WQG13"/>
      <c r="WQH13"/>
      <c r="WQI13"/>
      <c r="WQJ13"/>
      <c r="WQK13"/>
      <c r="WQL13"/>
      <c r="WQM13"/>
      <c r="WQN13"/>
      <c r="WQO13"/>
      <c r="WQP13"/>
      <c r="WQQ13"/>
      <c r="WQR13"/>
      <c r="WQS13"/>
      <c r="WQT13"/>
      <c r="WQU13"/>
      <c r="WQV13"/>
      <c r="WQW13"/>
      <c r="WQX13"/>
      <c r="WQY13"/>
      <c r="WQZ13"/>
      <c r="WRA13"/>
      <c r="WRB13"/>
      <c r="WRC13"/>
      <c r="WRD13"/>
      <c r="WRE13"/>
      <c r="WRF13"/>
      <c r="WRG13"/>
      <c r="WRH13"/>
      <c r="WRI13"/>
      <c r="WRJ13"/>
      <c r="WRK13"/>
      <c r="WRL13"/>
      <c r="WRM13"/>
      <c r="WRN13"/>
      <c r="WRO13"/>
      <c r="WRP13"/>
      <c r="WRQ13"/>
      <c r="WRR13"/>
      <c r="WRS13"/>
      <c r="WRT13"/>
      <c r="WRU13"/>
      <c r="WRV13"/>
      <c r="WRW13"/>
      <c r="WRX13"/>
      <c r="WRY13"/>
      <c r="WRZ13"/>
      <c r="WSA13"/>
      <c r="WSB13"/>
      <c r="WSC13"/>
      <c r="WSD13"/>
      <c r="WSE13"/>
      <c r="WSF13"/>
      <c r="WSG13"/>
      <c r="WSH13"/>
      <c r="WSI13"/>
      <c r="WSJ13"/>
      <c r="WSK13"/>
      <c r="WSL13"/>
      <c r="WSM13"/>
      <c r="WSN13"/>
      <c r="WSO13"/>
      <c r="WSP13"/>
      <c r="WSQ13"/>
      <c r="WSR13"/>
      <c r="WSS13"/>
      <c r="WST13"/>
      <c r="WSU13"/>
      <c r="WSV13"/>
      <c r="WSW13"/>
      <c r="WSX13"/>
      <c r="WSY13"/>
      <c r="WSZ13"/>
      <c r="WTA13"/>
      <c r="WTB13"/>
      <c r="WTC13"/>
      <c r="WTD13"/>
      <c r="WTE13"/>
      <c r="WTF13"/>
      <c r="WTG13"/>
      <c r="WTH13"/>
      <c r="WTI13"/>
      <c r="WTJ13"/>
      <c r="WTK13"/>
      <c r="WTL13"/>
      <c r="WTM13"/>
      <c r="WTN13"/>
      <c r="WTO13"/>
      <c r="WTP13"/>
      <c r="WTQ13"/>
      <c r="WTR13"/>
      <c r="WTS13"/>
      <c r="WTT13"/>
      <c r="WTU13"/>
      <c r="WTV13"/>
      <c r="WTW13"/>
      <c r="WTX13"/>
      <c r="WTY13"/>
      <c r="WTZ13"/>
      <c r="WUA13"/>
      <c r="WUB13"/>
      <c r="WUC13"/>
      <c r="WUD13"/>
      <c r="WUE13"/>
      <c r="WUF13"/>
      <c r="WUG13"/>
      <c r="WUH13"/>
      <c r="WUI13"/>
      <c r="WUJ13"/>
      <c r="WUK13"/>
      <c r="WUL13"/>
      <c r="WUM13"/>
      <c r="WUN13"/>
      <c r="WUO13"/>
      <c r="WUP13"/>
      <c r="WUQ13"/>
      <c r="WUR13"/>
      <c r="WUS13"/>
      <c r="WUT13"/>
      <c r="WUU13"/>
      <c r="WUV13"/>
      <c r="WUW13"/>
      <c r="WUX13"/>
      <c r="WUY13"/>
      <c r="WUZ13"/>
      <c r="WVA13"/>
      <c r="WVB13"/>
      <c r="WVC13"/>
      <c r="WVD13"/>
      <c r="WVE13"/>
      <c r="WVF13"/>
      <c r="WVG13"/>
      <c r="WVH13"/>
      <c r="WVI13"/>
      <c r="WVJ13"/>
      <c r="WVK13"/>
      <c r="WVL13"/>
      <c r="WVM13"/>
      <c r="WVN13"/>
      <c r="WVO13"/>
      <c r="WVP13"/>
      <c r="WVQ13"/>
      <c r="WVR13"/>
      <c r="WVS13"/>
      <c r="WVT13"/>
      <c r="WVU13"/>
      <c r="WVV13"/>
      <c r="WVW13"/>
      <c r="WVX13"/>
      <c r="WVY13"/>
      <c r="WVZ13"/>
      <c r="WWA13"/>
      <c r="WWB13"/>
      <c r="WWC13"/>
      <c r="WWD13"/>
      <c r="WWE13"/>
      <c r="WWF13"/>
      <c r="WWG13"/>
      <c r="WWH13"/>
      <c r="WWI13"/>
      <c r="WWJ13"/>
      <c r="WWK13"/>
      <c r="WWL13"/>
      <c r="WWM13"/>
      <c r="WWN13"/>
      <c r="WWO13"/>
      <c r="WWP13"/>
      <c r="WWQ13"/>
      <c r="WWR13"/>
      <c r="WWS13"/>
      <c r="WWT13"/>
      <c r="WWU13"/>
      <c r="WWV13"/>
      <c r="WWW13"/>
      <c r="WWX13"/>
      <c r="WWY13"/>
      <c r="WWZ13"/>
      <c r="WXA13"/>
      <c r="WXB13"/>
      <c r="WXC13"/>
      <c r="WXD13"/>
      <c r="WXE13"/>
      <c r="WXF13"/>
      <c r="WXG13"/>
      <c r="WXH13"/>
      <c r="WXI13"/>
      <c r="WXJ13"/>
      <c r="WXK13"/>
      <c r="WXL13"/>
      <c r="WXM13"/>
      <c r="WXN13"/>
      <c r="WXO13"/>
      <c r="WXP13"/>
      <c r="WXQ13"/>
      <c r="WXR13"/>
      <c r="WXS13"/>
      <c r="WXT13"/>
      <c r="WXU13"/>
      <c r="WXV13"/>
      <c r="WXW13"/>
      <c r="WXX13"/>
      <c r="WXY13"/>
      <c r="WXZ13"/>
      <c r="WYA13"/>
      <c r="WYB13"/>
      <c r="WYC13"/>
      <c r="WYD13"/>
      <c r="WYE13"/>
      <c r="WYF13"/>
      <c r="WYG13"/>
      <c r="WYH13"/>
      <c r="WYI13"/>
      <c r="WYJ13"/>
      <c r="WYK13"/>
      <c r="WYL13"/>
      <c r="WYM13"/>
      <c r="WYN13"/>
      <c r="WYO13"/>
      <c r="WYP13"/>
      <c r="WYQ13"/>
      <c r="WYR13"/>
      <c r="WYS13"/>
      <c r="WYT13"/>
      <c r="WYU13"/>
      <c r="WYV13"/>
      <c r="WYW13"/>
      <c r="WYX13"/>
      <c r="WYY13"/>
      <c r="WYZ13"/>
      <c r="WZA13"/>
      <c r="WZB13"/>
      <c r="WZC13"/>
      <c r="WZD13"/>
      <c r="WZE13"/>
      <c r="WZF13"/>
      <c r="WZG13"/>
      <c r="WZH13"/>
      <c r="WZI13"/>
      <c r="WZJ13"/>
      <c r="WZK13"/>
      <c r="WZL13"/>
      <c r="WZM13"/>
      <c r="WZN13"/>
      <c r="WZO13"/>
      <c r="WZP13"/>
      <c r="WZQ13"/>
      <c r="WZR13"/>
      <c r="WZS13"/>
      <c r="WZT13"/>
      <c r="WZU13"/>
      <c r="WZV13"/>
      <c r="WZW13"/>
      <c r="WZX13"/>
      <c r="WZY13"/>
      <c r="WZZ13"/>
      <c r="XAA13"/>
      <c r="XAB13"/>
      <c r="XAC13"/>
      <c r="XAD13"/>
      <c r="XAE13"/>
      <c r="XAF13"/>
      <c r="XAG13"/>
      <c r="XAH13"/>
      <c r="XAI13"/>
      <c r="XAJ13"/>
      <c r="XAK13"/>
      <c r="XAL13"/>
      <c r="XAM13"/>
      <c r="XAN13"/>
      <c r="XAO13"/>
      <c r="XAP13"/>
      <c r="XAQ13"/>
      <c r="XAR13"/>
      <c r="XAS13"/>
      <c r="XAT13"/>
      <c r="XAU13"/>
      <c r="XAV13"/>
      <c r="XAW13"/>
      <c r="XAX13"/>
      <c r="XAY13"/>
      <c r="XAZ13"/>
      <c r="XBA13"/>
      <c r="XBB13"/>
      <c r="XBC13"/>
      <c r="XBD13"/>
      <c r="XBE13"/>
      <c r="XBF13"/>
      <c r="XBG13"/>
      <c r="XBH13"/>
      <c r="XBI13"/>
      <c r="XBJ13"/>
      <c r="XBK13"/>
      <c r="XBL13"/>
      <c r="XBM13"/>
      <c r="XBN13"/>
      <c r="XBO13"/>
      <c r="XBP13"/>
      <c r="XBQ13"/>
      <c r="XBR13"/>
      <c r="XBS13"/>
      <c r="XBT13"/>
      <c r="XBU13"/>
      <c r="XBV13"/>
      <c r="XBW13"/>
      <c r="XBX13"/>
      <c r="XBY13"/>
      <c r="XBZ13"/>
      <c r="XCA13"/>
      <c r="XCB13"/>
      <c r="XCC13"/>
      <c r="XCD13"/>
      <c r="XCE13"/>
      <c r="XCF13"/>
      <c r="XCG13"/>
      <c r="XCH13"/>
      <c r="XCI13"/>
      <c r="XCJ13"/>
      <c r="XCK13"/>
      <c r="XCL13"/>
      <c r="XCM13"/>
      <c r="XCN13"/>
      <c r="XCO13"/>
      <c r="XCP13"/>
      <c r="XCQ13"/>
      <c r="XCR13"/>
      <c r="XCS13"/>
      <c r="XCT13"/>
      <c r="XCU13"/>
      <c r="XCV13"/>
      <c r="XCW13"/>
      <c r="XCX13"/>
      <c r="XCY13"/>
      <c r="XCZ13"/>
      <c r="XDA13"/>
      <c r="XDB13"/>
      <c r="XDC13"/>
      <c r="XDD13"/>
      <c r="XDE13"/>
      <c r="XDF13"/>
      <c r="XDG13"/>
      <c r="XDH13"/>
      <c r="XDI13"/>
      <c r="XDJ13"/>
      <c r="XDK13"/>
      <c r="XDL13"/>
      <c r="XDM13"/>
      <c r="XDN13"/>
      <c r="XDO13"/>
      <c r="XDP13"/>
      <c r="XDQ13"/>
      <c r="XDR13"/>
      <c r="XDS13"/>
      <c r="XDT13"/>
      <c r="XDU13"/>
      <c r="XDV13"/>
      <c r="XDW13"/>
      <c r="XDX13"/>
      <c r="XDY13"/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pans="1:342 14982:16384">
      <c r="A14" s="64" t="s">
        <v>27</v>
      </c>
      <c r="B14" s="2">
        <f>[1]Decembre17!AI9</f>
        <v>1020.06</v>
      </c>
      <c r="C14" s="55">
        <f>Table1[[#This Row],[Colonne4]]+SUMIFS(sommejanvier,datejanvier,C$26,placementsjanvier,$A$14)</f>
        <v>1020.06</v>
      </c>
      <c r="D14" s="55">
        <f>Table1[[#This Row],[Colonne5]]+SUMIFS(sommejanvier,datejanvier,D$26,placementsjanvier,$A$14)</f>
        <v>1020.06</v>
      </c>
      <c r="E14" s="55">
        <f>Table1[[#This Row],[Colonne6]]+SUMIFS(sommejanvier,datejanvier,E$26,placementsjanvier,$A$14)</f>
        <v>1020.06</v>
      </c>
      <c r="F14" s="55">
        <f>Table1[[#This Row],[Colonne7]]+SUMIFS(sommejanvier,datejanvier,F$26,placementsjanvier,$A$14)</f>
        <v>1020.06</v>
      </c>
      <c r="G14" s="55">
        <f>Table1[[#This Row],[Colonne8]]+SUMIFS(sommejanvier,datejanvier,G$26,placementsjanvier,$A$14)</f>
        <v>1020.06</v>
      </c>
      <c r="H14" s="55">
        <f>Table1[[#This Row],[Colonne9]]+SUMIFS(sommejanvier,datejanvier,H$26,placementsjanvier,$A$14)</f>
        <v>1020.06</v>
      </c>
      <c r="I14" s="55">
        <f>Table1[[#This Row],[Colonne10]]+SUMIFS(sommejanvier,datejanvier,I$26,placementsjanvier,$A$14)</f>
        <v>1020.06</v>
      </c>
      <c r="J14" s="55">
        <f>Table1[[#This Row],[Colonne11]]+SUMIFS(sommejanvier,datejanvier,J$26,placementsjanvier,$A$14)</f>
        <v>1020.06</v>
      </c>
      <c r="K14" s="55">
        <f>Table1[[#This Row],[Colonne12]]+SUMIFS(sommejanvier,datejanvier,K$26,placementsjanvier,$A$14)</f>
        <v>1270.06</v>
      </c>
      <c r="L14" s="55">
        <f>Table1[[#This Row],[Colonne13]]+SUMIFS(sommejanvier,datejanvier,L$26,placementsjanvier,$A$14)</f>
        <v>1270.06</v>
      </c>
      <c r="M14" s="55">
        <f>Table1[[#This Row],[Colonne14]]+SUMIFS(sommejanvier,datejanvier,M$26,placementsjanvier,$A$14)</f>
        <v>1270.06</v>
      </c>
      <c r="N14" s="55">
        <f>Table1[[#This Row],[Colonne15]]+SUMIFS(sommejanvier,datejanvier,N$26,placementsjanvier,$A$14)</f>
        <v>1270.06</v>
      </c>
      <c r="O14" s="55">
        <f>Table1[[#This Row],[Colonne16]]+SUMIFS(sommejanvier,datejanvier,O$26,placementsjanvier,$A$14)</f>
        <v>1270.06</v>
      </c>
      <c r="P14" s="55">
        <f>Table1[[#This Row],[Colonne17]]+SUMIFS(sommejanvier,datejanvier,P$26,placementsjanvier,$A$14)</f>
        <v>1270.06</v>
      </c>
      <c r="Q14" s="55">
        <f>Table1[[#This Row],[Colonne18]]+SUMIFS(sommejanvier,datejanvier,Q$26,placementsjanvier,$A$14)</f>
        <v>1270.06</v>
      </c>
      <c r="R14" s="55">
        <f>Table1[[#This Row],[Colonne19]]+SUMIFS(sommejanvier,datejanvier,R$26,placementsjanvier,$A$14)</f>
        <v>1270.06</v>
      </c>
      <c r="S14" s="55">
        <f>Table1[[#This Row],[Colonne20]]+SUMIFS(sommejanvier,datejanvier,S$26,placementsjanvier,$A$14)</f>
        <v>1270.06</v>
      </c>
      <c r="T14" s="55">
        <f>Table1[[#This Row],[Colonne21]]+SUMIFS(sommejanvier,datejanvier,T$26,placementsjanvier,$A$14)</f>
        <v>1270.06</v>
      </c>
      <c r="U14" s="55">
        <f>Table1[[#This Row],[Colonne22]]+SUMIFS(sommejanvier,datejanvier,U$26,placementsjanvier,$A$14)</f>
        <v>1270.06</v>
      </c>
      <c r="V14" s="55">
        <f>Table1[[#This Row],[Colonne23]]+SUMIFS(sommejanvier,datejanvier,V$26,placementsjanvier,$A$14)</f>
        <v>1270.06</v>
      </c>
      <c r="W14" s="55">
        <f>Table1[[#This Row],[Colonne24]]+SUMIFS(sommejanvier,datejanvier,W$26,placementsjanvier,$A$14)</f>
        <v>1270.06</v>
      </c>
      <c r="X14" s="55">
        <f>Table1[[#This Row],[Colonne25]]+SUMIFS(sommejanvier,datejanvier,X$26,placementsjanvier,$A$14)</f>
        <v>1270.06</v>
      </c>
      <c r="Y14" s="55">
        <f>Table1[[#This Row],[Colonne26]]+SUMIFS(sommejanvier,datejanvier,Y$26,placementsjanvier,$A$14)</f>
        <v>1270.06</v>
      </c>
      <c r="Z14" s="55">
        <f>Table1[[#This Row],[Colonne27]]+SUMIFS(sommejanvier,datejanvier,Z$26,placementsjanvier,$A$14)</f>
        <v>1270.06</v>
      </c>
      <c r="AA14" s="55">
        <f>Table1[[#This Row],[Colonne28]]+SUMIFS(sommejanvier,datejanvier,AA$26,placementsjanvier,$A$14)</f>
        <v>1270.06</v>
      </c>
      <c r="AB14" s="55">
        <f>Table1[[#This Row],[Colonne29]]+SUMIFS(sommejanvier,datejanvier,AB$26,placementsjanvier,$A$14)</f>
        <v>1270.06</v>
      </c>
      <c r="AC14" s="55">
        <f>Table1[[#This Row],[Colonne30]]+SUMIFS(sommejanvier,datejanvier,AC$26,placementsjanvier,$A$14)</f>
        <v>1270.06</v>
      </c>
      <c r="AD14" s="55">
        <f>Table1[[#This Row],[Colonne31]]+SUMIFS(sommejanvier,datejanvier,AD$26,placementsjanvier,$A$14)</f>
        <v>1270.06</v>
      </c>
      <c r="AE14" s="55">
        <f>Table1[[#This Row],[Colonne32]]+SUMIFS(sommejanvier,datejanvier,AE$26,placementsjanvier,$A$14)</f>
        <v>1270.06</v>
      </c>
      <c r="AF14" s="55">
        <f>Table1[[#This Row],[Colonne33]]+SUMIFS(sommejanvier,datejanvier,AF$26,placementsjanvier,$A$14)</f>
        <v>1270.06</v>
      </c>
      <c r="AG14" s="55">
        <f>Table1[[#This Row],[Colonne34]]+SUMIFS(sommejanvier,datejanvier,AG$26,placementsjanvier,$A$14)</f>
        <v>1270.06</v>
      </c>
    </row>
    <row r="15" spans="1:342 14982:16384" s="78" customFormat="1">
      <c r="A15" s="82" t="s">
        <v>20</v>
      </c>
      <c r="B15" s="76">
        <f>[1]Decembre17!AI1</f>
        <v>2799.26</v>
      </c>
      <c r="C15" s="76">
        <f>Table1[[#This Row],[Colonne4]]+SUMIFS(sommejanvier,datejanvier,C$26,placementsjanvier,$A$15)</f>
        <v>2799.26</v>
      </c>
      <c r="D15" s="76">
        <f>Table1[[#This Row],[Colonne5]]+SUMIFS(sommejanvier,datejanvier,D$26,placementsjanvier,$A$15)</f>
        <v>2799.26</v>
      </c>
      <c r="E15" s="76">
        <f>Table1[[#This Row],[Colonne6]]+SUMIFS(sommejanvier,datejanvier,E$26,placementsjanvier,$A$15)</f>
        <v>2799.26</v>
      </c>
      <c r="F15" s="76">
        <f>Table1[[#This Row],[Colonne7]]+SUMIFS(sommejanvier,datejanvier,F$26,placementsjanvier,$A$15)</f>
        <v>2799.26</v>
      </c>
      <c r="G15" s="76">
        <f>Table1[[#This Row],[Colonne8]]+SUMIFS(sommejanvier,datejanvier,G$26,placementsjanvier,$A$15)</f>
        <v>2860.17</v>
      </c>
      <c r="H15" s="76">
        <f>Table1[[#This Row],[Colonne9]]+SUMIFS(sommejanvier,datejanvier,H$26,placementsjanvier,$A$15)</f>
        <v>2860.17</v>
      </c>
      <c r="I15" s="76">
        <f>Table1[[#This Row],[Colonne10]]+SUMIFS(sommejanvier,datejanvier,I$26,placementsjanvier,$A$15)</f>
        <v>2860.17</v>
      </c>
      <c r="J15" s="76">
        <f>Table1[[#This Row],[Colonne11]]+SUMIFS(sommejanvier,datejanvier,J$26,placementsjanvier,$A$15)</f>
        <v>2860.17</v>
      </c>
      <c r="K15" s="76">
        <f>Table1[[#This Row],[Colonne12]]+SUMIFS(sommejanvier,datejanvier,K$26,placementsjanvier,$A$15)</f>
        <v>2860.17</v>
      </c>
      <c r="L15" s="76">
        <f>Table1[[#This Row],[Colonne9]]+SUMIFS(sommejanvier,datejanvier,L$26,placementsjanvier,$A$15)</f>
        <v>2860.17</v>
      </c>
      <c r="M15" s="76">
        <f>Table1[[#This Row],[Colonne10]]+SUMIFS(sommejanvier,datejanvier,M$26,placementsjanvier,$A$15)</f>
        <v>2860.17</v>
      </c>
      <c r="N15" s="76">
        <f>Table1[[#This Row],[Colonne11]]+SUMIFS(sommejanvier,datejanvier,N$26,placementsjanvier,$A$15)</f>
        <v>2860.17</v>
      </c>
      <c r="O15" s="76">
        <f>Table1[[#This Row],[Colonne12]]+SUMIFS(sommejanvier,datejanvier,O$26,placementsjanvier,$A$15)</f>
        <v>2860.17</v>
      </c>
      <c r="P15" s="76">
        <f>Table1[[#This Row],[Colonne13]]+SUMIFS(sommejanvier,datejanvier,P$26,placementsjanvier,$A$15)</f>
        <v>2860.17</v>
      </c>
      <c r="Q15" s="76">
        <f>Table1[[#This Row],[Colonne10]]+SUMIFS(sommejanvier,datejanvier,Q$26,placementsjanvier,$A$15)</f>
        <v>2860.17</v>
      </c>
      <c r="R15" s="76">
        <f>Table1[[#This Row],[Colonne11]]+SUMIFS(sommejanvier,datejanvier,R$26,placementsjanvier,$A$15)</f>
        <v>2860.17</v>
      </c>
      <c r="S15" s="76">
        <f>Table1[[#This Row],[Colonne12]]+SUMIFS(sommejanvier,datejanvier,S$26,placementsjanvier,$A$15)</f>
        <v>2860.17</v>
      </c>
      <c r="T15" s="76">
        <f>Table1[[#This Row],[Colonne13]]+SUMIFS(sommejanvier,datejanvier,T$26,placementsjanvier,$A$15)</f>
        <v>2860.17</v>
      </c>
      <c r="U15" s="76">
        <f>Table1[[#This Row],[Colonne14]]+SUMIFS(sommejanvier,datejanvier,U$26,placementsjanvier,$A$15)</f>
        <v>2860.17</v>
      </c>
      <c r="V15" s="76">
        <f>Table1[[#This Row],[Colonne11]]+SUMIFS(sommejanvier,datejanvier,V$26,placementsjanvier,$A$15)</f>
        <v>2860.17</v>
      </c>
      <c r="W15" s="76">
        <f>Table1[[#This Row],[Colonne12]]+SUMIFS(sommejanvier,datejanvier,W$26,placementsjanvier,$A$15)</f>
        <v>2860.17</v>
      </c>
      <c r="X15" s="76">
        <f>Table1[[#This Row],[Colonne13]]+SUMIFS(sommejanvier,datejanvier,X$26,placementsjanvier,$A$15)</f>
        <v>2860.17</v>
      </c>
      <c r="Y15" s="76">
        <f>Table1[[#This Row],[Colonne14]]+SUMIFS(sommejanvier,datejanvier,Y$26,placementsjanvier,$A$15)</f>
        <v>2860.17</v>
      </c>
      <c r="Z15" s="76">
        <f>Table1[[#This Row],[Colonne15]]+SUMIFS(sommejanvier,datejanvier,Z$26,placementsjanvier,$A$15)</f>
        <v>2860.17</v>
      </c>
      <c r="AA15" s="76">
        <f>Table1[[#This Row],[Colonne12]]+SUMIFS(sommejanvier,datejanvier,AA$26,placementsjanvier,$A$15)</f>
        <v>2860.17</v>
      </c>
      <c r="AB15" s="76">
        <f>Table1[[#This Row],[Colonne13]]+SUMIFS(sommejanvier,datejanvier,AB$26,placementsjanvier,$A$15)</f>
        <v>2860.17</v>
      </c>
      <c r="AC15" s="76">
        <f>Table1[[#This Row],[Colonne14]]+SUMIFS(sommejanvier,datejanvier,AC$26,placementsjanvier,$A$15)</f>
        <v>2860.17</v>
      </c>
      <c r="AD15" s="76">
        <f>Table1[[#This Row],[Colonne15]]+SUMIFS(sommejanvier,datejanvier,AD$26,placementsjanvier,$A$15)</f>
        <v>2860.17</v>
      </c>
      <c r="AE15" s="76">
        <f>Table1[[#This Row],[Colonne16]]+SUMIFS(sommejanvier,datejanvier,AE$26,placementsjanvier,$A$15)</f>
        <v>2860.17</v>
      </c>
      <c r="AF15" s="76">
        <f>Table1[[#This Row],[Colonne13]]+SUMIFS(sommejanvier,datejanvier,AF$26,placementsjanvier,$A$15)</f>
        <v>2860.17</v>
      </c>
      <c r="AG15" s="76">
        <f>Table1[[#This Row],[Colonne14]]+SUMIFS(sommejanvier,datejanvier,AG$26,placementsjanvier,$A$15)</f>
        <v>2860.17</v>
      </c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VDF15"/>
      <c r="VDG15"/>
      <c r="VDH15"/>
      <c r="VDI15"/>
      <c r="VDJ15"/>
      <c r="VDK15"/>
      <c r="VDL15"/>
      <c r="VDM15"/>
      <c r="VDN15"/>
      <c r="VDO15"/>
      <c r="VDP15"/>
      <c r="VDQ15"/>
      <c r="VDR15"/>
      <c r="VDS15"/>
      <c r="VDT15"/>
      <c r="VDU15"/>
      <c r="VDV15"/>
      <c r="VDW15"/>
      <c r="VDX15"/>
      <c r="VDY15"/>
      <c r="VDZ15"/>
      <c r="VEA15"/>
      <c r="VEB15"/>
      <c r="VEC15"/>
      <c r="VED15"/>
      <c r="VEE15"/>
      <c r="VEF15"/>
      <c r="VEG15"/>
      <c r="VEH15"/>
      <c r="VEI15"/>
      <c r="VEJ15"/>
      <c r="VEK15"/>
      <c r="VEL15"/>
      <c r="VEM15"/>
      <c r="VEN15"/>
      <c r="VEO15"/>
      <c r="VEP15"/>
      <c r="VEQ15"/>
      <c r="VER15"/>
      <c r="VES15"/>
      <c r="VET15"/>
      <c r="VEU15"/>
      <c r="VEV15"/>
      <c r="VEW15"/>
      <c r="VEX15"/>
      <c r="VEY15"/>
      <c r="VEZ15"/>
      <c r="VFA15"/>
      <c r="VFB15"/>
      <c r="VFC15"/>
      <c r="VFD15"/>
      <c r="VFE15"/>
      <c r="VFF15"/>
      <c r="VFG15"/>
      <c r="VFH15"/>
      <c r="VFI15"/>
      <c r="VFJ15"/>
      <c r="VFK15"/>
      <c r="VFL15"/>
      <c r="VFM15"/>
      <c r="VFN15"/>
      <c r="VFO15"/>
      <c r="VFP15"/>
      <c r="VFQ15"/>
      <c r="VFR15"/>
      <c r="VFS15"/>
      <c r="VFT15"/>
      <c r="VFU15"/>
      <c r="VFV15"/>
      <c r="VFW15"/>
      <c r="VFX15"/>
      <c r="VFY15"/>
      <c r="VFZ15"/>
      <c r="VGA15"/>
      <c r="VGB15"/>
      <c r="VGC15"/>
      <c r="VGD15"/>
      <c r="VGE15"/>
      <c r="VGF15"/>
      <c r="VGG15"/>
      <c r="VGH15"/>
      <c r="VGI15"/>
      <c r="VGJ15"/>
      <c r="VGK15"/>
      <c r="VGL15"/>
      <c r="VGM15"/>
      <c r="VGN15"/>
      <c r="VGO15"/>
      <c r="VGP15"/>
      <c r="VGQ15"/>
      <c r="VGR15"/>
      <c r="VGS15"/>
      <c r="VGT15"/>
      <c r="VGU15"/>
      <c r="VGV15"/>
      <c r="VGW15"/>
      <c r="VGX15"/>
      <c r="VGY15"/>
      <c r="VGZ15"/>
      <c r="VHA15"/>
      <c r="VHB15"/>
      <c r="VHC15"/>
      <c r="VHD15"/>
      <c r="VHE15"/>
      <c r="VHF15"/>
      <c r="VHG15"/>
      <c r="VHH15"/>
      <c r="VHI15"/>
      <c r="VHJ15"/>
      <c r="VHK15"/>
      <c r="VHL15"/>
      <c r="VHM15"/>
      <c r="VHN15"/>
      <c r="VHO15"/>
      <c r="VHP15"/>
      <c r="VHQ15"/>
      <c r="VHR15"/>
      <c r="VHS15"/>
      <c r="VHT15"/>
      <c r="VHU15"/>
      <c r="VHV15"/>
      <c r="VHW15"/>
      <c r="VHX15"/>
      <c r="VHY15"/>
      <c r="VHZ15"/>
      <c r="VIA15"/>
      <c r="VIB15"/>
      <c r="VIC15"/>
      <c r="VID15"/>
      <c r="VIE15"/>
      <c r="VIF15"/>
      <c r="VIG15"/>
      <c r="VIH15"/>
      <c r="VII15"/>
      <c r="VIJ15"/>
      <c r="VIK15"/>
      <c r="VIL15"/>
      <c r="VIM15"/>
      <c r="VIN15"/>
      <c r="VIO15"/>
      <c r="VIP15"/>
      <c r="VIQ15"/>
      <c r="VIR15"/>
      <c r="VIS15"/>
      <c r="VIT15"/>
      <c r="VIU15"/>
      <c r="VIV15"/>
      <c r="VIW15"/>
      <c r="VIX15"/>
      <c r="VIY15"/>
      <c r="VIZ15"/>
      <c r="VJA15"/>
      <c r="VJB15"/>
      <c r="VJC15"/>
      <c r="VJD15"/>
      <c r="VJE15"/>
      <c r="VJF15"/>
      <c r="VJG15"/>
      <c r="VJH15"/>
      <c r="VJI15"/>
      <c r="VJJ15"/>
      <c r="VJK15"/>
      <c r="VJL15"/>
      <c r="VJM15"/>
      <c r="VJN15"/>
      <c r="VJO15"/>
      <c r="VJP15"/>
      <c r="VJQ15"/>
      <c r="VJR15"/>
      <c r="VJS15"/>
      <c r="VJT15"/>
      <c r="VJU15"/>
      <c r="VJV15"/>
      <c r="VJW15"/>
      <c r="VJX15"/>
      <c r="VJY15"/>
      <c r="VJZ15"/>
      <c r="VKA15"/>
      <c r="VKB15"/>
      <c r="VKC15"/>
      <c r="VKD15"/>
      <c r="VKE15"/>
      <c r="VKF15"/>
      <c r="VKG15"/>
      <c r="VKH15"/>
      <c r="VKI15"/>
      <c r="VKJ15"/>
      <c r="VKK15"/>
      <c r="VKL15"/>
      <c r="VKM15"/>
      <c r="VKN15"/>
      <c r="VKO15"/>
      <c r="VKP15"/>
      <c r="VKQ15"/>
      <c r="VKR15"/>
      <c r="VKS15"/>
      <c r="VKT15"/>
      <c r="VKU15"/>
      <c r="VKV15"/>
      <c r="VKW15"/>
      <c r="VKX15"/>
      <c r="VKY15"/>
      <c r="VKZ15"/>
      <c r="VLA15"/>
      <c r="VLB15"/>
      <c r="VLC15"/>
      <c r="VLD15"/>
      <c r="VLE15"/>
      <c r="VLF15"/>
      <c r="VLG15"/>
      <c r="VLH15"/>
      <c r="VLI15"/>
      <c r="VLJ15"/>
      <c r="VLK15"/>
      <c r="VLL15"/>
      <c r="VLM15"/>
      <c r="VLN15"/>
      <c r="VLO15"/>
      <c r="VLP15"/>
      <c r="VLQ15"/>
      <c r="VLR15"/>
      <c r="VLS15"/>
      <c r="VLT15"/>
      <c r="VLU15"/>
      <c r="VLV15"/>
      <c r="VLW15"/>
      <c r="VLX15"/>
      <c r="VLY15"/>
      <c r="VLZ15"/>
      <c r="VMA15"/>
      <c r="VMB15"/>
      <c r="VMC15"/>
      <c r="VMD15"/>
      <c r="VME15"/>
      <c r="VMF15"/>
      <c r="VMG15"/>
      <c r="VMH15"/>
      <c r="VMI15"/>
      <c r="VMJ15"/>
      <c r="VMK15"/>
      <c r="VML15"/>
      <c r="VMM15"/>
      <c r="VMN15"/>
      <c r="VMO15"/>
      <c r="VMP15"/>
      <c r="VMQ15"/>
      <c r="VMR15"/>
      <c r="VMS15"/>
      <c r="VMT15"/>
      <c r="VMU15"/>
      <c r="VMV15"/>
      <c r="VMW15"/>
      <c r="VMX15"/>
      <c r="VMY15"/>
      <c r="VMZ15"/>
      <c r="VNA15"/>
      <c r="VNB15"/>
      <c r="VNC15"/>
      <c r="VND15"/>
      <c r="VNE15"/>
      <c r="VNF15"/>
      <c r="VNG15"/>
      <c r="VNH15"/>
      <c r="VNI15"/>
      <c r="VNJ15"/>
      <c r="VNK15"/>
      <c r="VNL15"/>
      <c r="VNM15"/>
      <c r="VNN15"/>
      <c r="VNO15"/>
      <c r="VNP15"/>
      <c r="VNQ15"/>
      <c r="VNR15"/>
      <c r="VNS15"/>
      <c r="VNT15"/>
      <c r="VNU15"/>
      <c r="VNV15"/>
      <c r="VNW15"/>
      <c r="VNX15"/>
      <c r="VNY15"/>
      <c r="VNZ15"/>
      <c r="VOA15"/>
      <c r="VOB15"/>
      <c r="VOC15"/>
      <c r="VOD15"/>
      <c r="VOE15"/>
      <c r="VOF15"/>
      <c r="VOG15"/>
      <c r="VOH15"/>
      <c r="VOI15"/>
      <c r="VOJ15"/>
      <c r="VOK15"/>
      <c r="VOL15"/>
      <c r="VOM15"/>
      <c r="VON15"/>
      <c r="VOO15"/>
      <c r="VOP15"/>
      <c r="VOQ15"/>
      <c r="VOR15"/>
      <c r="VOS15"/>
      <c r="VOT15"/>
      <c r="VOU15"/>
      <c r="VOV15"/>
      <c r="VOW15"/>
      <c r="VOX15"/>
      <c r="VOY15"/>
      <c r="VOZ15"/>
      <c r="VPA15"/>
      <c r="VPB15"/>
      <c r="VPC15"/>
      <c r="VPD15"/>
      <c r="VPE15"/>
      <c r="VPF15"/>
      <c r="VPG15"/>
      <c r="VPH15"/>
      <c r="VPI15"/>
      <c r="VPJ15"/>
      <c r="VPK15"/>
      <c r="VPL15"/>
      <c r="VPM15"/>
      <c r="VPN15"/>
      <c r="VPO15"/>
      <c r="VPP15"/>
      <c r="VPQ15"/>
      <c r="VPR15"/>
      <c r="VPS15"/>
      <c r="VPT15"/>
      <c r="VPU15"/>
      <c r="VPV15"/>
      <c r="VPW15"/>
      <c r="VPX15"/>
      <c r="VPY15"/>
      <c r="VPZ15"/>
      <c r="VQA15"/>
      <c r="VQB15"/>
      <c r="VQC15"/>
      <c r="VQD15"/>
      <c r="VQE15"/>
      <c r="VQF15"/>
      <c r="VQG15"/>
      <c r="VQH15"/>
      <c r="VQI15"/>
      <c r="VQJ15"/>
      <c r="VQK15"/>
      <c r="VQL15"/>
      <c r="VQM15"/>
      <c r="VQN15"/>
      <c r="VQO15"/>
      <c r="VQP15"/>
      <c r="VQQ15"/>
      <c r="VQR15"/>
      <c r="VQS15"/>
      <c r="VQT15"/>
      <c r="VQU15"/>
      <c r="VQV15"/>
      <c r="VQW15"/>
      <c r="VQX15"/>
      <c r="VQY15"/>
      <c r="VQZ15"/>
      <c r="VRA15"/>
      <c r="VRB15"/>
      <c r="VRC15"/>
      <c r="VRD15"/>
      <c r="VRE15"/>
      <c r="VRF15"/>
      <c r="VRG15"/>
      <c r="VRH15"/>
      <c r="VRI15"/>
      <c r="VRJ15"/>
      <c r="VRK15"/>
      <c r="VRL15"/>
      <c r="VRM15"/>
      <c r="VRN15"/>
      <c r="VRO15"/>
      <c r="VRP15"/>
      <c r="VRQ15"/>
      <c r="VRR15"/>
      <c r="VRS15"/>
      <c r="VRT15"/>
      <c r="VRU15"/>
      <c r="VRV15"/>
      <c r="VRW15"/>
      <c r="VRX15"/>
      <c r="VRY15"/>
      <c r="VRZ15"/>
      <c r="VSA15"/>
      <c r="VSB15"/>
      <c r="VSC15"/>
      <c r="VSD15"/>
      <c r="VSE15"/>
      <c r="VSF15"/>
      <c r="VSG15"/>
      <c r="VSH15"/>
      <c r="VSI15"/>
      <c r="VSJ15"/>
      <c r="VSK15"/>
      <c r="VSL15"/>
      <c r="VSM15"/>
      <c r="VSN15"/>
      <c r="VSO15"/>
      <c r="VSP15"/>
      <c r="VSQ15"/>
      <c r="VSR15"/>
      <c r="VSS15"/>
      <c r="VST15"/>
      <c r="VSU15"/>
      <c r="VSV15"/>
      <c r="VSW15"/>
      <c r="VSX15"/>
      <c r="VSY15"/>
      <c r="VSZ15"/>
      <c r="VTA15"/>
      <c r="VTB15"/>
      <c r="VTC15"/>
      <c r="VTD15"/>
      <c r="VTE15"/>
      <c r="VTF15"/>
      <c r="VTG15"/>
      <c r="VTH15"/>
      <c r="VTI15"/>
      <c r="VTJ15"/>
      <c r="VTK15"/>
      <c r="VTL15"/>
      <c r="VTM15"/>
      <c r="VTN15"/>
      <c r="VTO15"/>
      <c r="VTP15"/>
      <c r="VTQ15"/>
      <c r="VTR15"/>
      <c r="VTS15"/>
      <c r="VTT15"/>
      <c r="VTU15"/>
      <c r="VTV15"/>
      <c r="VTW15"/>
      <c r="VTX15"/>
      <c r="VTY15"/>
      <c r="VTZ15"/>
      <c r="VUA15"/>
      <c r="VUB15"/>
      <c r="VUC15"/>
      <c r="VUD15"/>
      <c r="VUE15"/>
      <c r="VUF15"/>
      <c r="VUG15"/>
      <c r="VUH15"/>
      <c r="VUI15"/>
      <c r="VUJ15"/>
      <c r="VUK15"/>
      <c r="VUL15"/>
      <c r="VUM15"/>
      <c r="VUN15"/>
      <c r="VUO15"/>
      <c r="VUP15"/>
      <c r="VUQ15"/>
      <c r="VUR15"/>
      <c r="VUS15"/>
      <c r="VUT15"/>
      <c r="VUU15"/>
      <c r="VUV15"/>
      <c r="VUW15"/>
      <c r="VUX15"/>
      <c r="VUY15"/>
      <c r="VUZ15"/>
      <c r="VVA15"/>
      <c r="VVB15"/>
      <c r="VVC15"/>
      <c r="VVD15"/>
      <c r="VVE15"/>
      <c r="VVF15"/>
      <c r="VVG15"/>
      <c r="VVH15"/>
      <c r="VVI15"/>
      <c r="VVJ15"/>
      <c r="VVK15"/>
      <c r="VVL15"/>
      <c r="VVM15"/>
      <c r="VVN15"/>
      <c r="VVO15"/>
      <c r="VVP15"/>
      <c r="VVQ15"/>
      <c r="VVR15"/>
      <c r="VVS15"/>
      <c r="VVT15"/>
      <c r="VVU15"/>
      <c r="VVV15"/>
      <c r="VVW15"/>
      <c r="VVX15"/>
      <c r="VVY15"/>
      <c r="VVZ15"/>
      <c r="VWA15"/>
      <c r="VWB15"/>
      <c r="VWC15"/>
      <c r="VWD15"/>
      <c r="VWE15"/>
      <c r="VWF15"/>
      <c r="VWG15"/>
      <c r="VWH15"/>
      <c r="VWI15"/>
      <c r="VWJ15"/>
      <c r="VWK15"/>
      <c r="VWL15"/>
      <c r="VWM15"/>
      <c r="VWN15"/>
      <c r="VWO15"/>
      <c r="VWP15"/>
      <c r="VWQ15"/>
      <c r="VWR15"/>
      <c r="VWS15"/>
      <c r="VWT15"/>
      <c r="VWU15"/>
      <c r="VWV15"/>
      <c r="VWW15"/>
      <c r="VWX15"/>
      <c r="VWY15"/>
      <c r="VWZ15"/>
      <c r="VXA15"/>
      <c r="VXB15"/>
      <c r="VXC15"/>
      <c r="VXD15"/>
      <c r="VXE15"/>
      <c r="VXF15"/>
      <c r="VXG15"/>
      <c r="VXH15"/>
      <c r="VXI15"/>
      <c r="VXJ15"/>
      <c r="VXK15"/>
      <c r="VXL15"/>
      <c r="VXM15"/>
      <c r="VXN15"/>
      <c r="VXO15"/>
      <c r="VXP15"/>
      <c r="VXQ15"/>
      <c r="VXR15"/>
      <c r="VXS15"/>
      <c r="VXT15"/>
      <c r="VXU15"/>
      <c r="VXV15"/>
      <c r="VXW15"/>
      <c r="VXX15"/>
      <c r="VXY15"/>
      <c r="VXZ15"/>
      <c r="VYA15"/>
      <c r="VYB15"/>
      <c r="VYC15"/>
      <c r="VYD15"/>
      <c r="VYE15"/>
      <c r="VYF15"/>
      <c r="VYG15"/>
      <c r="VYH15"/>
      <c r="VYI15"/>
      <c r="VYJ15"/>
      <c r="VYK15"/>
      <c r="VYL15"/>
      <c r="VYM15"/>
      <c r="VYN15"/>
      <c r="VYO15"/>
      <c r="VYP15"/>
      <c r="VYQ15"/>
      <c r="VYR15"/>
      <c r="VYS15"/>
      <c r="VYT15"/>
      <c r="VYU15"/>
      <c r="VYV15"/>
      <c r="VYW15"/>
      <c r="VYX15"/>
      <c r="VYY15"/>
      <c r="VYZ15"/>
      <c r="VZA15"/>
      <c r="VZB15"/>
      <c r="VZC15"/>
      <c r="VZD15"/>
      <c r="VZE15"/>
      <c r="VZF15"/>
      <c r="VZG15"/>
      <c r="VZH15"/>
      <c r="VZI15"/>
      <c r="VZJ15"/>
      <c r="VZK15"/>
      <c r="VZL15"/>
      <c r="VZM15"/>
      <c r="VZN15"/>
      <c r="VZO15"/>
      <c r="VZP15"/>
      <c r="VZQ15"/>
      <c r="VZR15"/>
      <c r="VZS15"/>
      <c r="VZT15"/>
      <c r="VZU15"/>
      <c r="VZV15"/>
      <c r="VZW15"/>
      <c r="VZX15"/>
      <c r="VZY15"/>
      <c r="VZZ15"/>
      <c r="WAA15"/>
      <c r="WAB15"/>
      <c r="WAC15"/>
      <c r="WAD15"/>
      <c r="WAE15"/>
      <c r="WAF15"/>
      <c r="WAG15"/>
      <c r="WAH15"/>
      <c r="WAI15"/>
      <c r="WAJ15"/>
      <c r="WAK15"/>
      <c r="WAL15"/>
      <c r="WAM15"/>
      <c r="WAN15"/>
      <c r="WAO15"/>
      <c r="WAP15"/>
      <c r="WAQ15"/>
      <c r="WAR15"/>
      <c r="WAS15"/>
      <c r="WAT15"/>
      <c r="WAU15"/>
      <c r="WAV15"/>
      <c r="WAW15"/>
      <c r="WAX15"/>
      <c r="WAY15"/>
      <c r="WAZ15"/>
      <c r="WBA15"/>
      <c r="WBB15"/>
      <c r="WBC15"/>
      <c r="WBD15"/>
      <c r="WBE15"/>
      <c r="WBF15"/>
      <c r="WBG15"/>
      <c r="WBH15"/>
      <c r="WBI15"/>
      <c r="WBJ15"/>
      <c r="WBK15"/>
      <c r="WBL15"/>
      <c r="WBM15"/>
      <c r="WBN15"/>
      <c r="WBO15"/>
      <c r="WBP15"/>
      <c r="WBQ15"/>
      <c r="WBR15"/>
      <c r="WBS15"/>
      <c r="WBT15"/>
      <c r="WBU15"/>
      <c r="WBV15"/>
      <c r="WBW15"/>
      <c r="WBX15"/>
      <c r="WBY15"/>
      <c r="WBZ15"/>
      <c r="WCA15"/>
      <c r="WCB15"/>
      <c r="WCC15"/>
      <c r="WCD15"/>
      <c r="WCE15"/>
      <c r="WCF15"/>
      <c r="WCG15"/>
      <c r="WCH15"/>
      <c r="WCI15"/>
      <c r="WCJ15"/>
      <c r="WCK15"/>
      <c r="WCL15"/>
      <c r="WCM15"/>
      <c r="WCN15"/>
      <c r="WCO15"/>
      <c r="WCP15"/>
      <c r="WCQ15"/>
      <c r="WCR15"/>
      <c r="WCS15"/>
      <c r="WCT15"/>
      <c r="WCU15"/>
      <c r="WCV15"/>
      <c r="WCW15"/>
      <c r="WCX15"/>
      <c r="WCY15"/>
      <c r="WCZ15"/>
      <c r="WDA15"/>
      <c r="WDB15"/>
      <c r="WDC15"/>
      <c r="WDD15"/>
      <c r="WDE15"/>
      <c r="WDF15"/>
      <c r="WDG15"/>
      <c r="WDH15"/>
      <c r="WDI15"/>
      <c r="WDJ15"/>
      <c r="WDK15"/>
      <c r="WDL15"/>
      <c r="WDM15"/>
      <c r="WDN15"/>
      <c r="WDO15"/>
      <c r="WDP15"/>
      <c r="WDQ15"/>
      <c r="WDR15"/>
      <c r="WDS15"/>
      <c r="WDT15"/>
      <c r="WDU15"/>
      <c r="WDV15"/>
      <c r="WDW15"/>
      <c r="WDX15"/>
      <c r="WDY15"/>
      <c r="WDZ15"/>
      <c r="WEA15"/>
      <c r="WEB15"/>
      <c r="WEC15"/>
      <c r="WED15"/>
      <c r="WEE15"/>
      <c r="WEF15"/>
      <c r="WEG15"/>
      <c r="WEH15"/>
      <c r="WEI15"/>
      <c r="WEJ15"/>
      <c r="WEK15"/>
      <c r="WEL15"/>
      <c r="WEM15"/>
      <c r="WEN15"/>
      <c r="WEO15"/>
      <c r="WEP15"/>
      <c r="WEQ15"/>
      <c r="WER15"/>
      <c r="WES15"/>
      <c r="WET15"/>
      <c r="WEU15"/>
      <c r="WEV15"/>
      <c r="WEW15"/>
      <c r="WEX15"/>
      <c r="WEY15"/>
      <c r="WEZ15"/>
      <c r="WFA15"/>
      <c r="WFB15"/>
      <c r="WFC15"/>
      <c r="WFD15"/>
      <c r="WFE15"/>
      <c r="WFF15"/>
      <c r="WFG15"/>
      <c r="WFH15"/>
      <c r="WFI15"/>
      <c r="WFJ15"/>
      <c r="WFK15"/>
      <c r="WFL15"/>
      <c r="WFM15"/>
      <c r="WFN15"/>
      <c r="WFO15"/>
      <c r="WFP15"/>
      <c r="WFQ15"/>
      <c r="WFR15"/>
      <c r="WFS15"/>
      <c r="WFT15"/>
      <c r="WFU15"/>
      <c r="WFV15"/>
      <c r="WFW15"/>
      <c r="WFX15"/>
      <c r="WFY15"/>
      <c r="WFZ15"/>
      <c r="WGA15"/>
      <c r="WGB15"/>
      <c r="WGC15"/>
      <c r="WGD15"/>
      <c r="WGE15"/>
      <c r="WGF15"/>
      <c r="WGG15"/>
      <c r="WGH15"/>
      <c r="WGI15"/>
      <c r="WGJ15"/>
      <c r="WGK15"/>
      <c r="WGL15"/>
      <c r="WGM15"/>
      <c r="WGN15"/>
      <c r="WGO15"/>
      <c r="WGP15"/>
      <c r="WGQ15"/>
      <c r="WGR15"/>
      <c r="WGS15"/>
      <c r="WGT15"/>
      <c r="WGU15"/>
      <c r="WGV15"/>
      <c r="WGW15"/>
      <c r="WGX15"/>
      <c r="WGY15"/>
      <c r="WGZ15"/>
      <c r="WHA15"/>
      <c r="WHB15"/>
      <c r="WHC15"/>
      <c r="WHD15"/>
      <c r="WHE15"/>
      <c r="WHF15"/>
      <c r="WHG15"/>
      <c r="WHH15"/>
      <c r="WHI15"/>
      <c r="WHJ15"/>
      <c r="WHK15"/>
      <c r="WHL15"/>
      <c r="WHM15"/>
      <c r="WHN15"/>
      <c r="WHO15"/>
      <c r="WHP15"/>
      <c r="WHQ15"/>
      <c r="WHR15"/>
      <c r="WHS15"/>
      <c r="WHT15"/>
      <c r="WHU15"/>
      <c r="WHV15"/>
      <c r="WHW15"/>
      <c r="WHX15"/>
      <c r="WHY15"/>
      <c r="WHZ15"/>
      <c r="WIA15"/>
      <c r="WIB15"/>
      <c r="WIC15"/>
      <c r="WID15"/>
      <c r="WIE15"/>
      <c r="WIF15"/>
      <c r="WIG15"/>
      <c r="WIH15"/>
      <c r="WII15"/>
      <c r="WIJ15"/>
      <c r="WIK15"/>
      <c r="WIL15"/>
      <c r="WIM15"/>
      <c r="WIN15"/>
      <c r="WIO15"/>
      <c r="WIP15"/>
      <c r="WIQ15"/>
      <c r="WIR15"/>
      <c r="WIS15"/>
      <c r="WIT15"/>
      <c r="WIU15"/>
      <c r="WIV15"/>
      <c r="WIW15"/>
      <c r="WIX15"/>
      <c r="WIY15"/>
      <c r="WIZ15"/>
      <c r="WJA15"/>
      <c r="WJB15"/>
      <c r="WJC15"/>
      <c r="WJD15"/>
      <c r="WJE15"/>
      <c r="WJF15"/>
      <c r="WJG15"/>
      <c r="WJH15"/>
      <c r="WJI15"/>
      <c r="WJJ15"/>
      <c r="WJK15"/>
      <c r="WJL15"/>
      <c r="WJM15"/>
      <c r="WJN15"/>
      <c r="WJO15"/>
      <c r="WJP15"/>
      <c r="WJQ15"/>
      <c r="WJR15"/>
      <c r="WJS15"/>
      <c r="WJT15"/>
      <c r="WJU15"/>
      <c r="WJV15"/>
      <c r="WJW15"/>
      <c r="WJX15"/>
      <c r="WJY15"/>
      <c r="WJZ15"/>
      <c r="WKA15"/>
      <c r="WKB15"/>
      <c r="WKC15"/>
      <c r="WKD15"/>
      <c r="WKE15"/>
      <c r="WKF15"/>
      <c r="WKG15"/>
      <c r="WKH15"/>
      <c r="WKI15"/>
      <c r="WKJ15"/>
      <c r="WKK15"/>
      <c r="WKL15"/>
      <c r="WKM15"/>
      <c r="WKN15"/>
      <c r="WKO15"/>
      <c r="WKP15"/>
      <c r="WKQ15"/>
      <c r="WKR15"/>
      <c r="WKS15"/>
      <c r="WKT15"/>
      <c r="WKU15"/>
      <c r="WKV15"/>
      <c r="WKW15"/>
      <c r="WKX15"/>
      <c r="WKY15"/>
      <c r="WKZ15"/>
      <c r="WLA15"/>
      <c r="WLB15"/>
      <c r="WLC15"/>
      <c r="WLD15"/>
      <c r="WLE15"/>
      <c r="WLF15"/>
      <c r="WLG15"/>
      <c r="WLH15"/>
      <c r="WLI15"/>
      <c r="WLJ15"/>
      <c r="WLK15"/>
      <c r="WLL15"/>
      <c r="WLM15"/>
      <c r="WLN15"/>
      <c r="WLO15"/>
      <c r="WLP15"/>
      <c r="WLQ15"/>
      <c r="WLR15"/>
      <c r="WLS15"/>
      <c r="WLT15"/>
      <c r="WLU15"/>
      <c r="WLV15"/>
      <c r="WLW15"/>
      <c r="WLX15"/>
      <c r="WLY15"/>
      <c r="WLZ15"/>
      <c r="WMA15"/>
      <c r="WMB15"/>
      <c r="WMC15"/>
      <c r="WMD15"/>
      <c r="WME15"/>
      <c r="WMF15"/>
      <c r="WMG15"/>
      <c r="WMH15"/>
      <c r="WMI15"/>
      <c r="WMJ15"/>
      <c r="WMK15"/>
      <c r="WML15"/>
      <c r="WMM15"/>
      <c r="WMN15"/>
      <c r="WMO15"/>
      <c r="WMP15"/>
      <c r="WMQ15"/>
      <c r="WMR15"/>
      <c r="WMS15"/>
      <c r="WMT15"/>
      <c r="WMU15"/>
      <c r="WMV15"/>
      <c r="WMW15"/>
      <c r="WMX15"/>
      <c r="WMY15"/>
      <c r="WMZ15"/>
      <c r="WNA15"/>
      <c r="WNB15"/>
      <c r="WNC15"/>
      <c r="WND15"/>
      <c r="WNE15"/>
      <c r="WNF15"/>
      <c r="WNG15"/>
      <c r="WNH15"/>
      <c r="WNI15"/>
      <c r="WNJ15"/>
      <c r="WNK15"/>
      <c r="WNL15"/>
      <c r="WNM15"/>
      <c r="WNN15"/>
      <c r="WNO15"/>
      <c r="WNP15"/>
      <c r="WNQ15"/>
      <c r="WNR15"/>
      <c r="WNS15"/>
      <c r="WNT15"/>
      <c r="WNU15"/>
      <c r="WNV15"/>
      <c r="WNW15"/>
      <c r="WNX15"/>
      <c r="WNY15"/>
      <c r="WNZ15"/>
      <c r="WOA15"/>
      <c r="WOB15"/>
      <c r="WOC15"/>
      <c r="WOD15"/>
      <c r="WOE15"/>
      <c r="WOF15"/>
      <c r="WOG15"/>
      <c r="WOH15"/>
      <c r="WOI15"/>
      <c r="WOJ15"/>
      <c r="WOK15"/>
      <c r="WOL15"/>
      <c r="WOM15"/>
      <c r="WON15"/>
      <c r="WOO15"/>
      <c r="WOP15"/>
      <c r="WOQ15"/>
      <c r="WOR15"/>
      <c r="WOS15"/>
      <c r="WOT15"/>
      <c r="WOU15"/>
      <c r="WOV15"/>
      <c r="WOW15"/>
      <c r="WOX15"/>
      <c r="WOY15"/>
      <c r="WOZ15"/>
      <c r="WPA15"/>
      <c r="WPB15"/>
      <c r="WPC15"/>
      <c r="WPD15"/>
      <c r="WPE15"/>
      <c r="WPF15"/>
      <c r="WPG15"/>
      <c r="WPH15"/>
      <c r="WPI15"/>
      <c r="WPJ15"/>
      <c r="WPK15"/>
      <c r="WPL15"/>
      <c r="WPM15"/>
      <c r="WPN15"/>
      <c r="WPO15"/>
      <c r="WPP15"/>
      <c r="WPQ15"/>
      <c r="WPR15"/>
      <c r="WPS15"/>
      <c r="WPT15"/>
      <c r="WPU15"/>
      <c r="WPV15"/>
      <c r="WPW15"/>
      <c r="WPX15"/>
      <c r="WPY15"/>
      <c r="WPZ15"/>
      <c r="WQA15"/>
      <c r="WQB15"/>
      <c r="WQC15"/>
      <c r="WQD15"/>
      <c r="WQE15"/>
      <c r="WQF15"/>
      <c r="WQG15"/>
      <c r="WQH15"/>
      <c r="WQI15"/>
      <c r="WQJ15"/>
      <c r="WQK15"/>
      <c r="WQL15"/>
      <c r="WQM15"/>
      <c r="WQN15"/>
      <c r="WQO15"/>
      <c r="WQP15"/>
      <c r="WQQ15"/>
      <c r="WQR15"/>
      <c r="WQS15"/>
      <c r="WQT15"/>
      <c r="WQU15"/>
      <c r="WQV15"/>
      <c r="WQW15"/>
      <c r="WQX15"/>
      <c r="WQY15"/>
      <c r="WQZ15"/>
      <c r="WRA15"/>
      <c r="WRB15"/>
      <c r="WRC15"/>
      <c r="WRD15"/>
      <c r="WRE15"/>
      <c r="WRF15"/>
      <c r="WRG15"/>
      <c r="WRH15"/>
      <c r="WRI15"/>
      <c r="WRJ15"/>
      <c r="WRK15"/>
      <c r="WRL15"/>
      <c r="WRM15"/>
      <c r="WRN15"/>
      <c r="WRO15"/>
      <c r="WRP15"/>
      <c r="WRQ15"/>
      <c r="WRR15"/>
      <c r="WRS15"/>
      <c r="WRT15"/>
      <c r="WRU15"/>
      <c r="WRV15"/>
      <c r="WRW15"/>
      <c r="WRX15"/>
      <c r="WRY15"/>
      <c r="WRZ15"/>
      <c r="WSA15"/>
      <c r="WSB15"/>
      <c r="WSC15"/>
      <c r="WSD15"/>
      <c r="WSE15"/>
      <c r="WSF15"/>
      <c r="WSG15"/>
      <c r="WSH15"/>
      <c r="WSI15"/>
      <c r="WSJ15"/>
      <c r="WSK15"/>
      <c r="WSL15"/>
      <c r="WSM15"/>
      <c r="WSN15"/>
      <c r="WSO15"/>
      <c r="WSP15"/>
      <c r="WSQ15"/>
      <c r="WSR15"/>
      <c r="WSS15"/>
      <c r="WST15"/>
      <c r="WSU15"/>
      <c r="WSV15"/>
      <c r="WSW15"/>
      <c r="WSX15"/>
      <c r="WSY15"/>
      <c r="WSZ15"/>
      <c r="WTA15"/>
      <c r="WTB15"/>
      <c r="WTC15"/>
      <c r="WTD15"/>
      <c r="WTE15"/>
      <c r="WTF15"/>
      <c r="WTG15"/>
      <c r="WTH15"/>
      <c r="WTI15"/>
      <c r="WTJ15"/>
      <c r="WTK15"/>
      <c r="WTL15"/>
      <c r="WTM15"/>
      <c r="WTN15"/>
      <c r="WTO15"/>
      <c r="WTP15"/>
      <c r="WTQ15"/>
      <c r="WTR15"/>
      <c r="WTS15"/>
      <c r="WTT15"/>
      <c r="WTU15"/>
      <c r="WTV15"/>
      <c r="WTW15"/>
      <c r="WTX15"/>
      <c r="WTY15"/>
      <c r="WTZ15"/>
      <c r="WUA15"/>
      <c r="WUB15"/>
      <c r="WUC15"/>
      <c r="WUD15"/>
      <c r="WUE15"/>
      <c r="WUF15"/>
      <c r="WUG15"/>
      <c r="WUH15"/>
      <c r="WUI15"/>
      <c r="WUJ15"/>
      <c r="WUK15"/>
      <c r="WUL15"/>
      <c r="WUM15"/>
      <c r="WUN15"/>
      <c r="WUO15"/>
      <c r="WUP15"/>
      <c r="WUQ15"/>
      <c r="WUR15"/>
      <c r="WUS15"/>
      <c r="WUT15"/>
      <c r="WUU15"/>
      <c r="WUV15"/>
      <c r="WUW15"/>
      <c r="WUX15"/>
      <c r="WUY15"/>
      <c r="WUZ15"/>
      <c r="WVA15"/>
      <c r="WVB15"/>
      <c r="WVC15"/>
      <c r="WVD15"/>
      <c r="WVE15"/>
      <c r="WVF15"/>
      <c r="WVG15"/>
      <c r="WVH15"/>
      <c r="WVI15"/>
      <c r="WVJ15"/>
      <c r="WVK15"/>
      <c r="WVL15"/>
      <c r="WVM15"/>
      <c r="WVN15"/>
      <c r="WVO15"/>
      <c r="WVP15"/>
      <c r="WVQ15"/>
      <c r="WVR15"/>
      <c r="WVS15"/>
      <c r="WVT15"/>
      <c r="WVU15"/>
      <c r="WVV15"/>
      <c r="WVW15"/>
      <c r="WVX15"/>
      <c r="WVY15"/>
      <c r="WVZ15"/>
      <c r="WWA15"/>
      <c r="WWB15"/>
      <c r="WWC15"/>
      <c r="WWD15"/>
      <c r="WWE15"/>
      <c r="WWF15"/>
      <c r="WWG15"/>
      <c r="WWH15"/>
      <c r="WWI15"/>
      <c r="WWJ15"/>
      <c r="WWK15"/>
      <c r="WWL15"/>
      <c r="WWM15"/>
      <c r="WWN15"/>
      <c r="WWO15"/>
      <c r="WWP15"/>
      <c r="WWQ15"/>
      <c r="WWR15"/>
      <c r="WWS15"/>
      <c r="WWT15"/>
      <c r="WWU15"/>
      <c r="WWV15"/>
      <c r="WWW15"/>
      <c r="WWX15"/>
      <c r="WWY15"/>
      <c r="WWZ15"/>
      <c r="WXA15"/>
      <c r="WXB15"/>
      <c r="WXC15"/>
      <c r="WXD15"/>
      <c r="WXE15"/>
      <c r="WXF15"/>
      <c r="WXG15"/>
      <c r="WXH15"/>
      <c r="WXI15"/>
      <c r="WXJ15"/>
      <c r="WXK15"/>
      <c r="WXL15"/>
      <c r="WXM15"/>
      <c r="WXN15"/>
      <c r="WXO15"/>
      <c r="WXP15"/>
      <c r="WXQ15"/>
      <c r="WXR15"/>
      <c r="WXS15"/>
      <c r="WXT15"/>
      <c r="WXU15"/>
      <c r="WXV15"/>
      <c r="WXW15"/>
      <c r="WXX15"/>
      <c r="WXY15"/>
      <c r="WXZ15"/>
      <c r="WYA15"/>
      <c r="WYB15"/>
      <c r="WYC15"/>
      <c r="WYD15"/>
      <c r="WYE15"/>
      <c r="WYF15"/>
      <c r="WYG15"/>
      <c r="WYH15"/>
      <c r="WYI15"/>
      <c r="WYJ15"/>
      <c r="WYK15"/>
      <c r="WYL15"/>
      <c r="WYM15"/>
      <c r="WYN15"/>
      <c r="WYO15"/>
      <c r="WYP15"/>
      <c r="WYQ15"/>
      <c r="WYR15"/>
      <c r="WYS15"/>
      <c r="WYT15"/>
      <c r="WYU15"/>
      <c r="WYV15"/>
      <c r="WYW15"/>
      <c r="WYX15"/>
      <c r="WYY15"/>
      <c r="WYZ15"/>
      <c r="WZA15"/>
      <c r="WZB15"/>
      <c r="WZC15"/>
      <c r="WZD15"/>
      <c r="WZE15"/>
      <c r="WZF15"/>
      <c r="WZG15"/>
      <c r="WZH15"/>
      <c r="WZI15"/>
      <c r="WZJ15"/>
      <c r="WZK15"/>
      <c r="WZL15"/>
      <c r="WZM15"/>
      <c r="WZN15"/>
      <c r="WZO15"/>
      <c r="WZP15"/>
      <c r="WZQ15"/>
      <c r="WZR15"/>
      <c r="WZS15"/>
      <c r="WZT15"/>
      <c r="WZU15"/>
      <c r="WZV15"/>
      <c r="WZW15"/>
      <c r="WZX15"/>
      <c r="WZY15"/>
      <c r="WZZ15"/>
      <c r="XAA15"/>
      <c r="XAB15"/>
      <c r="XAC15"/>
      <c r="XAD15"/>
      <c r="XAE15"/>
      <c r="XAF15"/>
      <c r="XAG15"/>
      <c r="XAH15"/>
      <c r="XAI15"/>
      <c r="XAJ15"/>
      <c r="XAK15"/>
      <c r="XAL15"/>
      <c r="XAM15"/>
      <c r="XAN15"/>
      <c r="XAO15"/>
      <c r="XAP15"/>
      <c r="XAQ15"/>
      <c r="XAR15"/>
      <c r="XAS15"/>
      <c r="XAT15"/>
      <c r="XAU15"/>
      <c r="XAV15"/>
      <c r="XAW15"/>
      <c r="XAX15"/>
      <c r="XAY15"/>
      <c r="XAZ15"/>
      <c r="XBA15"/>
      <c r="XBB15"/>
      <c r="XBC15"/>
      <c r="XBD15"/>
      <c r="XBE15"/>
      <c r="XBF15"/>
      <c r="XBG15"/>
      <c r="XBH15"/>
      <c r="XBI15"/>
      <c r="XBJ15"/>
      <c r="XBK15"/>
      <c r="XBL15"/>
      <c r="XBM15"/>
      <c r="XBN15"/>
      <c r="XBO15"/>
      <c r="XBP15"/>
      <c r="XBQ15"/>
      <c r="XBR15"/>
      <c r="XBS15"/>
      <c r="XBT15"/>
      <c r="XBU15"/>
      <c r="XBV15"/>
      <c r="XBW15"/>
      <c r="XBX15"/>
      <c r="XBY15"/>
      <c r="XBZ15"/>
      <c r="XCA15"/>
      <c r="XCB15"/>
      <c r="XCC15"/>
      <c r="XCD15"/>
      <c r="XCE15"/>
      <c r="XCF15"/>
      <c r="XCG15"/>
      <c r="XCH15"/>
      <c r="XCI15"/>
      <c r="XCJ15"/>
      <c r="XCK15"/>
      <c r="XCL15"/>
      <c r="XCM15"/>
      <c r="XCN15"/>
      <c r="XCO15"/>
      <c r="XCP15"/>
      <c r="XCQ15"/>
      <c r="XCR15"/>
      <c r="XCS15"/>
      <c r="XCT15"/>
      <c r="XCU15"/>
      <c r="XCV15"/>
      <c r="XCW15"/>
      <c r="XCX15"/>
      <c r="XCY15"/>
      <c r="XCZ15"/>
      <c r="XDA15"/>
      <c r="XDB15"/>
      <c r="XDC15"/>
      <c r="XDD15"/>
      <c r="XDE15"/>
      <c r="XDF15"/>
      <c r="XDG15"/>
      <c r="XDH15"/>
      <c r="XDI15"/>
      <c r="XDJ15"/>
      <c r="XDK15"/>
      <c r="XDL15"/>
      <c r="XDM15"/>
      <c r="XDN15"/>
      <c r="XDO15"/>
      <c r="XDP15"/>
      <c r="XDQ15"/>
      <c r="XDR15"/>
      <c r="XDS15"/>
      <c r="XDT15"/>
      <c r="XDU15"/>
      <c r="XDV15"/>
      <c r="XDW15"/>
      <c r="XDX15"/>
      <c r="XDY15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pans="1:342 14982:16384">
      <c r="A16" s="65"/>
      <c r="B16" s="66"/>
      <c r="C16" s="66"/>
      <c r="D16" s="66"/>
      <c r="E16" s="66"/>
      <c r="F16" s="66"/>
      <c r="G16" s="66"/>
      <c r="H16" s="66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8"/>
    </row>
    <row r="17" spans="1:342 14982:16384" s="69" customFormat="1">
      <c r="A17" s="64" t="s">
        <v>121</v>
      </c>
      <c r="B17" s="2">
        <f>SUM(B13:B15)</f>
        <v>12426.97</v>
      </c>
      <c r="C17" s="2">
        <f t="shared" ref="C17:AG17" si="24">SUM(C13:C15)</f>
        <v>12426.97</v>
      </c>
      <c r="D17" s="2">
        <f t="shared" si="24"/>
        <v>12426.97</v>
      </c>
      <c r="E17" s="2">
        <f t="shared" si="24"/>
        <v>12393.789999999999</v>
      </c>
      <c r="F17" s="2">
        <f t="shared" si="24"/>
        <v>12057.419999999998</v>
      </c>
      <c r="G17" s="2">
        <f t="shared" si="24"/>
        <v>12036.359999999999</v>
      </c>
      <c r="H17" s="2">
        <f t="shared" si="24"/>
        <v>11761.979999999998</v>
      </c>
      <c r="I17" s="2">
        <f t="shared" si="24"/>
        <v>11761.979999999998</v>
      </c>
      <c r="J17" s="2">
        <f t="shared" si="24"/>
        <v>11761.979999999998</v>
      </c>
      <c r="K17" s="2">
        <f t="shared" si="24"/>
        <v>11755.679999999998</v>
      </c>
      <c r="L17" s="2">
        <f t="shared" si="24"/>
        <v>12795.059999999998</v>
      </c>
      <c r="M17" s="2">
        <f t="shared" si="24"/>
        <v>12795.059999999998</v>
      </c>
      <c r="N17" s="2">
        <f t="shared" si="24"/>
        <v>12653.479999999998</v>
      </c>
      <c r="O17" s="2">
        <f t="shared" si="24"/>
        <v>11995.679999999998</v>
      </c>
      <c r="P17" s="2">
        <f t="shared" si="24"/>
        <v>11995.679999999998</v>
      </c>
      <c r="Q17" s="2">
        <f t="shared" si="24"/>
        <v>12652.429999999997</v>
      </c>
      <c r="R17" s="2">
        <f t="shared" si="24"/>
        <v>12663.529999999997</v>
      </c>
      <c r="S17" s="2">
        <f t="shared" si="24"/>
        <v>12766.529999999997</v>
      </c>
      <c r="T17" s="2">
        <f t="shared" si="24"/>
        <v>12558.489999999996</v>
      </c>
      <c r="U17" s="2">
        <f t="shared" si="24"/>
        <v>12527.389999999996</v>
      </c>
      <c r="V17" s="2">
        <f t="shared" si="24"/>
        <v>12527.389999999996</v>
      </c>
      <c r="W17" s="2">
        <f t="shared" si="24"/>
        <v>12527.389999999996</v>
      </c>
      <c r="X17" s="2">
        <f t="shared" si="24"/>
        <v>12527.389999999996</v>
      </c>
      <c r="Y17" s="2">
        <f t="shared" si="24"/>
        <v>12298.739999999996</v>
      </c>
      <c r="Z17" s="2">
        <f t="shared" si="24"/>
        <v>12298.739999999996</v>
      </c>
      <c r="AA17" s="2">
        <f t="shared" si="24"/>
        <v>12298.739999999996</v>
      </c>
      <c r="AB17" s="2">
        <f t="shared" si="24"/>
        <v>12298.739999999996</v>
      </c>
      <c r="AC17" s="2">
        <f t="shared" si="24"/>
        <v>12298.739999999996</v>
      </c>
      <c r="AD17" s="2">
        <f t="shared" si="24"/>
        <v>12298.739999999996</v>
      </c>
      <c r="AE17" s="2">
        <f t="shared" si="24"/>
        <v>12298.739999999996</v>
      </c>
      <c r="AF17" s="2">
        <f t="shared" si="24"/>
        <v>12298.739999999996</v>
      </c>
      <c r="AG17" s="2">
        <f t="shared" si="24"/>
        <v>12298.739999999996</v>
      </c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VDF17"/>
      <c r="VDG17"/>
      <c r="VDH17"/>
      <c r="VDI17"/>
      <c r="VDJ17"/>
      <c r="VDK17"/>
      <c r="VDL17"/>
      <c r="VDM17"/>
      <c r="VDN17"/>
      <c r="VDO17"/>
      <c r="VDP17"/>
      <c r="VDQ17"/>
      <c r="VDR17"/>
      <c r="VDS17"/>
      <c r="VDT17"/>
      <c r="VDU17"/>
      <c r="VDV17"/>
      <c r="VDW17"/>
      <c r="VDX17"/>
      <c r="VDY17"/>
      <c r="VDZ17"/>
      <c r="VEA17"/>
      <c r="VEB17"/>
      <c r="VEC17"/>
      <c r="VED17"/>
      <c r="VEE17"/>
      <c r="VEF17"/>
      <c r="VEG17"/>
      <c r="VEH17"/>
      <c r="VEI17"/>
      <c r="VEJ17"/>
      <c r="VEK17"/>
      <c r="VEL17"/>
      <c r="VEM17"/>
      <c r="VEN17"/>
      <c r="VEO17"/>
      <c r="VEP17"/>
      <c r="VEQ17"/>
      <c r="VER17"/>
      <c r="VES17"/>
      <c r="VET17"/>
      <c r="VEU17"/>
      <c r="VEV17"/>
      <c r="VEW17"/>
      <c r="VEX17"/>
      <c r="VEY17"/>
      <c r="VEZ17"/>
      <c r="VFA17"/>
      <c r="VFB17"/>
      <c r="VFC17"/>
      <c r="VFD17"/>
      <c r="VFE17"/>
      <c r="VFF17"/>
      <c r="VFG17"/>
      <c r="VFH17"/>
      <c r="VFI17"/>
      <c r="VFJ17"/>
      <c r="VFK17"/>
      <c r="VFL17"/>
      <c r="VFM17"/>
      <c r="VFN17"/>
      <c r="VFO17"/>
      <c r="VFP17"/>
      <c r="VFQ17"/>
      <c r="VFR17"/>
      <c r="VFS17"/>
      <c r="VFT17"/>
      <c r="VFU17"/>
      <c r="VFV17"/>
      <c r="VFW17"/>
      <c r="VFX17"/>
      <c r="VFY17"/>
      <c r="VFZ17"/>
      <c r="VGA17"/>
      <c r="VGB17"/>
      <c r="VGC17"/>
      <c r="VGD17"/>
      <c r="VGE17"/>
      <c r="VGF17"/>
      <c r="VGG17"/>
      <c r="VGH17"/>
      <c r="VGI17"/>
      <c r="VGJ17"/>
      <c r="VGK17"/>
      <c r="VGL17"/>
      <c r="VGM17"/>
      <c r="VGN17"/>
      <c r="VGO17"/>
      <c r="VGP17"/>
      <c r="VGQ17"/>
      <c r="VGR17"/>
      <c r="VGS17"/>
      <c r="VGT17"/>
      <c r="VGU17"/>
      <c r="VGV17"/>
      <c r="VGW17"/>
      <c r="VGX17"/>
      <c r="VGY17"/>
      <c r="VGZ17"/>
      <c r="VHA17"/>
      <c r="VHB17"/>
      <c r="VHC17"/>
      <c r="VHD17"/>
      <c r="VHE17"/>
      <c r="VHF17"/>
      <c r="VHG17"/>
      <c r="VHH17"/>
      <c r="VHI17"/>
      <c r="VHJ17"/>
      <c r="VHK17"/>
      <c r="VHL17"/>
      <c r="VHM17"/>
      <c r="VHN17"/>
      <c r="VHO17"/>
      <c r="VHP17"/>
      <c r="VHQ17"/>
      <c r="VHR17"/>
      <c r="VHS17"/>
      <c r="VHT17"/>
      <c r="VHU17"/>
      <c r="VHV17"/>
      <c r="VHW17"/>
      <c r="VHX17"/>
      <c r="VHY17"/>
      <c r="VHZ17"/>
      <c r="VIA17"/>
      <c r="VIB17"/>
      <c r="VIC17"/>
      <c r="VID17"/>
      <c r="VIE17"/>
      <c r="VIF17"/>
      <c r="VIG17"/>
      <c r="VIH17"/>
      <c r="VII17"/>
      <c r="VIJ17"/>
      <c r="VIK17"/>
      <c r="VIL17"/>
      <c r="VIM17"/>
      <c r="VIN17"/>
      <c r="VIO17"/>
      <c r="VIP17"/>
      <c r="VIQ17"/>
      <c r="VIR17"/>
      <c r="VIS17"/>
      <c r="VIT17"/>
      <c r="VIU17"/>
      <c r="VIV17"/>
      <c r="VIW17"/>
      <c r="VIX17"/>
      <c r="VIY17"/>
      <c r="VIZ17"/>
      <c r="VJA17"/>
      <c r="VJB17"/>
      <c r="VJC17"/>
      <c r="VJD17"/>
      <c r="VJE17"/>
      <c r="VJF17"/>
      <c r="VJG17"/>
      <c r="VJH17"/>
      <c r="VJI17"/>
      <c r="VJJ17"/>
      <c r="VJK17"/>
      <c r="VJL17"/>
      <c r="VJM17"/>
      <c r="VJN17"/>
      <c r="VJO17"/>
      <c r="VJP17"/>
      <c r="VJQ17"/>
      <c r="VJR17"/>
      <c r="VJS17"/>
      <c r="VJT17"/>
      <c r="VJU17"/>
      <c r="VJV17"/>
      <c r="VJW17"/>
      <c r="VJX17"/>
      <c r="VJY17"/>
      <c r="VJZ17"/>
      <c r="VKA17"/>
      <c r="VKB17"/>
      <c r="VKC17"/>
      <c r="VKD17"/>
      <c r="VKE17"/>
      <c r="VKF17"/>
      <c r="VKG17"/>
      <c r="VKH17"/>
      <c r="VKI17"/>
      <c r="VKJ17"/>
      <c r="VKK17"/>
      <c r="VKL17"/>
      <c r="VKM17"/>
      <c r="VKN17"/>
      <c r="VKO17"/>
      <c r="VKP17"/>
      <c r="VKQ17"/>
      <c r="VKR17"/>
      <c r="VKS17"/>
      <c r="VKT17"/>
      <c r="VKU17"/>
      <c r="VKV17"/>
      <c r="VKW17"/>
      <c r="VKX17"/>
      <c r="VKY17"/>
      <c r="VKZ17"/>
      <c r="VLA17"/>
      <c r="VLB17"/>
      <c r="VLC17"/>
      <c r="VLD17"/>
      <c r="VLE17"/>
      <c r="VLF17"/>
      <c r="VLG17"/>
      <c r="VLH17"/>
      <c r="VLI17"/>
      <c r="VLJ17"/>
      <c r="VLK17"/>
      <c r="VLL17"/>
      <c r="VLM17"/>
      <c r="VLN17"/>
      <c r="VLO17"/>
      <c r="VLP17"/>
      <c r="VLQ17"/>
      <c r="VLR17"/>
      <c r="VLS17"/>
      <c r="VLT17"/>
      <c r="VLU17"/>
      <c r="VLV17"/>
      <c r="VLW17"/>
      <c r="VLX17"/>
      <c r="VLY17"/>
      <c r="VLZ17"/>
      <c r="VMA17"/>
      <c r="VMB17"/>
      <c r="VMC17"/>
      <c r="VMD17"/>
      <c r="VME17"/>
      <c r="VMF17"/>
      <c r="VMG17"/>
      <c r="VMH17"/>
      <c r="VMI17"/>
      <c r="VMJ17"/>
      <c r="VMK17"/>
      <c r="VML17"/>
      <c r="VMM17"/>
      <c r="VMN17"/>
      <c r="VMO17"/>
      <c r="VMP17"/>
      <c r="VMQ17"/>
      <c r="VMR17"/>
      <c r="VMS17"/>
      <c r="VMT17"/>
      <c r="VMU17"/>
      <c r="VMV17"/>
      <c r="VMW17"/>
      <c r="VMX17"/>
      <c r="VMY17"/>
      <c r="VMZ17"/>
      <c r="VNA17"/>
      <c r="VNB17"/>
      <c r="VNC17"/>
      <c r="VND17"/>
      <c r="VNE17"/>
      <c r="VNF17"/>
      <c r="VNG17"/>
      <c r="VNH17"/>
      <c r="VNI17"/>
      <c r="VNJ17"/>
      <c r="VNK17"/>
      <c r="VNL17"/>
      <c r="VNM17"/>
      <c r="VNN17"/>
      <c r="VNO17"/>
      <c r="VNP17"/>
      <c r="VNQ17"/>
      <c r="VNR17"/>
      <c r="VNS17"/>
      <c r="VNT17"/>
      <c r="VNU17"/>
      <c r="VNV17"/>
      <c r="VNW17"/>
      <c r="VNX17"/>
      <c r="VNY17"/>
      <c r="VNZ17"/>
      <c r="VOA17"/>
      <c r="VOB17"/>
      <c r="VOC17"/>
      <c r="VOD17"/>
      <c r="VOE17"/>
      <c r="VOF17"/>
      <c r="VOG17"/>
      <c r="VOH17"/>
      <c r="VOI17"/>
      <c r="VOJ17"/>
      <c r="VOK17"/>
      <c r="VOL17"/>
      <c r="VOM17"/>
      <c r="VON17"/>
      <c r="VOO17"/>
      <c r="VOP17"/>
      <c r="VOQ17"/>
      <c r="VOR17"/>
      <c r="VOS17"/>
      <c r="VOT17"/>
      <c r="VOU17"/>
      <c r="VOV17"/>
      <c r="VOW17"/>
      <c r="VOX17"/>
      <c r="VOY17"/>
      <c r="VOZ17"/>
      <c r="VPA17"/>
      <c r="VPB17"/>
      <c r="VPC17"/>
      <c r="VPD17"/>
      <c r="VPE17"/>
      <c r="VPF17"/>
      <c r="VPG17"/>
      <c r="VPH17"/>
      <c r="VPI17"/>
      <c r="VPJ17"/>
      <c r="VPK17"/>
      <c r="VPL17"/>
      <c r="VPM17"/>
      <c r="VPN17"/>
      <c r="VPO17"/>
      <c r="VPP17"/>
      <c r="VPQ17"/>
      <c r="VPR17"/>
      <c r="VPS17"/>
      <c r="VPT17"/>
      <c r="VPU17"/>
      <c r="VPV17"/>
      <c r="VPW17"/>
      <c r="VPX17"/>
      <c r="VPY17"/>
      <c r="VPZ17"/>
      <c r="VQA17"/>
      <c r="VQB17"/>
      <c r="VQC17"/>
      <c r="VQD17"/>
      <c r="VQE17"/>
      <c r="VQF17"/>
      <c r="VQG17"/>
      <c r="VQH17"/>
      <c r="VQI17"/>
      <c r="VQJ17"/>
      <c r="VQK17"/>
      <c r="VQL17"/>
      <c r="VQM17"/>
      <c r="VQN17"/>
      <c r="VQO17"/>
      <c r="VQP17"/>
      <c r="VQQ17"/>
      <c r="VQR17"/>
      <c r="VQS17"/>
      <c r="VQT17"/>
      <c r="VQU17"/>
      <c r="VQV17"/>
      <c r="VQW17"/>
      <c r="VQX17"/>
      <c r="VQY17"/>
      <c r="VQZ17"/>
      <c r="VRA17"/>
      <c r="VRB17"/>
      <c r="VRC17"/>
      <c r="VRD17"/>
      <c r="VRE17"/>
      <c r="VRF17"/>
      <c r="VRG17"/>
      <c r="VRH17"/>
      <c r="VRI17"/>
      <c r="VRJ17"/>
      <c r="VRK17"/>
      <c r="VRL17"/>
      <c r="VRM17"/>
      <c r="VRN17"/>
      <c r="VRO17"/>
      <c r="VRP17"/>
      <c r="VRQ17"/>
      <c r="VRR17"/>
      <c r="VRS17"/>
      <c r="VRT17"/>
      <c r="VRU17"/>
      <c r="VRV17"/>
      <c r="VRW17"/>
      <c r="VRX17"/>
      <c r="VRY17"/>
      <c r="VRZ17"/>
      <c r="VSA17"/>
      <c r="VSB17"/>
      <c r="VSC17"/>
      <c r="VSD17"/>
      <c r="VSE17"/>
      <c r="VSF17"/>
      <c r="VSG17"/>
      <c r="VSH17"/>
      <c r="VSI17"/>
      <c r="VSJ17"/>
      <c r="VSK17"/>
      <c r="VSL17"/>
      <c r="VSM17"/>
      <c r="VSN17"/>
      <c r="VSO17"/>
      <c r="VSP17"/>
      <c r="VSQ17"/>
      <c r="VSR17"/>
      <c r="VSS17"/>
      <c r="VST17"/>
      <c r="VSU17"/>
      <c r="VSV17"/>
      <c r="VSW17"/>
      <c r="VSX17"/>
      <c r="VSY17"/>
      <c r="VSZ17"/>
      <c r="VTA17"/>
      <c r="VTB17"/>
      <c r="VTC17"/>
      <c r="VTD17"/>
      <c r="VTE17"/>
      <c r="VTF17"/>
      <c r="VTG17"/>
      <c r="VTH17"/>
      <c r="VTI17"/>
      <c r="VTJ17"/>
      <c r="VTK17"/>
      <c r="VTL17"/>
      <c r="VTM17"/>
      <c r="VTN17"/>
      <c r="VTO17"/>
      <c r="VTP17"/>
      <c r="VTQ17"/>
      <c r="VTR17"/>
      <c r="VTS17"/>
      <c r="VTT17"/>
      <c r="VTU17"/>
      <c r="VTV17"/>
      <c r="VTW17"/>
      <c r="VTX17"/>
      <c r="VTY17"/>
      <c r="VTZ17"/>
      <c r="VUA17"/>
      <c r="VUB17"/>
      <c r="VUC17"/>
      <c r="VUD17"/>
      <c r="VUE17"/>
      <c r="VUF17"/>
      <c r="VUG17"/>
      <c r="VUH17"/>
      <c r="VUI17"/>
      <c r="VUJ17"/>
      <c r="VUK17"/>
      <c r="VUL17"/>
      <c r="VUM17"/>
      <c r="VUN17"/>
      <c r="VUO17"/>
      <c r="VUP17"/>
      <c r="VUQ17"/>
      <c r="VUR17"/>
      <c r="VUS17"/>
      <c r="VUT17"/>
      <c r="VUU17"/>
      <c r="VUV17"/>
      <c r="VUW17"/>
      <c r="VUX17"/>
      <c r="VUY17"/>
      <c r="VUZ17"/>
      <c r="VVA17"/>
      <c r="VVB17"/>
      <c r="VVC17"/>
      <c r="VVD17"/>
      <c r="VVE17"/>
      <c r="VVF17"/>
      <c r="VVG17"/>
      <c r="VVH17"/>
      <c r="VVI17"/>
      <c r="VVJ17"/>
      <c r="VVK17"/>
      <c r="VVL17"/>
      <c r="VVM17"/>
      <c r="VVN17"/>
      <c r="VVO17"/>
      <c r="VVP17"/>
      <c r="VVQ17"/>
      <c r="VVR17"/>
      <c r="VVS17"/>
      <c r="VVT17"/>
      <c r="VVU17"/>
      <c r="VVV17"/>
      <c r="VVW17"/>
      <c r="VVX17"/>
      <c r="VVY17"/>
      <c r="VVZ17"/>
      <c r="VWA17"/>
      <c r="VWB17"/>
      <c r="VWC17"/>
      <c r="VWD17"/>
      <c r="VWE17"/>
      <c r="VWF17"/>
      <c r="VWG17"/>
      <c r="VWH17"/>
      <c r="VWI17"/>
      <c r="VWJ17"/>
      <c r="VWK17"/>
      <c r="VWL17"/>
      <c r="VWM17"/>
      <c r="VWN17"/>
      <c r="VWO17"/>
      <c r="VWP17"/>
      <c r="VWQ17"/>
      <c r="VWR17"/>
      <c r="VWS17"/>
      <c r="VWT17"/>
      <c r="VWU17"/>
      <c r="VWV17"/>
      <c r="VWW17"/>
      <c r="VWX17"/>
      <c r="VWY17"/>
      <c r="VWZ17"/>
      <c r="VXA17"/>
      <c r="VXB17"/>
      <c r="VXC17"/>
      <c r="VXD17"/>
      <c r="VXE17"/>
      <c r="VXF17"/>
      <c r="VXG17"/>
      <c r="VXH17"/>
      <c r="VXI17"/>
      <c r="VXJ17"/>
      <c r="VXK17"/>
      <c r="VXL17"/>
      <c r="VXM17"/>
      <c r="VXN17"/>
      <c r="VXO17"/>
      <c r="VXP17"/>
      <c r="VXQ17"/>
      <c r="VXR17"/>
      <c r="VXS17"/>
      <c r="VXT17"/>
      <c r="VXU17"/>
      <c r="VXV17"/>
      <c r="VXW17"/>
      <c r="VXX17"/>
      <c r="VXY17"/>
      <c r="VXZ17"/>
      <c r="VYA17"/>
      <c r="VYB17"/>
      <c r="VYC17"/>
      <c r="VYD17"/>
      <c r="VYE17"/>
      <c r="VYF17"/>
      <c r="VYG17"/>
      <c r="VYH17"/>
      <c r="VYI17"/>
      <c r="VYJ17"/>
      <c r="VYK17"/>
      <c r="VYL17"/>
      <c r="VYM17"/>
      <c r="VYN17"/>
      <c r="VYO17"/>
      <c r="VYP17"/>
      <c r="VYQ17"/>
      <c r="VYR17"/>
      <c r="VYS17"/>
      <c r="VYT17"/>
      <c r="VYU17"/>
      <c r="VYV17"/>
      <c r="VYW17"/>
      <c r="VYX17"/>
      <c r="VYY17"/>
      <c r="VYZ17"/>
      <c r="VZA17"/>
      <c r="VZB17"/>
      <c r="VZC17"/>
      <c r="VZD17"/>
      <c r="VZE17"/>
      <c r="VZF17"/>
      <c r="VZG17"/>
      <c r="VZH17"/>
      <c r="VZI17"/>
      <c r="VZJ17"/>
      <c r="VZK17"/>
      <c r="VZL17"/>
      <c r="VZM17"/>
      <c r="VZN17"/>
      <c r="VZO17"/>
      <c r="VZP17"/>
      <c r="VZQ17"/>
      <c r="VZR17"/>
      <c r="VZS17"/>
      <c r="VZT17"/>
      <c r="VZU17"/>
      <c r="VZV17"/>
      <c r="VZW17"/>
      <c r="VZX17"/>
      <c r="VZY17"/>
      <c r="VZZ17"/>
      <c r="WAA17"/>
      <c r="WAB17"/>
      <c r="WAC17"/>
      <c r="WAD17"/>
      <c r="WAE17"/>
      <c r="WAF17"/>
      <c r="WAG17"/>
      <c r="WAH17"/>
      <c r="WAI17"/>
      <c r="WAJ17"/>
      <c r="WAK17"/>
      <c r="WAL17"/>
      <c r="WAM17"/>
      <c r="WAN17"/>
      <c r="WAO17"/>
      <c r="WAP17"/>
      <c r="WAQ17"/>
      <c r="WAR17"/>
      <c r="WAS17"/>
      <c r="WAT17"/>
      <c r="WAU17"/>
      <c r="WAV17"/>
      <c r="WAW17"/>
      <c r="WAX17"/>
      <c r="WAY17"/>
      <c r="WAZ17"/>
      <c r="WBA17"/>
      <c r="WBB17"/>
      <c r="WBC17"/>
      <c r="WBD17"/>
      <c r="WBE17"/>
      <c r="WBF17"/>
      <c r="WBG17"/>
      <c r="WBH17"/>
      <c r="WBI17"/>
      <c r="WBJ17"/>
      <c r="WBK17"/>
      <c r="WBL17"/>
      <c r="WBM17"/>
      <c r="WBN17"/>
      <c r="WBO17"/>
      <c r="WBP17"/>
      <c r="WBQ17"/>
      <c r="WBR17"/>
      <c r="WBS17"/>
      <c r="WBT17"/>
      <c r="WBU17"/>
      <c r="WBV17"/>
      <c r="WBW17"/>
      <c r="WBX17"/>
      <c r="WBY17"/>
      <c r="WBZ17"/>
      <c r="WCA17"/>
      <c r="WCB17"/>
      <c r="WCC17"/>
      <c r="WCD17"/>
      <c r="WCE17"/>
      <c r="WCF17"/>
      <c r="WCG17"/>
      <c r="WCH17"/>
      <c r="WCI17"/>
      <c r="WCJ17"/>
      <c r="WCK17"/>
      <c r="WCL17"/>
      <c r="WCM17"/>
      <c r="WCN17"/>
      <c r="WCO17"/>
      <c r="WCP17"/>
      <c r="WCQ17"/>
      <c r="WCR17"/>
      <c r="WCS17"/>
      <c r="WCT17"/>
      <c r="WCU17"/>
      <c r="WCV17"/>
      <c r="WCW17"/>
      <c r="WCX17"/>
      <c r="WCY17"/>
      <c r="WCZ17"/>
      <c r="WDA17"/>
      <c r="WDB17"/>
      <c r="WDC17"/>
      <c r="WDD17"/>
      <c r="WDE17"/>
      <c r="WDF17"/>
      <c r="WDG17"/>
      <c r="WDH17"/>
      <c r="WDI17"/>
      <c r="WDJ17"/>
      <c r="WDK17"/>
      <c r="WDL17"/>
      <c r="WDM17"/>
      <c r="WDN17"/>
      <c r="WDO17"/>
      <c r="WDP17"/>
      <c r="WDQ17"/>
      <c r="WDR17"/>
      <c r="WDS17"/>
      <c r="WDT17"/>
      <c r="WDU17"/>
      <c r="WDV17"/>
      <c r="WDW17"/>
      <c r="WDX17"/>
      <c r="WDY17"/>
      <c r="WDZ17"/>
      <c r="WEA17"/>
      <c r="WEB17"/>
      <c r="WEC17"/>
      <c r="WED17"/>
      <c r="WEE17"/>
      <c r="WEF17"/>
      <c r="WEG17"/>
      <c r="WEH17"/>
      <c r="WEI17"/>
      <c r="WEJ17"/>
      <c r="WEK17"/>
      <c r="WEL17"/>
      <c r="WEM17"/>
      <c r="WEN17"/>
      <c r="WEO17"/>
      <c r="WEP17"/>
      <c r="WEQ17"/>
      <c r="WER17"/>
      <c r="WES17"/>
      <c r="WET17"/>
      <c r="WEU17"/>
      <c r="WEV17"/>
      <c r="WEW17"/>
      <c r="WEX17"/>
      <c r="WEY17"/>
      <c r="WEZ17"/>
      <c r="WFA17"/>
      <c r="WFB17"/>
      <c r="WFC17"/>
      <c r="WFD17"/>
      <c r="WFE17"/>
      <c r="WFF17"/>
      <c r="WFG17"/>
      <c r="WFH17"/>
      <c r="WFI17"/>
      <c r="WFJ17"/>
      <c r="WFK17"/>
      <c r="WFL17"/>
      <c r="WFM17"/>
      <c r="WFN17"/>
      <c r="WFO17"/>
      <c r="WFP17"/>
      <c r="WFQ17"/>
      <c r="WFR17"/>
      <c r="WFS17"/>
      <c r="WFT17"/>
      <c r="WFU17"/>
      <c r="WFV17"/>
      <c r="WFW17"/>
      <c r="WFX17"/>
      <c r="WFY17"/>
      <c r="WFZ17"/>
      <c r="WGA17"/>
      <c r="WGB17"/>
      <c r="WGC17"/>
      <c r="WGD17"/>
      <c r="WGE17"/>
      <c r="WGF17"/>
      <c r="WGG17"/>
      <c r="WGH17"/>
      <c r="WGI17"/>
      <c r="WGJ17"/>
      <c r="WGK17"/>
      <c r="WGL17"/>
      <c r="WGM17"/>
      <c r="WGN17"/>
      <c r="WGO17"/>
      <c r="WGP17"/>
      <c r="WGQ17"/>
      <c r="WGR17"/>
      <c r="WGS17"/>
      <c r="WGT17"/>
      <c r="WGU17"/>
      <c r="WGV17"/>
      <c r="WGW17"/>
      <c r="WGX17"/>
      <c r="WGY17"/>
      <c r="WGZ17"/>
      <c r="WHA17"/>
      <c r="WHB17"/>
      <c r="WHC17"/>
      <c r="WHD17"/>
      <c r="WHE17"/>
      <c r="WHF17"/>
      <c r="WHG17"/>
      <c r="WHH17"/>
      <c r="WHI17"/>
      <c r="WHJ17"/>
      <c r="WHK17"/>
      <c r="WHL17"/>
      <c r="WHM17"/>
      <c r="WHN17"/>
      <c r="WHO17"/>
      <c r="WHP17"/>
      <c r="WHQ17"/>
      <c r="WHR17"/>
      <c r="WHS17"/>
      <c r="WHT17"/>
      <c r="WHU17"/>
      <c r="WHV17"/>
      <c r="WHW17"/>
      <c r="WHX17"/>
      <c r="WHY17"/>
      <c r="WHZ17"/>
      <c r="WIA17"/>
      <c r="WIB17"/>
      <c r="WIC17"/>
      <c r="WID17"/>
      <c r="WIE17"/>
      <c r="WIF17"/>
      <c r="WIG17"/>
      <c r="WIH17"/>
      <c r="WII17"/>
      <c r="WIJ17"/>
      <c r="WIK17"/>
      <c r="WIL17"/>
      <c r="WIM17"/>
      <c r="WIN17"/>
      <c r="WIO17"/>
      <c r="WIP17"/>
      <c r="WIQ17"/>
      <c r="WIR17"/>
      <c r="WIS17"/>
      <c r="WIT17"/>
      <c r="WIU17"/>
      <c r="WIV17"/>
      <c r="WIW17"/>
      <c r="WIX17"/>
      <c r="WIY17"/>
      <c r="WIZ17"/>
      <c r="WJA17"/>
      <c r="WJB17"/>
      <c r="WJC17"/>
      <c r="WJD17"/>
      <c r="WJE17"/>
      <c r="WJF17"/>
      <c r="WJG17"/>
      <c r="WJH17"/>
      <c r="WJI17"/>
      <c r="WJJ17"/>
      <c r="WJK17"/>
      <c r="WJL17"/>
      <c r="WJM17"/>
      <c r="WJN17"/>
      <c r="WJO17"/>
      <c r="WJP17"/>
      <c r="WJQ17"/>
      <c r="WJR17"/>
      <c r="WJS17"/>
      <c r="WJT17"/>
      <c r="WJU17"/>
      <c r="WJV17"/>
      <c r="WJW17"/>
      <c r="WJX17"/>
      <c r="WJY17"/>
      <c r="WJZ17"/>
      <c r="WKA17"/>
      <c r="WKB17"/>
      <c r="WKC17"/>
      <c r="WKD17"/>
      <c r="WKE17"/>
      <c r="WKF17"/>
      <c r="WKG17"/>
      <c r="WKH17"/>
      <c r="WKI17"/>
      <c r="WKJ17"/>
      <c r="WKK17"/>
      <c r="WKL17"/>
      <c r="WKM17"/>
      <c r="WKN17"/>
      <c r="WKO17"/>
      <c r="WKP17"/>
      <c r="WKQ17"/>
      <c r="WKR17"/>
      <c r="WKS17"/>
      <c r="WKT17"/>
      <c r="WKU17"/>
      <c r="WKV17"/>
      <c r="WKW17"/>
      <c r="WKX17"/>
      <c r="WKY17"/>
      <c r="WKZ17"/>
      <c r="WLA17"/>
      <c r="WLB17"/>
      <c r="WLC17"/>
      <c r="WLD17"/>
      <c r="WLE17"/>
      <c r="WLF17"/>
      <c r="WLG17"/>
      <c r="WLH17"/>
      <c r="WLI17"/>
      <c r="WLJ17"/>
      <c r="WLK17"/>
      <c r="WLL17"/>
      <c r="WLM17"/>
      <c r="WLN17"/>
      <c r="WLO17"/>
      <c r="WLP17"/>
      <c r="WLQ17"/>
      <c r="WLR17"/>
      <c r="WLS17"/>
      <c r="WLT17"/>
      <c r="WLU17"/>
      <c r="WLV17"/>
      <c r="WLW17"/>
      <c r="WLX17"/>
      <c r="WLY17"/>
      <c r="WLZ17"/>
      <c r="WMA17"/>
      <c r="WMB17"/>
      <c r="WMC17"/>
      <c r="WMD17"/>
      <c r="WME17"/>
      <c r="WMF17"/>
      <c r="WMG17"/>
      <c r="WMH17"/>
      <c r="WMI17"/>
      <c r="WMJ17"/>
      <c r="WMK17"/>
      <c r="WML17"/>
      <c r="WMM17"/>
      <c r="WMN17"/>
      <c r="WMO17"/>
      <c r="WMP17"/>
      <c r="WMQ17"/>
      <c r="WMR17"/>
      <c r="WMS17"/>
      <c r="WMT17"/>
      <c r="WMU17"/>
      <c r="WMV17"/>
      <c r="WMW17"/>
      <c r="WMX17"/>
      <c r="WMY17"/>
      <c r="WMZ17"/>
      <c r="WNA17"/>
      <c r="WNB17"/>
      <c r="WNC17"/>
      <c r="WND17"/>
      <c r="WNE17"/>
      <c r="WNF17"/>
      <c r="WNG17"/>
      <c r="WNH17"/>
      <c r="WNI17"/>
      <c r="WNJ17"/>
      <c r="WNK17"/>
      <c r="WNL17"/>
      <c r="WNM17"/>
      <c r="WNN17"/>
      <c r="WNO17"/>
      <c r="WNP17"/>
      <c r="WNQ17"/>
      <c r="WNR17"/>
      <c r="WNS17"/>
      <c r="WNT17"/>
      <c r="WNU17"/>
      <c r="WNV17"/>
      <c r="WNW17"/>
      <c r="WNX17"/>
      <c r="WNY17"/>
      <c r="WNZ17"/>
      <c r="WOA17"/>
      <c r="WOB17"/>
      <c r="WOC17"/>
      <c r="WOD17"/>
      <c r="WOE17"/>
      <c r="WOF17"/>
      <c r="WOG17"/>
      <c r="WOH17"/>
      <c r="WOI17"/>
      <c r="WOJ17"/>
      <c r="WOK17"/>
      <c r="WOL17"/>
      <c r="WOM17"/>
      <c r="WON17"/>
      <c r="WOO17"/>
      <c r="WOP17"/>
      <c r="WOQ17"/>
      <c r="WOR17"/>
      <c r="WOS17"/>
      <c r="WOT17"/>
      <c r="WOU17"/>
      <c r="WOV17"/>
      <c r="WOW17"/>
      <c r="WOX17"/>
      <c r="WOY17"/>
      <c r="WOZ17"/>
      <c r="WPA17"/>
      <c r="WPB17"/>
      <c r="WPC17"/>
      <c r="WPD17"/>
      <c r="WPE17"/>
      <c r="WPF17"/>
      <c r="WPG17"/>
      <c r="WPH17"/>
      <c r="WPI17"/>
      <c r="WPJ17"/>
      <c r="WPK17"/>
      <c r="WPL17"/>
      <c r="WPM17"/>
      <c r="WPN17"/>
      <c r="WPO17"/>
      <c r="WPP17"/>
      <c r="WPQ17"/>
      <c r="WPR17"/>
      <c r="WPS17"/>
      <c r="WPT17"/>
      <c r="WPU17"/>
      <c r="WPV17"/>
      <c r="WPW17"/>
      <c r="WPX17"/>
      <c r="WPY17"/>
      <c r="WPZ17"/>
      <c r="WQA17"/>
      <c r="WQB17"/>
      <c r="WQC17"/>
      <c r="WQD17"/>
      <c r="WQE17"/>
      <c r="WQF17"/>
      <c r="WQG17"/>
      <c r="WQH17"/>
      <c r="WQI17"/>
      <c r="WQJ17"/>
      <c r="WQK17"/>
      <c r="WQL17"/>
      <c r="WQM17"/>
      <c r="WQN17"/>
      <c r="WQO17"/>
      <c r="WQP17"/>
      <c r="WQQ17"/>
      <c r="WQR17"/>
      <c r="WQS17"/>
      <c r="WQT17"/>
      <c r="WQU17"/>
      <c r="WQV17"/>
      <c r="WQW17"/>
      <c r="WQX17"/>
      <c r="WQY17"/>
      <c r="WQZ17"/>
      <c r="WRA17"/>
      <c r="WRB17"/>
      <c r="WRC17"/>
      <c r="WRD17"/>
      <c r="WRE17"/>
      <c r="WRF17"/>
      <c r="WRG17"/>
      <c r="WRH17"/>
      <c r="WRI17"/>
      <c r="WRJ17"/>
      <c r="WRK17"/>
      <c r="WRL17"/>
      <c r="WRM17"/>
      <c r="WRN17"/>
      <c r="WRO17"/>
      <c r="WRP17"/>
      <c r="WRQ17"/>
      <c r="WRR17"/>
      <c r="WRS17"/>
      <c r="WRT17"/>
      <c r="WRU17"/>
      <c r="WRV17"/>
      <c r="WRW17"/>
      <c r="WRX17"/>
      <c r="WRY17"/>
      <c r="WRZ17"/>
      <c r="WSA17"/>
      <c r="WSB17"/>
      <c r="WSC17"/>
      <c r="WSD17"/>
      <c r="WSE17"/>
      <c r="WSF17"/>
      <c r="WSG17"/>
      <c r="WSH17"/>
      <c r="WSI17"/>
      <c r="WSJ17"/>
      <c r="WSK17"/>
      <c r="WSL17"/>
      <c r="WSM17"/>
      <c r="WSN17"/>
      <c r="WSO17"/>
      <c r="WSP17"/>
      <c r="WSQ17"/>
      <c r="WSR17"/>
      <c r="WSS17"/>
      <c r="WST17"/>
      <c r="WSU17"/>
      <c r="WSV17"/>
      <c r="WSW17"/>
      <c r="WSX17"/>
      <c r="WSY17"/>
      <c r="WSZ17"/>
      <c r="WTA17"/>
      <c r="WTB17"/>
      <c r="WTC17"/>
      <c r="WTD17"/>
      <c r="WTE17"/>
      <c r="WTF17"/>
      <c r="WTG17"/>
      <c r="WTH17"/>
      <c r="WTI17"/>
      <c r="WTJ17"/>
      <c r="WTK17"/>
      <c r="WTL17"/>
      <c r="WTM17"/>
      <c r="WTN17"/>
      <c r="WTO17"/>
      <c r="WTP17"/>
      <c r="WTQ17"/>
      <c r="WTR17"/>
      <c r="WTS17"/>
      <c r="WTT17"/>
      <c r="WTU17"/>
      <c r="WTV17"/>
      <c r="WTW17"/>
      <c r="WTX17"/>
      <c r="WTY17"/>
      <c r="WTZ17"/>
      <c r="WUA17"/>
      <c r="WUB17"/>
      <c r="WUC17"/>
      <c r="WUD17"/>
      <c r="WUE17"/>
      <c r="WUF17"/>
      <c r="WUG17"/>
      <c r="WUH17"/>
      <c r="WUI17"/>
      <c r="WUJ17"/>
      <c r="WUK17"/>
      <c r="WUL17"/>
      <c r="WUM17"/>
      <c r="WUN17"/>
      <c r="WUO17"/>
      <c r="WUP17"/>
      <c r="WUQ17"/>
      <c r="WUR17"/>
      <c r="WUS17"/>
      <c r="WUT17"/>
      <c r="WUU17"/>
      <c r="WUV17"/>
      <c r="WUW17"/>
      <c r="WUX17"/>
      <c r="WUY17"/>
      <c r="WUZ17"/>
      <c r="WVA17"/>
      <c r="WVB17"/>
      <c r="WVC17"/>
      <c r="WVD17"/>
      <c r="WVE17"/>
      <c r="WVF17"/>
      <c r="WVG17"/>
      <c r="WVH17"/>
      <c r="WVI17"/>
      <c r="WVJ17"/>
      <c r="WVK17"/>
      <c r="WVL17"/>
      <c r="WVM17"/>
      <c r="WVN17"/>
      <c r="WVO17"/>
      <c r="WVP17"/>
      <c r="WVQ17"/>
      <c r="WVR17"/>
      <c r="WVS17"/>
      <c r="WVT17"/>
      <c r="WVU17"/>
      <c r="WVV17"/>
      <c r="WVW17"/>
      <c r="WVX17"/>
      <c r="WVY17"/>
      <c r="WVZ17"/>
      <c r="WWA17"/>
      <c r="WWB17"/>
      <c r="WWC17"/>
      <c r="WWD17"/>
      <c r="WWE17"/>
      <c r="WWF17"/>
      <c r="WWG17"/>
      <c r="WWH17"/>
      <c r="WWI17"/>
      <c r="WWJ17"/>
      <c r="WWK17"/>
      <c r="WWL17"/>
      <c r="WWM17"/>
      <c r="WWN17"/>
      <c r="WWO17"/>
      <c r="WWP17"/>
      <c r="WWQ17"/>
      <c r="WWR17"/>
      <c r="WWS17"/>
      <c r="WWT17"/>
      <c r="WWU17"/>
      <c r="WWV17"/>
      <c r="WWW17"/>
      <c r="WWX17"/>
      <c r="WWY17"/>
      <c r="WWZ17"/>
      <c r="WXA17"/>
      <c r="WXB17"/>
      <c r="WXC17"/>
      <c r="WXD17"/>
      <c r="WXE17"/>
      <c r="WXF17"/>
      <c r="WXG17"/>
      <c r="WXH17"/>
      <c r="WXI17"/>
      <c r="WXJ17"/>
      <c r="WXK17"/>
      <c r="WXL17"/>
      <c r="WXM17"/>
      <c r="WXN17"/>
      <c r="WXO17"/>
      <c r="WXP17"/>
      <c r="WXQ17"/>
      <c r="WXR17"/>
      <c r="WXS17"/>
      <c r="WXT17"/>
      <c r="WXU17"/>
      <c r="WXV17"/>
      <c r="WXW17"/>
      <c r="WXX17"/>
      <c r="WXY17"/>
      <c r="WXZ17"/>
      <c r="WYA17"/>
      <c r="WYB17"/>
      <c r="WYC17"/>
      <c r="WYD17"/>
      <c r="WYE17"/>
      <c r="WYF17"/>
      <c r="WYG17"/>
      <c r="WYH17"/>
      <c r="WYI17"/>
      <c r="WYJ17"/>
      <c r="WYK17"/>
      <c r="WYL17"/>
      <c r="WYM17"/>
      <c r="WYN17"/>
      <c r="WYO17"/>
      <c r="WYP17"/>
      <c r="WYQ17"/>
      <c r="WYR17"/>
      <c r="WYS17"/>
      <c r="WYT17"/>
      <c r="WYU17"/>
      <c r="WYV17"/>
      <c r="WYW17"/>
      <c r="WYX17"/>
      <c r="WYY17"/>
      <c r="WYZ17"/>
      <c r="WZA17"/>
      <c r="WZB17"/>
      <c r="WZC17"/>
      <c r="WZD17"/>
      <c r="WZE17"/>
      <c r="WZF17"/>
      <c r="WZG17"/>
      <c r="WZH17"/>
      <c r="WZI17"/>
      <c r="WZJ17"/>
      <c r="WZK17"/>
      <c r="WZL17"/>
      <c r="WZM17"/>
      <c r="WZN17"/>
      <c r="WZO17"/>
      <c r="WZP17"/>
      <c r="WZQ17"/>
      <c r="WZR17"/>
      <c r="WZS17"/>
      <c r="WZT17"/>
      <c r="WZU17"/>
      <c r="WZV17"/>
      <c r="WZW17"/>
      <c r="WZX17"/>
      <c r="WZY17"/>
      <c r="WZZ17"/>
      <c r="XAA17"/>
      <c r="XAB17"/>
      <c r="XAC17"/>
      <c r="XAD17"/>
      <c r="XAE17"/>
      <c r="XAF17"/>
      <c r="XAG17"/>
      <c r="XAH17"/>
      <c r="XAI17"/>
      <c r="XAJ17"/>
      <c r="XAK17"/>
      <c r="XAL17"/>
      <c r="XAM17"/>
      <c r="XAN17"/>
      <c r="XAO17"/>
      <c r="XAP17"/>
      <c r="XAQ17"/>
      <c r="XAR17"/>
      <c r="XAS17"/>
      <c r="XAT17"/>
      <c r="XAU17"/>
      <c r="XAV17"/>
      <c r="XAW17"/>
      <c r="XAX17"/>
      <c r="XAY17"/>
      <c r="XAZ17"/>
      <c r="XBA17"/>
      <c r="XBB17"/>
      <c r="XBC17"/>
      <c r="XBD17"/>
      <c r="XBE17"/>
      <c r="XBF17"/>
      <c r="XBG17"/>
      <c r="XBH17"/>
      <c r="XBI17"/>
      <c r="XBJ17"/>
      <c r="XBK17"/>
      <c r="XBL17"/>
      <c r="XBM17"/>
      <c r="XBN17"/>
      <c r="XBO17"/>
      <c r="XBP17"/>
      <c r="XBQ17"/>
      <c r="XBR17"/>
      <c r="XBS17"/>
      <c r="XBT17"/>
      <c r="XBU17"/>
      <c r="XBV17"/>
      <c r="XBW17"/>
      <c r="XBX17"/>
      <c r="XBY17"/>
      <c r="XBZ17"/>
      <c r="XCA17"/>
      <c r="XCB17"/>
      <c r="XCC17"/>
      <c r="XCD17"/>
      <c r="XCE17"/>
      <c r="XCF17"/>
      <c r="XCG17"/>
      <c r="XCH17"/>
      <c r="XCI17"/>
      <c r="XCJ17"/>
      <c r="XCK17"/>
      <c r="XCL17"/>
      <c r="XCM17"/>
      <c r="XCN17"/>
      <c r="XCO17"/>
      <c r="XCP17"/>
      <c r="XCQ17"/>
      <c r="XCR17"/>
      <c r="XCS17"/>
      <c r="XCT17"/>
      <c r="XCU17"/>
      <c r="XCV17"/>
      <c r="XCW17"/>
      <c r="XCX17"/>
      <c r="XCY17"/>
      <c r="XCZ17"/>
      <c r="XDA17"/>
      <c r="XDB17"/>
      <c r="XDC17"/>
      <c r="XDD17"/>
      <c r="XDE17"/>
      <c r="XDF17"/>
      <c r="XDG17"/>
      <c r="XDH17"/>
      <c r="XDI17"/>
      <c r="XDJ17"/>
      <c r="XDK17"/>
      <c r="XDL17"/>
      <c r="XDM17"/>
      <c r="XDN17"/>
      <c r="XDO17"/>
      <c r="XDP17"/>
      <c r="XDQ17"/>
      <c r="XDR17"/>
      <c r="XDS17"/>
      <c r="XDT17"/>
      <c r="XDU17"/>
      <c r="XDV17"/>
      <c r="XDW17"/>
      <c r="XDX17"/>
      <c r="XDY17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pans="1:342 14982:16384">
      <c r="A18" s="65"/>
      <c r="B18" s="66"/>
      <c r="C18" s="66"/>
      <c r="D18" s="66"/>
      <c r="E18" s="66"/>
      <c r="F18" s="66"/>
      <c r="G18" s="66"/>
      <c r="H18" s="66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8"/>
    </row>
    <row r="19" spans="1:342 14982:16384" s="69" customFormat="1">
      <c r="A19" s="84" t="s">
        <v>29</v>
      </c>
      <c r="B19" s="85">
        <f>SUM(B11:B15)</f>
        <v>92883.309999999983</v>
      </c>
      <c r="C19" s="85">
        <f t="shared" ref="C19:AG19" si="25">SUM(C11:C15)</f>
        <v>92883.309999999983</v>
      </c>
      <c r="D19" s="85">
        <f t="shared" si="25"/>
        <v>92968.779999999984</v>
      </c>
      <c r="E19" s="85">
        <f t="shared" si="25"/>
        <v>93148.319999999992</v>
      </c>
      <c r="F19" s="85">
        <f t="shared" si="25"/>
        <v>92932.719999999987</v>
      </c>
      <c r="G19" s="85">
        <f t="shared" si="25"/>
        <v>93171.689999999988</v>
      </c>
      <c r="H19" s="85">
        <f t="shared" si="25"/>
        <v>92903.659999999989</v>
      </c>
      <c r="I19" s="85">
        <f t="shared" si="25"/>
        <v>92903.659999999989</v>
      </c>
      <c r="J19" s="85">
        <f t="shared" si="25"/>
        <v>92903.659999999989</v>
      </c>
      <c r="K19" s="85">
        <f t="shared" si="25"/>
        <v>92896.029999999984</v>
      </c>
      <c r="L19" s="85">
        <f t="shared" si="25"/>
        <v>94026.9</v>
      </c>
      <c r="M19" s="85">
        <f t="shared" si="25"/>
        <v>94010.069999999992</v>
      </c>
      <c r="N19" s="85">
        <f t="shared" si="25"/>
        <v>94023.709999999992</v>
      </c>
      <c r="O19" s="85">
        <f t="shared" si="25"/>
        <v>93350.049999999988</v>
      </c>
      <c r="P19" s="85">
        <f t="shared" si="25"/>
        <v>93350.049999999988</v>
      </c>
      <c r="Q19" s="85">
        <f t="shared" si="25"/>
        <v>94051.799999999988</v>
      </c>
      <c r="R19" s="85">
        <f t="shared" si="25"/>
        <v>94169.87999999999</v>
      </c>
      <c r="S19" s="85">
        <f t="shared" si="25"/>
        <v>94224.51</v>
      </c>
      <c r="T19" s="85">
        <f t="shared" si="25"/>
        <v>94111.069999999978</v>
      </c>
      <c r="U19" s="85">
        <f t="shared" si="25"/>
        <v>94108.79</v>
      </c>
      <c r="V19" s="85">
        <f t="shared" si="25"/>
        <v>94099.849999999991</v>
      </c>
      <c r="W19" s="85">
        <f t="shared" si="25"/>
        <v>94099.849999999991</v>
      </c>
      <c r="X19" s="85">
        <f t="shared" si="25"/>
        <v>94099.849999999991</v>
      </c>
      <c r="Y19" s="85">
        <f t="shared" si="25"/>
        <v>93874.459999999977</v>
      </c>
      <c r="Z19" s="85">
        <f t="shared" si="25"/>
        <v>81169.399999999994</v>
      </c>
      <c r="AA19" s="85">
        <f t="shared" si="25"/>
        <v>81169.399999999994</v>
      </c>
      <c r="AB19" s="85">
        <f t="shared" si="25"/>
        <v>81169.399999999994</v>
      </c>
      <c r="AC19" s="85">
        <f t="shared" si="25"/>
        <v>81169.399999999994</v>
      </c>
      <c r="AD19" s="85">
        <f t="shared" si="25"/>
        <v>81169.399999999994</v>
      </c>
      <c r="AE19" s="85">
        <f t="shared" si="25"/>
        <v>81169.399999999994</v>
      </c>
      <c r="AF19" s="85">
        <f t="shared" si="25"/>
        <v>81169.399999999994</v>
      </c>
      <c r="AG19" s="85">
        <f t="shared" si="25"/>
        <v>81169.399999999994</v>
      </c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VDF19"/>
      <c r="VDG19"/>
      <c r="VDH19"/>
      <c r="VDI19"/>
      <c r="VDJ19"/>
      <c r="VDK19"/>
      <c r="VDL19"/>
      <c r="VDM19"/>
      <c r="VDN19"/>
      <c r="VDO19"/>
      <c r="VDP19"/>
      <c r="VDQ19"/>
      <c r="VDR19"/>
      <c r="VDS19"/>
      <c r="VDT19"/>
      <c r="VDU19"/>
      <c r="VDV19"/>
      <c r="VDW19"/>
      <c r="VDX19"/>
      <c r="VDY19"/>
      <c r="VDZ19"/>
      <c r="VEA19"/>
      <c r="VEB19"/>
      <c r="VEC19"/>
      <c r="VED19"/>
      <c r="VEE19"/>
      <c r="VEF19"/>
      <c r="VEG19"/>
      <c r="VEH19"/>
      <c r="VEI19"/>
      <c r="VEJ19"/>
      <c r="VEK19"/>
      <c r="VEL19"/>
      <c r="VEM19"/>
      <c r="VEN19"/>
      <c r="VEO19"/>
      <c r="VEP19"/>
      <c r="VEQ19"/>
      <c r="VER19"/>
      <c r="VES19"/>
      <c r="VET19"/>
      <c r="VEU19"/>
      <c r="VEV19"/>
      <c r="VEW19"/>
      <c r="VEX19"/>
      <c r="VEY19"/>
      <c r="VEZ19"/>
      <c r="VFA19"/>
      <c r="VFB19"/>
      <c r="VFC19"/>
      <c r="VFD19"/>
      <c r="VFE19"/>
      <c r="VFF19"/>
      <c r="VFG19"/>
      <c r="VFH19"/>
      <c r="VFI19"/>
      <c r="VFJ19"/>
      <c r="VFK19"/>
      <c r="VFL19"/>
      <c r="VFM19"/>
      <c r="VFN19"/>
      <c r="VFO19"/>
      <c r="VFP19"/>
      <c r="VFQ19"/>
      <c r="VFR19"/>
      <c r="VFS19"/>
      <c r="VFT19"/>
      <c r="VFU19"/>
      <c r="VFV19"/>
      <c r="VFW19"/>
      <c r="VFX19"/>
      <c r="VFY19"/>
      <c r="VFZ19"/>
      <c r="VGA19"/>
      <c r="VGB19"/>
      <c r="VGC19"/>
      <c r="VGD19"/>
      <c r="VGE19"/>
      <c r="VGF19"/>
      <c r="VGG19"/>
      <c r="VGH19"/>
      <c r="VGI19"/>
      <c r="VGJ19"/>
      <c r="VGK19"/>
      <c r="VGL19"/>
      <c r="VGM19"/>
      <c r="VGN19"/>
      <c r="VGO19"/>
      <c r="VGP19"/>
      <c r="VGQ19"/>
      <c r="VGR19"/>
      <c r="VGS19"/>
      <c r="VGT19"/>
      <c r="VGU19"/>
      <c r="VGV19"/>
      <c r="VGW19"/>
      <c r="VGX19"/>
      <c r="VGY19"/>
      <c r="VGZ19"/>
      <c r="VHA19"/>
      <c r="VHB19"/>
      <c r="VHC19"/>
      <c r="VHD19"/>
      <c r="VHE19"/>
      <c r="VHF19"/>
      <c r="VHG19"/>
      <c r="VHH19"/>
      <c r="VHI19"/>
      <c r="VHJ19"/>
      <c r="VHK19"/>
      <c r="VHL19"/>
      <c r="VHM19"/>
      <c r="VHN19"/>
      <c r="VHO19"/>
      <c r="VHP19"/>
      <c r="VHQ19"/>
      <c r="VHR19"/>
      <c r="VHS19"/>
      <c r="VHT19"/>
      <c r="VHU19"/>
      <c r="VHV19"/>
      <c r="VHW19"/>
      <c r="VHX19"/>
      <c r="VHY19"/>
      <c r="VHZ19"/>
      <c r="VIA19"/>
      <c r="VIB19"/>
      <c r="VIC19"/>
      <c r="VID19"/>
      <c r="VIE19"/>
      <c r="VIF19"/>
      <c r="VIG19"/>
      <c r="VIH19"/>
      <c r="VII19"/>
      <c r="VIJ19"/>
      <c r="VIK19"/>
      <c r="VIL19"/>
      <c r="VIM19"/>
      <c r="VIN19"/>
      <c r="VIO19"/>
      <c r="VIP19"/>
      <c r="VIQ19"/>
      <c r="VIR19"/>
      <c r="VIS19"/>
      <c r="VIT19"/>
      <c r="VIU19"/>
      <c r="VIV19"/>
      <c r="VIW19"/>
      <c r="VIX19"/>
      <c r="VIY19"/>
      <c r="VIZ19"/>
      <c r="VJA19"/>
      <c r="VJB19"/>
      <c r="VJC19"/>
      <c r="VJD19"/>
      <c r="VJE19"/>
      <c r="VJF19"/>
      <c r="VJG19"/>
      <c r="VJH19"/>
      <c r="VJI19"/>
      <c r="VJJ19"/>
      <c r="VJK19"/>
      <c r="VJL19"/>
      <c r="VJM19"/>
      <c r="VJN19"/>
      <c r="VJO19"/>
      <c r="VJP19"/>
      <c r="VJQ19"/>
      <c r="VJR19"/>
      <c r="VJS19"/>
      <c r="VJT19"/>
      <c r="VJU19"/>
      <c r="VJV19"/>
      <c r="VJW19"/>
      <c r="VJX19"/>
      <c r="VJY19"/>
      <c r="VJZ19"/>
      <c r="VKA19"/>
      <c r="VKB19"/>
      <c r="VKC19"/>
      <c r="VKD19"/>
      <c r="VKE19"/>
      <c r="VKF19"/>
      <c r="VKG19"/>
      <c r="VKH19"/>
      <c r="VKI19"/>
      <c r="VKJ19"/>
      <c r="VKK19"/>
      <c r="VKL19"/>
      <c r="VKM19"/>
      <c r="VKN19"/>
      <c r="VKO19"/>
      <c r="VKP19"/>
      <c r="VKQ19"/>
      <c r="VKR19"/>
      <c r="VKS19"/>
      <c r="VKT19"/>
      <c r="VKU19"/>
      <c r="VKV19"/>
      <c r="VKW19"/>
      <c r="VKX19"/>
      <c r="VKY19"/>
      <c r="VKZ19"/>
      <c r="VLA19"/>
      <c r="VLB19"/>
      <c r="VLC19"/>
      <c r="VLD19"/>
      <c r="VLE19"/>
      <c r="VLF19"/>
      <c r="VLG19"/>
      <c r="VLH19"/>
      <c r="VLI19"/>
      <c r="VLJ19"/>
      <c r="VLK19"/>
      <c r="VLL19"/>
      <c r="VLM19"/>
      <c r="VLN19"/>
      <c r="VLO19"/>
      <c r="VLP19"/>
      <c r="VLQ19"/>
      <c r="VLR19"/>
      <c r="VLS19"/>
      <c r="VLT19"/>
      <c r="VLU19"/>
      <c r="VLV19"/>
      <c r="VLW19"/>
      <c r="VLX19"/>
      <c r="VLY19"/>
      <c r="VLZ19"/>
      <c r="VMA19"/>
      <c r="VMB19"/>
      <c r="VMC19"/>
      <c r="VMD19"/>
      <c r="VME19"/>
      <c r="VMF19"/>
      <c r="VMG19"/>
      <c r="VMH19"/>
      <c r="VMI19"/>
      <c r="VMJ19"/>
      <c r="VMK19"/>
      <c r="VML19"/>
      <c r="VMM19"/>
      <c r="VMN19"/>
      <c r="VMO19"/>
      <c r="VMP19"/>
      <c r="VMQ19"/>
      <c r="VMR19"/>
      <c r="VMS19"/>
      <c r="VMT19"/>
      <c r="VMU19"/>
      <c r="VMV19"/>
      <c r="VMW19"/>
      <c r="VMX19"/>
      <c r="VMY19"/>
      <c r="VMZ19"/>
      <c r="VNA19"/>
      <c r="VNB19"/>
      <c r="VNC19"/>
      <c r="VND19"/>
      <c r="VNE19"/>
      <c r="VNF19"/>
      <c r="VNG19"/>
      <c r="VNH19"/>
      <c r="VNI19"/>
      <c r="VNJ19"/>
      <c r="VNK19"/>
      <c r="VNL19"/>
      <c r="VNM19"/>
      <c r="VNN19"/>
      <c r="VNO19"/>
      <c r="VNP19"/>
      <c r="VNQ19"/>
      <c r="VNR19"/>
      <c r="VNS19"/>
      <c r="VNT19"/>
      <c r="VNU19"/>
      <c r="VNV19"/>
      <c r="VNW19"/>
      <c r="VNX19"/>
      <c r="VNY19"/>
      <c r="VNZ19"/>
      <c r="VOA19"/>
      <c r="VOB19"/>
      <c r="VOC19"/>
      <c r="VOD19"/>
      <c r="VOE19"/>
      <c r="VOF19"/>
      <c r="VOG19"/>
      <c r="VOH19"/>
      <c r="VOI19"/>
      <c r="VOJ19"/>
      <c r="VOK19"/>
      <c r="VOL19"/>
      <c r="VOM19"/>
      <c r="VON19"/>
      <c r="VOO19"/>
      <c r="VOP19"/>
      <c r="VOQ19"/>
      <c r="VOR19"/>
      <c r="VOS19"/>
      <c r="VOT19"/>
      <c r="VOU19"/>
      <c r="VOV19"/>
      <c r="VOW19"/>
      <c r="VOX19"/>
      <c r="VOY19"/>
      <c r="VOZ19"/>
      <c r="VPA19"/>
      <c r="VPB19"/>
      <c r="VPC19"/>
      <c r="VPD19"/>
      <c r="VPE19"/>
      <c r="VPF19"/>
      <c r="VPG19"/>
      <c r="VPH19"/>
      <c r="VPI19"/>
      <c r="VPJ19"/>
      <c r="VPK19"/>
      <c r="VPL19"/>
      <c r="VPM19"/>
      <c r="VPN19"/>
      <c r="VPO19"/>
      <c r="VPP19"/>
      <c r="VPQ19"/>
      <c r="VPR19"/>
      <c r="VPS19"/>
      <c r="VPT19"/>
      <c r="VPU19"/>
      <c r="VPV19"/>
      <c r="VPW19"/>
      <c r="VPX19"/>
      <c r="VPY19"/>
      <c r="VPZ19"/>
      <c r="VQA19"/>
      <c r="VQB19"/>
      <c r="VQC19"/>
      <c r="VQD19"/>
      <c r="VQE19"/>
      <c r="VQF19"/>
      <c r="VQG19"/>
      <c r="VQH19"/>
      <c r="VQI19"/>
      <c r="VQJ19"/>
      <c r="VQK19"/>
      <c r="VQL19"/>
      <c r="VQM19"/>
      <c r="VQN19"/>
      <c r="VQO19"/>
      <c r="VQP19"/>
      <c r="VQQ19"/>
      <c r="VQR19"/>
      <c r="VQS19"/>
      <c r="VQT19"/>
      <c r="VQU19"/>
      <c r="VQV19"/>
      <c r="VQW19"/>
      <c r="VQX19"/>
      <c r="VQY19"/>
      <c r="VQZ19"/>
      <c r="VRA19"/>
      <c r="VRB19"/>
      <c r="VRC19"/>
      <c r="VRD19"/>
      <c r="VRE19"/>
      <c r="VRF19"/>
      <c r="VRG19"/>
      <c r="VRH19"/>
      <c r="VRI19"/>
      <c r="VRJ19"/>
      <c r="VRK19"/>
      <c r="VRL19"/>
      <c r="VRM19"/>
      <c r="VRN19"/>
      <c r="VRO19"/>
      <c r="VRP19"/>
      <c r="VRQ19"/>
      <c r="VRR19"/>
      <c r="VRS19"/>
      <c r="VRT19"/>
      <c r="VRU19"/>
      <c r="VRV19"/>
      <c r="VRW19"/>
      <c r="VRX19"/>
      <c r="VRY19"/>
      <c r="VRZ19"/>
      <c r="VSA19"/>
      <c r="VSB19"/>
      <c r="VSC19"/>
      <c r="VSD19"/>
      <c r="VSE19"/>
      <c r="VSF19"/>
      <c r="VSG19"/>
      <c r="VSH19"/>
      <c r="VSI19"/>
      <c r="VSJ19"/>
      <c r="VSK19"/>
      <c r="VSL19"/>
      <c r="VSM19"/>
      <c r="VSN19"/>
      <c r="VSO19"/>
      <c r="VSP19"/>
      <c r="VSQ19"/>
      <c r="VSR19"/>
      <c r="VSS19"/>
      <c r="VST19"/>
      <c r="VSU19"/>
      <c r="VSV19"/>
      <c r="VSW19"/>
      <c r="VSX19"/>
      <c r="VSY19"/>
      <c r="VSZ19"/>
      <c r="VTA19"/>
      <c r="VTB19"/>
      <c r="VTC19"/>
      <c r="VTD19"/>
      <c r="VTE19"/>
      <c r="VTF19"/>
      <c r="VTG19"/>
      <c r="VTH19"/>
      <c r="VTI19"/>
      <c r="VTJ19"/>
      <c r="VTK19"/>
      <c r="VTL19"/>
      <c r="VTM19"/>
      <c r="VTN19"/>
      <c r="VTO19"/>
      <c r="VTP19"/>
      <c r="VTQ19"/>
      <c r="VTR19"/>
      <c r="VTS19"/>
      <c r="VTT19"/>
      <c r="VTU19"/>
      <c r="VTV19"/>
      <c r="VTW19"/>
      <c r="VTX19"/>
      <c r="VTY19"/>
      <c r="VTZ19"/>
      <c r="VUA19"/>
      <c r="VUB19"/>
      <c r="VUC19"/>
      <c r="VUD19"/>
      <c r="VUE19"/>
      <c r="VUF19"/>
      <c r="VUG19"/>
      <c r="VUH19"/>
      <c r="VUI19"/>
      <c r="VUJ19"/>
      <c r="VUK19"/>
      <c r="VUL19"/>
      <c r="VUM19"/>
      <c r="VUN19"/>
      <c r="VUO19"/>
      <c r="VUP19"/>
      <c r="VUQ19"/>
      <c r="VUR19"/>
      <c r="VUS19"/>
      <c r="VUT19"/>
      <c r="VUU19"/>
      <c r="VUV19"/>
      <c r="VUW19"/>
      <c r="VUX19"/>
      <c r="VUY19"/>
      <c r="VUZ19"/>
      <c r="VVA19"/>
      <c r="VVB19"/>
      <c r="VVC19"/>
      <c r="VVD19"/>
      <c r="VVE19"/>
      <c r="VVF19"/>
      <c r="VVG19"/>
      <c r="VVH19"/>
      <c r="VVI19"/>
      <c r="VVJ19"/>
      <c r="VVK19"/>
      <c r="VVL19"/>
      <c r="VVM19"/>
      <c r="VVN19"/>
      <c r="VVO19"/>
      <c r="VVP19"/>
      <c r="VVQ19"/>
      <c r="VVR19"/>
      <c r="VVS19"/>
      <c r="VVT19"/>
      <c r="VVU19"/>
      <c r="VVV19"/>
      <c r="VVW19"/>
      <c r="VVX19"/>
      <c r="VVY19"/>
      <c r="VVZ19"/>
      <c r="VWA19"/>
      <c r="VWB19"/>
      <c r="VWC19"/>
      <c r="VWD19"/>
      <c r="VWE19"/>
      <c r="VWF19"/>
      <c r="VWG19"/>
      <c r="VWH19"/>
      <c r="VWI19"/>
      <c r="VWJ19"/>
      <c r="VWK19"/>
      <c r="VWL19"/>
      <c r="VWM19"/>
      <c r="VWN19"/>
      <c r="VWO19"/>
      <c r="VWP19"/>
      <c r="VWQ19"/>
      <c r="VWR19"/>
      <c r="VWS19"/>
      <c r="VWT19"/>
      <c r="VWU19"/>
      <c r="VWV19"/>
      <c r="VWW19"/>
      <c r="VWX19"/>
      <c r="VWY19"/>
      <c r="VWZ19"/>
      <c r="VXA19"/>
      <c r="VXB19"/>
      <c r="VXC19"/>
      <c r="VXD19"/>
      <c r="VXE19"/>
      <c r="VXF19"/>
      <c r="VXG19"/>
      <c r="VXH19"/>
      <c r="VXI19"/>
      <c r="VXJ19"/>
      <c r="VXK19"/>
      <c r="VXL19"/>
      <c r="VXM19"/>
      <c r="VXN19"/>
      <c r="VXO19"/>
      <c r="VXP19"/>
      <c r="VXQ19"/>
      <c r="VXR19"/>
      <c r="VXS19"/>
      <c r="VXT19"/>
      <c r="VXU19"/>
      <c r="VXV19"/>
      <c r="VXW19"/>
      <c r="VXX19"/>
      <c r="VXY19"/>
      <c r="VXZ19"/>
      <c r="VYA19"/>
      <c r="VYB19"/>
      <c r="VYC19"/>
      <c r="VYD19"/>
      <c r="VYE19"/>
      <c r="VYF19"/>
      <c r="VYG19"/>
      <c r="VYH19"/>
      <c r="VYI19"/>
      <c r="VYJ19"/>
      <c r="VYK19"/>
      <c r="VYL19"/>
      <c r="VYM19"/>
      <c r="VYN19"/>
      <c r="VYO19"/>
      <c r="VYP19"/>
      <c r="VYQ19"/>
      <c r="VYR19"/>
      <c r="VYS19"/>
      <c r="VYT19"/>
      <c r="VYU19"/>
      <c r="VYV19"/>
      <c r="VYW19"/>
      <c r="VYX19"/>
      <c r="VYY19"/>
      <c r="VYZ19"/>
      <c r="VZA19"/>
      <c r="VZB19"/>
      <c r="VZC19"/>
      <c r="VZD19"/>
      <c r="VZE19"/>
      <c r="VZF19"/>
      <c r="VZG19"/>
      <c r="VZH19"/>
      <c r="VZI19"/>
      <c r="VZJ19"/>
      <c r="VZK19"/>
      <c r="VZL19"/>
      <c r="VZM19"/>
      <c r="VZN19"/>
      <c r="VZO19"/>
      <c r="VZP19"/>
      <c r="VZQ19"/>
      <c r="VZR19"/>
      <c r="VZS19"/>
      <c r="VZT19"/>
      <c r="VZU19"/>
      <c r="VZV19"/>
      <c r="VZW19"/>
      <c r="VZX19"/>
      <c r="VZY19"/>
      <c r="VZZ19"/>
      <c r="WAA19"/>
      <c r="WAB19"/>
      <c r="WAC19"/>
      <c r="WAD19"/>
      <c r="WAE19"/>
      <c r="WAF19"/>
      <c r="WAG19"/>
      <c r="WAH19"/>
      <c r="WAI19"/>
      <c r="WAJ19"/>
      <c r="WAK19"/>
      <c r="WAL19"/>
      <c r="WAM19"/>
      <c r="WAN19"/>
      <c r="WAO19"/>
      <c r="WAP19"/>
      <c r="WAQ19"/>
      <c r="WAR19"/>
      <c r="WAS19"/>
      <c r="WAT19"/>
      <c r="WAU19"/>
      <c r="WAV19"/>
      <c r="WAW19"/>
      <c r="WAX19"/>
      <c r="WAY19"/>
      <c r="WAZ19"/>
      <c r="WBA19"/>
      <c r="WBB19"/>
      <c r="WBC19"/>
      <c r="WBD19"/>
      <c r="WBE19"/>
      <c r="WBF19"/>
      <c r="WBG19"/>
      <c r="WBH19"/>
      <c r="WBI19"/>
      <c r="WBJ19"/>
      <c r="WBK19"/>
      <c r="WBL19"/>
      <c r="WBM19"/>
      <c r="WBN19"/>
      <c r="WBO19"/>
      <c r="WBP19"/>
      <c r="WBQ19"/>
      <c r="WBR19"/>
      <c r="WBS19"/>
      <c r="WBT19"/>
      <c r="WBU19"/>
      <c r="WBV19"/>
      <c r="WBW19"/>
      <c r="WBX19"/>
      <c r="WBY19"/>
      <c r="WBZ19"/>
      <c r="WCA19"/>
      <c r="WCB19"/>
      <c r="WCC19"/>
      <c r="WCD19"/>
      <c r="WCE19"/>
      <c r="WCF19"/>
      <c r="WCG19"/>
      <c r="WCH19"/>
      <c r="WCI19"/>
      <c r="WCJ19"/>
      <c r="WCK19"/>
      <c r="WCL19"/>
      <c r="WCM19"/>
      <c r="WCN19"/>
      <c r="WCO19"/>
      <c r="WCP19"/>
      <c r="WCQ19"/>
      <c r="WCR19"/>
      <c r="WCS19"/>
      <c r="WCT19"/>
      <c r="WCU19"/>
      <c r="WCV19"/>
      <c r="WCW19"/>
      <c r="WCX19"/>
      <c r="WCY19"/>
      <c r="WCZ19"/>
      <c r="WDA19"/>
      <c r="WDB19"/>
      <c r="WDC19"/>
      <c r="WDD19"/>
      <c r="WDE19"/>
      <c r="WDF19"/>
      <c r="WDG19"/>
      <c r="WDH19"/>
      <c r="WDI19"/>
      <c r="WDJ19"/>
      <c r="WDK19"/>
      <c r="WDL19"/>
      <c r="WDM19"/>
      <c r="WDN19"/>
      <c r="WDO19"/>
      <c r="WDP19"/>
      <c r="WDQ19"/>
      <c r="WDR19"/>
      <c r="WDS19"/>
      <c r="WDT19"/>
      <c r="WDU19"/>
      <c r="WDV19"/>
      <c r="WDW19"/>
      <c r="WDX19"/>
      <c r="WDY19"/>
      <c r="WDZ19"/>
      <c r="WEA19"/>
      <c r="WEB19"/>
      <c r="WEC19"/>
      <c r="WED19"/>
      <c r="WEE19"/>
      <c r="WEF19"/>
      <c r="WEG19"/>
      <c r="WEH19"/>
      <c r="WEI19"/>
      <c r="WEJ19"/>
      <c r="WEK19"/>
      <c r="WEL19"/>
      <c r="WEM19"/>
      <c r="WEN19"/>
      <c r="WEO19"/>
      <c r="WEP19"/>
      <c r="WEQ19"/>
      <c r="WER19"/>
      <c r="WES19"/>
      <c r="WET19"/>
      <c r="WEU19"/>
      <c r="WEV19"/>
      <c r="WEW19"/>
      <c r="WEX19"/>
      <c r="WEY19"/>
      <c r="WEZ19"/>
      <c r="WFA19"/>
      <c r="WFB19"/>
      <c r="WFC19"/>
      <c r="WFD19"/>
      <c r="WFE19"/>
      <c r="WFF19"/>
      <c r="WFG19"/>
      <c r="WFH19"/>
      <c r="WFI19"/>
      <c r="WFJ19"/>
      <c r="WFK19"/>
      <c r="WFL19"/>
      <c r="WFM19"/>
      <c r="WFN19"/>
      <c r="WFO19"/>
      <c r="WFP19"/>
      <c r="WFQ19"/>
      <c r="WFR19"/>
      <c r="WFS19"/>
      <c r="WFT19"/>
      <c r="WFU19"/>
      <c r="WFV19"/>
      <c r="WFW19"/>
      <c r="WFX19"/>
      <c r="WFY19"/>
      <c r="WFZ19"/>
      <c r="WGA19"/>
      <c r="WGB19"/>
      <c r="WGC19"/>
      <c r="WGD19"/>
      <c r="WGE19"/>
      <c r="WGF19"/>
      <c r="WGG19"/>
      <c r="WGH19"/>
      <c r="WGI19"/>
      <c r="WGJ19"/>
      <c r="WGK19"/>
      <c r="WGL19"/>
      <c r="WGM19"/>
      <c r="WGN19"/>
      <c r="WGO19"/>
      <c r="WGP19"/>
      <c r="WGQ19"/>
      <c r="WGR19"/>
      <c r="WGS19"/>
      <c r="WGT19"/>
      <c r="WGU19"/>
      <c r="WGV19"/>
      <c r="WGW19"/>
      <c r="WGX19"/>
      <c r="WGY19"/>
      <c r="WGZ19"/>
      <c r="WHA19"/>
      <c r="WHB19"/>
      <c r="WHC19"/>
      <c r="WHD19"/>
      <c r="WHE19"/>
      <c r="WHF19"/>
      <c r="WHG19"/>
      <c r="WHH19"/>
      <c r="WHI19"/>
      <c r="WHJ19"/>
      <c r="WHK19"/>
      <c r="WHL19"/>
      <c r="WHM19"/>
      <c r="WHN19"/>
      <c r="WHO19"/>
      <c r="WHP19"/>
      <c r="WHQ19"/>
      <c r="WHR19"/>
      <c r="WHS19"/>
      <c r="WHT19"/>
      <c r="WHU19"/>
      <c r="WHV19"/>
      <c r="WHW19"/>
      <c r="WHX19"/>
      <c r="WHY19"/>
      <c r="WHZ19"/>
      <c r="WIA19"/>
      <c r="WIB19"/>
      <c r="WIC19"/>
      <c r="WID19"/>
      <c r="WIE19"/>
      <c r="WIF19"/>
      <c r="WIG19"/>
      <c r="WIH19"/>
      <c r="WII19"/>
      <c r="WIJ19"/>
      <c r="WIK19"/>
      <c r="WIL19"/>
      <c r="WIM19"/>
      <c r="WIN19"/>
      <c r="WIO19"/>
      <c r="WIP19"/>
      <c r="WIQ19"/>
      <c r="WIR19"/>
      <c r="WIS19"/>
      <c r="WIT19"/>
      <c r="WIU19"/>
      <c r="WIV19"/>
      <c r="WIW19"/>
      <c r="WIX19"/>
      <c r="WIY19"/>
      <c r="WIZ19"/>
      <c r="WJA19"/>
      <c r="WJB19"/>
      <c r="WJC19"/>
      <c r="WJD19"/>
      <c r="WJE19"/>
      <c r="WJF19"/>
      <c r="WJG19"/>
      <c r="WJH19"/>
      <c r="WJI19"/>
      <c r="WJJ19"/>
      <c r="WJK19"/>
      <c r="WJL19"/>
      <c r="WJM19"/>
      <c r="WJN19"/>
      <c r="WJO19"/>
      <c r="WJP19"/>
      <c r="WJQ19"/>
      <c r="WJR19"/>
      <c r="WJS19"/>
      <c r="WJT19"/>
      <c r="WJU19"/>
      <c r="WJV19"/>
      <c r="WJW19"/>
      <c r="WJX19"/>
      <c r="WJY19"/>
      <c r="WJZ19"/>
      <c r="WKA19"/>
      <c r="WKB19"/>
      <c r="WKC19"/>
      <c r="WKD19"/>
      <c r="WKE19"/>
      <c r="WKF19"/>
      <c r="WKG19"/>
      <c r="WKH19"/>
      <c r="WKI19"/>
      <c r="WKJ19"/>
      <c r="WKK19"/>
      <c r="WKL19"/>
      <c r="WKM19"/>
      <c r="WKN19"/>
      <c r="WKO19"/>
      <c r="WKP19"/>
      <c r="WKQ19"/>
      <c r="WKR19"/>
      <c r="WKS19"/>
      <c r="WKT19"/>
      <c r="WKU19"/>
      <c r="WKV19"/>
      <c r="WKW19"/>
      <c r="WKX19"/>
      <c r="WKY19"/>
      <c r="WKZ19"/>
      <c r="WLA19"/>
      <c r="WLB19"/>
      <c r="WLC19"/>
      <c r="WLD19"/>
      <c r="WLE19"/>
      <c r="WLF19"/>
      <c r="WLG19"/>
      <c r="WLH19"/>
      <c r="WLI19"/>
      <c r="WLJ19"/>
      <c r="WLK19"/>
      <c r="WLL19"/>
      <c r="WLM19"/>
      <c r="WLN19"/>
      <c r="WLO19"/>
      <c r="WLP19"/>
      <c r="WLQ19"/>
      <c r="WLR19"/>
      <c r="WLS19"/>
      <c r="WLT19"/>
      <c r="WLU19"/>
      <c r="WLV19"/>
      <c r="WLW19"/>
      <c r="WLX19"/>
      <c r="WLY19"/>
      <c r="WLZ19"/>
      <c r="WMA19"/>
      <c r="WMB19"/>
      <c r="WMC19"/>
      <c r="WMD19"/>
      <c r="WME19"/>
      <c r="WMF19"/>
      <c r="WMG19"/>
      <c r="WMH19"/>
      <c r="WMI19"/>
      <c r="WMJ19"/>
      <c r="WMK19"/>
      <c r="WML19"/>
      <c r="WMM19"/>
      <c r="WMN19"/>
      <c r="WMO19"/>
      <c r="WMP19"/>
      <c r="WMQ19"/>
      <c r="WMR19"/>
      <c r="WMS19"/>
      <c r="WMT19"/>
      <c r="WMU19"/>
      <c r="WMV19"/>
      <c r="WMW19"/>
      <c r="WMX19"/>
      <c r="WMY19"/>
      <c r="WMZ19"/>
      <c r="WNA19"/>
      <c r="WNB19"/>
      <c r="WNC19"/>
      <c r="WND19"/>
      <c r="WNE19"/>
      <c r="WNF19"/>
      <c r="WNG19"/>
      <c r="WNH19"/>
      <c r="WNI19"/>
      <c r="WNJ19"/>
      <c r="WNK19"/>
      <c r="WNL19"/>
      <c r="WNM19"/>
      <c r="WNN19"/>
      <c r="WNO19"/>
      <c r="WNP19"/>
      <c r="WNQ19"/>
      <c r="WNR19"/>
      <c r="WNS19"/>
      <c r="WNT19"/>
      <c r="WNU19"/>
      <c r="WNV19"/>
      <c r="WNW19"/>
      <c r="WNX19"/>
      <c r="WNY19"/>
      <c r="WNZ19"/>
      <c r="WOA19"/>
      <c r="WOB19"/>
      <c r="WOC19"/>
      <c r="WOD19"/>
      <c r="WOE19"/>
      <c r="WOF19"/>
      <c r="WOG19"/>
      <c r="WOH19"/>
      <c r="WOI19"/>
      <c r="WOJ19"/>
      <c r="WOK19"/>
      <c r="WOL19"/>
      <c r="WOM19"/>
      <c r="WON19"/>
      <c r="WOO19"/>
      <c r="WOP19"/>
      <c r="WOQ19"/>
      <c r="WOR19"/>
      <c r="WOS19"/>
      <c r="WOT19"/>
      <c r="WOU19"/>
      <c r="WOV19"/>
      <c r="WOW19"/>
      <c r="WOX19"/>
      <c r="WOY19"/>
      <c r="WOZ19"/>
      <c r="WPA19"/>
      <c r="WPB19"/>
      <c r="WPC19"/>
      <c r="WPD19"/>
      <c r="WPE19"/>
      <c r="WPF19"/>
      <c r="WPG19"/>
      <c r="WPH19"/>
      <c r="WPI19"/>
      <c r="WPJ19"/>
      <c r="WPK19"/>
      <c r="WPL19"/>
      <c r="WPM19"/>
      <c r="WPN19"/>
      <c r="WPO19"/>
      <c r="WPP19"/>
      <c r="WPQ19"/>
      <c r="WPR19"/>
      <c r="WPS19"/>
      <c r="WPT19"/>
      <c r="WPU19"/>
      <c r="WPV19"/>
      <c r="WPW19"/>
      <c r="WPX19"/>
      <c r="WPY19"/>
      <c r="WPZ19"/>
      <c r="WQA19"/>
      <c r="WQB19"/>
      <c r="WQC19"/>
      <c r="WQD19"/>
      <c r="WQE19"/>
      <c r="WQF19"/>
      <c r="WQG19"/>
      <c r="WQH19"/>
      <c r="WQI19"/>
      <c r="WQJ19"/>
      <c r="WQK19"/>
      <c r="WQL19"/>
      <c r="WQM19"/>
      <c r="WQN19"/>
      <c r="WQO19"/>
      <c r="WQP19"/>
      <c r="WQQ19"/>
      <c r="WQR19"/>
      <c r="WQS19"/>
      <c r="WQT19"/>
      <c r="WQU19"/>
      <c r="WQV19"/>
      <c r="WQW19"/>
      <c r="WQX19"/>
      <c r="WQY19"/>
      <c r="WQZ19"/>
      <c r="WRA19"/>
      <c r="WRB19"/>
      <c r="WRC19"/>
      <c r="WRD19"/>
      <c r="WRE19"/>
      <c r="WRF19"/>
      <c r="WRG19"/>
      <c r="WRH19"/>
      <c r="WRI19"/>
      <c r="WRJ19"/>
      <c r="WRK19"/>
      <c r="WRL19"/>
      <c r="WRM19"/>
      <c r="WRN19"/>
      <c r="WRO19"/>
      <c r="WRP19"/>
      <c r="WRQ19"/>
      <c r="WRR19"/>
      <c r="WRS19"/>
      <c r="WRT19"/>
      <c r="WRU19"/>
      <c r="WRV19"/>
      <c r="WRW19"/>
      <c r="WRX19"/>
      <c r="WRY19"/>
      <c r="WRZ19"/>
      <c r="WSA19"/>
      <c r="WSB19"/>
      <c r="WSC19"/>
      <c r="WSD19"/>
      <c r="WSE19"/>
      <c r="WSF19"/>
      <c r="WSG19"/>
      <c r="WSH19"/>
      <c r="WSI19"/>
      <c r="WSJ19"/>
      <c r="WSK19"/>
      <c r="WSL19"/>
      <c r="WSM19"/>
      <c r="WSN19"/>
      <c r="WSO19"/>
      <c r="WSP19"/>
      <c r="WSQ19"/>
      <c r="WSR19"/>
      <c r="WSS19"/>
      <c r="WST19"/>
      <c r="WSU19"/>
      <c r="WSV19"/>
      <c r="WSW19"/>
      <c r="WSX19"/>
      <c r="WSY19"/>
      <c r="WSZ19"/>
      <c r="WTA19"/>
      <c r="WTB19"/>
      <c r="WTC19"/>
      <c r="WTD19"/>
      <c r="WTE19"/>
      <c r="WTF19"/>
      <c r="WTG19"/>
      <c r="WTH19"/>
      <c r="WTI19"/>
      <c r="WTJ19"/>
      <c r="WTK19"/>
      <c r="WTL19"/>
      <c r="WTM19"/>
      <c r="WTN19"/>
      <c r="WTO19"/>
      <c r="WTP19"/>
      <c r="WTQ19"/>
      <c r="WTR19"/>
      <c r="WTS19"/>
      <c r="WTT19"/>
      <c r="WTU19"/>
      <c r="WTV19"/>
      <c r="WTW19"/>
      <c r="WTX19"/>
      <c r="WTY19"/>
      <c r="WTZ19"/>
      <c r="WUA19"/>
      <c r="WUB19"/>
      <c r="WUC19"/>
      <c r="WUD19"/>
      <c r="WUE19"/>
      <c r="WUF19"/>
      <c r="WUG19"/>
      <c r="WUH19"/>
      <c r="WUI19"/>
      <c r="WUJ19"/>
      <c r="WUK19"/>
      <c r="WUL19"/>
      <c r="WUM19"/>
      <c r="WUN19"/>
      <c r="WUO19"/>
      <c r="WUP19"/>
      <c r="WUQ19"/>
      <c r="WUR19"/>
      <c r="WUS19"/>
      <c r="WUT19"/>
      <c r="WUU19"/>
      <c r="WUV19"/>
      <c r="WUW19"/>
      <c r="WUX19"/>
      <c r="WUY19"/>
      <c r="WUZ19"/>
      <c r="WVA19"/>
      <c r="WVB19"/>
      <c r="WVC19"/>
      <c r="WVD19"/>
      <c r="WVE19"/>
      <c r="WVF19"/>
      <c r="WVG19"/>
      <c r="WVH19"/>
      <c r="WVI19"/>
      <c r="WVJ19"/>
      <c r="WVK19"/>
      <c r="WVL19"/>
      <c r="WVM19"/>
      <c r="WVN19"/>
      <c r="WVO19"/>
      <c r="WVP19"/>
      <c r="WVQ19"/>
      <c r="WVR19"/>
      <c r="WVS19"/>
      <c r="WVT19"/>
      <c r="WVU19"/>
      <c r="WVV19"/>
      <c r="WVW19"/>
      <c r="WVX19"/>
      <c r="WVY19"/>
      <c r="WVZ19"/>
      <c r="WWA19"/>
      <c r="WWB19"/>
      <c r="WWC19"/>
      <c r="WWD19"/>
      <c r="WWE19"/>
      <c r="WWF19"/>
      <c r="WWG19"/>
      <c r="WWH19"/>
      <c r="WWI19"/>
      <c r="WWJ19"/>
      <c r="WWK19"/>
      <c r="WWL19"/>
      <c r="WWM19"/>
      <c r="WWN19"/>
      <c r="WWO19"/>
      <c r="WWP19"/>
      <c r="WWQ19"/>
      <c r="WWR19"/>
      <c r="WWS19"/>
      <c r="WWT19"/>
      <c r="WWU19"/>
      <c r="WWV19"/>
      <c r="WWW19"/>
      <c r="WWX19"/>
      <c r="WWY19"/>
      <c r="WWZ19"/>
      <c r="WXA19"/>
      <c r="WXB19"/>
      <c r="WXC19"/>
      <c r="WXD19"/>
      <c r="WXE19"/>
      <c r="WXF19"/>
      <c r="WXG19"/>
      <c r="WXH19"/>
      <c r="WXI19"/>
      <c r="WXJ19"/>
      <c r="WXK19"/>
      <c r="WXL19"/>
      <c r="WXM19"/>
      <c r="WXN19"/>
      <c r="WXO19"/>
      <c r="WXP19"/>
      <c r="WXQ19"/>
      <c r="WXR19"/>
      <c r="WXS19"/>
      <c r="WXT19"/>
      <c r="WXU19"/>
      <c r="WXV19"/>
      <c r="WXW19"/>
      <c r="WXX19"/>
      <c r="WXY19"/>
      <c r="WXZ19"/>
      <c r="WYA19"/>
      <c r="WYB19"/>
      <c r="WYC19"/>
      <c r="WYD19"/>
      <c r="WYE19"/>
      <c r="WYF19"/>
      <c r="WYG19"/>
      <c r="WYH19"/>
      <c r="WYI19"/>
      <c r="WYJ19"/>
      <c r="WYK19"/>
      <c r="WYL19"/>
      <c r="WYM19"/>
      <c r="WYN19"/>
      <c r="WYO19"/>
      <c r="WYP19"/>
      <c r="WYQ19"/>
      <c r="WYR19"/>
      <c r="WYS19"/>
      <c r="WYT19"/>
      <c r="WYU19"/>
      <c r="WYV19"/>
      <c r="WYW19"/>
      <c r="WYX19"/>
      <c r="WYY19"/>
      <c r="WYZ19"/>
      <c r="WZA19"/>
      <c r="WZB19"/>
      <c r="WZC19"/>
      <c r="WZD19"/>
      <c r="WZE19"/>
      <c r="WZF19"/>
      <c r="WZG19"/>
      <c r="WZH19"/>
      <c r="WZI19"/>
      <c r="WZJ19"/>
      <c r="WZK19"/>
      <c r="WZL19"/>
      <c r="WZM19"/>
      <c r="WZN19"/>
      <c r="WZO19"/>
      <c r="WZP19"/>
      <c r="WZQ19"/>
      <c r="WZR19"/>
      <c r="WZS19"/>
      <c r="WZT19"/>
      <c r="WZU19"/>
      <c r="WZV19"/>
      <c r="WZW19"/>
      <c r="WZX19"/>
      <c r="WZY19"/>
      <c r="WZZ19"/>
      <c r="XAA19"/>
      <c r="XAB19"/>
      <c r="XAC19"/>
      <c r="XAD19"/>
      <c r="XAE19"/>
      <c r="XAF19"/>
      <c r="XAG19"/>
      <c r="XAH19"/>
      <c r="XAI19"/>
      <c r="XAJ19"/>
      <c r="XAK19"/>
      <c r="XAL19"/>
      <c r="XAM19"/>
      <c r="XAN19"/>
      <c r="XAO19"/>
      <c r="XAP19"/>
      <c r="XAQ19"/>
      <c r="XAR19"/>
      <c r="XAS19"/>
      <c r="XAT19"/>
      <c r="XAU19"/>
      <c r="XAV19"/>
      <c r="XAW19"/>
      <c r="XAX19"/>
      <c r="XAY19"/>
      <c r="XAZ19"/>
      <c r="XBA19"/>
      <c r="XBB19"/>
      <c r="XBC19"/>
      <c r="XBD19"/>
      <c r="XBE19"/>
      <c r="XBF19"/>
      <c r="XBG19"/>
      <c r="XBH19"/>
      <c r="XBI19"/>
      <c r="XBJ19"/>
      <c r="XBK19"/>
      <c r="XBL19"/>
      <c r="XBM19"/>
      <c r="XBN19"/>
      <c r="XBO19"/>
      <c r="XBP19"/>
      <c r="XBQ19"/>
      <c r="XBR19"/>
      <c r="XBS19"/>
      <c r="XBT19"/>
      <c r="XBU19"/>
      <c r="XBV19"/>
      <c r="XBW19"/>
      <c r="XBX19"/>
      <c r="XBY19"/>
      <c r="XBZ19"/>
      <c r="XCA19"/>
      <c r="XCB19"/>
      <c r="XCC19"/>
      <c r="XCD19"/>
      <c r="XCE19"/>
      <c r="XCF19"/>
      <c r="XCG19"/>
      <c r="XCH19"/>
      <c r="XCI19"/>
      <c r="XCJ19"/>
      <c r="XCK19"/>
      <c r="XCL19"/>
      <c r="XCM19"/>
      <c r="XCN19"/>
      <c r="XCO19"/>
      <c r="XCP19"/>
      <c r="XCQ19"/>
      <c r="XCR19"/>
      <c r="XCS19"/>
      <c r="XCT19"/>
      <c r="XCU19"/>
      <c r="XCV19"/>
      <c r="XCW19"/>
      <c r="XCX19"/>
      <c r="XCY19"/>
      <c r="XCZ19"/>
      <c r="XDA19"/>
      <c r="XDB19"/>
      <c r="XDC19"/>
      <c r="XDD19"/>
      <c r="XDE19"/>
      <c r="XDF19"/>
      <c r="XDG19"/>
      <c r="XDH19"/>
      <c r="XDI19"/>
      <c r="XDJ19"/>
      <c r="XDK19"/>
      <c r="XDL19"/>
      <c r="XDM19"/>
      <c r="XDN19"/>
      <c r="XDO19"/>
      <c r="XDP19"/>
      <c r="XDQ19"/>
      <c r="XDR19"/>
      <c r="XDS19"/>
      <c r="XDT19"/>
      <c r="XDU19"/>
      <c r="XDV19"/>
      <c r="XDW19"/>
      <c r="XDX19"/>
      <c r="XDY19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pans="1:342 14982:16384">
      <c r="A20" s="70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</row>
    <row r="21" spans="1:342 14982:16384">
      <c r="A21" s="86" t="s">
        <v>87</v>
      </c>
      <c r="B21" s="87">
        <v>-10000</v>
      </c>
      <c r="C21" s="2">
        <f>SUMIFS(montant,libelle,"CREDIT PERSO",sens,"D",Datevaleur,C26)+Table1[[#This Row],[Colonne4]]</f>
        <v>-10000</v>
      </c>
      <c r="D21" s="2">
        <f>SUMIFS(montant,libelle,"CREDIT PERSO",sens,"D",Datevaleur,D26)+Table1[[#This Row],[Colonne5]]</f>
        <v>-10000</v>
      </c>
      <c r="E21" s="2">
        <f>SUMIFS(montant,libelle,"CREDIT PERSO",sens,"D",Datevaleur,E26)+Table1[[#This Row],[Colonne6]]</f>
        <v>-10000</v>
      </c>
      <c r="F21" s="2">
        <f>SUMIFS(montant,libelle,"CREDIT PERSO",sens,"D",Datevaleur,F26)+Table1[[#This Row],[Colonne7]]</f>
        <v>-10000</v>
      </c>
      <c r="G21" s="2">
        <f>SUMIFS(montant,libelle,"CREDIT PERSO",sens,"D",Datevaleur,G26)+Table1[[#This Row],[Colonne8]]</f>
        <v>-10000</v>
      </c>
      <c r="H21" s="2">
        <f>SUMIFS(montant,libelle,"CREDIT PERSO",sens,"D",Datevaleur,H26)+Table1[[#This Row],[Colonne9]]</f>
        <v>-10000</v>
      </c>
      <c r="I21" s="2">
        <f>SUMIFS(montant,libelle,"CREDIT PERSO",sens,"D",Datevaleur,I26)+Table1[[#This Row],[Colonne10]]</f>
        <v>-10000</v>
      </c>
      <c r="J21" s="2">
        <f>SUMIFS(montant,libelle,"CREDIT PERSO",sens,"D",Datevaleur,J26)+Table1[[#This Row],[Colonne11]]</f>
        <v>-10000</v>
      </c>
      <c r="K21" s="2">
        <f>SUMIFS(montant,libelle,"CREDIT PERSO",sens,"D",Datevaleur,K26)+Table1[[#This Row],[Colonne12]]</f>
        <v>-10000</v>
      </c>
      <c r="L21" s="2">
        <f>SUMIFS(montant,libelle,"CREDIT PERSO",sens,"D",Datevaleur,L26)+Table1[[#This Row],[Colonne13]]</f>
        <v>-10000</v>
      </c>
      <c r="M21" s="2">
        <f>SUMIFS(montant,libelle,"CREDIT PERSO",sens,"D",Datevaleur,M26)+Table1[[#This Row],[Colonne14]]</f>
        <v>-10000</v>
      </c>
      <c r="N21" s="2">
        <f>SUMIFS(montant,libelle,"CREDIT PERSO",sens,"D",Datevaleur,N26)+Table1[[#This Row],[Colonne15]]</f>
        <v>-10000</v>
      </c>
      <c r="O21" s="2">
        <f>SUMIFS(montant,libelle,"CREDIT PERSO",sens,"D",Datevaleur,O26)+Table1[[#This Row],[Colonne16]]</f>
        <v>-10000</v>
      </c>
      <c r="P21" s="2">
        <f>SUMIFS(montant,libelle,"CREDIT PERSO",sens,"D",Datevaleur,P26)+Table1[[#This Row],[Colonne17]]</f>
        <v>-10000</v>
      </c>
      <c r="Q21" s="2">
        <f>SUMIFS(montant,libelle,"CREDIT PERSO",sens,"D",Datevaleur,Q26)+Table1[[#This Row],[Colonne18]]</f>
        <v>-10000</v>
      </c>
      <c r="R21" s="2">
        <f>SUMIFS(montant,libelle,"CREDIT PERSO",sens,"D",Datevaleur,R26)+Table1[[#This Row],[Colonne19]]</f>
        <v>-10000</v>
      </c>
      <c r="S21" s="2">
        <f>SUMIFS(montant,libelle,"CREDIT PERSO",sens,"D",Datevaleur,S26)+Table1[[#This Row],[Colonne20]]</f>
        <v>-10000</v>
      </c>
      <c r="T21" s="2">
        <f>SUMIFS(montant,libelle,"CREDIT PERSO",sens,"D",Datevaleur,T26)+Table1[[#This Row],[Colonne21]]</f>
        <v>-10000</v>
      </c>
      <c r="U21" s="2">
        <f>SUMIFS(montant,libelle,"CREDIT PERSO",sens,"D",Datevaleur,U26)+Table1[[#This Row],[Colonne22]]</f>
        <v>-10000</v>
      </c>
      <c r="V21" s="2">
        <f>SUMIFS(montant,libelle,"CREDIT PERSO",sens,"D",Datevaleur,V26)+Table1[[#This Row],[Colonne23]]</f>
        <v>-10000</v>
      </c>
      <c r="W21" s="2">
        <f>SUMIFS(montant,libelle,"CREDIT PERSO",sens,"D",Datevaleur,W26)+Table1[[#This Row],[Colonne24]]</f>
        <v>-10000</v>
      </c>
      <c r="X21" s="2">
        <f>SUMIFS(montant,libelle,"CREDIT PERSO",sens,"D",Datevaleur,X26)+Table1[[#This Row],[Colonne25]]</f>
        <v>-10000</v>
      </c>
      <c r="Y21" s="2">
        <f>SUMIFS(montant,libelle,"CREDIT PERSO",sens,"D",Datevaleur,Y26)+Table1[[#This Row],[Colonne26]]</f>
        <v>-10000</v>
      </c>
      <c r="Z21" s="2">
        <f>SUMIFS(montant,libelle,"CREDIT PERSO",sens,"D",Datevaleur,Z26)+Table1[[#This Row],[Colonne27]]</f>
        <v>-10000</v>
      </c>
      <c r="AA21" s="2">
        <f>SUMIFS(montant,libelle,"CREDIT PERSO",sens,"D",Datevaleur,AA26)+Table1[[#This Row],[Colonne28]]</f>
        <v>-10000</v>
      </c>
      <c r="AB21" s="2">
        <f>SUMIFS(montant,libelle,"CREDIT PERSO",sens,"D",Datevaleur,AB26)+Table1[[#This Row],[Colonne29]]</f>
        <v>-10000</v>
      </c>
      <c r="AC21" s="2">
        <f>SUMIFS(montant,libelle,"CREDIT PERSO",sens,"D",Datevaleur,AC26)+Table1[[#This Row],[Colonne30]]</f>
        <v>-10000</v>
      </c>
      <c r="AD21" s="2">
        <f>SUMIFS(montant,libelle,"CREDIT PERSO",sens,"D",Datevaleur,AD26)+Table1[[#This Row],[Colonne31]]</f>
        <v>-10000</v>
      </c>
      <c r="AE21" s="2">
        <f>SUMIFS(montant,libelle,"CREDIT PERSO",sens,"D",Datevaleur,AE26)+Table1[[#This Row],[Colonne32]]</f>
        <v>-10000</v>
      </c>
      <c r="AF21" s="2">
        <f>SUMIFS(montant,libelle,"CREDIT PERSO",sens,"D",Datevaleur,AF26)+Table1[[#This Row],[Colonne33]]</f>
        <v>-10000</v>
      </c>
      <c r="AG21" s="2">
        <f>SUMIFS(montant,libelle,"CREDIT PERSO",sens,"D",Datevaleur,AG26)+Table1[[#This Row],[Colonne34]]</f>
        <v>-10000</v>
      </c>
    </row>
    <row r="22" spans="1:342 14982:16384">
      <c r="A22" s="84" t="s">
        <v>30</v>
      </c>
      <c r="B22" s="76">
        <v>-452.25</v>
      </c>
      <c r="C22" s="76">
        <f>SUMIFS(montant,libelle,"CREDIT IMMO",sens,"D",Datevaleur,C26)+Table1[[#This Row],[Colonne4]]</f>
        <v>-452.25</v>
      </c>
      <c r="D22" s="76">
        <f>SUMIFS(montant,libelle,"CREDIT IMMO",sens,"D",Datevaleur,D26)+Table1[[#This Row],[Colonne5]]</f>
        <v>-452.25</v>
      </c>
      <c r="E22" s="76">
        <f>SUMIFS(montant,libelle,"CREDIT IMMO",sens,"D",Datevaleur,E26)+Table1[[#This Row],[Colonne6]]</f>
        <v>-452.25</v>
      </c>
      <c r="F22" s="76">
        <f>SUMIFS(montant,libelle,"CREDIT IMMO",sens,"D",Datevaleur,F26)+Table1[[#This Row],[Colonne7]]</f>
        <v>-452.25</v>
      </c>
      <c r="G22" s="76">
        <f>SUMIFS(montant,libelle,"CREDIT IMMO",sens,"D",Datevaleur,G26)+Table1[[#This Row],[Colonne8]]</f>
        <v>-452.25</v>
      </c>
      <c r="H22" s="76">
        <f>SUMIFS(montant,libelle,"CREDIT IMMO",sens,"D",Datevaleur,H26)+Table1[[#This Row],[Colonne9]]</f>
        <v>-452.25</v>
      </c>
      <c r="I22" s="76">
        <f>SUMIFS(montant,libelle,"CREDIT IMMO",sens,"D",Datevaleur,I26)+Table1[[#This Row],[Colonne10]]</f>
        <v>-452.25</v>
      </c>
      <c r="J22" s="76">
        <f>SUMIFS(montant,libelle,"CREDIT IMMO",sens,"D",Datevaleur,J26)+Table1[[#This Row],[Colonne11]]</f>
        <v>-452.25</v>
      </c>
      <c r="K22" s="76">
        <f>SUMIFS(montant,libelle,"CREDIT IMMO",sens,"D",Datevaleur,K26)+Table1[[#This Row],[Colonne12]]</f>
        <v>-452.25</v>
      </c>
      <c r="L22" s="76">
        <f>SUMIFS(montant,libelle,"CREDIT IMMO",sens,"D",Datevaleur,L26)+Table1[[#This Row],[Colonne13]]</f>
        <v>-452.25</v>
      </c>
      <c r="M22" s="76">
        <f>SUMIFS(montant,libelle,"CREDIT IMMO",sens,"D",Datevaleur,M26)+Table1[[#This Row],[Colonne14]]</f>
        <v>-452.25</v>
      </c>
      <c r="N22" s="76">
        <f>SUMIFS(montant,libelle,"CREDIT IMMO",sens,"D",Datevaleur,N26)+Table1[[#This Row],[Colonne15]]</f>
        <v>-452.25</v>
      </c>
      <c r="O22" s="76">
        <f>SUMIFS(montant,libelle,"CREDIT IMMO",sens,"D",Datevaleur,O26)+Table1[[#This Row],[Colonne16]]</f>
        <v>-452.25</v>
      </c>
      <c r="P22" s="76">
        <f>SUMIFS(montant,libelle,"CREDIT IMMO",sens,"D",Datevaleur,P26)+Table1[[#This Row],[Colonne17]]</f>
        <v>-452.25</v>
      </c>
      <c r="Q22" s="76">
        <f>SUMIFS(montant,libelle,"CREDIT IMMO",sens,"D",Datevaleur,Q26)+Table1[[#This Row],[Colonne18]]</f>
        <v>-452.25</v>
      </c>
      <c r="R22" s="76">
        <f>SUMIFS(montant,libelle,"CREDIT IMMO",sens,"D",Datevaleur,R26)+Table1[[#This Row],[Colonne19]]</f>
        <v>-452.25</v>
      </c>
      <c r="S22" s="76">
        <f>SUMIFS(montant,libelle,"CREDIT IMMO",sens,"D",Datevaleur,S26)+Table1[[#This Row],[Colonne20]]</f>
        <v>-452.25</v>
      </c>
      <c r="T22" s="76">
        <f>SUMIFS(montant,libelle,"CREDIT IMMO",sens,"D",Datevaleur,T26)+Table1[[#This Row],[Colonne21]]</f>
        <v>-452.25</v>
      </c>
      <c r="U22" s="76">
        <f>SUMIFS(montant,libelle,"CREDIT IMMO",sens,"D",Datevaleur,U26)+Table1[[#This Row],[Colonne22]]</f>
        <v>-452.25</v>
      </c>
      <c r="V22" s="76">
        <f>SUMIFS(montant,libelle,"CREDIT IMMO",sens,"D",Datevaleur,V26)+Table1[[#This Row],[Colonne23]]</f>
        <v>-452.25</v>
      </c>
      <c r="W22" s="76">
        <f>SUMIFS(montant,libelle,"CREDIT IMMO",sens,"D",Datevaleur,W26)+Table1[[#This Row],[Colonne24]]</f>
        <v>-452.25</v>
      </c>
      <c r="X22" s="76">
        <f>SUMIFS(montant,libelle,"CREDIT IMMO",sens,"D",Datevaleur,X26)+Table1[[#This Row],[Colonne25]]</f>
        <v>-452.25</v>
      </c>
      <c r="Y22" s="76">
        <f>SUMIFS(montant,libelle,"CREDIT IMMO",sens,"D",Datevaleur,Y26)+Table1[[#This Row],[Colonne26]]</f>
        <v>-452.25</v>
      </c>
      <c r="Z22" s="76">
        <f>SUMIFS(montant,libelle,"CREDIT IMMO",sens,"D",Datevaleur,Z26)+Table1[[#This Row],[Colonne27]]</f>
        <v>-452.25</v>
      </c>
      <c r="AA22" s="76">
        <f>SUMIFS(montant,libelle,"CREDIT IMMO",sens,"D",Datevaleur,AA26)+Table1[[#This Row],[Colonne28]]</f>
        <v>-452.25</v>
      </c>
      <c r="AB22" s="76">
        <f>SUMIFS(montant,libelle,"CREDIT IMMO",sens,"D",Datevaleur,AB26)+Table1[[#This Row],[Colonne29]]</f>
        <v>-452.25</v>
      </c>
      <c r="AC22" s="76">
        <f>SUMIFS(montant,libelle,"CREDIT IMMO",sens,"D",Datevaleur,AC26)+Table1[[#This Row],[Colonne30]]</f>
        <v>-452.25</v>
      </c>
      <c r="AD22" s="76">
        <f>SUMIFS(montant,libelle,"CREDIT IMMO",sens,"D",Datevaleur,AD26)+Table1[[#This Row],[Colonne31]]</f>
        <v>-452.25</v>
      </c>
      <c r="AE22" s="76">
        <f>SUMIFS(montant,libelle,"CREDIT IMMO",sens,"D",Datevaleur,AE26)+Table1[[#This Row],[Colonne32]]</f>
        <v>-452.25</v>
      </c>
      <c r="AF22" s="76">
        <f>SUMIFS(montant,libelle,"CREDIT IMMO",sens,"D",Datevaleur,AF26)+Table1[[#This Row],[Colonne33]]</f>
        <v>-452.25</v>
      </c>
      <c r="AG22" s="76">
        <f>SUMIFS(montant,libelle,"CREDIT IMMO",sens,"D",Datevaleur,AG26)+Table1[[#This Row],[Colonne34]]</f>
        <v>-452.25</v>
      </c>
    </row>
    <row r="23" spans="1:342 14982:16384">
      <c r="A23" s="62"/>
      <c r="B23" s="31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3"/>
    </row>
    <row r="24" spans="1:342 14982:16384">
      <c r="A24" s="61" t="s">
        <v>31</v>
      </c>
      <c r="B24" s="28">
        <f t="shared" ref="B24:AG24" si="26">SUM(B19+(SUM(B21:B22)))</f>
        <v>82431.059999999983</v>
      </c>
      <c r="C24" s="28">
        <f t="shared" si="26"/>
        <v>82431.059999999983</v>
      </c>
      <c r="D24" s="28">
        <f t="shared" si="26"/>
        <v>82516.529999999984</v>
      </c>
      <c r="E24" s="28">
        <f t="shared" si="26"/>
        <v>82696.069999999992</v>
      </c>
      <c r="F24" s="28">
        <f t="shared" si="26"/>
        <v>82480.469999999987</v>
      </c>
      <c r="G24" s="28">
        <f t="shared" si="26"/>
        <v>82719.439999999988</v>
      </c>
      <c r="H24" s="28">
        <f t="shared" si="26"/>
        <v>82451.409999999989</v>
      </c>
      <c r="I24" s="28">
        <f t="shared" si="26"/>
        <v>82451.409999999989</v>
      </c>
      <c r="J24" s="28">
        <f t="shared" si="26"/>
        <v>82451.409999999989</v>
      </c>
      <c r="K24" s="28">
        <f t="shared" si="26"/>
        <v>82443.779999999984</v>
      </c>
      <c r="L24" s="29">
        <f t="shared" si="26"/>
        <v>83574.649999999994</v>
      </c>
      <c r="M24" s="29">
        <f t="shared" si="26"/>
        <v>83557.819999999992</v>
      </c>
      <c r="N24" s="29">
        <f t="shared" si="26"/>
        <v>83571.459999999992</v>
      </c>
      <c r="O24" s="29">
        <f t="shared" si="26"/>
        <v>82897.799999999988</v>
      </c>
      <c r="P24" s="29">
        <f t="shared" si="26"/>
        <v>82897.799999999988</v>
      </c>
      <c r="Q24" s="29">
        <f t="shared" si="26"/>
        <v>83599.549999999988</v>
      </c>
      <c r="R24" s="29">
        <f t="shared" si="26"/>
        <v>83717.62999999999</v>
      </c>
      <c r="S24" s="29">
        <f t="shared" si="26"/>
        <v>83772.259999999995</v>
      </c>
      <c r="T24" s="29">
        <f t="shared" si="26"/>
        <v>83658.819999999978</v>
      </c>
      <c r="U24" s="29">
        <f t="shared" si="26"/>
        <v>83656.539999999994</v>
      </c>
      <c r="V24" s="29">
        <f t="shared" si="26"/>
        <v>83647.599999999991</v>
      </c>
      <c r="W24" s="29">
        <f t="shared" si="26"/>
        <v>83647.599999999991</v>
      </c>
      <c r="X24" s="29">
        <f t="shared" si="26"/>
        <v>83647.599999999991</v>
      </c>
      <c r="Y24" s="29">
        <f t="shared" si="26"/>
        <v>83422.209999999977</v>
      </c>
      <c r="Z24" s="29">
        <f t="shared" si="26"/>
        <v>70717.149999999994</v>
      </c>
      <c r="AA24" s="29">
        <f t="shared" si="26"/>
        <v>70717.149999999994</v>
      </c>
      <c r="AB24" s="29">
        <f t="shared" si="26"/>
        <v>70717.149999999994</v>
      </c>
      <c r="AC24" s="29">
        <f t="shared" si="26"/>
        <v>70717.149999999994</v>
      </c>
      <c r="AD24" s="29">
        <f t="shared" si="26"/>
        <v>70717.149999999994</v>
      </c>
      <c r="AE24" s="29">
        <f t="shared" si="26"/>
        <v>70717.149999999994</v>
      </c>
      <c r="AF24" s="29">
        <f t="shared" si="26"/>
        <v>70717.149999999994</v>
      </c>
      <c r="AG24" s="30">
        <f t="shared" si="26"/>
        <v>70717.149999999994</v>
      </c>
    </row>
    <row r="25" spans="1:342 14982:16384">
      <c r="B25" s="28">
        <f>[1]Decembre17!AI24</f>
        <v>8859.1699999999837</v>
      </c>
      <c r="C25" s="28">
        <f t="shared" ref="C25:AG25" si="27">C24-$B$24</f>
        <v>0</v>
      </c>
      <c r="D25" s="28">
        <f t="shared" si="27"/>
        <v>85.470000000001164</v>
      </c>
      <c r="E25" s="28">
        <f t="shared" si="27"/>
        <v>265.01000000000931</v>
      </c>
      <c r="F25" s="28">
        <f t="shared" si="27"/>
        <v>49.410000000003492</v>
      </c>
      <c r="G25" s="28">
        <f t="shared" si="27"/>
        <v>288.38000000000466</v>
      </c>
      <c r="H25" s="28">
        <f t="shared" si="27"/>
        <v>20.350000000005821</v>
      </c>
      <c r="I25" s="29">
        <f t="shared" si="27"/>
        <v>20.350000000005821</v>
      </c>
      <c r="J25" s="29">
        <f t="shared" si="27"/>
        <v>20.350000000005821</v>
      </c>
      <c r="K25" s="29">
        <f t="shared" si="27"/>
        <v>12.720000000001164</v>
      </c>
      <c r="L25" s="29">
        <f t="shared" si="27"/>
        <v>1143.5900000000111</v>
      </c>
      <c r="M25" s="29">
        <f t="shared" si="27"/>
        <v>1126.7600000000093</v>
      </c>
      <c r="N25" s="29">
        <f t="shared" si="27"/>
        <v>1140.4000000000087</v>
      </c>
      <c r="O25" s="29">
        <f t="shared" si="27"/>
        <v>466.74000000000524</v>
      </c>
      <c r="P25" s="29">
        <f t="shared" si="27"/>
        <v>466.74000000000524</v>
      </c>
      <c r="Q25" s="29">
        <f t="shared" si="27"/>
        <v>1168.4900000000052</v>
      </c>
      <c r="R25" s="29">
        <f t="shared" si="27"/>
        <v>1286.570000000007</v>
      </c>
      <c r="S25" s="29">
        <f t="shared" si="27"/>
        <v>1341.2000000000116</v>
      </c>
      <c r="T25" s="29">
        <f t="shared" si="27"/>
        <v>1227.7599999999948</v>
      </c>
      <c r="U25" s="29">
        <f t="shared" si="27"/>
        <v>1225.4800000000105</v>
      </c>
      <c r="V25" s="29">
        <f t="shared" si="27"/>
        <v>1216.5400000000081</v>
      </c>
      <c r="W25" s="29">
        <f t="shared" si="27"/>
        <v>1216.5400000000081</v>
      </c>
      <c r="X25" s="29">
        <f t="shared" si="27"/>
        <v>1216.5400000000081</v>
      </c>
      <c r="Y25" s="29">
        <f t="shared" si="27"/>
        <v>991.14999999999418</v>
      </c>
      <c r="Z25" s="29">
        <f t="shared" si="27"/>
        <v>-11713.909999999989</v>
      </c>
      <c r="AA25" s="29">
        <f t="shared" si="27"/>
        <v>-11713.909999999989</v>
      </c>
      <c r="AB25" s="29">
        <f t="shared" si="27"/>
        <v>-11713.909999999989</v>
      </c>
      <c r="AC25" s="29">
        <f t="shared" si="27"/>
        <v>-11713.909999999989</v>
      </c>
      <c r="AD25" s="29">
        <f t="shared" si="27"/>
        <v>-11713.909999999989</v>
      </c>
      <c r="AE25" s="29">
        <f t="shared" si="27"/>
        <v>-11713.909999999989</v>
      </c>
      <c r="AF25" s="29">
        <f t="shared" si="27"/>
        <v>-11713.909999999989</v>
      </c>
      <c r="AG25" s="30">
        <f t="shared" si="27"/>
        <v>-11713.909999999989</v>
      </c>
    </row>
    <row r="26" spans="1:342 14982:16384">
      <c r="B26" s="105">
        <v>43100</v>
      </c>
      <c r="C26" s="105">
        <f>B26+1</f>
        <v>43101</v>
      </c>
      <c r="D26" s="105">
        <f>C26+1</f>
        <v>43102</v>
      </c>
      <c r="E26" s="105">
        <f t="shared" ref="E26:AG26" si="28">D26+1</f>
        <v>43103</v>
      </c>
      <c r="F26" s="105">
        <f t="shared" si="28"/>
        <v>43104</v>
      </c>
      <c r="G26" s="105">
        <f t="shared" si="28"/>
        <v>43105</v>
      </c>
      <c r="H26" s="105">
        <f t="shared" si="28"/>
        <v>43106</v>
      </c>
      <c r="I26" s="105">
        <f t="shared" si="28"/>
        <v>43107</v>
      </c>
      <c r="J26" s="105">
        <f t="shared" si="28"/>
        <v>43108</v>
      </c>
      <c r="K26" s="105">
        <f t="shared" si="28"/>
        <v>43109</v>
      </c>
      <c r="L26" s="105">
        <f t="shared" si="28"/>
        <v>43110</v>
      </c>
      <c r="M26" s="105">
        <f t="shared" si="28"/>
        <v>43111</v>
      </c>
      <c r="N26" s="105">
        <f t="shared" si="28"/>
        <v>43112</v>
      </c>
      <c r="O26" s="105">
        <f t="shared" si="28"/>
        <v>43113</v>
      </c>
      <c r="P26" s="105">
        <f t="shared" si="28"/>
        <v>43114</v>
      </c>
      <c r="Q26" s="105">
        <f t="shared" si="28"/>
        <v>43115</v>
      </c>
      <c r="R26" s="105">
        <f t="shared" si="28"/>
        <v>43116</v>
      </c>
      <c r="S26" s="105">
        <f t="shared" si="28"/>
        <v>43117</v>
      </c>
      <c r="T26" s="105">
        <f t="shared" si="28"/>
        <v>43118</v>
      </c>
      <c r="U26" s="105">
        <f t="shared" si="28"/>
        <v>43119</v>
      </c>
      <c r="V26" s="105">
        <f t="shared" si="28"/>
        <v>43120</v>
      </c>
      <c r="W26" s="105">
        <f t="shared" si="28"/>
        <v>43121</v>
      </c>
      <c r="X26" s="105">
        <f t="shared" si="28"/>
        <v>43122</v>
      </c>
      <c r="Y26" s="105">
        <f t="shared" si="28"/>
        <v>43123</v>
      </c>
      <c r="Z26" s="105">
        <f t="shared" si="28"/>
        <v>43124</v>
      </c>
      <c r="AA26" s="105">
        <f t="shared" si="28"/>
        <v>43125</v>
      </c>
      <c r="AB26" s="105">
        <f t="shared" si="28"/>
        <v>43126</v>
      </c>
      <c r="AC26" s="105">
        <f t="shared" si="28"/>
        <v>43127</v>
      </c>
      <c r="AD26" s="105">
        <f t="shared" si="28"/>
        <v>43128</v>
      </c>
      <c r="AE26" s="105">
        <f t="shared" si="28"/>
        <v>43129</v>
      </c>
      <c r="AF26" s="105">
        <f t="shared" si="28"/>
        <v>43130</v>
      </c>
      <c r="AG26" s="105">
        <f t="shared" si="28"/>
        <v>43131</v>
      </c>
    </row>
    <row r="31" spans="1:342 14982:16384" ht="43" customHeight="1" thickBot="1"/>
    <row r="32" spans="1:342 14982:16384" ht="43" customHeight="1" thickBot="1">
      <c r="C32" s="34">
        <f ca="1">TODAY()</f>
        <v>43124</v>
      </c>
      <c r="D32" s="35" t="s">
        <v>32</v>
      </c>
      <c r="E32" s="35" t="s">
        <v>33</v>
      </c>
      <c r="F32" s="35" t="s">
        <v>19</v>
      </c>
      <c r="G32" s="83">
        <v>43101</v>
      </c>
      <c r="H32" s="83">
        <v>43102</v>
      </c>
      <c r="I32" s="83">
        <v>43103</v>
      </c>
      <c r="J32" s="83">
        <v>43104</v>
      </c>
      <c r="K32" s="83">
        <v>43105</v>
      </c>
      <c r="L32" s="83">
        <v>43106</v>
      </c>
      <c r="M32" s="83">
        <v>43107</v>
      </c>
      <c r="N32" s="83">
        <v>43108</v>
      </c>
      <c r="O32" s="83">
        <v>43109</v>
      </c>
      <c r="P32" s="83">
        <v>43110</v>
      </c>
      <c r="Q32" s="83">
        <v>43111</v>
      </c>
      <c r="R32" s="83">
        <v>43112</v>
      </c>
      <c r="S32" s="83">
        <v>43113</v>
      </c>
      <c r="T32" s="83">
        <v>43114</v>
      </c>
      <c r="U32" s="83">
        <v>43115</v>
      </c>
      <c r="V32" s="83">
        <v>43116</v>
      </c>
      <c r="W32" s="83">
        <v>43117</v>
      </c>
      <c r="X32" s="83">
        <v>43118</v>
      </c>
      <c r="Y32" s="83">
        <v>43119</v>
      </c>
      <c r="Z32" s="83">
        <v>43120</v>
      </c>
      <c r="AA32" s="83">
        <v>43121</v>
      </c>
      <c r="AB32" s="83">
        <v>43122</v>
      </c>
      <c r="AC32" s="83">
        <v>43123</v>
      </c>
      <c r="AD32" s="83">
        <v>43124</v>
      </c>
      <c r="AE32" s="83">
        <v>43125</v>
      </c>
      <c r="AF32" s="83">
        <v>43126</v>
      </c>
      <c r="AG32" s="83">
        <v>43127</v>
      </c>
      <c r="AH32" s="83">
        <v>43128</v>
      </c>
      <c r="AI32" s="83">
        <v>43129</v>
      </c>
      <c r="AJ32" s="83">
        <v>43130</v>
      </c>
      <c r="AK32" s="88">
        <v>43131</v>
      </c>
    </row>
    <row r="33" spans="3:38" ht="43" customHeight="1" thickBot="1">
      <c r="C33" s="36" t="s">
        <v>34</v>
      </c>
      <c r="D33" s="37">
        <v>5</v>
      </c>
      <c r="E33" s="38">
        <v>44</v>
      </c>
      <c r="F33" s="99">
        <f>D33*E33</f>
        <v>220</v>
      </c>
      <c r="G33" s="90">
        <v>158.5</v>
      </c>
      <c r="H33" s="90">
        <v>158.5</v>
      </c>
      <c r="I33" s="90">
        <v>158.9</v>
      </c>
      <c r="J33" s="90">
        <v>160</v>
      </c>
      <c r="K33" s="90">
        <v>162.9</v>
      </c>
      <c r="L33" s="90">
        <v>162.6</v>
      </c>
      <c r="M33" s="90">
        <v>162.6</v>
      </c>
      <c r="N33" s="90">
        <v>162.6</v>
      </c>
      <c r="O33" s="90">
        <v>163.69999999999999</v>
      </c>
      <c r="P33" s="90">
        <v>163.69999999999999</v>
      </c>
      <c r="Q33" s="90">
        <v>163.6</v>
      </c>
      <c r="R33" s="90">
        <v>164</v>
      </c>
      <c r="S33" s="90">
        <v>164.3</v>
      </c>
      <c r="T33" s="90">
        <v>164.3</v>
      </c>
      <c r="U33" s="90">
        <v>164.3</v>
      </c>
      <c r="V33" s="90">
        <v>163.5</v>
      </c>
      <c r="W33" s="90">
        <v>163.19999999999999</v>
      </c>
      <c r="X33" s="90">
        <v>163.9</v>
      </c>
      <c r="Y33" s="90">
        <v>163.5</v>
      </c>
      <c r="Z33" s="90">
        <v>163.69999999999999</v>
      </c>
      <c r="AA33" s="90">
        <v>163.69999999999999</v>
      </c>
      <c r="AB33" s="90">
        <v>163.69999999999999</v>
      </c>
      <c r="AC33" s="90">
        <v>163</v>
      </c>
      <c r="AD33" s="90"/>
      <c r="AE33" s="90"/>
      <c r="AF33" s="90"/>
      <c r="AG33" s="90"/>
      <c r="AH33" s="90"/>
      <c r="AI33" s="90"/>
      <c r="AJ33" s="90"/>
      <c r="AK33" s="90"/>
    </row>
    <row r="34" spans="3:38" ht="43" customHeight="1" thickBot="1">
      <c r="C34" s="36" t="s">
        <v>35</v>
      </c>
      <c r="D34" s="37">
        <v>10</v>
      </c>
      <c r="E34" s="38">
        <v>31.42</v>
      </c>
      <c r="F34" s="99">
        <f t="shared" ref="F34:F42" si="29">D34*E34</f>
        <v>314.20000000000005</v>
      </c>
      <c r="G34" s="90">
        <v>101.55</v>
      </c>
      <c r="H34" s="90">
        <v>101.55</v>
      </c>
      <c r="I34" s="90">
        <v>101.45399999999999</v>
      </c>
      <c r="J34" s="90">
        <v>102.5</v>
      </c>
      <c r="K34" s="90">
        <v>104</v>
      </c>
      <c r="L34" s="90">
        <v>104.35</v>
      </c>
      <c r="M34" s="90">
        <v>104.35</v>
      </c>
      <c r="N34" s="90">
        <v>104.35</v>
      </c>
      <c r="O34" s="90">
        <v>103.6</v>
      </c>
      <c r="P34" s="90">
        <v>104.55</v>
      </c>
      <c r="Q34" s="90">
        <v>103.9</v>
      </c>
      <c r="R34" s="90">
        <v>103.25</v>
      </c>
      <c r="S34" s="90">
        <v>102.1</v>
      </c>
      <c r="T34" s="90">
        <v>102.1</v>
      </c>
      <c r="U34" s="90">
        <v>102.1</v>
      </c>
      <c r="V34" s="90">
        <v>101</v>
      </c>
      <c r="W34" s="90">
        <v>100.85</v>
      </c>
      <c r="X34" s="90">
        <v>101.25</v>
      </c>
      <c r="Y34" s="90">
        <v>104.4</v>
      </c>
      <c r="Z34" s="90">
        <v>107.35</v>
      </c>
      <c r="AA34" s="90">
        <v>107.35</v>
      </c>
      <c r="AB34" s="90">
        <v>107.35</v>
      </c>
      <c r="AC34" s="90">
        <v>107.2</v>
      </c>
      <c r="AD34" s="90"/>
      <c r="AE34" s="90"/>
      <c r="AF34" s="90"/>
      <c r="AG34" s="90"/>
      <c r="AH34" s="90"/>
      <c r="AI34" s="90"/>
      <c r="AJ34" s="90"/>
      <c r="AK34" s="90"/>
    </row>
    <row r="35" spans="3:38" ht="43" customHeight="1" thickBot="1">
      <c r="C35" s="36" t="s">
        <v>36</v>
      </c>
      <c r="D35" s="37">
        <v>260</v>
      </c>
      <c r="E35" s="38">
        <v>6.66</v>
      </c>
      <c r="F35" s="99">
        <f t="shared" si="29"/>
        <v>1731.6000000000001</v>
      </c>
      <c r="G35" s="90">
        <v>6.5960000000000001</v>
      </c>
      <c r="H35" s="90">
        <v>6.5960000000000001</v>
      </c>
      <c r="I35" s="90">
        <v>6.6760000000000002</v>
      </c>
      <c r="J35" s="90">
        <v>6.6719999999999997</v>
      </c>
      <c r="K35" s="90">
        <v>6.9080000000000004</v>
      </c>
      <c r="L35" s="90">
        <v>6.8879999999999999</v>
      </c>
      <c r="M35" s="90">
        <v>6.8879999999999999</v>
      </c>
      <c r="N35" s="90">
        <v>6.8879999999999999</v>
      </c>
      <c r="O35" s="90">
        <v>6.9</v>
      </c>
      <c r="P35" s="90">
        <v>6.9939999999999998</v>
      </c>
      <c r="Q35" s="90">
        <v>7.04</v>
      </c>
      <c r="R35" s="90">
        <v>7.11</v>
      </c>
      <c r="S35" s="90">
        <v>7.1139999999999999</v>
      </c>
      <c r="T35" s="90">
        <v>7.1139999999999999</v>
      </c>
      <c r="U35" s="90">
        <v>7.1139999999999999</v>
      </c>
      <c r="V35" s="90">
        <v>7.1219999999999999</v>
      </c>
      <c r="W35" s="90">
        <v>7.12</v>
      </c>
      <c r="X35" s="90">
        <v>7.19</v>
      </c>
      <c r="Y35" s="90">
        <v>7.2880000000000003</v>
      </c>
      <c r="Z35" s="90">
        <v>7.234</v>
      </c>
      <c r="AA35" s="90">
        <v>7.234</v>
      </c>
      <c r="AB35" s="90">
        <v>7.234</v>
      </c>
      <c r="AC35" s="90">
        <v>7.39</v>
      </c>
      <c r="AD35" s="90"/>
      <c r="AE35" s="90"/>
      <c r="AF35" s="90"/>
      <c r="AG35" s="90"/>
      <c r="AH35" s="90"/>
      <c r="AI35" s="90"/>
      <c r="AJ35" s="90"/>
      <c r="AK35" s="90"/>
    </row>
    <row r="36" spans="3:38" ht="43" customHeight="1" thickBot="1">
      <c r="C36" s="36" t="s">
        <v>37</v>
      </c>
      <c r="D36" s="37">
        <v>10</v>
      </c>
      <c r="E36" s="38">
        <v>29.53</v>
      </c>
      <c r="F36" s="99">
        <f t="shared" si="29"/>
        <v>295.3</v>
      </c>
      <c r="G36" s="90">
        <v>59.45</v>
      </c>
      <c r="H36" s="90">
        <v>59.45</v>
      </c>
      <c r="I36" s="90">
        <v>60.45</v>
      </c>
      <c r="J36" s="90">
        <v>63.65</v>
      </c>
      <c r="K36" s="90">
        <v>64</v>
      </c>
      <c r="L36" s="90">
        <v>64.2</v>
      </c>
      <c r="M36" s="90">
        <v>64.2</v>
      </c>
      <c r="N36" s="90">
        <v>64.2</v>
      </c>
      <c r="O36" s="90">
        <v>64.099999999999994</v>
      </c>
      <c r="P36" s="90">
        <v>64.45</v>
      </c>
      <c r="Q36" s="90">
        <v>63.8</v>
      </c>
      <c r="R36" s="90">
        <v>66.849999999999994</v>
      </c>
      <c r="S36" s="90">
        <v>66.8</v>
      </c>
      <c r="T36" s="90">
        <v>66.8</v>
      </c>
      <c r="U36" s="90">
        <v>66.8</v>
      </c>
      <c r="V36" s="90">
        <v>69.849999999999994</v>
      </c>
      <c r="W36" s="90">
        <v>68.849999999999994</v>
      </c>
      <c r="X36" s="90">
        <v>69.400000000000006</v>
      </c>
      <c r="Y36" s="90">
        <v>68.400000000000006</v>
      </c>
      <c r="Z36" s="90">
        <v>67.7</v>
      </c>
      <c r="AA36" s="90">
        <v>67.7</v>
      </c>
      <c r="AB36" s="90">
        <v>67.7</v>
      </c>
      <c r="AC36" s="90">
        <v>66.849999999999994</v>
      </c>
      <c r="AD36" s="90"/>
      <c r="AE36" s="90"/>
      <c r="AF36" s="90"/>
      <c r="AG36" s="90"/>
      <c r="AH36" s="90"/>
      <c r="AI36" s="90"/>
      <c r="AJ36" s="90"/>
      <c r="AK36" s="90"/>
    </row>
    <row r="37" spans="3:38" ht="43" customHeight="1" thickBot="1">
      <c r="C37" s="39"/>
      <c r="D37" s="40"/>
      <c r="E37" s="41"/>
      <c r="F37" s="42">
        <f>SUM(F33:F36)</f>
        <v>2561.1000000000004</v>
      </c>
      <c r="G37" s="42">
        <f>SUM(G33*$D$33)+(G34*$D$34)+(G35*$D$35)+(G36*$D$36)</f>
        <v>4117.46</v>
      </c>
      <c r="H37" s="42">
        <f>SUM(H33*$D$33)+(H34*$D$34)+(H35*$D$35)+(H36*$D$36)</f>
        <v>4117.46</v>
      </c>
      <c r="I37" s="42">
        <f>SUM(I33*$D$33)+(I34*$D$34)+(I35*$D$35)+(I36*$D$36)</f>
        <v>4149.3</v>
      </c>
      <c r="J37" s="42">
        <f>SUM(J33*$D$33)+(J34*$D$34)+(J35*$D$35)+(J36*$D$36)</f>
        <v>4196.22</v>
      </c>
      <c r="K37" s="42">
        <f t="shared" ref="K37:N37" si="30">SUM(K33*$D$33)+(K34*$D$34)+(K35*$D$35)+(K36*$D$36)</f>
        <v>4290.58</v>
      </c>
      <c r="L37" s="42">
        <f t="shared" si="30"/>
        <v>4289.38</v>
      </c>
      <c r="M37" s="42">
        <f t="shared" si="30"/>
        <v>4289.38</v>
      </c>
      <c r="N37" s="42">
        <f t="shared" si="30"/>
        <v>4289.38</v>
      </c>
      <c r="O37" s="42">
        <f t="shared" ref="O37" si="31">SUM(O33*$D$33)+(O34*$D$34)+(O35*$D$35)+(O36*$D$36)</f>
        <v>4289.5</v>
      </c>
      <c r="P37" s="42">
        <f t="shared" ref="P37" si="32">SUM(P33*$D$33)+(P34*$D$34)+(P35*$D$35)+(P36*$D$36)</f>
        <v>4326.9400000000005</v>
      </c>
      <c r="Q37" s="42">
        <f t="shared" ref="Q37" si="33">SUM(Q33*$D$33)+(Q34*$D$34)+(Q35*$D$35)+(Q36*$D$36)</f>
        <v>4325.3999999999996</v>
      </c>
      <c r="R37" s="42">
        <f t="shared" ref="R37" si="34">SUM(R33*$D$33)+(R34*$D$34)+(R35*$D$35)+(R36*$D$36)</f>
        <v>4369.6000000000004</v>
      </c>
      <c r="S37" s="42">
        <f t="shared" ref="S37" si="35">SUM(S33*$D$33)+(S34*$D$34)+(S35*$D$35)+(S36*$D$36)</f>
        <v>4360.1399999999994</v>
      </c>
      <c r="T37" s="42">
        <f t="shared" ref="T37" si="36">SUM(T33*$D$33)+(T34*$D$34)+(T35*$D$35)+(T36*$D$36)</f>
        <v>4360.1399999999994</v>
      </c>
      <c r="U37" s="42">
        <f t="shared" ref="U37" si="37">SUM(U33*$D$33)+(U34*$D$34)+(U35*$D$35)+(U36*$D$36)</f>
        <v>4360.1399999999994</v>
      </c>
      <c r="V37" s="42">
        <f t="shared" ref="V37" si="38">SUM(V33*$D$33)+(V34*$D$34)+(V35*$D$35)+(V36*$D$36)</f>
        <v>4377.72</v>
      </c>
      <c r="W37" s="42">
        <f t="shared" ref="W37" si="39">SUM(W33*$D$33)+(W34*$D$34)+(W35*$D$35)+(W36*$D$36)</f>
        <v>4364.2</v>
      </c>
      <c r="X37" s="42">
        <f t="shared" ref="X37" si="40">SUM(X33*$D$33)+(X34*$D$34)+(X35*$D$35)+(X36*$D$36)</f>
        <v>4395.3999999999996</v>
      </c>
      <c r="Y37" s="42">
        <f t="shared" ref="Y37" si="41">SUM(Y33*$D$33)+(Y34*$D$34)+(Y35*$D$35)+(Y36*$D$36)</f>
        <v>4440.38</v>
      </c>
      <c r="Z37" s="42">
        <f t="shared" ref="Z37" si="42">SUM(Z33*$D$33)+(Z34*$D$34)+(Z35*$D$35)+(Z36*$D$36)</f>
        <v>4449.84</v>
      </c>
      <c r="AA37" s="42">
        <f t="shared" ref="AA37" si="43">SUM(AA33*$D$33)+(AA34*$D$34)+(AA35*$D$35)+(AA36*$D$36)</f>
        <v>4449.84</v>
      </c>
      <c r="AB37" s="42">
        <f t="shared" ref="AB37" si="44">SUM(AB33*$D$33)+(AB34*$D$34)+(AB35*$D$35)+(AB36*$D$36)</f>
        <v>4449.84</v>
      </c>
      <c r="AC37" s="42">
        <f t="shared" ref="AC37" si="45">SUM(AC33*$D$33)+(AC34*$D$34)+(AC35*$D$35)+(AC36*$D$36)</f>
        <v>4476.8999999999996</v>
      </c>
      <c r="AD37" s="42">
        <f t="shared" ref="AD37" si="46">SUM(AD33*$D$33)+(AD34*$D$34)+(AD35*$D$35)+(AD36*$D$36)</f>
        <v>0</v>
      </c>
      <c r="AE37" s="42">
        <f t="shared" ref="AE37" si="47">SUM(AE33*$D$33)+(AE34*$D$34)+(AE35*$D$35)+(AE36*$D$36)</f>
        <v>0</v>
      </c>
      <c r="AF37" s="42">
        <f t="shared" ref="AF37" si="48">SUM(AF33*$D$33)+(AF34*$D$34)+(AF35*$D$35)+(AF36*$D$36)</f>
        <v>0</v>
      </c>
      <c r="AG37" s="42">
        <f t="shared" ref="AG37" si="49">SUM(AG33*$D$33)+(AG34*$D$34)+(AG35*$D$35)+(AG36*$D$36)</f>
        <v>0</v>
      </c>
      <c r="AH37" s="42">
        <f t="shared" ref="AH37" si="50">SUM(AH33*$D$33)+(AH34*$D$34)+(AH35*$D$35)+(AH36*$D$36)</f>
        <v>0</v>
      </c>
      <c r="AI37" s="42">
        <f t="shared" ref="AI37" si="51">SUM(AI33*$D$33)+(AI34*$D$34)+(AI35*$D$35)+(AI36*$D$36)</f>
        <v>0</v>
      </c>
      <c r="AJ37" s="42">
        <f t="shared" ref="AJ37" si="52">SUM(AJ33*$D$33)+(AJ34*$D$34)+(AJ35*$D$35)+(AJ36*$D$36)</f>
        <v>0</v>
      </c>
      <c r="AK37" s="42">
        <f t="shared" ref="AK37" si="53">SUM(AK33*$D$33)+(AK34*$D$34)+(AK35*$D$35)+(AK36*$D$36)</f>
        <v>0</v>
      </c>
    </row>
    <row r="38" spans="3:38" ht="43" customHeight="1" thickBot="1">
      <c r="C38" s="36" t="s">
        <v>37</v>
      </c>
      <c r="D38" s="37">
        <v>29</v>
      </c>
      <c r="E38" s="38">
        <v>33.049999999999997</v>
      </c>
      <c r="F38" s="38">
        <f t="shared" si="29"/>
        <v>958.44999999999993</v>
      </c>
      <c r="G38" s="60">
        <v>59.45</v>
      </c>
      <c r="H38" s="60">
        <v>59.45</v>
      </c>
      <c r="I38" s="60">
        <v>60.45</v>
      </c>
      <c r="J38" s="60">
        <v>63.65</v>
      </c>
      <c r="K38" s="60">
        <v>64</v>
      </c>
      <c r="L38" s="60">
        <v>64.2</v>
      </c>
      <c r="M38" s="60">
        <v>64.2</v>
      </c>
      <c r="N38" s="60">
        <v>64.2</v>
      </c>
      <c r="O38" s="60">
        <v>64.099999999999994</v>
      </c>
      <c r="P38" s="60">
        <v>64.45</v>
      </c>
      <c r="Q38" s="60">
        <v>63.8</v>
      </c>
      <c r="R38" s="60">
        <v>66.849999999999994</v>
      </c>
      <c r="S38" s="60">
        <v>66.8</v>
      </c>
      <c r="T38" s="60">
        <v>66.8</v>
      </c>
      <c r="U38" s="60">
        <v>66.8</v>
      </c>
      <c r="V38" s="60">
        <v>69.849999999999994</v>
      </c>
      <c r="W38" s="60">
        <v>68.849999999999994</v>
      </c>
      <c r="X38" s="60">
        <v>69.400000000000006</v>
      </c>
      <c r="Y38" s="60">
        <v>68.400000000000006</v>
      </c>
      <c r="Z38" s="60">
        <v>67.7</v>
      </c>
      <c r="AA38" s="60">
        <v>67.7</v>
      </c>
      <c r="AB38" s="60">
        <v>67.7</v>
      </c>
      <c r="AC38" s="60">
        <v>66.849999999999994</v>
      </c>
      <c r="AD38" s="60"/>
      <c r="AE38" s="60"/>
      <c r="AF38" s="60"/>
      <c r="AG38" s="60"/>
      <c r="AH38" s="60"/>
      <c r="AI38" s="60"/>
      <c r="AJ38" s="60"/>
      <c r="AK38" s="60"/>
    </row>
    <row r="39" spans="3:38" ht="43" customHeight="1" thickBot="1">
      <c r="C39" s="36" t="s">
        <v>38</v>
      </c>
      <c r="D39" s="37">
        <v>5</v>
      </c>
      <c r="E39" s="38">
        <v>21.26</v>
      </c>
      <c r="F39" s="38">
        <f t="shared" si="29"/>
        <v>106.30000000000001</v>
      </c>
      <c r="G39" s="60">
        <v>22.42</v>
      </c>
      <c r="H39" s="60">
        <v>22.42</v>
      </c>
      <c r="I39" s="60">
        <v>22.51</v>
      </c>
      <c r="J39" s="60">
        <v>23</v>
      </c>
      <c r="K39" s="60">
        <v>23.22</v>
      </c>
      <c r="L39" s="60">
        <v>23.55</v>
      </c>
      <c r="M39" s="60">
        <v>23.55</v>
      </c>
      <c r="N39" s="60">
        <v>23.55</v>
      </c>
      <c r="O39" s="60">
        <v>23.82</v>
      </c>
      <c r="P39" s="60">
        <v>24.8</v>
      </c>
      <c r="Q39" s="60">
        <v>24.84</v>
      </c>
      <c r="R39" s="60">
        <v>24.29</v>
      </c>
      <c r="S39" s="60">
        <v>23.38</v>
      </c>
      <c r="T39" s="60">
        <v>23.38</v>
      </c>
      <c r="U39" s="60">
        <v>23.38</v>
      </c>
      <c r="V39" s="60">
        <v>24.01</v>
      </c>
      <c r="W39" s="60">
        <v>23.8</v>
      </c>
      <c r="X39" s="60">
        <v>23.55</v>
      </c>
      <c r="Y39" s="60">
        <v>23.26</v>
      </c>
      <c r="Z39" s="60">
        <v>23.64</v>
      </c>
      <c r="AA39" s="60">
        <v>23.64</v>
      </c>
      <c r="AB39" s="60">
        <v>23.64</v>
      </c>
      <c r="AC39" s="60">
        <v>23.95</v>
      </c>
      <c r="AD39" s="60"/>
      <c r="AE39" s="60"/>
      <c r="AF39" s="60"/>
      <c r="AG39" s="60"/>
      <c r="AH39" s="60"/>
      <c r="AI39" s="60"/>
      <c r="AJ39" s="60"/>
      <c r="AK39" s="60"/>
    </row>
    <row r="40" spans="3:38" ht="43" customHeight="1" thickBot="1">
      <c r="C40" s="36" t="s">
        <v>39</v>
      </c>
      <c r="D40" s="37">
        <v>10</v>
      </c>
      <c r="E40" s="38">
        <v>10.58</v>
      </c>
      <c r="F40" s="38">
        <f t="shared" si="29"/>
        <v>105.8</v>
      </c>
      <c r="G40" s="60">
        <v>3</v>
      </c>
      <c r="H40" s="60">
        <v>3</v>
      </c>
      <c r="I40" s="60">
        <v>3.08</v>
      </c>
      <c r="J40" s="60">
        <v>2.98</v>
      </c>
      <c r="K40" s="60">
        <v>2.99</v>
      </c>
      <c r="L40" s="60">
        <v>3</v>
      </c>
      <c r="M40" s="60">
        <v>3</v>
      </c>
      <c r="N40" s="60">
        <v>3</v>
      </c>
      <c r="O40" s="60">
        <v>3.01</v>
      </c>
      <c r="P40" s="60">
        <v>3.05</v>
      </c>
      <c r="Q40" s="60">
        <v>3.02</v>
      </c>
      <c r="R40" s="60">
        <v>3.04</v>
      </c>
      <c r="S40" s="60">
        <v>3</v>
      </c>
      <c r="T40" s="60">
        <v>3</v>
      </c>
      <c r="U40" s="60">
        <v>3</v>
      </c>
      <c r="V40" s="60">
        <v>2.78</v>
      </c>
      <c r="W40" s="60">
        <v>2.78</v>
      </c>
      <c r="X40" s="60">
        <v>2.65</v>
      </c>
      <c r="Y40" s="60">
        <v>2.73</v>
      </c>
      <c r="Z40" s="60">
        <v>2.73</v>
      </c>
      <c r="AA40" s="60">
        <v>2.73</v>
      </c>
      <c r="AB40" s="60">
        <v>2.73</v>
      </c>
      <c r="AC40" s="60">
        <v>2.66</v>
      </c>
      <c r="AD40" s="60"/>
      <c r="AE40" s="60"/>
      <c r="AF40" s="60"/>
      <c r="AG40" s="60"/>
      <c r="AH40" s="60"/>
      <c r="AI40" s="60"/>
      <c r="AJ40" s="60"/>
      <c r="AK40" s="60"/>
    </row>
    <row r="41" spans="3:38" ht="43" customHeight="1" thickBot="1">
      <c r="C41" s="36" t="s">
        <v>40</v>
      </c>
      <c r="D41" s="37">
        <v>20</v>
      </c>
      <c r="E41" s="38">
        <v>153.75</v>
      </c>
      <c r="F41" s="38">
        <f t="shared" si="29"/>
        <v>3075</v>
      </c>
      <c r="G41" s="60">
        <v>187.48</v>
      </c>
      <c r="H41" s="60">
        <v>187.48</v>
      </c>
      <c r="I41" s="60">
        <v>187.48</v>
      </c>
      <c r="J41" s="60">
        <v>186.46</v>
      </c>
      <c r="K41" s="60">
        <v>186.46</v>
      </c>
      <c r="L41" s="60">
        <v>186.46</v>
      </c>
      <c r="M41" s="60">
        <v>186.46</v>
      </c>
      <c r="N41" s="60">
        <v>186.46</v>
      </c>
      <c r="O41" s="60">
        <v>186.46</v>
      </c>
      <c r="P41" s="60">
        <v>188.39</v>
      </c>
      <c r="Q41" s="60">
        <v>188.39</v>
      </c>
      <c r="R41" s="60">
        <v>188.39</v>
      </c>
      <c r="S41" s="60">
        <v>188.39</v>
      </c>
      <c r="T41" s="60">
        <v>188.39</v>
      </c>
      <c r="U41" s="60">
        <v>188.39</v>
      </c>
      <c r="V41" s="60">
        <v>188.39</v>
      </c>
      <c r="W41" s="60">
        <v>188.15</v>
      </c>
      <c r="X41" s="60">
        <v>188.15</v>
      </c>
      <c r="Y41" s="60">
        <v>188.15</v>
      </c>
      <c r="Z41" s="60">
        <v>188.15</v>
      </c>
      <c r="AA41" s="60">
        <v>188.15</v>
      </c>
      <c r="AB41" s="60">
        <v>188.15</v>
      </c>
      <c r="AC41" s="60">
        <v>188.15</v>
      </c>
      <c r="AD41" s="60"/>
      <c r="AE41" s="60"/>
      <c r="AF41" s="60"/>
      <c r="AG41" s="60"/>
      <c r="AH41" s="60"/>
      <c r="AI41" s="60"/>
      <c r="AJ41" s="60"/>
      <c r="AK41" s="60"/>
    </row>
    <row r="42" spans="3:38" ht="43" customHeight="1" thickBot="1">
      <c r="C42" s="36" t="s">
        <v>41</v>
      </c>
      <c r="D42" s="37">
        <v>8</v>
      </c>
      <c r="E42" s="38">
        <v>375</v>
      </c>
      <c r="F42" s="38">
        <f t="shared" si="29"/>
        <v>3000</v>
      </c>
      <c r="G42" s="60">
        <v>297.52</v>
      </c>
      <c r="H42" s="60">
        <v>297.52</v>
      </c>
      <c r="I42" s="60">
        <v>297.52</v>
      </c>
      <c r="J42" s="60">
        <v>297.52</v>
      </c>
      <c r="K42" s="60">
        <v>297.52</v>
      </c>
      <c r="L42" s="60">
        <v>297.52</v>
      </c>
      <c r="M42" s="60">
        <v>297.52</v>
      </c>
      <c r="N42" s="60">
        <v>297.52</v>
      </c>
      <c r="O42" s="60">
        <v>297.52</v>
      </c>
      <c r="P42" s="60">
        <v>297.52</v>
      </c>
      <c r="Q42" s="60">
        <v>297.52</v>
      </c>
      <c r="R42" s="60">
        <v>297.52</v>
      </c>
      <c r="S42" s="60">
        <v>297.52</v>
      </c>
      <c r="T42" s="60">
        <v>297.52</v>
      </c>
      <c r="U42" s="60">
        <v>297.52</v>
      </c>
      <c r="V42" s="60">
        <v>297.52</v>
      </c>
      <c r="W42" s="60">
        <v>297.52</v>
      </c>
      <c r="X42" s="60">
        <v>297.52</v>
      </c>
      <c r="Y42" s="60">
        <v>297.52</v>
      </c>
      <c r="Z42" s="60">
        <v>297.52</v>
      </c>
      <c r="AA42" s="60">
        <v>297.52</v>
      </c>
      <c r="AB42" s="60">
        <v>297.52</v>
      </c>
      <c r="AC42" s="60">
        <v>297.52</v>
      </c>
      <c r="AD42" s="60"/>
      <c r="AE42" s="60"/>
      <c r="AF42" s="60"/>
      <c r="AG42" s="60"/>
      <c r="AH42" s="60"/>
      <c r="AI42" s="60"/>
      <c r="AJ42" s="60"/>
      <c r="AK42" s="60"/>
    </row>
    <row r="43" spans="3:38" ht="43" customHeight="1" thickBot="1">
      <c r="C43" s="43"/>
      <c r="D43" s="44"/>
      <c r="E43" s="45"/>
      <c r="F43" s="42">
        <f>SUM(F38:F42)</f>
        <v>7245.55</v>
      </c>
      <c r="G43" s="42">
        <f>SUM(G38*$D38)+(G39*$D39)+(G40*$D40)+(G41*$D41)+(G42*$D42)</f>
        <v>7995.91</v>
      </c>
      <c r="H43" s="42">
        <f>SUM(H38*$D38)+(H39*$D39)+(H40*$D40)+(H41*$D41)+(H42*$D42)</f>
        <v>7995.91</v>
      </c>
      <c r="I43" s="42">
        <f>SUM(I38*$D38)+(I39*$D39)+(I40*$D40)+(I41*$D41)+(I42*$D42)</f>
        <v>8026.16</v>
      </c>
      <c r="J43" s="42">
        <f>SUM(J38*$D38)+(J39*$D39)+(J40*$D40)+(J41*$D41)+(J42*$D42)</f>
        <v>8100.01</v>
      </c>
      <c r="K43" s="42">
        <f t="shared" ref="K43:AK43" si="54">SUM(K38*$D38)+(K39*$D39)+(K40*$D40)+(K41*$D41)+(K42*$D42)</f>
        <v>8111.3600000000006</v>
      </c>
      <c r="L43" s="42">
        <f t="shared" si="54"/>
        <v>8118.91</v>
      </c>
      <c r="M43" s="42">
        <f t="shared" si="54"/>
        <v>8118.91</v>
      </c>
      <c r="N43" s="42">
        <f t="shared" si="54"/>
        <v>8118.91</v>
      </c>
      <c r="O43" s="42">
        <f t="shared" si="54"/>
        <v>8117.46</v>
      </c>
      <c r="P43" s="42">
        <f t="shared" si="54"/>
        <v>8171.51</v>
      </c>
      <c r="Q43" s="42">
        <f t="shared" si="54"/>
        <v>8152.5599999999995</v>
      </c>
      <c r="R43" s="42">
        <f t="shared" si="54"/>
        <v>8238.4599999999991</v>
      </c>
      <c r="S43" s="42">
        <f t="shared" si="54"/>
        <v>8232.06</v>
      </c>
      <c r="T43" s="42">
        <f t="shared" si="54"/>
        <v>8232.06</v>
      </c>
      <c r="U43" s="42">
        <f t="shared" si="54"/>
        <v>8232.06</v>
      </c>
      <c r="V43" s="42">
        <f t="shared" si="54"/>
        <v>8321.4599999999991</v>
      </c>
      <c r="W43" s="42">
        <f t="shared" si="54"/>
        <v>8286.61</v>
      </c>
      <c r="X43" s="42">
        <f t="shared" si="54"/>
        <v>8300.01</v>
      </c>
      <c r="Y43" s="42">
        <f t="shared" si="54"/>
        <v>8270.36</v>
      </c>
      <c r="Z43" s="42">
        <f t="shared" si="54"/>
        <v>8251.9599999999991</v>
      </c>
      <c r="AA43" s="42">
        <f t="shared" si="54"/>
        <v>8251.9599999999991</v>
      </c>
      <c r="AB43" s="42">
        <f t="shared" si="54"/>
        <v>8251.9599999999991</v>
      </c>
      <c r="AC43" s="42">
        <f t="shared" si="54"/>
        <v>8228.16</v>
      </c>
      <c r="AD43" s="42">
        <f t="shared" si="54"/>
        <v>0</v>
      </c>
      <c r="AE43" s="42">
        <f t="shared" si="54"/>
        <v>0</v>
      </c>
      <c r="AF43" s="42">
        <f t="shared" si="54"/>
        <v>0</v>
      </c>
      <c r="AG43" s="42">
        <f t="shared" si="54"/>
        <v>0</v>
      </c>
      <c r="AH43" s="42">
        <f t="shared" si="54"/>
        <v>0</v>
      </c>
      <c r="AI43" s="42">
        <f t="shared" si="54"/>
        <v>0</v>
      </c>
      <c r="AJ43" s="42">
        <f t="shared" si="54"/>
        <v>0</v>
      </c>
      <c r="AK43" s="42">
        <f t="shared" si="54"/>
        <v>0</v>
      </c>
    </row>
    <row r="44" spans="3:38" ht="43" customHeight="1" thickBot="1">
      <c r="C44" s="46"/>
      <c r="D44" s="46"/>
      <c r="E44" s="46"/>
      <c r="F44" s="47">
        <f>F43+F37</f>
        <v>9806.6500000000015</v>
      </c>
      <c r="G44" s="47">
        <f>G37+G43</f>
        <v>12113.369999999999</v>
      </c>
      <c r="H44" s="47">
        <f>H37+H43</f>
        <v>12113.369999999999</v>
      </c>
      <c r="I44" s="47">
        <f>I37+I43</f>
        <v>12175.46</v>
      </c>
      <c r="J44" s="47">
        <f>J37+J43</f>
        <v>12296.23</v>
      </c>
      <c r="K44" s="47">
        <f t="shared" ref="K44:N44" si="55">K37+K43</f>
        <v>12401.94</v>
      </c>
      <c r="L44" s="47">
        <f t="shared" si="55"/>
        <v>12408.29</v>
      </c>
      <c r="M44" s="47">
        <f t="shared" si="55"/>
        <v>12408.29</v>
      </c>
      <c r="N44" s="47">
        <f t="shared" si="55"/>
        <v>12408.29</v>
      </c>
      <c r="O44" s="47">
        <f t="shared" ref="O44:AH44" si="56">O37+O43</f>
        <v>12406.96</v>
      </c>
      <c r="P44" s="47">
        <f t="shared" si="56"/>
        <v>12498.45</v>
      </c>
      <c r="Q44" s="47">
        <f t="shared" si="56"/>
        <v>12477.96</v>
      </c>
      <c r="R44" s="47">
        <f t="shared" si="56"/>
        <v>12608.06</v>
      </c>
      <c r="S44" s="47">
        <f t="shared" si="56"/>
        <v>12592.199999999999</v>
      </c>
      <c r="T44" s="47">
        <f t="shared" si="56"/>
        <v>12592.199999999999</v>
      </c>
      <c r="U44" s="47">
        <f t="shared" si="56"/>
        <v>12592.199999999999</v>
      </c>
      <c r="V44" s="47">
        <f t="shared" si="56"/>
        <v>12699.18</v>
      </c>
      <c r="W44" s="47">
        <f t="shared" si="56"/>
        <v>12650.810000000001</v>
      </c>
      <c r="X44" s="47">
        <f t="shared" si="56"/>
        <v>12695.41</v>
      </c>
      <c r="Y44" s="47">
        <f t="shared" si="56"/>
        <v>12710.740000000002</v>
      </c>
      <c r="Z44" s="47">
        <f t="shared" si="56"/>
        <v>12701.8</v>
      </c>
      <c r="AA44" s="47">
        <f t="shared" si="56"/>
        <v>12701.8</v>
      </c>
      <c r="AB44" s="47">
        <f t="shared" si="56"/>
        <v>12701.8</v>
      </c>
      <c r="AC44" s="47">
        <f t="shared" si="56"/>
        <v>12705.06</v>
      </c>
      <c r="AD44" s="47">
        <f t="shared" si="56"/>
        <v>0</v>
      </c>
      <c r="AE44" s="47">
        <f t="shared" si="56"/>
        <v>0</v>
      </c>
      <c r="AF44" s="47">
        <f t="shared" si="56"/>
        <v>0</v>
      </c>
      <c r="AG44" s="47">
        <f t="shared" si="56"/>
        <v>0</v>
      </c>
      <c r="AH44" s="47">
        <f t="shared" si="56"/>
        <v>0</v>
      </c>
      <c r="AI44" s="47"/>
      <c r="AJ44" s="47"/>
      <c r="AK44" s="47"/>
    </row>
    <row r="45" spans="3:38" ht="16" thickBot="1">
      <c r="F45" s="48"/>
      <c r="G45" s="102">
        <f t="shared" ref="G45" si="57">(G44/F44)-1</f>
        <v>0.23521997828004437</v>
      </c>
      <c r="H45" s="102">
        <f t="shared" ref="H45" si="58">(H44/G44)-1</f>
        <v>0</v>
      </c>
      <c r="I45" s="102">
        <f t="shared" ref="I45" si="59">(I44/H44)-1</f>
        <v>5.1257412264300584E-3</v>
      </c>
      <c r="J45" s="102">
        <f t="shared" ref="J45" si="60">(J44/I44)-1</f>
        <v>9.9191324188161456E-3</v>
      </c>
      <c r="K45" s="102">
        <f t="shared" ref="K45" si="61">(K44/J44)-1</f>
        <v>8.5969439413544624E-3</v>
      </c>
      <c r="L45" s="102">
        <f t="shared" ref="L45" si="62">(L44/K44)-1</f>
        <v>5.1201666835987147E-4</v>
      </c>
      <c r="M45" s="102">
        <f t="shared" ref="M45" si="63">(M44/L44)-1</f>
        <v>0</v>
      </c>
      <c r="N45" s="102">
        <f t="shared" ref="N45" si="64">(N44/M44)-1</f>
        <v>0</v>
      </c>
      <c r="O45" s="102">
        <f t="shared" ref="O45:P45" si="65">(O44/N44)-1</f>
        <v>-1.0718640521789613E-4</v>
      </c>
      <c r="P45" s="102">
        <f t="shared" si="65"/>
        <v>7.3740868028913109E-3</v>
      </c>
      <c r="Q45" s="102">
        <f>(Q44/P44)-1</f>
        <v>-1.6394032860076457E-3</v>
      </c>
      <c r="R45" s="102">
        <f>(R44/Q44)-1</f>
        <v>1.0426383799916117E-2</v>
      </c>
      <c r="S45" s="102">
        <f>(S44/R44)-1</f>
        <v>-1.257925485760758E-3</v>
      </c>
      <c r="T45" s="102">
        <f t="shared" ref="T45:AL45" si="66">(T44/S44)-1</f>
        <v>0</v>
      </c>
      <c r="U45" s="102">
        <f t="shared" si="66"/>
        <v>0</v>
      </c>
      <c r="V45" s="102">
        <f t="shared" si="66"/>
        <v>8.4957354552819275E-3</v>
      </c>
      <c r="W45" s="102">
        <f t="shared" si="66"/>
        <v>-3.8089073467735268E-3</v>
      </c>
      <c r="X45" s="102">
        <f t="shared" si="66"/>
        <v>3.5254659583061621E-3</v>
      </c>
      <c r="Y45" s="102">
        <f t="shared" si="66"/>
        <v>1.2075230339154697E-3</v>
      </c>
      <c r="Z45" s="102">
        <f t="shared" si="66"/>
        <v>-7.0334221296342037E-4</v>
      </c>
      <c r="AA45" s="102">
        <f t="shared" si="66"/>
        <v>0</v>
      </c>
      <c r="AB45" s="102">
        <f t="shared" si="66"/>
        <v>0</v>
      </c>
      <c r="AC45" s="102">
        <f t="shared" si="66"/>
        <v>2.5665653686890444E-4</v>
      </c>
      <c r="AD45" s="102">
        <f t="shared" si="66"/>
        <v>-1</v>
      </c>
      <c r="AE45" s="102" t="e">
        <f t="shared" si="66"/>
        <v>#DIV/0!</v>
      </c>
      <c r="AF45" s="102" t="e">
        <f t="shared" si="66"/>
        <v>#DIV/0!</v>
      </c>
      <c r="AG45" s="102" t="e">
        <f t="shared" si="66"/>
        <v>#DIV/0!</v>
      </c>
      <c r="AH45" s="102" t="e">
        <f t="shared" si="66"/>
        <v>#DIV/0!</v>
      </c>
      <c r="AI45" s="102" t="e">
        <f t="shared" si="66"/>
        <v>#DIV/0!</v>
      </c>
      <c r="AJ45" s="102" t="e">
        <f t="shared" si="66"/>
        <v>#DIV/0!</v>
      </c>
      <c r="AK45" s="102" t="e">
        <f t="shared" si="66"/>
        <v>#DIV/0!</v>
      </c>
      <c r="AL45" s="102" t="e">
        <f t="shared" si="66"/>
        <v>#DIV/0!</v>
      </c>
    </row>
    <row r="46" spans="3:38">
      <c r="G46" s="102">
        <f>[1]Octobre17!AP65</f>
        <v>0.11656137809546763</v>
      </c>
      <c r="H46" s="103">
        <f t="shared" ref="H46:O46" si="67">G46+H45</f>
        <v>0.11656137809546763</v>
      </c>
      <c r="I46" s="103">
        <f t="shared" si="67"/>
        <v>0.12168711932189769</v>
      </c>
      <c r="J46" s="103">
        <f t="shared" si="67"/>
        <v>0.13160625174071383</v>
      </c>
      <c r="K46" s="103">
        <f t="shared" si="67"/>
        <v>0.14020319568206829</v>
      </c>
      <c r="L46" s="103">
        <f t="shared" si="67"/>
        <v>0.14071521235042816</v>
      </c>
      <c r="M46" s="103">
        <f t="shared" si="67"/>
        <v>0.14071521235042816</v>
      </c>
      <c r="N46" s="103">
        <f t="shared" si="67"/>
        <v>0.14071521235042816</v>
      </c>
      <c r="O46" s="103">
        <f t="shared" si="67"/>
        <v>0.14060802594521027</v>
      </c>
      <c r="P46" s="103">
        <f>O46+P45</f>
        <v>0.14798211274810158</v>
      </c>
      <c r="Q46" s="103">
        <f>P46+Q45</f>
        <v>0.14634270946209393</v>
      </c>
      <c r="R46" s="103">
        <f t="shared" ref="R46:AL46" si="68">Q46+R45</f>
        <v>0.15676909326201005</v>
      </c>
      <c r="S46" s="103">
        <f t="shared" si="68"/>
        <v>0.15551116777624929</v>
      </c>
      <c r="T46" s="103">
        <f t="shared" si="68"/>
        <v>0.15551116777624929</v>
      </c>
      <c r="U46" s="103">
        <f t="shared" si="68"/>
        <v>0.15551116777624929</v>
      </c>
      <c r="V46" s="103">
        <f t="shared" si="68"/>
        <v>0.16400690323153122</v>
      </c>
      <c r="W46" s="103">
        <f t="shared" si="68"/>
        <v>0.16019799588475769</v>
      </c>
      <c r="X46" s="103">
        <f t="shared" si="68"/>
        <v>0.16372346184306386</v>
      </c>
      <c r="Y46" s="103">
        <f t="shared" si="68"/>
        <v>0.16493098487697933</v>
      </c>
      <c r="Z46" s="103">
        <f t="shared" si="68"/>
        <v>0.1642276426640159</v>
      </c>
      <c r="AA46" s="103">
        <f t="shared" si="68"/>
        <v>0.1642276426640159</v>
      </c>
      <c r="AB46" s="103">
        <f t="shared" si="68"/>
        <v>0.1642276426640159</v>
      </c>
      <c r="AC46" s="103">
        <f t="shared" si="68"/>
        <v>0.16448429920088481</v>
      </c>
      <c r="AD46" s="103">
        <f t="shared" si="68"/>
        <v>-0.83551570079911519</v>
      </c>
      <c r="AE46" s="103" t="e">
        <f t="shared" si="68"/>
        <v>#DIV/0!</v>
      </c>
      <c r="AF46" s="103" t="e">
        <f t="shared" si="68"/>
        <v>#DIV/0!</v>
      </c>
      <c r="AG46" s="103" t="e">
        <f t="shared" si="68"/>
        <v>#DIV/0!</v>
      </c>
      <c r="AH46" s="103" t="e">
        <f t="shared" si="68"/>
        <v>#DIV/0!</v>
      </c>
      <c r="AI46" s="103" t="e">
        <f t="shared" si="68"/>
        <v>#DIV/0!</v>
      </c>
      <c r="AJ46" s="103" t="e">
        <f t="shared" si="68"/>
        <v>#DIV/0!</v>
      </c>
      <c r="AK46" s="103" t="e">
        <f t="shared" si="68"/>
        <v>#DIV/0!</v>
      </c>
      <c r="AL46" s="103" t="e">
        <f t="shared" si="68"/>
        <v>#DIV/0!</v>
      </c>
    </row>
    <row r="47" spans="3:38" ht="16" thickBot="1">
      <c r="G47" s="100">
        <f>G44-F44</f>
        <v>2306.7199999999975</v>
      </c>
      <c r="H47" s="100">
        <f>H44-G44</f>
        <v>0</v>
      </c>
      <c r="I47" s="100">
        <f t="shared" ref="I47:AL47" si="69">I44-H44</f>
        <v>62.090000000000146</v>
      </c>
      <c r="J47" s="100">
        <f t="shared" si="69"/>
        <v>120.77000000000044</v>
      </c>
      <c r="K47" s="100">
        <f t="shared" si="69"/>
        <v>105.71000000000095</v>
      </c>
      <c r="L47" s="100">
        <f t="shared" si="69"/>
        <v>6.3500000000003638</v>
      </c>
      <c r="M47" s="100">
        <f t="shared" si="69"/>
        <v>0</v>
      </c>
      <c r="N47" s="100">
        <f t="shared" si="69"/>
        <v>0</v>
      </c>
      <c r="O47" s="100">
        <f t="shared" si="69"/>
        <v>-1.3300000000017462</v>
      </c>
      <c r="P47" s="100">
        <f t="shared" si="69"/>
        <v>91.490000000001601</v>
      </c>
      <c r="Q47" s="100">
        <f t="shared" si="69"/>
        <v>-20.490000000001601</v>
      </c>
      <c r="R47" s="100">
        <f t="shared" si="69"/>
        <v>130.10000000000036</v>
      </c>
      <c r="S47" s="100">
        <f t="shared" si="69"/>
        <v>-15.860000000000582</v>
      </c>
      <c r="T47" s="100">
        <f t="shared" si="69"/>
        <v>0</v>
      </c>
      <c r="U47" s="100">
        <f t="shared" si="69"/>
        <v>0</v>
      </c>
      <c r="V47" s="100">
        <f t="shared" si="69"/>
        <v>106.98000000000138</v>
      </c>
      <c r="W47" s="100">
        <f t="shared" si="69"/>
        <v>-48.369999999998981</v>
      </c>
      <c r="X47" s="100">
        <f t="shared" si="69"/>
        <v>44.599999999998545</v>
      </c>
      <c r="Y47" s="100">
        <f t="shared" si="69"/>
        <v>15.330000000001746</v>
      </c>
      <c r="Z47" s="100">
        <f t="shared" si="69"/>
        <v>-8.9400000000023283</v>
      </c>
      <c r="AA47" s="100">
        <f t="shared" si="69"/>
        <v>0</v>
      </c>
      <c r="AB47" s="100">
        <f t="shared" si="69"/>
        <v>0</v>
      </c>
      <c r="AC47" s="100">
        <f t="shared" si="69"/>
        <v>3.2600000000002183</v>
      </c>
      <c r="AD47" s="100">
        <f t="shared" si="69"/>
        <v>-12705.06</v>
      </c>
      <c r="AE47" s="100">
        <f t="shared" si="69"/>
        <v>0</v>
      </c>
      <c r="AF47" s="100">
        <f t="shared" si="69"/>
        <v>0</v>
      </c>
      <c r="AG47" s="100">
        <f t="shared" si="69"/>
        <v>0</v>
      </c>
      <c r="AH47" s="100">
        <f t="shared" si="69"/>
        <v>0</v>
      </c>
      <c r="AI47" s="100">
        <f t="shared" si="69"/>
        <v>0</v>
      </c>
      <c r="AJ47" s="100">
        <f t="shared" si="69"/>
        <v>0</v>
      </c>
      <c r="AK47" s="100">
        <f t="shared" si="69"/>
        <v>0</v>
      </c>
      <c r="AL47" s="100">
        <f t="shared" si="69"/>
        <v>0</v>
      </c>
    </row>
    <row r="48" spans="3:38" ht="43" customHeight="1">
      <c r="H48" s="101"/>
      <c r="I48" s="101">
        <f t="shared" ref="I48" si="70">H47+I47</f>
        <v>62.090000000000146</v>
      </c>
      <c r="J48" s="101">
        <f>I47+J47</f>
        <v>182.86000000000058</v>
      </c>
      <c r="K48" s="101">
        <f t="shared" ref="K48:R48" si="71">J48+K47</f>
        <v>288.57000000000153</v>
      </c>
      <c r="L48" s="101">
        <f t="shared" si="71"/>
        <v>294.92000000000189</v>
      </c>
      <c r="M48" s="101">
        <f t="shared" si="71"/>
        <v>294.92000000000189</v>
      </c>
      <c r="N48" s="101">
        <f t="shared" si="71"/>
        <v>294.92000000000189</v>
      </c>
      <c r="O48" s="101">
        <f t="shared" si="71"/>
        <v>293.59000000000015</v>
      </c>
      <c r="P48" s="101">
        <f t="shared" si="71"/>
        <v>385.08000000000175</v>
      </c>
      <c r="Q48" s="101">
        <f t="shared" si="71"/>
        <v>364.59000000000015</v>
      </c>
      <c r="R48" s="101">
        <f t="shared" si="71"/>
        <v>494.69000000000051</v>
      </c>
      <c r="S48" s="101">
        <f t="shared" ref="S48" si="72">R48+S47</f>
        <v>478.82999999999993</v>
      </c>
      <c r="T48" s="101">
        <f t="shared" ref="T48:U48" si="73">S48+T47</f>
        <v>478.82999999999993</v>
      </c>
      <c r="U48" s="101">
        <f t="shared" si="73"/>
        <v>478.82999999999993</v>
      </c>
      <c r="V48" s="101">
        <f t="shared" ref="V48" si="74">U48+V47</f>
        <v>585.81000000000131</v>
      </c>
      <c r="W48" s="101">
        <f t="shared" ref="W48" si="75">V48+W47</f>
        <v>537.44000000000233</v>
      </c>
      <c r="X48" s="101">
        <f t="shared" ref="X48" si="76">W48+X47</f>
        <v>582.04000000000087</v>
      </c>
      <c r="Y48" s="101">
        <f t="shared" ref="Y48" si="77">X48+Y47</f>
        <v>597.37000000000262</v>
      </c>
      <c r="Z48" s="101">
        <f t="shared" ref="Z48" si="78">Y48+Z47</f>
        <v>588.43000000000029</v>
      </c>
      <c r="AA48" s="101">
        <f t="shared" ref="AA48" si="79">Z48+AA47</f>
        <v>588.43000000000029</v>
      </c>
      <c r="AB48" s="101">
        <f t="shared" ref="AB48" si="80">AA48+AB47</f>
        <v>588.43000000000029</v>
      </c>
      <c r="AC48" s="101">
        <f t="shared" ref="AC48" si="81">AB48+AC47</f>
        <v>591.69000000000051</v>
      </c>
    </row>
    <row r="49" spans="8:34" ht="43" customHeight="1"/>
    <row r="50" spans="8:34" ht="43" customHeight="1"/>
    <row r="51" spans="8:34" ht="43" customHeight="1"/>
    <row r="52" spans="8:34" ht="43" customHeight="1"/>
    <row r="53" spans="8:34" ht="43" customHeight="1"/>
    <row r="54" spans="8:34" ht="43" customHeight="1"/>
    <row r="55" spans="8:34" ht="43" customHeight="1"/>
    <row r="56" spans="8:34" ht="43" customHeight="1"/>
    <row r="57" spans="8:34" ht="43" customHeight="1"/>
    <row r="58" spans="8:34" ht="43" customHeight="1"/>
    <row r="59" spans="8:34" ht="43" customHeight="1"/>
    <row r="60" spans="8:34" ht="43" customHeight="1"/>
    <row r="63" spans="8:34">
      <c r="W63" s="49"/>
      <c r="Y63" s="49"/>
      <c r="Z63" s="49"/>
      <c r="AB63" s="49"/>
      <c r="AD63" s="49"/>
      <c r="AF63" s="49"/>
      <c r="AH63" s="49"/>
    </row>
    <row r="64" spans="8:34">
      <c r="H64" s="50"/>
      <c r="W64" s="50"/>
      <c r="Y64" s="50"/>
      <c r="Z64" s="50"/>
      <c r="AB64" s="50"/>
      <c r="AD64" s="50"/>
      <c r="AF64" s="50"/>
      <c r="AH64" s="50"/>
    </row>
    <row r="66" spans="23:34">
      <c r="W66" s="51"/>
      <c r="Y66" s="51"/>
      <c r="Z66" s="51"/>
      <c r="AB66" s="51"/>
      <c r="AD66" s="51"/>
      <c r="AF66" s="51"/>
      <c r="AH66" s="51"/>
    </row>
    <row r="68" spans="23:34">
      <c r="W68" s="51"/>
      <c r="Y68" s="51"/>
      <c r="Z68" s="51"/>
      <c r="AB68" s="51"/>
      <c r="AD68" s="51"/>
      <c r="AF68" s="51"/>
      <c r="AH68" s="51"/>
    </row>
    <row r="69" spans="23:34">
      <c r="W69" s="51"/>
      <c r="Y69" s="51"/>
      <c r="Z69" s="51"/>
      <c r="AB69" s="51"/>
      <c r="AD69" s="51"/>
      <c r="AF69" s="51"/>
      <c r="AH69" s="51"/>
    </row>
    <row r="70" spans="23:34">
      <c r="W70" s="51"/>
      <c r="Y70" s="51"/>
      <c r="Z70" s="51"/>
      <c r="AB70" s="51"/>
      <c r="AD70" s="51"/>
      <c r="AF70" s="51"/>
      <c r="AH70" s="51"/>
    </row>
    <row r="71" spans="23:34">
      <c r="W71" s="52"/>
      <c r="Y71" s="52"/>
      <c r="Z71" s="52"/>
      <c r="AB71" s="52"/>
      <c r="AD71" s="52"/>
      <c r="AF71" s="52"/>
      <c r="AH71" s="52"/>
    </row>
    <row r="104" spans="339:339">
      <c r="MA104" s="78"/>
    </row>
  </sheetData>
  <conditionalFormatting sqref="B26:AG26">
    <cfRule type="cellIs" dxfId="34" priority="6" operator="equal">
      <formula>$C$32</formula>
    </cfRule>
  </conditionalFormatting>
  <conditionalFormatting sqref="I2">
    <cfRule type="containsText" dxfId="33" priority="3" operator="containsText" text="dimanche">
      <formula>NOT(ISERROR(SEARCH("dimanche",I2)))</formula>
    </cfRule>
  </conditionalFormatting>
  <conditionalFormatting sqref="B2:H2">
    <cfRule type="containsText" dxfId="32" priority="2" operator="containsText" text="dimanche">
      <formula>NOT(ISERROR(SEARCH("dimanche",B2)))</formula>
    </cfRule>
  </conditionalFormatting>
  <conditionalFormatting sqref="J2:AG2">
    <cfRule type="containsText" dxfId="31" priority="1" operator="containsText" text="dimanche">
      <formula>NOT(ISERROR(SEARCH("dimanche",J2)))</formula>
    </cfRule>
  </conditionalFormatting>
  <pageMargins left="0.75" right="0.75" top="1" bottom="1" header="0.5" footer="0.5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30C2FFB9-16DF-5048-89C3-F1A98AF61FAD}">
            <xm:f>NOT(ISERROR(SEARCH("-",G47)))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G47:AL47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CREDIT PERSO</vt:lpstr>
      <vt:lpstr>compte janvier</vt:lpstr>
      <vt:lpstr>janvier18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Fiachetti</dc:creator>
  <cp:lastModifiedBy>christian fiachetti</cp:lastModifiedBy>
  <dcterms:created xsi:type="dcterms:W3CDTF">2017-12-10T09:00:24Z</dcterms:created>
  <dcterms:modified xsi:type="dcterms:W3CDTF">2018-01-24T00:06:57Z</dcterms:modified>
</cp:coreProperties>
</file>