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05" windowWidth="14805" windowHeight="8010"/>
  </bookViews>
  <sheets>
    <sheet name="INFOS" sheetId="3" r:id="rId1"/>
    <sheet name="Calendrier Paies" sheetId="4" r:id="rId2"/>
    <sheet name="Réglages" sheetId="1" r:id="rId3"/>
    <sheet name="Transformation" sheetId="5" r:id="rId4"/>
  </sheets>
  <functionGroups builtInGroupCount="18"/>
  <definedNames>
    <definedName name="_xlnm._FilterDatabase" localSheetId="3" hidden="1">Transformation!$A$1:$I$50</definedName>
    <definedName name="zona">'Calendrier Paies'!$X$6:$Y$17</definedName>
    <definedName name="zonb">'Calendrier Paies'!$X$18:$Y$29</definedName>
    <definedName name="zonc">'Calendrier Paies'!$Z$6:$AA$17</definedName>
    <definedName name="zone">'Calendrier Paies'!$V$6:$W$185</definedName>
  </definedNames>
  <calcPr calcId="152511"/>
</workbook>
</file>

<file path=xl/calcChain.xml><?xml version="1.0" encoding="utf-8"?>
<calcChain xmlns="http://schemas.openxmlformats.org/spreadsheetml/2006/main">
  <c r="AC23" i="1" l="1"/>
  <c r="AC24" i="1"/>
  <c r="AC25" i="1"/>
  <c r="AC26" i="1"/>
  <c r="AC27" i="1"/>
  <c r="AC28" i="1"/>
  <c r="AC32" i="1"/>
  <c r="AC33" i="1"/>
  <c r="AC34" i="1"/>
  <c r="AC35" i="1"/>
  <c r="AC36" i="1"/>
  <c r="AC37" i="1"/>
  <c r="AC38" i="1"/>
  <c r="AC22" i="1"/>
  <c r="AD18" i="1"/>
  <c r="AD17" i="1"/>
  <c r="AD16" i="1"/>
  <c r="AZ2" i="1" l="1"/>
  <c r="AZ3" i="1"/>
  <c r="AZ4" i="1"/>
  <c r="AZ5" i="1"/>
  <c r="AZ6" i="1"/>
  <c r="AZ7" i="1"/>
  <c r="AZ8" i="1"/>
  <c r="AZ9" i="1"/>
  <c r="AZ10" i="1"/>
  <c r="AZ1" i="1"/>
  <c r="C52" i="1" l="1"/>
  <c r="C51" i="1"/>
  <c r="C50" i="1"/>
  <c r="C49" i="1"/>
  <c r="C48" i="1"/>
  <c r="C47" i="1"/>
  <c r="C46" i="1"/>
  <c r="C45" i="1"/>
  <c r="C44" i="1"/>
  <c r="W185" i="4" l="1"/>
  <c r="V185" i="4"/>
  <c r="W184" i="4"/>
  <c r="V184" i="4"/>
  <c r="W183" i="4"/>
  <c r="V183" i="4"/>
  <c r="W182" i="4"/>
  <c r="V182" i="4"/>
  <c r="W181" i="4"/>
  <c r="V181" i="4"/>
  <c r="W180" i="4"/>
  <c r="V180" i="4"/>
  <c r="W179" i="4"/>
  <c r="V179" i="4"/>
  <c r="W178" i="4"/>
  <c r="V178" i="4"/>
  <c r="W177" i="4"/>
  <c r="V177" i="4"/>
  <c r="W176" i="4"/>
  <c r="V176" i="4"/>
  <c r="W175" i="4"/>
  <c r="V175" i="4"/>
  <c r="W174" i="4"/>
  <c r="V174" i="4"/>
  <c r="W173" i="4"/>
  <c r="V173" i="4"/>
  <c r="W172" i="4"/>
  <c r="V172" i="4"/>
  <c r="W171" i="4"/>
  <c r="V171" i="4"/>
  <c r="W170" i="4"/>
  <c r="V170" i="4"/>
  <c r="W169" i="4"/>
  <c r="V169" i="4"/>
  <c r="W168" i="4"/>
  <c r="V168" i="4"/>
  <c r="W167" i="4"/>
  <c r="V167" i="4"/>
  <c r="W166" i="4"/>
  <c r="V166" i="4"/>
  <c r="W165" i="4"/>
  <c r="V165" i="4"/>
  <c r="W164" i="4"/>
  <c r="V164" i="4"/>
  <c r="W163" i="4"/>
  <c r="V163" i="4"/>
  <c r="W162" i="4"/>
  <c r="V162" i="4"/>
  <c r="W161" i="4"/>
  <c r="V161" i="4"/>
  <c r="W160" i="4"/>
  <c r="V160" i="4"/>
  <c r="W159" i="4"/>
  <c r="V159" i="4"/>
  <c r="W158" i="4"/>
  <c r="V158" i="4"/>
  <c r="W157" i="4"/>
  <c r="V157" i="4"/>
  <c r="W156" i="4"/>
  <c r="V156" i="4"/>
  <c r="W155" i="4"/>
  <c r="V155" i="4"/>
  <c r="W154" i="4"/>
  <c r="V154" i="4"/>
  <c r="W153" i="4"/>
  <c r="V153" i="4"/>
  <c r="W152" i="4"/>
  <c r="V152" i="4"/>
  <c r="W151" i="4"/>
  <c r="V151" i="4"/>
  <c r="W150" i="4"/>
  <c r="V150" i="4"/>
  <c r="W149" i="4"/>
  <c r="V149" i="4"/>
  <c r="W148" i="4"/>
  <c r="V148" i="4"/>
  <c r="W147" i="4"/>
  <c r="V147" i="4"/>
  <c r="W146" i="4"/>
  <c r="V146" i="4"/>
  <c r="W145" i="4"/>
  <c r="V145" i="4"/>
  <c r="W144" i="4"/>
  <c r="V144" i="4"/>
  <c r="W143" i="4"/>
  <c r="V143" i="4"/>
  <c r="W142" i="4"/>
  <c r="V142" i="4"/>
  <c r="W141" i="4"/>
  <c r="V141" i="4"/>
  <c r="W140" i="4"/>
  <c r="V140" i="4"/>
  <c r="W139" i="4"/>
  <c r="V139" i="4"/>
  <c r="W138" i="4"/>
  <c r="V138" i="4"/>
  <c r="W137" i="4"/>
  <c r="V137" i="4"/>
  <c r="W136" i="4"/>
  <c r="V136" i="4"/>
  <c r="W135" i="4"/>
  <c r="V135" i="4"/>
  <c r="W134" i="4"/>
  <c r="V134" i="4"/>
  <c r="W133" i="4"/>
  <c r="V133" i="4"/>
  <c r="W132" i="4"/>
  <c r="V132" i="4"/>
  <c r="W131" i="4"/>
  <c r="V131" i="4"/>
  <c r="W130" i="4"/>
  <c r="V130" i="4"/>
  <c r="W129" i="4"/>
  <c r="V129" i="4"/>
  <c r="W128" i="4"/>
  <c r="V128" i="4"/>
  <c r="W127" i="4"/>
  <c r="V127" i="4"/>
  <c r="W126" i="4"/>
  <c r="V126" i="4"/>
  <c r="W125" i="4"/>
  <c r="V125" i="4"/>
  <c r="W124" i="4"/>
  <c r="V124" i="4"/>
  <c r="W123" i="4"/>
  <c r="V123" i="4"/>
  <c r="W122" i="4"/>
  <c r="V122" i="4"/>
  <c r="W121" i="4"/>
  <c r="V121" i="4"/>
  <c r="W120" i="4"/>
  <c r="V120" i="4"/>
  <c r="W119" i="4"/>
  <c r="V119" i="4"/>
  <c r="W118" i="4"/>
  <c r="V118" i="4"/>
  <c r="W117" i="4"/>
  <c r="V117" i="4"/>
  <c r="W116" i="4"/>
  <c r="V116" i="4"/>
  <c r="W115" i="4"/>
  <c r="V115" i="4"/>
  <c r="W114" i="4"/>
  <c r="V114" i="4"/>
  <c r="W113" i="4"/>
  <c r="V113" i="4"/>
  <c r="W112" i="4"/>
  <c r="V112" i="4"/>
  <c r="W111" i="4"/>
  <c r="V111" i="4"/>
  <c r="W110" i="4"/>
  <c r="V110" i="4"/>
  <c r="W109" i="4"/>
  <c r="V109" i="4"/>
  <c r="W108" i="4"/>
  <c r="V108" i="4"/>
  <c r="W107" i="4"/>
  <c r="V107" i="4"/>
  <c r="W106" i="4"/>
  <c r="V106" i="4"/>
  <c r="W105" i="4"/>
  <c r="V105" i="4"/>
  <c r="W104" i="4"/>
  <c r="V104" i="4"/>
  <c r="W103" i="4"/>
  <c r="V103" i="4"/>
  <c r="W102" i="4"/>
  <c r="V102" i="4"/>
  <c r="W101" i="4"/>
  <c r="V101" i="4"/>
  <c r="W100" i="4"/>
  <c r="V100" i="4"/>
  <c r="W99" i="4"/>
  <c r="V99" i="4"/>
  <c r="W98" i="4"/>
  <c r="V98" i="4"/>
  <c r="W97" i="4"/>
  <c r="V97" i="4"/>
  <c r="W96" i="4"/>
  <c r="V96" i="4"/>
  <c r="W95" i="4"/>
  <c r="V95" i="4"/>
  <c r="W94" i="4"/>
  <c r="V94" i="4"/>
  <c r="W93" i="4"/>
  <c r="V93" i="4"/>
  <c r="W92" i="4"/>
  <c r="V92" i="4"/>
  <c r="W91" i="4"/>
  <c r="V91" i="4"/>
  <c r="W90" i="4"/>
  <c r="V90" i="4"/>
  <c r="W89" i="4"/>
  <c r="V89" i="4"/>
  <c r="W88" i="4"/>
  <c r="V88" i="4"/>
  <c r="W87" i="4"/>
  <c r="V87" i="4"/>
  <c r="W86" i="4"/>
  <c r="V86" i="4"/>
  <c r="W85" i="4"/>
  <c r="V85" i="4"/>
  <c r="W84" i="4"/>
  <c r="V84" i="4"/>
  <c r="W83" i="4"/>
  <c r="V83" i="4"/>
  <c r="W82" i="4"/>
  <c r="V82" i="4"/>
  <c r="W81" i="4"/>
  <c r="V81" i="4"/>
  <c r="W80" i="4"/>
  <c r="V80" i="4"/>
  <c r="W79" i="4"/>
  <c r="V79" i="4"/>
  <c r="W78" i="4"/>
  <c r="V78" i="4"/>
  <c r="W77" i="4"/>
  <c r="V77" i="4"/>
  <c r="W76" i="4"/>
  <c r="V76" i="4"/>
  <c r="W75" i="4"/>
  <c r="V75" i="4"/>
  <c r="W74" i="4"/>
  <c r="V74" i="4"/>
  <c r="W73" i="4"/>
  <c r="V73" i="4"/>
  <c r="W72" i="4"/>
  <c r="V72" i="4"/>
  <c r="W71" i="4"/>
  <c r="V71" i="4"/>
  <c r="W70" i="4"/>
  <c r="V70" i="4"/>
  <c r="W69" i="4"/>
  <c r="V69" i="4"/>
  <c r="W68" i="4"/>
  <c r="V68" i="4"/>
  <c r="W67" i="4"/>
  <c r="V67" i="4"/>
  <c r="W66" i="4"/>
  <c r="V66" i="4"/>
  <c r="W65" i="4"/>
  <c r="V65" i="4"/>
  <c r="W64" i="4"/>
  <c r="V64" i="4"/>
  <c r="W63" i="4"/>
  <c r="V63" i="4"/>
  <c r="W62" i="4"/>
  <c r="V62" i="4"/>
  <c r="W61" i="4"/>
  <c r="V61" i="4"/>
  <c r="W60" i="4"/>
  <c r="V60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2" i="4"/>
  <c r="V42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Y29" i="4"/>
  <c r="X29" i="4"/>
  <c r="W29" i="4"/>
  <c r="V29" i="4"/>
  <c r="Y28" i="4"/>
  <c r="X28" i="4"/>
  <c r="W28" i="4"/>
  <c r="V28" i="4"/>
  <c r="Y27" i="4"/>
  <c r="X27" i="4"/>
  <c r="W27" i="4"/>
  <c r="V27" i="4"/>
  <c r="Y26" i="4"/>
  <c r="X26" i="4"/>
  <c r="W26" i="4"/>
  <c r="V26" i="4"/>
  <c r="Y25" i="4"/>
  <c r="X25" i="4"/>
  <c r="W25" i="4"/>
  <c r="V25" i="4"/>
  <c r="Y24" i="4"/>
  <c r="X24" i="4"/>
  <c r="W24" i="4"/>
  <c r="V24" i="4"/>
  <c r="Y23" i="4"/>
  <c r="X23" i="4"/>
  <c r="W23" i="4"/>
  <c r="V23" i="4"/>
  <c r="Y22" i="4"/>
  <c r="X22" i="4"/>
  <c r="W22" i="4"/>
  <c r="V22" i="4"/>
  <c r="Y21" i="4"/>
  <c r="X21" i="4"/>
  <c r="W21" i="4"/>
  <c r="V21" i="4"/>
  <c r="Y20" i="4"/>
  <c r="X20" i="4"/>
  <c r="W20" i="4"/>
  <c r="V20" i="4"/>
  <c r="Y19" i="4"/>
  <c r="X19" i="4"/>
  <c r="W19" i="4"/>
  <c r="V19" i="4"/>
  <c r="Y18" i="4"/>
  <c r="X18" i="4"/>
  <c r="W18" i="4"/>
  <c r="V18" i="4"/>
  <c r="Y17" i="4"/>
  <c r="X17" i="4"/>
  <c r="Z17" i="4" s="1"/>
  <c r="W17" i="4"/>
  <c r="V17" i="4"/>
  <c r="Y16" i="4"/>
  <c r="X16" i="4"/>
  <c r="Z16" i="4" s="1"/>
  <c r="W16" i="4"/>
  <c r="V16" i="4"/>
  <c r="Y15" i="4"/>
  <c r="X15" i="4"/>
  <c r="Z15" i="4" s="1"/>
  <c r="W15" i="4"/>
  <c r="V15" i="4"/>
  <c r="Y14" i="4"/>
  <c r="X14" i="4"/>
  <c r="Z14" i="4" s="1"/>
  <c r="W14" i="4"/>
  <c r="V14" i="4"/>
  <c r="Y13" i="4"/>
  <c r="X13" i="4"/>
  <c r="Z13" i="4" s="1"/>
  <c r="W13" i="4"/>
  <c r="V13" i="4"/>
  <c r="Y12" i="4"/>
  <c r="X12" i="4"/>
  <c r="Z12" i="4" s="1"/>
  <c r="W12" i="4"/>
  <c r="V12" i="4"/>
  <c r="Y11" i="4"/>
  <c r="X11" i="4"/>
  <c r="Z11" i="4" s="1"/>
  <c r="W11" i="4"/>
  <c r="V11" i="4"/>
  <c r="Y10" i="4"/>
  <c r="X10" i="4"/>
  <c r="Z10" i="4" s="1"/>
  <c r="W10" i="4"/>
  <c r="V10" i="4"/>
  <c r="Y9" i="4"/>
  <c r="X9" i="4"/>
  <c r="Z9" i="4" s="1"/>
  <c r="W9" i="4"/>
  <c r="V9" i="4"/>
  <c r="Y8" i="4"/>
  <c r="X8" i="4"/>
  <c r="Z8" i="4" s="1"/>
  <c r="W8" i="4"/>
  <c r="V8" i="4"/>
  <c r="Y7" i="4"/>
  <c r="X7" i="4"/>
  <c r="Z7" i="4" s="1"/>
  <c r="W7" i="4"/>
  <c r="V7" i="4"/>
  <c r="Y6" i="4"/>
  <c r="X6" i="4"/>
  <c r="Z6" i="4" s="1"/>
  <c r="W6" i="4"/>
  <c r="V6" i="4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C320" i="3"/>
  <c r="F320" i="3" s="1"/>
  <c r="C319" i="3"/>
  <c r="F319" i="3" s="1"/>
  <c r="C318" i="3"/>
  <c r="F318" i="3" s="1"/>
  <c r="C317" i="3"/>
  <c r="F317" i="3" s="1"/>
  <c r="C316" i="3"/>
  <c r="F316" i="3" s="1"/>
  <c r="C315" i="3"/>
  <c r="F315" i="3" s="1"/>
  <c r="C314" i="3"/>
  <c r="F314" i="3" s="1"/>
  <c r="C313" i="3"/>
  <c r="F313" i="3" s="1"/>
  <c r="C312" i="3"/>
  <c r="F312" i="3" s="1"/>
  <c r="C311" i="3"/>
  <c r="F311" i="3" s="1"/>
  <c r="C310" i="3"/>
  <c r="F310" i="3" s="1"/>
  <c r="C309" i="3"/>
  <c r="F309" i="3" s="1"/>
  <c r="C308" i="3"/>
  <c r="F308" i="3" s="1"/>
  <c r="C307" i="3"/>
  <c r="F307" i="3" s="1"/>
  <c r="C306" i="3"/>
  <c r="F306" i="3" s="1"/>
  <c r="C305" i="3"/>
  <c r="F305" i="3" s="1"/>
  <c r="C304" i="3"/>
  <c r="F304" i="3" s="1"/>
  <c r="C303" i="3"/>
  <c r="F303" i="3" s="1"/>
  <c r="C302" i="3"/>
  <c r="F302" i="3" s="1"/>
  <c r="C301" i="3"/>
  <c r="F301" i="3" s="1"/>
  <c r="C300" i="3"/>
  <c r="F300" i="3" s="1"/>
  <c r="C299" i="3"/>
  <c r="F299" i="3" s="1"/>
  <c r="C298" i="3"/>
  <c r="F298" i="3" s="1"/>
  <c r="C297" i="3"/>
  <c r="F297" i="3" s="1"/>
  <c r="C296" i="3"/>
  <c r="F296" i="3" s="1"/>
  <c r="C295" i="3"/>
  <c r="F295" i="3" s="1"/>
  <c r="C294" i="3"/>
  <c r="F294" i="3" s="1"/>
  <c r="C293" i="3"/>
  <c r="F293" i="3" s="1"/>
  <c r="C292" i="3"/>
  <c r="F292" i="3" s="1"/>
  <c r="C291" i="3"/>
  <c r="F291" i="3" s="1"/>
  <c r="C290" i="3"/>
  <c r="F290" i="3" s="1"/>
  <c r="C289" i="3"/>
  <c r="F289" i="3" s="1"/>
  <c r="C288" i="3"/>
  <c r="F288" i="3" s="1"/>
  <c r="C287" i="3"/>
  <c r="F287" i="3" s="1"/>
  <c r="C286" i="3"/>
  <c r="F286" i="3" s="1"/>
  <c r="C285" i="3"/>
  <c r="F285" i="3" s="1"/>
  <c r="C284" i="3"/>
  <c r="F284" i="3" s="1"/>
  <c r="C283" i="3"/>
  <c r="F283" i="3" s="1"/>
  <c r="C282" i="3"/>
  <c r="F282" i="3" s="1"/>
  <c r="C281" i="3"/>
  <c r="F281" i="3" s="1"/>
  <c r="C280" i="3"/>
  <c r="F280" i="3" s="1"/>
  <c r="C279" i="3"/>
  <c r="F279" i="3" s="1"/>
  <c r="C278" i="3"/>
  <c r="F278" i="3" s="1"/>
  <c r="C277" i="3"/>
  <c r="F277" i="3" s="1"/>
  <c r="C276" i="3"/>
  <c r="F276" i="3" s="1"/>
  <c r="C275" i="3"/>
  <c r="F275" i="3" s="1"/>
  <c r="C274" i="3"/>
  <c r="F274" i="3" s="1"/>
  <c r="C273" i="3"/>
  <c r="F273" i="3" s="1"/>
  <c r="C272" i="3"/>
  <c r="F272" i="3" s="1"/>
  <c r="C271" i="3"/>
  <c r="F271" i="3" s="1"/>
  <c r="C270" i="3"/>
  <c r="F270" i="3" s="1"/>
  <c r="C269" i="3"/>
  <c r="F269" i="3" s="1"/>
  <c r="C268" i="3"/>
  <c r="F268" i="3" s="1"/>
  <c r="C267" i="3"/>
  <c r="F267" i="3" s="1"/>
  <c r="C266" i="3"/>
  <c r="F266" i="3" s="1"/>
  <c r="C265" i="3"/>
  <c r="F265" i="3" s="1"/>
  <c r="C264" i="3"/>
  <c r="F264" i="3" s="1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AD3" i="3"/>
  <c r="O2" i="3"/>
  <c r="P14" i="3" s="1"/>
  <c r="U14" i="3" s="1"/>
  <c r="AA2" i="3" l="1"/>
  <c r="AM2" i="3"/>
  <c r="AE13" i="3"/>
  <c r="AF13" i="3" s="1"/>
  <c r="AG13" i="3" s="1"/>
  <c r="AE12" i="3"/>
  <c r="AF12" i="3" s="1"/>
  <c r="AG12" i="3" s="1"/>
  <c r="AE11" i="3"/>
  <c r="AF11" i="3" s="1"/>
  <c r="AG11" i="3" s="1"/>
  <c r="AE10" i="3"/>
  <c r="AF10" i="3" s="1"/>
  <c r="AG10" i="3" s="1"/>
  <c r="AE9" i="3"/>
  <c r="AF9" i="3" s="1"/>
  <c r="AG9" i="3" s="1"/>
  <c r="AE8" i="3"/>
  <c r="AF8" i="3" s="1"/>
  <c r="AG8" i="3" s="1"/>
  <c r="AE6" i="3"/>
  <c r="AF6" i="3" s="1"/>
  <c r="AG6" i="3" s="1"/>
  <c r="AC2" i="3"/>
  <c r="AD2" i="3" s="1"/>
  <c r="AE7" i="3"/>
  <c r="AF7" i="3" s="1"/>
  <c r="AG7" i="3" s="1"/>
  <c r="AF3" i="3" l="1"/>
  <c r="AK3" i="3" s="1"/>
  <c r="AF2" i="3"/>
  <c r="AK2" i="3" s="1"/>
  <c r="AL2" i="3" s="1"/>
  <c r="AE5" i="3"/>
  <c r="AF5" i="3" s="1"/>
  <c r="AG5" i="3" s="1"/>
  <c r="Q12" i="3"/>
  <c r="T12" i="3" s="1"/>
  <c r="Q11" i="3"/>
  <c r="T11" i="3" s="1"/>
  <c r="AL3" i="3" l="1"/>
  <c r="Y2" i="3" s="1"/>
  <c r="Q9" i="3" s="1"/>
  <c r="AH7" i="3"/>
  <c r="S9" i="3" s="1"/>
  <c r="AH11" i="3"/>
  <c r="AH8" i="3"/>
  <c r="AH13" i="3"/>
  <c r="AH12" i="3"/>
  <c r="AH10" i="3"/>
  <c r="AH9" i="3"/>
  <c r="AH6" i="3"/>
  <c r="S8" i="3" s="1"/>
  <c r="AH5" i="3"/>
  <c r="S7" i="3" s="1"/>
  <c r="Y3" i="3"/>
  <c r="AD26" i="1" l="1"/>
  <c r="AK26" i="1"/>
  <c r="D78" i="1"/>
  <c r="D79" i="1" s="1"/>
  <c r="AD34" i="1" s="1"/>
  <c r="AK24" i="1"/>
  <c r="AK25" i="1"/>
  <c r="AK27" i="1"/>
  <c r="AK28" i="1"/>
  <c r="AK23" i="1"/>
  <c r="AD24" i="1"/>
  <c r="AD25" i="1"/>
  <c r="AD27" i="1"/>
  <c r="AD28" i="1"/>
  <c r="AD23" i="1"/>
  <c r="AD22" i="1"/>
  <c r="AK22" i="1"/>
  <c r="G77" i="1"/>
  <c r="G73" i="1"/>
  <c r="G72" i="1"/>
  <c r="G78" i="1" l="1"/>
  <c r="AC19" i="1"/>
  <c r="L45" i="1"/>
  <c r="AD35" i="1"/>
  <c r="AD32" i="1"/>
  <c r="AD37" i="1"/>
  <c r="AD33" i="1"/>
  <c r="AD38" i="1"/>
  <c r="AD36" i="1"/>
  <c r="AL23" i="1" l="1"/>
  <c r="AM23" i="1" s="1"/>
  <c r="AO23" i="1" s="1"/>
  <c r="AL24" i="1"/>
  <c r="AM24" i="1" s="1"/>
  <c r="AL25" i="1"/>
  <c r="AM25" i="1" s="1"/>
  <c r="AL26" i="1"/>
  <c r="AM26" i="1" s="1"/>
  <c r="AL27" i="1"/>
  <c r="AM27" i="1" s="1"/>
  <c r="AL28" i="1"/>
  <c r="AM28" i="1" s="1"/>
  <c r="AO28" i="1" l="1"/>
  <c r="AN28" i="1"/>
  <c r="AO27" i="1"/>
  <c r="AN27" i="1"/>
  <c r="AO26" i="1"/>
  <c r="AN26" i="1"/>
  <c r="AO25" i="1"/>
  <c r="AN25" i="1"/>
  <c r="AO24" i="1"/>
  <c r="AN24" i="1"/>
  <c r="AN23" i="1"/>
  <c r="AP24" i="1" l="1"/>
  <c r="AP25" i="1"/>
  <c r="AP26" i="1"/>
  <c r="AP27" i="1"/>
  <c r="AP28" i="1"/>
  <c r="AP23" i="1"/>
  <c r="AL22" i="1" l="1"/>
  <c r="AM22" i="1" s="1"/>
  <c r="AN22" i="1" s="1"/>
  <c r="AE35" i="1"/>
  <c r="AF35" i="1" s="1"/>
  <c r="AG35" i="1" s="1"/>
  <c r="AE23" i="1"/>
  <c r="AF23" i="1" s="1"/>
  <c r="AH23" i="1" s="1"/>
  <c r="AE24" i="1"/>
  <c r="AF24" i="1" s="1"/>
  <c r="AE25" i="1"/>
  <c r="AF25" i="1" s="1"/>
  <c r="AE26" i="1"/>
  <c r="AF26" i="1" s="1"/>
  <c r="AE27" i="1"/>
  <c r="AF27" i="1" s="1"/>
  <c r="AE28" i="1"/>
  <c r="AF28" i="1" s="1"/>
  <c r="AE22" i="1"/>
  <c r="AF22" i="1" s="1"/>
  <c r="AE33" i="1"/>
  <c r="AF33" i="1" s="1"/>
  <c r="AE34" i="1"/>
  <c r="AF34" i="1" s="1"/>
  <c r="AE36" i="1"/>
  <c r="AF36" i="1" s="1"/>
  <c r="AE37" i="1"/>
  <c r="AF37" i="1" s="1"/>
  <c r="AE38" i="1"/>
  <c r="AF38" i="1" s="1"/>
  <c r="AE32" i="1"/>
  <c r="AF32" i="1" s="1"/>
  <c r="AG38" i="1" l="1"/>
  <c r="AH38" i="1"/>
  <c r="AG32" i="1"/>
  <c r="AH32" i="1"/>
  <c r="AG37" i="1"/>
  <c r="AH37" i="1"/>
  <c r="AG33" i="1"/>
  <c r="AH33" i="1"/>
  <c r="AG36" i="1"/>
  <c r="AH36" i="1"/>
  <c r="AG34" i="1"/>
  <c r="AH34" i="1"/>
  <c r="AH35" i="1"/>
  <c r="AI35" i="1" s="1"/>
  <c r="AH28" i="1"/>
  <c r="AG28" i="1"/>
  <c r="AH26" i="1"/>
  <c r="AG26" i="1"/>
  <c r="AH24" i="1"/>
  <c r="AG24" i="1"/>
  <c r="AH27" i="1"/>
  <c r="AG27" i="1"/>
  <c r="AH25" i="1"/>
  <c r="AG25" i="1"/>
  <c r="AG23" i="1"/>
  <c r="AH22" i="1"/>
  <c r="AG22" i="1"/>
  <c r="AO22" i="1"/>
  <c r="AP22" i="1" s="1"/>
  <c r="AI22" i="1" l="1"/>
  <c r="AI34" i="1"/>
  <c r="AI36" i="1"/>
  <c r="AI33" i="1"/>
  <c r="AI37" i="1"/>
  <c r="AI32" i="1"/>
  <c r="AI38" i="1"/>
  <c r="AI23" i="1"/>
  <c r="AI25" i="1"/>
  <c r="AI27" i="1"/>
  <c r="AI24" i="1"/>
  <c r="AI26" i="1"/>
  <c r="AI28" i="1"/>
  <c r="A17" i="1"/>
</calcChain>
</file>

<file path=xl/sharedStrings.xml><?xml version="1.0" encoding="utf-8"?>
<sst xmlns="http://schemas.openxmlformats.org/spreadsheetml/2006/main" count="992" uniqueCount="468">
  <si>
    <t>Réglages</t>
  </si>
  <si>
    <t>SERVEURS &amp; SAUVEGARDE</t>
  </si>
  <si>
    <t>*** Utiliser les boutons ci-dessus pour paramétrer l'outil ***</t>
  </si>
  <si>
    <t>!!! SAISIR TOUTES LES INFORMATIONS POUR EVITER DES ERREURS DE LANCEMENT DE PROGRAMME !!!</t>
  </si>
  <si>
    <t>Nombre de serveurs (Max : 2)</t>
  </si>
  <si>
    <t>N°</t>
  </si>
  <si>
    <t>NOM</t>
  </si>
  <si>
    <t>ADRESSE</t>
  </si>
  <si>
    <t>Lille</t>
  </si>
  <si>
    <t>Paris</t>
  </si>
  <si>
    <t>\\590312ZR001\utilisat\INTERSITES\2- EXPLOITATION\1- ETATS\1- ETATS\1 - A traiter</t>
  </si>
  <si>
    <t>\\165.160.113.240\utilisat\Public\02-Exploitation\1 - ETATS\1 - A traiter</t>
  </si>
  <si>
    <t>Archive</t>
  </si>
  <si>
    <t>OldAtild</t>
  </si>
  <si>
    <t>A remplir</t>
  </si>
  <si>
    <t>A supprimer</t>
  </si>
  <si>
    <t>NOM DU FICHIER</t>
  </si>
  <si>
    <t>DOSSIER</t>
  </si>
  <si>
    <t>SOUS-DOSSIER</t>
  </si>
  <si>
    <t>Début de mois</t>
  </si>
  <si>
    <t>Paie du 20</t>
  </si>
  <si>
    <t>Rejets Flux I-Géode</t>
  </si>
  <si>
    <t>Ano Abs Flux E04</t>
  </si>
  <si>
    <t>Contrats sans dossier de paie</t>
  </si>
  <si>
    <t>AED - Témoins vides</t>
  </si>
  <si>
    <t>Formations Closes</t>
  </si>
  <si>
    <t>EVI non apurés</t>
  </si>
  <si>
    <t>Enfants de plus de 20 ans</t>
  </si>
  <si>
    <t>Pour mise à jour des macros</t>
  </si>
  <si>
    <t>Seul ces fichiers seront traités, et enregistrés automatiquement dans les emplacements inscrits</t>
  </si>
  <si>
    <t>Inscrire les dossiers et sous-dossiers pour ces fichiers (ENREGISTREMENT SERVEUR(S))</t>
  </si>
  <si>
    <t xml:space="preserve"> Ne rien mettre si le fichier n'est pas utilisé</t>
  </si>
  <si>
    <t>Inscrire les dossiers et sous-dossiers pour ces fichiers (ENREGISTREMENT ARCHIVE)</t>
  </si>
  <si>
    <t>REJETS DU</t>
  </si>
  <si>
    <t>ANO DU</t>
  </si>
  <si>
    <t>Ne pas toucher</t>
  </si>
  <si>
    <t>Liens Mail</t>
  </si>
  <si>
    <t>Save</t>
  </si>
  <si>
    <t>DSCC &amp; CODES REGATE</t>
  </si>
  <si>
    <t>DSCC</t>
  </si>
  <si>
    <t>Codes Flux E04</t>
  </si>
  <si>
    <t>Codes Rejets</t>
  </si>
  <si>
    <t>CONFIGURATION MAIL</t>
  </si>
  <si>
    <t>Destinataires (Groupe)</t>
  </si>
  <si>
    <t>DIVERS</t>
  </si>
  <si>
    <t>Nom des colonnes "A traiter" (Fichier SURF)</t>
  </si>
  <si>
    <t>PARAMETRES INTERNES</t>
  </si>
  <si>
    <t>NE PAS MODIFIER</t>
  </si>
  <si>
    <t>Mois</t>
  </si>
  <si>
    <t>Type (Mail)</t>
  </si>
  <si>
    <t>Paies</t>
  </si>
  <si>
    <t>Autres (CSDP)</t>
  </si>
  <si>
    <t>Fichier à traiter</t>
  </si>
  <si>
    <t>Type de requête</t>
  </si>
  <si>
    <t>Mois en cours</t>
  </si>
  <si>
    <t>\1 - Janvier</t>
  </si>
  <si>
    <t>\2 - Février</t>
  </si>
  <si>
    <t>\3 - Mars</t>
  </si>
  <si>
    <t>\4 - Avril</t>
  </si>
  <si>
    <t>\5 - Mai</t>
  </si>
  <si>
    <t>\6 - Juin</t>
  </si>
  <si>
    <t>\7 - Juillet</t>
  </si>
  <si>
    <t>\8 - Août</t>
  </si>
  <si>
    <t>\9 - Septembre</t>
  </si>
  <si>
    <t>\10 - Octobre</t>
  </si>
  <si>
    <t>\11 - Novembre</t>
  </si>
  <si>
    <t>\12 - Décembre</t>
  </si>
  <si>
    <t>GEP</t>
  </si>
  <si>
    <t>SURF</t>
  </si>
  <si>
    <t>ALPE</t>
  </si>
  <si>
    <t>LCP - Début de mois</t>
  </si>
  <si>
    <t>LCP - Paie du 20</t>
  </si>
  <si>
    <t>Paie Normale</t>
  </si>
  <si>
    <t>Paie de Correction 1</t>
  </si>
  <si>
    <t>Paie de Correction 2</t>
  </si>
  <si>
    <t>CAP</t>
  </si>
  <si>
    <t>Paie de début de mois</t>
  </si>
  <si>
    <t>Requêtes SIGP</t>
  </si>
  <si>
    <t>Enfant de plus de 20 ans</t>
  </si>
  <si>
    <t xml:space="preserve"> </t>
  </si>
  <si>
    <t>\\206.197.30.240\utilisat\Public\oldatild</t>
  </si>
  <si>
    <t>Rejet Flux I-Géode</t>
  </si>
  <si>
    <t>1 - Anomalies absences GEODE Flux E04</t>
  </si>
  <si>
    <t>ANO absence formation</t>
  </si>
  <si>
    <t>11 - Requêtes SIGP</t>
  </si>
  <si>
    <t>2 - Paie de début de mois</t>
  </si>
  <si>
    <t>6 - AED</t>
  </si>
  <si>
    <t>3 - Paie du 20</t>
  </si>
  <si>
    <t>2 - Contrats</t>
  </si>
  <si>
    <t>4 - Contrats</t>
  </si>
  <si>
    <t>Témoins vides</t>
  </si>
  <si>
    <t>4 - I - Géode</t>
  </si>
  <si>
    <t>5 - SURF</t>
  </si>
  <si>
    <t>Anomalies absences Géode (Flux E04)</t>
  </si>
  <si>
    <t>6 - Requêtes</t>
  </si>
  <si>
    <t>AED</t>
  </si>
  <si>
    <t>Formations closes</t>
  </si>
  <si>
    <t>EVI non supprimés après paie</t>
  </si>
  <si>
    <t>Lille DSCC</t>
  </si>
  <si>
    <t>Arras DSCC</t>
  </si>
  <si>
    <t>Rouen DSCC</t>
  </si>
  <si>
    <t>Amiens DSCC</t>
  </si>
  <si>
    <t>DRC</t>
  </si>
  <si>
    <t>DNT</t>
  </si>
  <si>
    <t>Bobigny DSCC</t>
  </si>
  <si>
    <t>Créteil DSCC</t>
  </si>
  <si>
    <t>372659C3</t>
  </si>
  <si>
    <t>372362AR</t>
  </si>
  <si>
    <t>261375DS</t>
  </si>
  <si>
    <t>261475DT</t>
  </si>
  <si>
    <t>363375PA</t>
  </si>
  <si>
    <t>363375PN</t>
  </si>
  <si>
    <t>373476R3</t>
  </si>
  <si>
    <t>363693A2</t>
  </si>
  <si>
    <t>363794C3</t>
  </si>
  <si>
    <t>*</t>
  </si>
  <si>
    <t>Inscrire les numéros correspondant aux DSCC</t>
  </si>
  <si>
    <t>ETATS</t>
  </si>
  <si>
    <t>ACTION MENEE</t>
  </si>
  <si>
    <t>DATE</t>
  </si>
  <si>
    <t>TPRH</t>
  </si>
  <si>
    <t>Légende :</t>
  </si>
  <si>
    <t>AUTRES</t>
  </si>
  <si>
    <t>Quotidien</t>
  </si>
  <si>
    <t>Géode</t>
  </si>
  <si>
    <t>à sortir :</t>
  </si>
  <si>
    <t>Ano Abs SIGP</t>
  </si>
  <si>
    <t>Rejets Flux E04</t>
  </si>
  <si>
    <t>Journal PM / IEV</t>
  </si>
  <si>
    <t>Journée</t>
  </si>
  <si>
    <t>A venir :</t>
  </si>
  <si>
    <t>Paie de début de mois :</t>
  </si>
  <si>
    <t>Paie Normale (du 20) :</t>
  </si>
  <si>
    <t>Historique</t>
  </si>
  <si>
    <t>de paie :</t>
  </si>
  <si>
    <t>RECHERCHE RAPIDE</t>
  </si>
  <si>
    <r>
      <t xml:space="preserve">Inscrire un mot clé </t>
    </r>
    <r>
      <rPr>
        <b/>
        <i/>
        <sz val="14"/>
        <color theme="1"/>
        <rFont val="Calibri"/>
        <family val="2"/>
        <scheme val="minor"/>
      </rPr>
      <t>(</t>
    </r>
    <r>
      <rPr>
        <b/>
        <i/>
        <u/>
        <sz val="14"/>
        <color theme="1"/>
        <rFont val="Calibri"/>
        <family val="2"/>
        <scheme val="minor"/>
      </rPr>
      <t>ex</t>
    </r>
    <r>
      <rPr>
        <b/>
        <i/>
        <sz val="14"/>
        <color theme="1"/>
        <rFont val="Calibri"/>
        <family val="2"/>
        <scheme val="minor"/>
      </rPr>
      <t>: réf. État)</t>
    </r>
  </si>
  <si>
    <t>VE010 - LISTE NOMINATIVE LCP - PDM</t>
  </si>
  <si>
    <t xml:space="preserve"> -&gt;</t>
  </si>
  <si>
    <t>A TRAITER + I. BORGHESI</t>
  </si>
  <si>
    <t>VE010 - BORDEREAU LCP - PDM</t>
  </si>
  <si>
    <t>VE083 1&amp;2 - PAIEM LCPVIREMENTS - PDM</t>
  </si>
  <si>
    <t>CAP + Chris.B</t>
  </si>
  <si>
    <t>VE083 3 - PAIEM LCPVIREMENTS - PDM</t>
  </si>
  <si>
    <t>VE1003 - LIVRE DE PAIE INDIVIDUEL - PDM</t>
  </si>
  <si>
    <t>ARCHIVE</t>
  </si>
  <si>
    <t>VE1005 - JOURNAL DES RUBRIQUES - PDM</t>
  </si>
  <si>
    <t>VE1006 - JOURNAL DES ORGANISMES - PDM</t>
  </si>
  <si>
    <t>PAIE NORMALE</t>
  </si>
  <si>
    <t>A CONSULTER</t>
  </si>
  <si>
    <t>VE0501 PN - CTRL GROS RAPPELS STANDARD</t>
  </si>
  <si>
    <t>A TRAITER</t>
  </si>
  <si>
    <t>VE0502 PN - CTRL GROS EMOLUMENTS STANDARD</t>
  </si>
  <si>
    <t>VE080 PN - AGENTS SBMGMR OU MCO OU MCOGMR</t>
  </si>
  <si>
    <t>VE1211 PN - EV REJETES PAR LA PAIE NORMALE</t>
  </si>
  <si>
    <t>VE1212 PN - EV ACCEPTES PAR LA PAIE NORMALE</t>
  </si>
  <si>
    <t>A CONSULTER + .txt (Macro)</t>
  </si>
  <si>
    <t>VE1213 PN - EV EN ANO ACCEPTES PAR LA PAIEN</t>
  </si>
  <si>
    <t>VE1214 PN - EV REJETES PAR LA PAIEN</t>
  </si>
  <si>
    <t xml:space="preserve">VE1221 PN - BULLETINS EN ANOMALIE EN PAIEN </t>
  </si>
  <si>
    <t>VE1222 PN - BULLETINS REJETES PAR LA PAIEN</t>
  </si>
  <si>
    <t>VE600R PN - RAPPELS NEGATIFS ET RMI</t>
  </si>
  <si>
    <t>WER031 PN - CONTROE HEURES SUPP. ET COMPL.</t>
  </si>
  <si>
    <t>WEP01R - SOMMES DUES AGENTS DECEDES</t>
  </si>
  <si>
    <t>VE006 - ETATS POST AUGMENTATION GENERALE</t>
  </si>
  <si>
    <t>VE007 - ETATS POST RE CALCUL SALARIE</t>
  </si>
  <si>
    <t>VE0550 - NO INSSE INCOMPLET</t>
  </si>
  <si>
    <t>VOZUS - ZUS - BONIFICATION ZUS A ATTRIBUER</t>
  </si>
  <si>
    <t>WE902 - LISTE DES AGENTS EN PRERETRAITE</t>
  </si>
  <si>
    <t>WEG13 - AVNA DES SALARIES SORTIS</t>
  </si>
  <si>
    <t>WEG14 - ABONDEMENTS ZUS POUR CET</t>
  </si>
  <si>
    <t>VE321 - LIMITATION RAPPEL AGENTS ACTIFS</t>
  </si>
  <si>
    <t>VE322 - LIMITATION RAPPEL AGENTS SORTIS</t>
  </si>
  <si>
    <t>WER011 - MODES DE PAIEMENTS INCOHERENTS</t>
  </si>
  <si>
    <t>VE025 - AVANCES PRISES EN COMPTE</t>
  </si>
  <si>
    <t>A CONSULTER + CAP</t>
  </si>
  <si>
    <t>VE026 - AVANCES RECOUVREES</t>
  </si>
  <si>
    <t>VE027 - RECAPITULATIF DES AVANCES</t>
  </si>
  <si>
    <t>VE028 - ACOMPTES RETENUS</t>
  </si>
  <si>
    <t>VE032 - AGENT AYANT IMPOT A LA SOURCE</t>
  </si>
  <si>
    <t>Graziella J.</t>
  </si>
  <si>
    <t>VE035 - COTISATIONS IRCANTEC</t>
  </si>
  <si>
    <t>VE041 - BRC COTISATIONS PREVOYANCE</t>
  </si>
  <si>
    <t>VE086 - ETAT DES RETENUES EFFECTUEES</t>
  </si>
  <si>
    <t>A CONSULTER + CAP + Mail (recouvrement)</t>
  </si>
  <si>
    <t>VE087 - AGENTS MUTES AVEC OPPOSITION</t>
  </si>
  <si>
    <t>A CONSULTER + OPPO</t>
  </si>
  <si>
    <t>VE088 - AGENTS AU CREDIT MUNICIPAL</t>
  </si>
  <si>
    <t>VE089 - MUTUELLE TUTELAIRE UECM PREFON</t>
  </si>
  <si>
    <t>VE200 - CONTRIB SOLIDARITE PAR CSRH</t>
  </si>
  <si>
    <t>VEPA1 - PAS MENSUELLES</t>
  </si>
  <si>
    <t>VEPS1 - RECOUVREMENT SUR PAS</t>
  </si>
  <si>
    <t>CAP + Christian PAGESY</t>
  </si>
  <si>
    <t>PREJUDICE AT - DOSSIERS COMPLEXES</t>
  </si>
  <si>
    <t>VE040 - LISTE DES NOUVEAUX AGENTS</t>
  </si>
  <si>
    <t>WEG241 - CONTRÔLE DONNEES AGENTS</t>
  </si>
  <si>
    <t>VE005 - ETATS POST AUG A L'ANCIENNETE</t>
  </si>
  <si>
    <t>VE030 - ETAT DES DETTES PAR CIGAP</t>
  </si>
  <si>
    <t>VE031 - ETAT DES RECOUVREMENTS PAR CIGAP</t>
  </si>
  <si>
    <t>VE095 - RETENUES PRESTATIONS LOGEMENTS</t>
  </si>
  <si>
    <t>WER041 - DETTE SANTE</t>
  </si>
  <si>
    <t>WER042 - RECOUVREMENT DETTE SANTE</t>
  </si>
  <si>
    <t>VE038 - BRC COTISATIONS PREFON</t>
  </si>
  <si>
    <t>ANO ET SIG PN - ETAT ANOMALIES ET SIGNALISATIONS</t>
  </si>
  <si>
    <t>CTRL SALAIRES PN - EMOLUMENTS A CONTROLER</t>
  </si>
  <si>
    <t>GES406AA PN - LIAISON GEP PAX PAIE</t>
  </si>
  <si>
    <t>A TRAITER (Lille) - A CONSULTER (Paris)</t>
  </si>
  <si>
    <t>GROS RAPPELS PN - EDITION DES RAPPELS A CONTROLER</t>
  </si>
  <si>
    <t>H32010 PN - ANOMALIESLORS DE LA MAJ PBASE TS</t>
  </si>
  <si>
    <t>K25602 - S414 - LIAISON PAXPAIE</t>
  </si>
  <si>
    <t>MUT AVEC CM PN - AGENTS MUTES AUTRE REGION</t>
  </si>
  <si>
    <t>MUT AVEC OPPO PN - AGTS MUTES AVEC DOS. OPPOSITION</t>
  </si>
  <si>
    <t>A TRAITER + OPPO</t>
  </si>
  <si>
    <t>OMAJ DU MOIS PN - LISTE DES OMAJS</t>
  </si>
  <si>
    <t>OMAJ PM PN - Anomalies de contrôle</t>
  </si>
  <si>
    <t>OMAJ PM PN - OMAJ d'anomalies de grève</t>
  </si>
  <si>
    <t>OMAJ PM PN - OMAJ d'effacement</t>
  </si>
  <si>
    <t>PAIE ERRONEE PN - LIVRE DE PAIE DES ERRONEES</t>
  </si>
  <si>
    <t>RAPPELS EXT PN - OMAJ 46 AUTRE QUE ALPE</t>
  </si>
  <si>
    <t>RAPPELS MANU PN - OMAJ 46 PROVENANT DE ALPE</t>
  </si>
  <si>
    <t>E26310 - ARRETS DE PAIE REJETES</t>
  </si>
  <si>
    <t>E26410 - ARRETS BP EXECUTES</t>
  </si>
  <si>
    <t>F35010 - ANOMALIES REMB. CONGE PATERNITE</t>
  </si>
  <si>
    <t>C29511 - CONTRIBUTION LIBERATOIRE</t>
  </si>
  <si>
    <t>C29541 - REDUCTION HEURES SUPP FONCT</t>
  </si>
  <si>
    <t>C29611 - ETAT MENSUEL COTISATION RAFP</t>
  </si>
  <si>
    <t>C30012 - CONT. FONDS SOLIDARITE PAR CSO</t>
  </si>
  <si>
    <t>C32513 - REMB. CTC DES AGENTS LOGES</t>
  </si>
  <si>
    <t>C34513 - REMBOURSEMENT CTC VILLES NOUVELS</t>
  </si>
  <si>
    <t>C49611 - CNRACL PAIEMENT DES COTISATIONS</t>
  </si>
  <si>
    <t>C59511 - COTISATIONS DU CONTRAT CCFP</t>
  </si>
  <si>
    <t>C77113 - ETAT DE VENTILATION VERSEMENT M</t>
  </si>
  <si>
    <t>M25511 - VENTILATION DEPENSES PERSONNEL</t>
  </si>
  <si>
    <t>M29930 - LIVRE DE PAIE RECAP PAR CSP</t>
  </si>
  <si>
    <t>M61711 - ETAT RECAPITULATIF DES RETENUES</t>
  </si>
  <si>
    <t>M61721 - ETAT RECAPITULATIF DES RETENUES</t>
  </si>
  <si>
    <t>M61741 - ETAT RECAPITULATIF DES RETENUES</t>
  </si>
  <si>
    <t>M63011 - LIVRE DE PAIE DES AGENTS DECEDES</t>
  </si>
  <si>
    <t>A TRAITER + CAP + D. LANDRAIN</t>
  </si>
  <si>
    <t>M71511 - BORDEREAU ENVOI LETTRES CHEQUES</t>
  </si>
  <si>
    <t>M71911 - LISTE NOMINATIVE LCP</t>
  </si>
  <si>
    <t xml:space="preserve">M73111 - RECAP LETTRE CHEQUE POSTALE </t>
  </si>
  <si>
    <t>M73421 - VIREMENTS POSTAUX CNE BANCAIRES</t>
  </si>
  <si>
    <t>M74111 - BORDEREAU DES LETTRES</t>
  </si>
  <si>
    <t>MUTES DU MOIS - AGENTS MUTES INTERNES</t>
  </si>
  <si>
    <t>A TRAITER + CAP + OPPO</t>
  </si>
  <si>
    <t>NUM SUP 400 - PAIEMENT NUMLERAIRE SUP PLAFOND</t>
  </si>
  <si>
    <t>S60612 - LISTE DES LCP IMPRIMEES</t>
  </si>
  <si>
    <t>S60712 - LISTE DES LCP GEDEON REJETES</t>
  </si>
  <si>
    <t>K23861 - E386 - CREDITS CET POUR ABONDEMENT ZUS</t>
  </si>
  <si>
    <t>OMAJ PM PN - PG OMAJ et anomalies</t>
  </si>
  <si>
    <t>CM - DETTES REST - RET NON FAITES SUITE INSUF REMU</t>
  </si>
  <si>
    <t>C14611 - MONTANTS COTISATIONS LIGNE 46</t>
  </si>
  <si>
    <t>NOUVEAUX AGENTS - LISTE DES NOUVEAUX AGENTS</t>
  </si>
  <si>
    <t>M24311 - LISTE NX PRETS CREDIT MUNICIPAL</t>
  </si>
  <si>
    <t>M35611 - LISTE DES EMPLOIS MULTIPLES</t>
  </si>
  <si>
    <t>M36011 - TIERS ATTRIBUTAIRES ET SPECIAUX</t>
  </si>
  <si>
    <t>M36200 - LISTE TIERS SPECIAUX</t>
  </si>
  <si>
    <t>M60612 - LCP PM IMPRIMEES</t>
  </si>
  <si>
    <t>M60712 - LISTE LCP REJETEES</t>
  </si>
  <si>
    <t>M62013 - AGENTS AYANT LEUR IMPOT RETENU</t>
  </si>
  <si>
    <t>Graziella J. + Lise MAY</t>
  </si>
  <si>
    <t>M93611 - ATTESTATION RECOUVREMENT PENSION</t>
  </si>
  <si>
    <t>M94502 - AGENTS MUTES INTERNES</t>
  </si>
  <si>
    <t>S18031 - DETTES DEGAGEES</t>
  </si>
  <si>
    <t>S19031 - RECOUVREMENT SUR DETTE</t>
  </si>
  <si>
    <t>A25511 - ETAT 1230 - 2EME ACOMPTE</t>
  </si>
  <si>
    <t>S71911 - LCP GEDEON</t>
  </si>
  <si>
    <t>S73111 - LCP PM IMPRIMEES</t>
  </si>
  <si>
    <t>S73411 - VIREMENTS POSTAUX CNE BANCAIRES</t>
  </si>
  <si>
    <t>OPPO</t>
  </si>
  <si>
    <t>M20611 - LISTE DES AGENTS RECEVANT LE PF</t>
  </si>
  <si>
    <t>M25001 - AGENT TOUCHANT A TORD REMB TRANS</t>
  </si>
  <si>
    <t>M25512 - AGENT AYANT TAUX PERSONNEL</t>
  </si>
  <si>
    <t>M38011 - ANOMALIE DU PBASE CUMUL</t>
  </si>
  <si>
    <t xml:space="preserve">M43011 - </t>
  </si>
  <si>
    <t xml:space="preserve">M43311 - </t>
  </si>
  <si>
    <t xml:space="preserve">M61811 - NOMBRE DE BENEFICIAIRES PREST </t>
  </si>
  <si>
    <t>U20012 - LISTE DES NUMEROS SS PROVISOIRES</t>
  </si>
  <si>
    <t>CUMULS</t>
  </si>
  <si>
    <t>U21012 - ANOS CONTRÔLE DE COHERENCE FGC</t>
  </si>
  <si>
    <t>U21511 - LISTE DES ANOS DE CONTRÔLE FGC</t>
  </si>
  <si>
    <t>U23011 - MONTANTS FISCAUX NEGATIFS</t>
  </si>
  <si>
    <t>U31641 - LISTE DES OMAJ REJETES</t>
  </si>
  <si>
    <t>U31741 - LISTE DES OMAJ ACCEPTES</t>
  </si>
  <si>
    <t>U40112 - LISTE DES HOMONYMES</t>
  </si>
  <si>
    <t>U44941 - EDITION DES ARTICLES SUR FGC</t>
  </si>
  <si>
    <t>U44951 - LISTE GENERALE CUMULS</t>
  </si>
  <si>
    <t>U44981 - LISTE DES NON RESIDENTS</t>
  </si>
  <si>
    <t>U51012 - ETAT BORDEREAU NOMINATIF PREFON</t>
  </si>
  <si>
    <t>U51712 - EDITION DES BORDEREAU NOMINATIF</t>
  </si>
  <si>
    <t>U51813 - BORDEREAU NOMINATIF IRCANTEC</t>
  </si>
  <si>
    <t>U52013 - ETAT RECAPITULATIF IRCANTEC</t>
  </si>
  <si>
    <t>U54012 - LISTE NOMINATIVE DADS NON TIT</t>
  </si>
  <si>
    <t>U54112 - LISTE NOMINATIVE DADS REJETES</t>
  </si>
  <si>
    <t>U56012 - BORD AUTHENTIF BANDE FISCALE</t>
  </si>
  <si>
    <t>U56112 - LISTE DES ART FISCAUX BLOQUANTS</t>
  </si>
  <si>
    <t>ETAT DES PAIEMENTS</t>
  </si>
  <si>
    <t>Salariés : Paiement des agents paie demande</t>
  </si>
  <si>
    <t>CR GTA</t>
  </si>
  <si>
    <t>Fonctionnaires : CR d'anomalies IEV</t>
  </si>
  <si>
    <t>SUIVI DES DETTES</t>
  </si>
  <si>
    <t>Salariés : Suivi des dettes</t>
  </si>
  <si>
    <t>Identification des reprises Pactole</t>
  </si>
  <si>
    <t>Salariés : EFI / EVI avec CSCP</t>
  </si>
  <si>
    <t>Salariés: Solde de tout compte</t>
  </si>
  <si>
    <t>ETATS PACTOLE</t>
  </si>
  <si>
    <t xml:space="preserve">Etat des multi saisies </t>
  </si>
  <si>
    <t>OMAJ IEV H400</t>
  </si>
  <si>
    <t>OMAJ IEV populations atypiques H500</t>
  </si>
  <si>
    <t>GRAND DIALOGUE</t>
  </si>
  <si>
    <t>Etat des reprises sur salaires</t>
  </si>
  <si>
    <t>OMAJ PM</t>
  </si>
  <si>
    <t>OMAJ PM  - Anomalies de contrôle</t>
  </si>
  <si>
    <t>OMAJ PM  - OMAJ d'anomalies de grève</t>
  </si>
  <si>
    <t>OMAJ PM  - OMAJ d'effacement</t>
  </si>
  <si>
    <t>DETTES RESTANTES</t>
  </si>
  <si>
    <t>Fonctionnaires : Dettes restantes agents en activité</t>
  </si>
  <si>
    <t>Fonctionnaires : Dettes restantes agents sortis de fonction</t>
  </si>
  <si>
    <t>Salariés : Paiement des agents paie normale</t>
  </si>
  <si>
    <t>PACTOLE</t>
  </si>
  <si>
    <t>Fonct. Retenues à effectuer sans prélèvement</t>
  </si>
  <si>
    <t>Fonct. Retenues donnant lieu à règlement</t>
  </si>
  <si>
    <t>Fonct. Retenues ne donnant pas lieu à règlement</t>
  </si>
  <si>
    <t>A CONSULTER + CAP+ Christian PAGESY</t>
  </si>
  <si>
    <t>Fonct. Retenues = Préstations</t>
  </si>
  <si>
    <t>ABSENCES</t>
  </si>
  <si>
    <t>Salarié : Suivi fin de droits IJSS</t>
  </si>
  <si>
    <t>Agents en absences COM de plus de 300 jours</t>
  </si>
  <si>
    <t>APPRECIATIONS</t>
  </si>
  <si>
    <t>CR anomalies appréciations courrier</t>
  </si>
  <si>
    <t>ATTESTATION AED</t>
  </si>
  <si>
    <t>Anomalies des AED CRA KO</t>
  </si>
  <si>
    <t>Fichier global CSRH attestations AED</t>
  </si>
  <si>
    <t>CADRES STRATEGIQUES</t>
  </si>
  <si>
    <t>Liste des agents cadres stratégiques</t>
  </si>
  <si>
    <t>COMPLEMENTAIRE SANTE</t>
  </si>
  <si>
    <t>ANI et nouveaux affiliés</t>
  </si>
  <si>
    <t>Fonctionnaires : CR d'anomalies absences et CET</t>
  </si>
  <si>
    <t>Doublons IEV - EVI</t>
  </si>
  <si>
    <t>CR SIGP GEODE</t>
  </si>
  <si>
    <t>Salariés : CR anomalies absences GEODE (Flux E04)</t>
  </si>
  <si>
    <t>Salariés : CR anomalies droits à IEV</t>
  </si>
  <si>
    <t>CR SIGP KDS</t>
  </si>
  <si>
    <t>CR des anomalies des éléments variables</t>
  </si>
  <si>
    <t>ENTITE DE PILOTAGE</t>
  </si>
  <si>
    <t>Entité de pilotage</t>
  </si>
  <si>
    <t>SEPA - Mobilité bancaire</t>
  </si>
  <si>
    <t>I-GEODE - STOCA</t>
  </si>
  <si>
    <t>Stockage des CA</t>
  </si>
  <si>
    <t>INDEMNITE EXCEPTIONNELLE</t>
  </si>
  <si>
    <t>Indemnités excpetionnelles annuelle</t>
  </si>
  <si>
    <t>Simulation indéminités exceptionnelles</t>
  </si>
  <si>
    <t>OMAJ PM  - PG OMAJ et anomalies</t>
  </si>
  <si>
    <t>Mobilité bancaire Pactole</t>
  </si>
  <si>
    <t>Signalisations bancaires Pactole</t>
  </si>
  <si>
    <t>RAPPORTS DSN MENSUELS</t>
  </si>
  <si>
    <t>ANO - Corrections et forçages réalisés</t>
  </si>
  <si>
    <t>ANO - Informations et incidents</t>
  </si>
  <si>
    <t>RAPPROCHEMENT SUBROGATION</t>
  </si>
  <si>
    <t>Salariés : Subrogation - Rejet de rapprochement</t>
  </si>
  <si>
    <t>REORIENTATION</t>
  </si>
  <si>
    <t>Liste des réorientations en cours</t>
  </si>
  <si>
    <t>STATUT DE FONCTION</t>
  </si>
  <si>
    <t>STAFON CSRH Cadres sup</t>
  </si>
  <si>
    <t>SUIVI DE LA SUBROGATION</t>
  </si>
  <si>
    <t>Agents en absences COM de plus de 180 jours</t>
  </si>
  <si>
    <t>Exclusion des bénéficiaires</t>
  </si>
  <si>
    <t>Saisie manuelle des IJ remboursées</t>
  </si>
  <si>
    <t>Salariés : Suivi de la Subrogation</t>
  </si>
  <si>
    <t>SUIVI DES CONTRATS</t>
  </si>
  <si>
    <t>Etat prévisionnel des sorties</t>
  </si>
  <si>
    <t>Fichier des contrats non signés</t>
  </si>
  <si>
    <t>Retour DUE</t>
  </si>
  <si>
    <t>Salariés : Fichier hebdomadaire engagements CDD</t>
  </si>
  <si>
    <t>Salariés : Fichier mensuel engagements CDD</t>
  </si>
  <si>
    <t>SUIVI DU DISPOSITIF TPAS</t>
  </si>
  <si>
    <t>Liste des agents en fin de TPAS à M+x</t>
  </si>
  <si>
    <t>GEODE</t>
  </si>
  <si>
    <t>ANO ABS SIGP</t>
  </si>
  <si>
    <t>EMADOTRF / C</t>
  </si>
  <si>
    <t>ECHEANC</t>
  </si>
  <si>
    <t xml:space="preserve">JOURNAL PM </t>
  </si>
  <si>
    <t>JOURNAL IEV</t>
  </si>
  <si>
    <t>BALAYAGE</t>
  </si>
  <si>
    <t>JOURNEE</t>
  </si>
  <si>
    <t>REJETS FLUX I-GEODE</t>
  </si>
  <si>
    <t>FORMATIONS CLOSES</t>
  </si>
  <si>
    <t>AED - TEMOINS VIDES</t>
  </si>
  <si>
    <t>AGENTS SANS MODE DE PAIEMENT</t>
  </si>
  <si>
    <t>CONTRATS SANS DOSSIER DE PAIE</t>
  </si>
  <si>
    <t>ENFANT DE PLUS DE 20 ANS</t>
  </si>
  <si>
    <t>EVI NON APURES APRES PAIE</t>
  </si>
  <si>
    <t>WEG201 - PAIEMENT DES IJ NON SUBROGEES</t>
  </si>
  <si>
    <t>A TRAITER (SUBROGATION)</t>
  </si>
  <si>
    <t>Bulletin de paie - Paie de début de mois</t>
  </si>
  <si>
    <t>Calendrier prévisionnel</t>
  </si>
  <si>
    <t>Requête "Contrats sans dossier de paie"</t>
  </si>
  <si>
    <t>Des principales dates SIGP</t>
  </si>
  <si>
    <t>pour l'année 2018</t>
  </si>
  <si>
    <t>Opérations</t>
  </si>
  <si>
    <t>Planification</t>
  </si>
  <si>
    <t>JAN.</t>
  </si>
  <si>
    <t>FEV.</t>
  </si>
  <si>
    <t>MARS</t>
  </si>
  <si>
    <t>AVR.</t>
  </si>
  <si>
    <t>MAI</t>
  </si>
  <si>
    <t>JUIN</t>
  </si>
  <si>
    <t>JUIL.</t>
  </si>
  <si>
    <t>AOUT</t>
  </si>
  <si>
    <t>SEPT.</t>
  </si>
  <si>
    <t>OCT.</t>
  </si>
  <si>
    <t>NOV.</t>
  </si>
  <si>
    <t>DEC.</t>
  </si>
  <si>
    <t>Contrats sans dossier de Paie</t>
  </si>
  <si>
    <t>Calcul de la paie à la demande (Dernier jour de saisie pour les contrats courts terminés entre le 16 et la fin du mois m-1) - Envoi des moyens de paiement : Envoi du fichier réalisé entre 18h30 et 23h30</t>
  </si>
  <si>
    <t>JD-3</t>
  </si>
  <si>
    <t>PAIE DE DEBUT DE MOIS                                                            FAIRE LA REQUÊTE LA VEILLE AU SOIR</t>
  </si>
  <si>
    <t>Envoi des moyens de paiement avant 6h30 - Feu vert de paie + APC11</t>
  </si>
  <si>
    <t>JD-2</t>
  </si>
  <si>
    <t>Date de crédit des comptes  (paie à la demande)</t>
  </si>
  <si>
    <t>JD</t>
  </si>
  <si>
    <t>Paie de sécurisation</t>
  </si>
  <si>
    <t>J-9</t>
  </si>
  <si>
    <t>Production des IEV pour PACTOLE</t>
  </si>
  <si>
    <t>08/01/2018</t>
  </si>
  <si>
    <t>07/02/2018</t>
  </si>
  <si>
    <t>07/03/2018</t>
  </si>
  <si>
    <t>09/04/2018</t>
  </si>
  <si>
    <t>03/05/2018</t>
  </si>
  <si>
    <t>07/06/2018</t>
  </si>
  <si>
    <t>09/07/2018</t>
  </si>
  <si>
    <t>06/08/2018</t>
  </si>
  <si>
    <t>07/09/2018</t>
  </si>
  <si>
    <t>08/10/2018</t>
  </si>
  <si>
    <t>07/11/2018</t>
  </si>
  <si>
    <t>07/12/2018</t>
  </si>
  <si>
    <t xml:space="preserve">Géode IEV </t>
  </si>
  <si>
    <t>Envoi du flux SIGP-IEV vers Pactole à 6h00 au plus tard (le traitement SIGP passe en J-9 au soir)</t>
  </si>
  <si>
    <t>J-8</t>
  </si>
  <si>
    <t>Paie normale</t>
  </si>
  <si>
    <t>J-7</t>
  </si>
  <si>
    <t>Correction 1</t>
  </si>
  <si>
    <t>J-5</t>
  </si>
  <si>
    <t>Correction 2</t>
  </si>
  <si>
    <t>J-4</t>
  </si>
  <si>
    <t>PAIE DU 20 -  FAIRE LA REQUÊTE DANS L'APRES-MIDI</t>
  </si>
  <si>
    <t>Calcul de la paie à la demande (Dernier jour de saisie pour les contrats courts terminés entre le 1 et le 15 du mois m)</t>
  </si>
  <si>
    <t>J-3</t>
  </si>
  <si>
    <t>Clôture de paie (arrêts de paie avant fermeture de TP)</t>
  </si>
  <si>
    <t>J-2</t>
  </si>
  <si>
    <t>PRISME - données de paie</t>
  </si>
  <si>
    <t>Date de crédit des comptes (paie du 20)</t>
  </si>
  <si>
    <t>J*</t>
  </si>
  <si>
    <r>
      <t>JD</t>
    </r>
    <r>
      <rPr>
        <sz val="9"/>
        <color theme="0"/>
        <rFont val="Arial"/>
        <family val="2"/>
      </rPr>
      <t xml:space="preserve"> = le 5 du mois, ou le premier jour ouvré </t>
    </r>
    <r>
      <rPr>
        <u/>
        <sz val="9"/>
        <color theme="0"/>
        <rFont val="Arial"/>
        <family val="2"/>
      </rPr>
      <t>suivant</t>
    </r>
    <r>
      <rPr>
        <sz val="9"/>
        <color theme="0"/>
        <rFont val="Arial"/>
        <family val="2"/>
      </rPr>
      <t xml:space="preserve"> si le 5 est chômé ou si </t>
    </r>
    <r>
      <rPr>
        <b/>
        <sz val="9"/>
        <color theme="0"/>
        <rFont val="Arial"/>
        <family val="2"/>
      </rPr>
      <t>JD - 3</t>
    </r>
    <r>
      <rPr>
        <sz val="9"/>
        <color theme="0"/>
        <rFont val="Arial"/>
        <family val="2"/>
      </rPr>
      <t xml:space="preserve"> se trouve avant le 2 du mois</t>
    </r>
  </si>
  <si>
    <r>
      <t>J</t>
    </r>
    <r>
      <rPr>
        <sz val="9"/>
        <color theme="0"/>
        <rFont val="Arial"/>
        <family val="2"/>
      </rPr>
      <t xml:space="preserve"> = Jour de crédit des comptes, le 20 du mois, ou le 1er jour ouvré précédent.</t>
    </r>
  </si>
  <si>
    <r>
      <t>K =</t>
    </r>
    <r>
      <rPr>
        <sz val="9"/>
        <color theme="0"/>
        <rFont val="Arial"/>
        <family val="2"/>
      </rPr>
      <t xml:space="preserve"> Dernier jour ouvré du mois</t>
    </r>
  </si>
  <si>
    <t>Remarque :</t>
  </si>
  <si>
    <t>* En décembre le crédit des comptes aura lieu à J-1 au lieu de J qui tombe un jour férié à la Réunion</t>
  </si>
  <si>
    <t>Début de mois &amp; P20</t>
  </si>
  <si>
    <t>xxxxx</t>
  </si>
  <si>
    <t>Code Regate</t>
  </si>
  <si>
    <t>Paris N DSCC</t>
  </si>
  <si>
    <t>Paris S DSCC</t>
  </si>
  <si>
    <t>372280D2</t>
  </si>
  <si>
    <t>\Salariés</t>
  </si>
  <si>
    <t>\Fonctionnaires</t>
  </si>
  <si>
    <t>\Tout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</si>
</sst>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dd"/>
    <numFmt numFmtId="166" formatCode="[$-409]h:mm\ AM/PM;@"/>
    <numFmt numFmtId="167" formatCode="dd/mm"/>
  </numFmts>
  <fonts count="4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sz val="18"/>
      <color rgb="FFFFFF00"/>
      <name val="Castellar"/>
      <family val="1"/>
    </font>
    <font>
      <sz val="11"/>
      <color theme="8" tint="0.59999389629810485"/>
      <name val="Calibri"/>
      <family val="2"/>
      <scheme val="minor"/>
    </font>
    <font>
      <b/>
      <sz val="16"/>
      <color theme="5"/>
      <name val="Castellar"/>
      <family val="1"/>
    </font>
    <font>
      <b/>
      <sz val="16"/>
      <color rgb="FFC00000"/>
      <name val="Castellar"/>
      <family val="1"/>
    </font>
    <font>
      <sz val="14"/>
      <color theme="5"/>
      <name val="Showcard Gothic"/>
      <family val="5"/>
    </font>
    <font>
      <b/>
      <i/>
      <sz val="11"/>
      <color theme="9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i/>
      <u/>
      <sz val="11"/>
      <color theme="9" tint="-0.249977111117893"/>
      <name val="Calibri"/>
      <family val="2"/>
      <scheme val="minor"/>
    </font>
    <font>
      <b/>
      <i/>
      <u/>
      <sz val="11"/>
      <color rgb="FFFFC000"/>
      <name val="Calibri"/>
      <family val="2"/>
      <scheme val="minor"/>
    </font>
    <font>
      <i/>
      <sz val="11"/>
      <color theme="3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4"/>
      <color rgb="FFFFFF00"/>
      <name val="MV Boli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u/>
      <sz val="9"/>
      <color theme="0"/>
      <name val="Arial"/>
      <family val="2"/>
    </font>
    <font>
      <b/>
      <u/>
      <sz val="10"/>
      <color theme="0"/>
      <name val="Arial"/>
      <family val="2"/>
    </font>
    <font>
      <sz val="26"/>
      <color theme="0"/>
      <name val="Calibri"/>
      <family val="2"/>
      <scheme val="minor"/>
    </font>
    <font>
      <strike/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gray125">
        <fgColor theme="0" tint="-0.24994659260841701"/>
        <bgColor theme="0" tint="-0.499984740745262"/>
      </patternFill>
    </fill>
    <fill>
      <patternFill patternType="gray0625">
        <fgColor theme="0" tint="-0.24994659260841701"/>
        <bgColor theme="0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6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theme="9"/>
      </left>
      <right/>
      <top style="double">
        <color theme="9"/>
      </top>
      <bottom/>
      <diagonal/>
    </border>
    <border>
      <left/>
      <right/>
      <top style="double">
        <color theme="9"/>
      </top>
      <bottom/>
      <diagonal/>
    </border>
    <border>
      <left/>
      <right style="double">
        <color theme="9"/>
      </right>
      <top style="double">
        <color theme="9"/>
      </top>
      <bottom/>
      <diagonal/>
    </border>
    <border>
      <left style="double">
        <color theme="9"/>
      </left>
      <right/>
      <top/>
      <bottom style="double">
        <color theme="9"/>
      </bottom>
      <diagonal/>
    </border>
    <border>
      <left/>
      <right/>
      <top/>
      <bottom style="double">
        <color theme="9"/>
      </bottom>
      <diagonal/>
    </border>
    <border>
      <left/>
      <right style="double">
        <color theme="9"/>
      </right>
      <top/>
      <bottom style="double">
        <color theme="9"/>
      </bottom>
      <diagonal/>
    </border>
    <border>
      <left style="double">
        <color theme="9"/>
      </left>
      <right/>
      <top/>
      <bottom/>
      <diagonal/>
    </border>
    <border>
      <left/>
      <right style="double">
        <color theme="9"/>
      </right>
      <top/>
      <bottom/>
      <diagonal/>
    </border>
    <border>
      <left style="double">
        <color theme="9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uble">
        <color theme="9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Dashed">
        <color theme="9"/>
      </left>
      <right/>
      <top style="mediumDashed">
        <color theme="9"/>
      </top>
      <bottom/>
      <diagonal/>
    </border>
    <border>
      <left/>
      <right/>
      <top style="mediumDashed">
        <color theme="9"/>
      </top>
      <bottom/>
      <diagonal/>
    </border>
    <border>
      <left/>
      <right style="mediumDashed">
        <color theme="9"/>
      </right>
      <top style="mediumDashed">
        <color theme="9"/>
      </top>
      <bottom/>
      <diagonal/>
    </border>
    <border>
      <left style="mediumDashed">
        <color theme="9"/>
      </left>
      <right/>
      <top/>
      <bottom style="mediumDashed">
        <color theme="9"/>
      </bottom>
      <diagonal/>
    </border>
    <border>
      <left/>
      <right/>
      <top/>
      <bottom style="mediumDashed">
        <color theme="9"/>
      </bottom>
      <diagonal/>
    </border>
    <border>
      <left/>
      <right style="mediumDashed">
        <color theme="9"/>
      </right>
      <top/>
      <bottom style="mediumDashed">
        <color theme="9"/>
      </bottom>
      <diagonal/>
    </border>
    <border>
      <left style="mediumDashed">
        <color theme="9"/>
      </left>
      <right/>
      <top/>
      <bottom/>
      <diagonal/>
    </border>
    <border>
      <left/>
      <right style="mediumDashed">
        <color theme="9"/>
      </right>
      <top/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/>
      <right style="thin">
        <color indexed="64"/>
      </right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FF000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medium">
        <color rgb="FFFF0000"/>
      </right>
      <top style="double">
        <color rgb="FFFF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</borders>
  <cellStyleXfs count="2">
    <xf numFmtId="0" fontId="0" fillId="0" borderId="0"/>
    <xf numFmtId="0" fontId="33" fillId="0" borderId="0"/>
  </cellStyleXfs>
  <cellXfs count="245">
    <xf numFmtId="0" fontId="0" fillId="0" borderId="0" xfId="0"/>
    <xf numFmtId="0" fontId="0" fillId="6" borderId="0" xfId="0" applyFill="1"/>
    <xf numFmtId="0" fontId="7" fillId="6" borderId="0" xfId="0" applyFont="1" applyFill="1" applyBorder="1"/>
    <xf numFmtId="0" fontId="6" fillId="3" borderId="1" xfId="0" applyFont="1" applyFill="1" applyBorder="1" applyAlignment="1">
      <alignment horizontal="center" vertical="center"/>
    </xf>
    <xf numFmtId="0" fontId="6" fillId="6" borderId="0" xfId="0" applyFont="1" applyFill="1"/>
    <xf numFmtId="0" fontId="2" fillId="6" borderId="0" xfId="0" applyFont="1" applyFill="1"/>
    <xf numFmtId="0" fontId="6" fillId="11" borderId="1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left"/>
    </xf>
    <xf numFmtId="0" fontId="0" fillId="0" borderId="1" xfId="0" applyFill="1" applyBorder="1" applyAlignment="1">
      <alignment horizontal="left"/>
    </xf>
    <xf numFmtId="0" fontId="1" fillId="5" borderId="1" xfId="0" applyFont="1" applyFill="1" applyBorder="1" applyAlignment="1">
      <alignment horizontal="center" vertical="center"/>
    </xf>
    <xf numFmtId="0" fontId="5" fillId="6" borderId="0" xfId="0" applyFont="1" applyFill="1"/>
    <xf numFmtId="0" fontId="10" fillId="0" borderId="1" xfId="0" applyFont="1" applyFill="1" applyBorder="1" applyAlignment="1">
      <alignment horizontal="left"/>
    </xf>
    <xf numFmtId="0" fontId="4" fillId="6" borderId="18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0" fillId="20" borderId="0" xfId="0" applyFill="1"/>
    <xf numFmtId="0" fontId="15" fillId="20" borderId="0" xfId="0" applyFont="1" applyFill="1"/>
    <xf numFmtId="165" fontId="11" fillId="20" borderId="0" xfId="0" applyNumberFormat="1" applyFont="1" applyFill="1" applyAlignment="1">
      <alignment horizontal="center" vertical="center"/>
    </xf>
    <xf numFmtId="164" fontId="0" fillId="20" borderId="0" xfId="0" applyNumberFormat="1" applyFill="1"/>
    <xf numFmtId="0" fontId="0" fillId="20" borderId="0" xfId="0" applyNumberFormat="1" applyFill="1"/>
    <xf numFmtId="164" fontId="16" fillId="22" borderId="27" xfId="0" applyNumberFormat="1" applyFont="1" applyFill="1" applyBorder="1" applyAlignment="1">
      <alignment horizontal="center" vertical="center"/>
    </xf>
    <xf numFmtId="164" fontId="17" fillId="22" borderId="0" xfId="0" applyNumberFormat="1" applyFont="1" applyFill="1" applyBorder="1" applyAlignment="1">
      <alignment horizontal="center" vertical="center"/>
    </xf>
    <xf numFmtId="164" fontId="18" fillId="22" borderId="0" xfId="0" applyNumberFormat="1" applyFont="1" applyFill="1" applyBorder="1" applyAlignment="1">
      <alignment horizontal="left" vertical="center"/>
    </xf>
    <xf numFmtId="164" fontId="18" fillId="22" borderId="0" xfId="0" applyNumberFormat="1" applyFont="1" applyFill="1" applyBorder="1" applyAlignment="1">
      <alignment horizontal="center" vertical="center"/>
    </xf>
    <xf numFmtId="164" fontId="17" fillId="22" borderId="28" xfId="0" applyNumberFormat="1" applyFont="1" applyFill="1" applyBorder="1" applyAlignment="1">
      <alignment horizontal="center" vertical="center"/>
    </xf>
    <xf numFmtId="0" fontId="6" fillId="20" borderId="0" xfId="0" applyFont="1" applyFill="1" applyBorder="1" applyAlignment="1">
      <alignment horizontal="center" vertical="top"/>
    </xf>
    <xf numFmtId="0" fontId="19" fillId="22" borderId="27" xfId="0" applyFont="1" applyFill="1" applyBorder="1" applyAlignment="1">
      <alignment horizontal="right" vertical="center"/>
    </xf>
    <xf numFmtId="0" fontId="20" fillId="22" borderId="0" xfId="0" applyFont="1" applyFill="1" applyBorder="1" applyAlignment="1">
      <alignment vertical="top"/>
    </xf>
    <xf numFmtId="0" fontId="21" fillId="22" borderId="0" xfId="0" applyFont="1" applyFill="1" applyBorder="1" applyAlignment="1">
      <alignment vertical="top"/>
    </xf>
    <xf numFmtId="0" fontId="8" fillId="22" borderId="28" xfId="0" applyFont="1" applyFill="1" applyBorder="1" applyAlignment="1">
      <alignment vertical="top"/>
    </xf>
    <xf numFmtId="0" fontId="22" fillId="22" borderId="27" xfId="0" applyFont="1" applyFill="1" applyBorder="1"/>
    <xf numFmtId="0" fontId="23" fillId="22" borderId="27" xfId="0" applyFont="1" applyFill="1" applyBorder="1" applyAlignment="1">
      <alignment horizontal="right"/>
    </xf>
    <xf numFmtId="0" fontId="24" fillId="22" borderId="0" xfId="0" applyFont="1" applyFill="1" applyBorder="1" applyAlignment="1">
      <alignment horizontal="right"/>
    </xf>
    <xf numFmtId="0" fontId="26" fillId="22" borderId="31" xfId="0" applyNumberFormat="1" applyFont="1" applyFill="1" applyBorder="1" applyAlignment="1">
      <alignment horizontal="left" vertical="center"/>
    </xf>
    <xf numFmtId="0" fontId="0" fillId="22" borderId="28" xfId="0" applyFill="1" applyBorder="1"/>
    <xf numFmtId="0" fontId="26" fillId="22" borderId="34" xfId="0" applyNumberFormat="1" applyFont="1" applyFill="1" applyBorder="1" applyAlignment="1">
      <alignment horizontal="left" vertical="center"/>
    </xf>
    <xf numFmtId="0" fontId="0" fillId="19" borderId="35" xfId="0" applyFill="1" applyBorder="1"/>
    <xf numFmtId="0" fontId="0" fillId="19" borderId="36" xfId="0" applyFill="1" applyBorder="1"/>
    <xf numFmtId="0" fontId="0" fillId="19" borderId="37" xfId="0" applyFill="1" applyBorder="1"/>
    <xf numFmtId="0" fontId="2" fillId="20" borderId="0" xfId="0" applyFont="1" applyFill="1"/>
    <xf numFmtId="0" fontId="0" fillId="22" borderId="27" xfId="0" applyFill="1" applyBorder="1"/>
    <xf numFmtId="0" fontId="27" fillId="22" borderId="0" xfId="0" applyFont="1" applyFill="1" applyBorder="1"/>
    <xf numFmtId="0" fontId="0" fillId="19" borderId="38" xfId="0" applyFill="1" applyBorder="1"/>
    <xf numFmtId="0" fontId="0" fillId="19" borderId="0" xfId="0" applyFill="1" applyBorder="1"/>
    <xf numFmtId="0" fontId="0" fillId="19" borderId="39" xfId="0" applyFill="1" applyBorder="1"/>
    <xf numFmtId="0" fontId="28" fillId="22" borderId="27" xfId="0" applyFont="1" applyFill="1" applyBorder="1"/>
    <xf numFmtId="0" fontId="0" fillId="22" borderId="24" xfId="0" applyFill="1" applyBorder="1"/>
    <xf numFmtId="166" fontId="2" fillId="22" borderId="26" xfId="0" applyNumberFormat="1" applyFont="1" applyFill="1" applyBorder="1"/>
    <xf numFmtId="0" fontId="0" fillId="22" borderId="46" xfId="0" applyFill="1" applyBorder="1"/>
    <xf numFmtId="0" fontId="0" fillId="22" borderId="0" xfId="0" applyFill="1" applyBorder="1"/>
    <xf numFmtId="0" fontId="0" fillId="22" borderId="47" xfId="0" applyFill="1" applyBorder="1"/>
    <xf numFmtId="0" fontId="0" fillId="10" borderId="48" xfId="0" applyFill="1" applyBorder="1"/>
    <xf numFmtId="0" fontId="0" fillId="10" borderId="49" xfId="0" applyFill="1" applyBorder="1"/>
    <xf numFmtId="0" fontId="0" fillId="10" borderId="50" xfId="0" applyFill="1" applyBorder="1"/>
    <xf numFmtId="0" fontId="0" fillId="10" borderId="51" xfId="0" applyFill="1" applyBorder="1"/>
    <xf numFmtId="0" fontId="0" fillId="19" borderId="52" xfId="0" applyFill="1" applyBorder="1"/>
    <xf numFmtId="0" fontId="0" fillId="19" borderId="53" xfId="0" applyFill="1" applyBorder="1"/>
    <xf numFmtId="0" fontId="0" fillId="19" borderId="54" xfId="0" applyFill="1" applyBorder="1"/>
    <xf numFmtId="0" fontId="0" fillId="22" borderId="43" xfId="0" applyFill="1" applyBorder="1"/>
    <xf numFmtId="0" fontId="0" fillId="22" borderId="44" xfId="0" applyFill="1" applyBorder="1"/>
    <xf numFmtId="0" fontId="0" fillId="22" borderId="45" xfId="0" applyFill="1" applyBorder="1"/>
    <xf numFmtId="0" fontId="0" fillId="10" borderId="55" xfId="0" applyFill="1" applyBorder="1"/>
    <xf numFmtId="0" fontId="0" fillId="10" borderId="56" xfId="0" applyFill="1" applyBorder="1"/>
    <xf numFmtId="0" fontId="6" fillId="23" borderId="0" xfId="0" applyFont="1" applyFill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24" borderId="0" xfId="0" applyFont="1" applyFill="1"/>
    <xf numFmtId="0" fontId="0" fillId="25" borderId="0" xfId="0" applyFill="1"/>
    <xf numFmtId="0" fontId="33" fillId="25" borderId="0" xfId="1" applyFill="1"/>
    <xf numFmtId="0" fontId="2" fillId="25" borderId="0" xfId="0" applyFont="1" applyFill="1" applyBorder="1" applyAlignment="1">
      <alignment horizontal="center" vertical="center"/>
    </xf>
    <xf numFmtId="167" fontId="0" fillId="25" borderId="0" xfId="0" applyNumberFormat="1" applyFill="1"/>
    <xf numFmtId="0" fontId="35" fillId="18" borderId="65" xfId="1" applyFont="1" applyFill="1" applyBorder="1" applyAlignment="1">
      <alignment horizontal="center"/>
    </xf>
    <xf numFmtId="0" fontId="36" fillId="16" borderId="66" xfId="1" applyFont="1" applyFill="1" applyBorder="1" applyAlignment="1">
      <alignment horizontal="left" wrapText="1"/>
    </xf>
    <xf numFmtId="0" fontId="37" fillId="16" borderId="67" xfId="1" applyFont="1" applyFill="1" applyBorder="1" applyAlignment="1">
      <alignment horizontal="center" wrapText="1"/>
    </xf>
    <xf numFmtId="167" fontId="36" fillId="16" borderId="68" xfId="1" applyNumberFormat="1" applyFont="1" applyFill="1" applyBorder="1" applyAlignment="1">
      <alignment horizontal="center" vertical="center"/>
    </xf>
    <xf numFmtId="167" fontId="36" fillId="16" borderId="69" xfId="1" applyNumberFormat="1" applyFont="1" applyFill="1" applyBorder="1" applyAlignment="1">
      <alignment horizontal="center" vertical="center"/>
    </xf>
    <xf numFmtId="16" fontId="33" fillId="25" borderId="0" xfId="1" applyNumberFormat="1" applyFill="1"/>
    <xf numFmtId="0" fontId="2" fillId="25" borderId="0" xfId="0" applyFont="1" applyFill="1" applyBorder="1" applyAlignment="1">
      <alignment horizontal="center" vertical="center" wrapText="1"/>
    </xf>
    <xf numFmtId="0" fontId="37" fillId="0" borderId="73" xfId="1" applyFont="1" applyFill="1" applyBorder="1" applyAlignment="1">
      <alignment vertical="center" wrapText="1"/>
    </xf>
    <xf numFmtId="0" fontId="37" fillId="0" borderId="65" xfId="1" applyFont="1" applyFill="1" applyBorder="1" applyAlignment="1">
      <alignment horizontal="center" wrapText="1"/>
    </xf>
    <xf numFmtId="167" fontId="37" fillId="0" borderId="16" xfId="1" applyNumberFormat="1" applyFont="1" applyFill="1" applyBorder="1" applyAlignment="1">
      <alignment horizontal="center" vertical="center"/>
    </xf>
    <xf numFmtId="167" fontId="37" fillId="0" borderId="74" xfId="1" applyNumberFormat="1" applyFont="1" applyFill="1" applyBorder="1" applyAlignment="1">
      <alignment horizontal="center" vertical="center"/>
    </xf>
    <xf numFmtId="0" fontId="33" fillId="25" borderId="0" xfId="1" applyFont="1" applyFill="1"/>
    <xf numFmtId="0" fontId="36" fillId="16" borderId="73" xfId="1" applyFont="1" applyFill="1" applyBorder="1" applyAlignment="1">
      <alignment vertical="center"/>
    </xf>
    <xf numFmtId="0" fontId="37" fillId="16" borderId="75" xfId="1" applyFont="1" applyFill="1" applyBorder="1" applyAlignment="1">
      <alignment horizontal="center"/>
    </xf>
    <xf numFmtId="167" fontId="36" fillId="16" borderId="0" xfId="1" applyNumberFormat="1" applyFont="1" applyFill="1" applyBorder="1" applyAlignment="1">
      <alignment horizontal="center" vertical="center"/>
    </xf>
    <xf numFmtId="167" fontId="36" fillId="16" borderId="75" xfId="1" applyNumberFormat="1" applyFont="1" applyFill="1" applyBorder="1" applyAlignment="1">
      <alignment horizontal="center" vertical="center"/>
    </xf>
    <xf numFmtId="167" fontId="36" fillId="16" borderId="18" xfId="1" applyNumberFormat="1" applyFont="1" applyFill="1" applyBorder="1" applyAlignment="1">
      <alignment horizontal="center" vertical="center"/>
    </xf>
    <xf numFmtId="167" fontId="36" fillId="16" borderId="76" xfId="1" applyNumberFormat="1" applyFont="1" applyFill="1" applyBorder="1" applyAlignment="1">
      <alignment horizontal="center" vertical="center"/>
    </xf>
    <xf numFmtId="0" fontId="36" fillId="17" borderId="77" xfId="1" applyFont="1" applyFill="1" applyBorder="1" applyAlignment="1">
      <alignment vertical="center"/>
    </xf>
    <xf numFmtId="0" fontId="37" fillId="17" borderId="78" xfId="1" applyFont="1" applyFill="1" applyBorder="1" applyAlignment="1">
      <alignment horizontal="center"/>
    </xf>
    <xf numFmtId="167" fontId="36" fillId="17" borderId="78" xfId="1" applyNumberFormat="1" applyFont="1" applyFill="1" applyBorder="1" applyAlignment="1">
      <alignment horizontal="center" vertical="center"/>
    </xf>
    <xf numFmtId="167" fontId="36" fillId="17" borderId="79" xfId="1" applyNumberFormat="1" applyFont="1" applyFill="1" applyBorder="1" applyAlignment="1">
      <alignment horizontal="center" vertical="center"/>
    </xf>
    <xf numFmtId="0" fontId="37" fillId="0" borderId="73" xfId="1" applyFont="1" applyBorder="1" applyAlignment="1">
      <alignment vertical="center" wrapText="1"/>
    </xf>
    <xf numFmtId="0" fontId="37" fillId="0" borderId="75" xfId="1" applyFont="1" applyBorder="1" applyAlignment="1">
      <alignment horizontal="center"/>
    </xf>
    <xf numFmtId="167" fontId="37" fillId="0" borderId="75" xfId="1" quotePrefix="1" applyNumberFormat="1" applyFont="1" applyFill="1" applyBorder="1" applyAlignment="1">
      <alignment horizontal="center" vertical="center"/>
    </xf>
    <xf numFmtId="167" fontId="37" fillId="0" borderId="76" xfId="1" quotePrefix="1" applyNumberFormat="1" applyFont="1" applyFill="1" applyBorder="1" applyAlignment="1">
      <alignment horizontal="center" vertical="center"/>
    </xf>
    <xf numFmtId="0" fontId="37" fillId="0" borderId="73" xfId="1" applyFont="1" applyBorder="1" applyAlignment="1">
      <alignment horizontal="left" vertical="center" wrapText="1"/>
    </xf>
    <xf numFmtId="0" fontId="37" fillId="0" borderId="80" xfId="1" applyFont="1" applyBorder="1" applyAlignment="1">
      <alignment horizontal="center" wrapText="1"/>
    </xf>
    <xf numFmtId="167" fontId="37" fillId="26" borderId="65" xfId="1" applyNumberFormat="1" applyFont="1" applyFill="1" applyBorder="1" applyAlignment="1">
      <alignment horizontal="center" vertical="center"/>
    </xf>
    <xf numFmtId="167" fontId="37" fillId="26" borderId="81" xfId="1" applyNumberFormat="1" applyFont="1" applyFill="1" applyBorder="1" applyAlignment="1">
      <alignment horizontal="center" vertical="center"/>
    </xf>
    <xf numFmtId="0" fontId="36" fillId="16" borderId="73" xfId="1" applyFont="1" applyFill="1" applyBorder="1" applyAlignment="1">
      <alignment horizontal="left" vertical="center"/>
    </xf>
    <xf numFmtId="0" fontId="37" fillId="16" borderId="65" xfId="1" applyFont="1" applyFill="1" applyBorder="1" applyAlignment="1">
      <alignment horizontal="center" vertical="center"/>
    </xf>
    <xf numFmtId="167" fontId="36" fillId="16" borderId="16" xfId="1" applyNumberFormat="1" applyFont="1" applyFill="1" applyBorder="1" applyAlignment="1">
      <alignment horizontal="center" vertical="center"/>
    </xf>
    <xf numFmtId="167" fontId="36" fillId="16" borderId="74" xfId="1" applyNumberFormat="1" applyFont="1" applyFill="1" applyBorder="1" applyAlignment="1">
      <alignment horizontal="center" vertical="center"/>
    </xf>
    <xf numFmtId="0" fontId="37" fillId="16" borderId="65" xfId="1" applyFont="1" applyFill="1" applyBorder="1" applyAlignment="1">
      <alignment horizontal="center"/>
    </xf>
    <xf numFmtId="0" fontId="36" fillId="16" borderId="73" xfId="1" applyFont="1" applyFill="1" applyBorder="1" applyAlignment="1">
      <alignment vertical="center" wrapText="1"/>
    </xf>
    <xf numFmtId="0" fontId="37" fillId="0" borderId="67" xfId="1" applyFont="1" applyFill="1" applyBorder="1" applyAlignment="1">
      <alignment vertical="center" wrapText="1"/>
    </xf>
    <xf numFmtId="0" fontId="37" fillId="0" borderId="67" xfId="1" applyFont="1" applyBorder="1" applyAlignment="1">
      <alignment horizontal="center"/>
    </xf>
    <xf numFmtId="167" fontId="37" fillId="0" borderId="68" xfId="1" applyNumberFormat="1" applyFont="1" applyBorder="1" applyAlignment="1">
      <alignment horizontal="center" vertical="center"/>
    </xf>
    <xf numFmtId="0" fontId="37" fillId="0" borderId="65" xfId="1" applyFont="1" applyFill="1" applyBorder="1" applyAlignment="1">
      <alignment vertical="center"/>
    </xf>
    <xf numFmtId="0" fontId="37" fillId="0" borderId="65" xfId="1" applyFont="1" applyFill="1" applyBorder="1" applyAlignment="1">
      <alignment horizontal="center"/>
    </xf>
    <xf numFmtId="167" fontId="37" fillId="0" borderId="1" xfId="1" applyNumberFormat="1" applyFont="1" applyBorder="1" applyAlignment="1">
      <alignment horizontal="center" vertical="center"/>
    </xf>
    <xf numFmtId="167" fontId="37" fillId="0" borderId="9" xfId="1" applyNumberFormat="1" applyFont="1" applyBorder="1" applyAlignment="1">
      <alignment horizontal="center" vertical="center"/>
    </xf>
    <xf numFmtId="0" fontId="37" fillId="20" borderId="1" xfId="1" applyFont="1" applyFill="1" applyBorder="1" applyAlignment="1">
      <alignment vertical="center"/>
    </xf>
    <xf numFmtId="0" fontId="37" fillId="20" borderId="1" xfId="1" applyFont="1" applyFill="1" applyBorder="1" applyAlignment="1">
      <alignment horizontal="center"/>
    </xf>
    <xf numFmtId="167" fontId="36" fillId="20" borderId="1" xfId="1" applyNumberFormat="1" applyFont="1" applyFill="1" applyBorder="1" applyAlignment="1">
      <alignment horizontal="center" vertical="center"/>
    </xf>
    <xf numFmtId="0" fontId="38" fillId="25" borderId="0" xfId="1" applyFont="1" applyFill="1"/>
    <xf numFmtId="0" fontId="39" fillId="25" borderId="0" xfId="1" applyFont="1" applyFill="1" applyBorder="1" applyAlignment="1">
      <alignment horizontal="left"/>
    </xf>
    <xf numFmtId="20" fontId="39" fillId="25" borderId="0" xfId="1" applyNumberFormat="1" applyFont="1" applyFill="1" applyBorder="1" applyAlignment="1">
      <alignment horizontal="left"/>
    </xf>
    <xf numFmtId="0" fontId="42" fillId="25" borderId="0" xfId="1" applyFont="1" applyFill="1"/>
    <xf numFmtId="0" fontId="37" fillId="25" borderId="0" xfId="1" applyFont="1" applyFill="1"/>
    <xf numFmtId="0" fontId="35" fillId="25" borderId="0" xfId="1" applyFont="1" applyFill="1"/>
    <xf numFmtId="167" fontId="0" fillId="0" borderId="0" xfId="0" applyNumberFormat="1"/>
    <xf numFmtId="0" fontId="0" fillId="0" borderId="9" xfId="0" applyBorder="1" applyAlignment="1">
      <alignment horizontal="right"/>
    </xf>
    <xf numFmtId="0" fontId="0" fillId="15" borderId="8" xfId="0" applyFill="1" applyBorder="1" applyAlignment="1"/>
    <xf numFmtId="0" fontId="0" fillId="0" borderId="10" xfId="0" applyBorder="1" applyAlignment="1">
      <alignment horizontal="right"/>
    </xf>
    <xf numFmtId="0" fontId="1" fillId="14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16" borderId="9" xfId="0" applyFill="1" applyBorder="1" applyAlignment="1">
      <alignment horizontal="left"/>
    </xf>
    <xf numFmtId="0" fontId="30" fillId="22" borderId="0" xfId="0" applyFont="1" applyFill="1" applyBorder="1" applyAlignment="1">
      <alignment horizontal="right" vertical="center"/>
    </xf>
    <xf numFmtId="0" fontId="25" fillId="22" borderId="32" xfId="0" applyFont="1" applyFill="1" applyBorder="1" applyAlignment="1">
      <alignment horizontal="right" vertical="center"/>
    </xf>
    <xf numFmtId="0" fontId="25" fillId="22" borderId="33" xfId="0" applyFont="1" applyFill="1" applyBorder="1" applyAlignment="1">
      <alignment horizontal="right" vertical="center"/>
    </xf>
    <xf numFmtId="164" fontId="26" fillId="22" borderId="33" xfId="0" applyNumberFormat="1" applyFont="1" applyFill="1" applyBorder="1" applyAlignment="1">
      <alignment horizontal="left" vertical="center"/>
    </xf>
    <xf numFmtId="0" fontId="20" fillId="22" borderId="0" xfId="0" applyFont="1" applyFill="1" applyBorder="1" applyAlignment="1">
      <alignment horizontal="center" vertical="top" wrapText="1"/>
    </xf>
    <xf numFmtId="0" fontId="43" fillId="22" borderId="28" xfId="0" applyFont="1" applyFill="1" applyBorder="1" applyAlignment="1">
      <alignment horizontal="center" vertical="top"/>
    </xf>
    <xf numFmtId="0" fontId="10" fillId="22" borderId="25" xfId="0" applyFont="1" applyFill="1" applyBorder="1" applyAlignment="1">
      <alignment horizontal="right" vertical="top" wrapText="1"/>
    </xf>
    <xf numFmtId="0" fontId="29" fillId="21" borderId="40" xfId="0" applyFont="1" applyFill="1" applyBorder="1" applyAlignment="1">
      <alignment horizontal="center" vertical="center"/>
    </xf>
    <xf numFmtId="0" fontId="29" fillId="21" borderId="41" xfId="0" applyFont="1" applyFill="1" applyBorder="1" applyAlignment="1">
      <alignment horizontal="center" vertical="center"/>
    </xf>
    <xf numFmtId="0" fontId="29" fillId="21" borderId="42" xfId="0" applyFont="1" applyFill="1" applyBorder="1" applyAlignment="1">
      <alignment horizontal="center" vertical="center"/>
    </xf>
    <xf numFmtId="0" fontId="29" fillId="21" borderId="43" xfId="0" applyFont="1" applyFill="1" applyBorder="1" applyAlignment="1">
      <alignment horizontal="center" vertical="center"/>
    </xf>
    <xf numFmtId="0" fontId="29" fillId="21" borderId="44" xfId="0" applyFont="1" applyFill="1" applyBorder="1" applyAlignment="1">
      <alignment horizontal="center" vertical="center"/>
    </xf>
    <xf numFmtId="0" fontId="29" fillId="21" borderId="45" xfId="0" applyFont="1" applyFill="1" applyBorder="1" applyAlignment="1">
      <alignment horizontal="center" vertical="center"/>
    </xf>
    <xf numFmtId="0" fontId="21" fillId="22" borderId="0" xfId="0" applyFont="1" applyFill="1" applyBorder="1" applyAlignment="1">
      <alignment horizontal="left" vertical="top"/>
    </xf>
    <xf numFmtId="0" fontId="21" fillId="22" borderId="28" xfId="0" applyFont="1" applyFill="1" applyBorder="1" applyAlignment="1">
      <alignment horizontal="left" vertical="top"/>
    </xf>
    <xf numFmtId="0" fontId="25" fillId="22" borderId="29" xfId="0" applyFont="1" applyFill="1" applyBorder="1" applyAlignment="1">
      <alignment horizontal="right" vertical="center"/>
    </xf>
    <xf numFmtId="0" fontId="25" fillId="22" borderId="30" xfId="0" applyFont="1" applyFill="1" applyBorder="1" applyAlignment="1">
      <alignment horizontal="right" vertical="center"/>
    </xf>
    <xf numFmtId="164" fontId="26" fillId="22" borderId="30" xfId="0" applyNumberFormat="1" applyFont="1" applyFill="1" applyBorder="1" applyAlignment="1">
      <alignment horizontal="left" vertical="center"/>
    </xf>
    <xf numFmtId="0" fontId="13" fillId="20" borderId="0" xfId="0" applyFont="1" applyFill="1" applyBorder="1" applyAlignment="1">
      <alignment horizontal="center" vertical="center"/>
    </xf>
    <xf numFmtId="164" fontId="14" fillId="21" borderId="21" xfId="0" applyNumberFormat="1" applyFont="1" applyFill="1" applyBorder="1" applyAlignment="1">
      <alignment horizontal="center" vertical="center"/>
    </xf>
    <xf numFmtId="164" fontId="14" fillId="21" borderId="22" xfId="0" applyNumberFormat="1" applyFont="1" applyFill="1" applyBorder="1" applyAlignment="1">
      <alignment horizontal="center" vertical="center"/>
    </xf>
    <xf numFmtId="164" fontId="14" fillId="21" borderId="23" xfId="0" applyNumberFormat="1" applyFont="1" applyFill="1" applyBorder="1" applyAlignment="1">
      <alignment horizontal="center" vertical="center"/>
    </xf>
    <xf numFmtId="164" fontId="14" fillId="21" borderId="24" xfId="0" applyNumberFormat="1" applyFont="1" applyFill="1" applyBorder="1" applyAlignment="1">
      <alignment horizontal="center" vertical="center"/>
    </xf>
    <xf numFmtId="164" fontId="14" fillId="21" borderId="25" xfId="0" applyNumberFormat="1" applyFont="1" applyFill="1" applyBorder="1" applyAlignment="1">
      <alignment horizontal="center" vertical="center"/>
    </xf>
    <xf numFmtId="164" fontId="14" fillId="21" borderId="26" xfId="0" applyNumberFormat="1" applyFont="1" applyFill="1" applyBorder="1" applyAlignment="1">
      <alignment horizontal="center" vertical="center"/>
    </xf>
    <xf numFmtId="0" fontId="6" fillId="20" borderId="0" xfId="0" applyFont="1" applyFill="1" applyBorder="1" applyAlignment="1">
      <alignment horizontal="center" vertical="top"/>
    </xf>
    <xf numFmtId="0" fontId="2" fillId="0" borderId="7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34" fillId="3" borderId="57" xfId="1" applyFont="1" applyFill="1" applyBorder="1" applyAlignment="1">
      <alignment horizontal="center"/>
    </xf>
    <xf numFmtId="0" fontId="34" fillId="3" borderId="58" xfId="1" applyFont="1" applyFill="1" applyBorder="1" applyAlignment="1">
      <alignment horizontal="center"/>
    </xf>
    <xf numFmtId="0" fontId="34" fillId="3" borderId="59" xfId="1" applyFont="1" applyFill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4" fillId="3" borderId="60" xfId="1" applyFont="1" applyFill="1" applyBorder="1" applyAlignment="1">
      <alignment horizontal="center"/>
    </xf>
    <xf numFmtId="0" fontId="34" fillId="3" borderId="0" xfId="1" applyFont="1" applyFill="1" applyBorder="1" applyAlignment="1">
      <alignment horizontal="center"/>
    </xf>
    <xf numFmtId="0" fontId="34" fillId="3" borderId="61" xfId="1" applyFont="1" applyFill="1" applyBorder="1" applyAlignment="1">
      <alignment horizontal="center"/>
    </xf>
    <xf numFmtId="0" fontId="34" fillId="3" borderId="62" xfId="1" applyFont="1" applyFill="1" applyBorder="1" applyAlignment="1">
      <alignment horizontal="center"/>
    </xf>
    <xf numFmtId="0" fontId="34" fillId="3" borderId="63" xfId="1" applyFont="1" applyFill="1" applyBorder="1" applyAlignment="1">
      <alignment horizontal="center"/>
    </xf>
    <xf numFmtId="0" fontId="34" fillId="3" borderId="64" xfId="1" applyFont="1" applyFill="1" applyBorder="1" applyAlignment="1">
      <alignment horizontal="center"/>
    </xf>
    <xf numFmtId="0" fontId="7" fillId="6" borderId="0" xfId="0" applyFont="1" applyFill="1" applyAlignment="1">
      <alignment horizontal="center" vertical="center" wrapText="1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/>
    </xf>
    <xf numFmtId="0" fontId="6" fillId="7" borderId="12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14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3" xfId="0" applyFill="1" applyBorder="1" applyAlignment="1">
      <alignment horizontal="left"/>
    </xf>
    <xf numFmtId="0" fontId="0" fillId="8" borderId="10" xfId="0" applyFill="1" applyBorder="1" applyAlignment="1">
      <alignment horizontal="left"/>
    </xf>
    <xf numFmtId="0" fontId="0" fillId="8" borderId="14" xfId="0" applyFill="1" applyBorder="1" applyAlignment="1">
      <alignment horizontal="left"/>
    </xf>
    <xf numFmtId="0" fontId="9" fillId="19" borderId="1" xfId="0" applyFont="1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4" fillId="2" borderId="1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right"/>
    </xf>
    <xf numFmtId="0" fontId="0" fillId="8" borderId="1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" xfId="0" applyFill="1" applyBorder="1"/>
    <xf numFmtId="0" fontId="6" fillId="3" borderId="1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4" fillId="18" borderId="8" xfId="0" applyFont="1" applyFill="1" applyBorder="1" applyAlignment="1">
      <alignment horizontal="center"/>
    </xf>
    <xf numFmtId="0" fontId="44" fillId="18" borderId="9" xfId="0" applyFont="1" applyFill="1" applyBorder="1" applyAlignment="1">
      <alignment horizontal="center"/>
    </xf>
    <xf numFmtId="0" fontId="5" fillId="6" borderId="0" xfId="0" applyFont="1" applyFill="1" applyAlignment="1">
      <alignment horizontal="center" vertical="center"/>
    </xf>
    <xf numFmtId="0" fontId="0" fillId="7" borderId="13" xfId="0" applyFill="1" applyBorder="1" applyAlignment="1">
      <alignment horizontal="left"/>
    </xf>
    <xf numFmtId="0" fontId="0" fillId="7" borderId="10" xfId="0" applyFill="1" applyBorder="1" applyAlignment="1">
      <alignment horizontal="left"/>
    </xf>
    <xf numFmtId="0" fontId="0" fillId="7" borderId="14" xfId="0" applyFill="1" applyBorder="1" applyAlignment="1">
      <alignment horizontal="left"/>
    </xf>
    <xf numFmtId="0" fontId="6" fillId="9" borderId="1" xfId="0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 wrapText="1"/>
    </xf>
    <xf numFmtId="0" fontId="0" fillId="6" borderId="0" xfId="0" applyFont="1" applyFill="1" applyAlignment="1">
      <alignment horizontal="center" wrapText="1"/>
    </xf>
    <xf numFmtId="0" fontId="0" fillId="8" borderId="11" xfId="0" applyFill="1" applyBorder="1" applyAlignment="1">
      <alignment horizontal="left"/>
    </xf>
    <xf numFmtId="0" fontId="6" fillId="9" borderId="1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/>
    </xf>
  </cellXfs>
  <cellStyles count="2">
    <cellStyle name="Normal" xfId="0" builtinId="0"/>
    <cellStyle name="Normal 4" xfId="1"/>
  </cellStyles>
  <dxfs count="1">
    <dxf>
      <font>
        <strike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</xdr:row>
      <xdr:rowOff>47625</xdr:rowOff>
    </xdr:from>
    <xdr:to>
      <xdr:col>13</xdr:col>
      <xdr:colOff>47625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257175" y="590550"/>
          <a:ext cx="7715250" cy="12287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prstTxWarp prst="textStop">
            <a:avLst/>
          </a:prstTxWarp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chemeClr val="accent6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OUTIL ETATS AUTO</a:t>
          </a:r>
        </a:p>
      </xdr:txBody>
    </xdr:sp>
    <xdr:clientData/>
  </xdr:twoCellAnchor>
  <xdr:twoCellAnchor>
    <xdr:from>
      <xdr:col>14</xdr:col>
      <xdr:colOff>276225</xdr:colOff>
      <xdr:row>1</xdr:row>
      <xdr:rowOff>95250</xdr:rowOff>
    </xdr:from>
    <xdr:to>
      <xdr:col>14</xdr:col>
      <xdr:colOff>485775</xdr:colOff>
      <xdr:row>2</xdr:row>
      <xdr:rowOff>95250</xdr:rowOff>
    </xdr:to>
    <xdr:sp macro="" textlink="">
      <xdr:nvSpPr>
        <xdr:cNvPr id="3" name="Bouée 2"/>
        <xdr:cNvSpPr/>
      </xdr:nvSpPr>
      <xdr:spPr>
        <a:xfrm>
          <a:off x="8810625" y="438150"/>
          <a:ext cx="209550" cy="200025"/>
        </a:xfrm>
        <a:prstGeom prst="donu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352424</xdr:colOff>
      <xdr:row>23</xdr:row>
      <xdr:rowOff>133349</xdr:rowOff>
    </xdr:from>
    <xdr:to>
      <xdr:col>15</xdr:col>
      <xdr:colOff>847724</xdr:colOff>
      <xdr:row>24</xdr:row>
      <xdr:rowOff>104774</xdr:rowOff>
    </xdr:to>
    <xdr:sp macro="" textlink="">
      <xdr:nvSpPr>
        <xdr:cNvPr id="4" name="Flèche droite à entaille 3"/>
        <xdr:cNvSpPr/>
      </xdr:nvSpPr>
      <xdr:spPr>
        <a:xfrm rot="10800000">
          <a:off x="9801224" y="4914899"/>
          <a:ext cx="495300" cy="161925"/>
        </a:xfrm>
        <a:prstGeom prst="notchedRightArrow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23</xdr:row>
          <xdr:rowOff>104775</xdr:rowOff>
        </xdr:from>
        <xdr:to>
          <xdr:col>15</xdr:col>
          <xdr:colOff>152400</xdr:colOff>
          <xdr:row>24</xdr:row>
          <xdr:rowOff>152400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25</xdr:row>
          <xdr:rowOff>104775</xdr:rowOff>
        </xdr:from>
        <xdr:to>
          <xdr:col>20</xdr:col>
          <xdr:colOff>762000</xdr:colOff>
          <xdr:row>31</xdr:row>
          <xdr:rowOff>180975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20</xdr:col>
      <xdr:colOff>381000</xdr:colOff>
      <xdr:row>1</xdr:row>
      <xdr:rowOff>85725</xdr:rowOff>
    </xdr:from>
    <xdr:to>
      <xdr:col>20</xdr:col>
      <xdr:colOff>590550</xdr:colOff>
      <xdr:row>2</xdr:row>
      <xdr:rowOff>85725</xdr:rowOff>
    </xdr:to>
    <xdr:sp macro="" textlink="">
      <xdr:nvSpPr>
        <xdr:cNvPr id="7" name="Bouée 6"/>
        <xdr:cNvSpPr/>
      </xdr:nvSpPr>
      <xdr:spPr>
        <a:xfrm>
          <a:off x="14401800" y="428625"/>
          <a:ext cx="209550" cy="200025"/>
        </a:xfrm>
        <a:prstGeom prst="donu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276224</xdr:colOff>
      <xdr:row>12</xdr:row>
      <xdr:rowOff>152400</xdr:rowOff>
    </xdr:from>
    <xdr:to>
      <xdr:col>5</xdr:col>
      <xdr:colOff>476645</xdr:colOff>
      <xdr:row>17</xdr:row>
      <xdr:rowOff>171450</xdr:rowOff>
    </xdr:to>
    <xdr:sp macro="" textlink="">
      <xdr:nvSpPr>
        <xdr:cNvPr id="8" name="Carré corné 7"/>
        <xdr:cNvSpPr/>
      </xdr:nvSpPr>
      <xdr:spPr>
        <a:xfrm>
          <a:off x="885824" y="2781300"/>
          <a:ext cx="2638821" cy="990600"/>
        </a:xfrm>
        <a:prstGeom prst="foldedCorner">
          <a:avLst/>
        </a:prstGeom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latin typeface="+mn-lt"/>
            </a:rPr>
            <a:t>Transformation</a:t>
          </a:r>
        </a:p>
      </xdr:txBody>
    </xdr:sp>
    <xdr:clientData/>
  </xdr:twoCellAnchor>
  <xdr:twoCellAnchor>
    <xdr:from>
      <xdr:col>1</xdr:col>
      <xdr:colOff>266698</xdr:colOff>
      <xdr:row>19</xdr:row>
      <xdr:rowOff>47625</xdr:rowOff>
    </xdr:from>
    <xdr:to>
      <xdr:col>5</xdr:col>
      <xdr:colOff>457199</xdr:colOff>
      <xdr:row>24</xdr:row>
      <xdr:rowOff>57150</xdr:rowOff>
    </xdr:to>
    <xdr:sp macro="" textlink="">
      <xdr:nvSpPr>
        <xdr:cNvPr id="9" name="Carré corné 8"/>
        <xdr:cNvSpPr/>
      </xdr:nvSpPr>
      <xdr:spPr>
        <a:xfrm>
          <a:off x="876298" y="4048125"/>
          <a:ext cx="2628901" cy="981075"/>
        </a:xfrm>
        <a:prstGeom prst="foldedCorner">
          <a:avLst/>
        </a:prstGeom>
        <a:solidFill>
          <a:srgbClr val="00B05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latin typeface="+mn-lt"/>
            </a:rPr>
            <a:t>Envoi Mail</a:t>
          </a:r>
          <a:endParaRPr lang="fr-FR" sz="2000" b="1">
            <a:ln>
              <a:solidFill>
                <a:sysClr val="windowText" lastClr="000000"/>
              </a:solidFill>
            </a:ln>
            <a:latin typeface="+mn-lt"/>
          </a:endParaRPr>
        </a:p>
      </xdr:txBody>
    </xdr:sp>
    <xdr:clientData/>
  </xdr:twoCellAnchor>
  <xdr:twoCellAnchor>
    <xdr:from>
      <xdr:col>6</xdr:col>
      <xdr:colOff>228599</xdr:colOff>
      <xdr:row>25</xdr:row>
      <xdr:rowOff>142875</xdr:rowOff>
    </xdr:from>
    <xdr:to>
      <xdr:col>10</xdr:col>
      <xdr:colOff>428625</xdr:colOff>
      <xdr:row>30</xdr:row>
      <xdr:rowOff>171450</xdr:rowOff>
    </xdr:to>
    <xdr:sp macro="" textlink="">
      <xdr:nvSpPr>
        <xdr:cNvPr id="10" name="Carré corné 9"/>
        <xdr:cNvSpPr/>
      </xdr:nvSpPr>
      <xdr:spPr>
        <a:xfrm>
          <a:off x="3886199" y="5305425"/>
          <a:ext cx="2638426" cy="1000125"/>
        </a:xfrm>
        <a:prstGeom prst="foldedCorner">
          <a:avLst/>
        </a:prstGeom>
        <a:solidFill>
          <a:srgbClr val="FF00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latin typeface="+mn-lt"/>
            </a:rPr>
            <a:t>Paramètres</a:t>
          </a:r>
          <a:endParaRPr lang="fr-FR" sz="2000" b="1">
            <a:ln>
              <a:solidFill>
                <a:sysClr val="windowText" lastClr="000000"/>
              </a:solidFill>
            </a:ln>
            <a:latin typeface="+mn-lt"/>
          </a:endParaRPr>
        </a:p>
      </xdr:txBody>
    </xdr:sp>
    <xdr:clientData/>
  </xdr:twoCellAnchor>
  <xdr:twoCellAnchor>
    <xdr:from>
      <xdr:col>1</xdr:col>
      <xdr:colOff>266699</xdr:colOff>
      <xdr:row>25</xdr:row>
      <xdr:rowOff>152400</xdr:rowOff>
    </xdr:from>
    <xdr:to>
      <xdr:col>5</xdr:col>
      <xdr:colOff>466725</xdr:colOff>
      <xdr:row>30</xdr:row>
      <xdr:rowOff>180975</xdr:rowOff>
    </xdr:to>
    <xdr:sp macro="" textlink="">
      <xdr:nvSpPr>
        <xdr:cNvPr id="11" name="Carré corné 10"/>
        <xdr:cNvSpPr/>
      </xdr:nvSpPr>
      <xdr:spPr>
        <a:xfrm>
          <a:off x="876299" y="5314950"/>
          <a:ext cx="2638426" cy="1000125"/>
        </a:xfrm>
        <a:prstGeom prst="foldedCorner">
          <a:avLst/>
        </a:prstGeom>
        <a:solidFill>
          <a:srgbClr val="FFFF66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latin typeface="+mn-lt"/>
            </a:rPr>
            <a:t>Aide</a:t>
          </a:r>
          <a:endParaRPr lang="fr-FR" sz="2000" b="1">
            <a:ln>
              <a:solidFill>
                <a:sysClr val="windowText" lastClr="000000"/>
              </a:solidFill>
            </a:ln>
            <a:latin typeface="+mn-lt"/>
          </a:endParaRPr>
        </a:p>
      </xdr:txBody>
    </xdr:sp>
    <xdr:clientData/>
  </xdr:twoCellAnchor>
  <xdr:twoCellAnchor>
    <xdr:from>
      <xdr:col>6</xdr:col>
      <xdr:colOff>190498</xdr:colOff>
      <xdr:row>12</xdr:row>
      <xdr:rowOff>152400</xdr:rowOff>
    </xdr:from>
    <xdr:to>
      <xdr:col>10</xdr:col>
      <xdr:colOff>380999</xdr:colOff>
      <xdr:row>17</xdr:row>
      <xdr:rowOff>171450</xdr:rowOff>
    </xdr:to>
    <xdr:sp macro="" textlink="">
      <xdr:nvSpPr>
        <xdr:cNvPr id="12" name="Carré corné 11"/>
        <xdr:cNvSpPr/>
      </xdr:nvSpPr>
      <xdr:spPr>
        <a:xfrm>
          <a:off x="3848098" y="2781300"/>
          <a:ext cx="2628901" cy="990600"/>
        </a:xfrm>
        <a:prstGeom prst="foldedCorner">
          <a:avLst/>
        </a:prstGeom>
        <a:solidFill>
          <a:schemeClr val="accent1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latin typeface="+mn-lt"/>
            </a:rPr>
            <a:t>Liste des états</a:t>
          </a:r>
          <a:endParaRPr lang="fr-FR" sz="2000" b="1">
            <a:ln>
              <a:solidFill>
                <a:sysClr val="windowText" lastClr="000000"/>
              </a:solidFill>
            </a:ln>
            <a:latin typeface="+mn-lt"/>
          </a:endParaRPr>
        </a:p>
      </xdr:txBody>
    </xdr:sp>
    <xdr:clientData/>
  </xdr:twoCellAnchor>
  <xdr:twoCellAnchor>
    <xdr:from>
      <xdr:col>6</xdr:col>
      <xdr:colOff>190498</xdr:colOff>
      <xdr:row>19</xdr:row>
      <xdr:rowOff>66675</xdr:rowOff>
    </xdr:from>
    <xdr:to>
      <xdr:col>10</xdr:col>
      <xdr:colOff>380999</xdr:colOff>
      <xdr:row>24</xdr:row>
      <xdr:rowOff>76200</xdr:rowOff>
    </xdr:to>
    <xdr:sp macro="" textlink="">
      <xdr:nvSpPr>
        <xdr:cNvPr id="13" name="Carré corné 12"/>
        <xdr:cNvSpPr/>
      </xdr:nvSpPr>
      <xdr:spPr>
        <a:xfrm>
          <a:off x="3848098" y="4067175"/>
          <a:ext cx="2628901" cy="981075"/>
        </a:xfrm>
        <a:prstGeom prst="foldedCorner">
          <a:avLst/>
        </a:prstGeom>
        <a:solidFill>
          <a:schemeClr val="accent5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n>
                <a:solidFill>
                  <a:sysClr val="windowText" lastClr="000000"/>
                </a:solidFill>
              </a:ln>
              <a:latin typeface="+mn-lt"/>
            </a:rPr>
            <a:t>Calendrier Paies</a:t>
          </a:r>
          <a:endParaRPr lang="fr-FR" sz="2000" b="1">
            <a:ln>
              <a:solidFill>
                <a:sysClr val="windowText" lastClr="000000"/>
              </a:solidFill>
            </a:ln>
            <a:latin typeface="+mn-lt"/>
          </a:endParaRPr>
        </a:p>
      </xdr:txBody>
    </xdr:sp>
    <xdr:clientData/>
  </xdr:twoCellAnchor>
  <xdr:twoCellAnchor editAs="oneCell">
    <xdr:from>
      <xdr:col>22</xdr:col>
      <xdr:colOff>95250</xdr:colOff>
      <xdr:row>26</xdr:row>
      <xdr:rowOff>104775</xdr:rowOff>
    </xdr:from>
    <xdr:to>
      <xdr:col>23</xdr:col>
      <xdr:colOff>581025</xdr:colOff>
      <xdr:row>33</xdr:row>
      <xdr:rowOff>56388</xdr:rowOff>
    </xdr:to>
    <xdr:pic macro="[0]!presentation_Outil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649" b="100000" l="2400" r="100000">
                      <a14:foregroundMark x1="38400" y1="24503" x2="22800" y2="8609"/>
                      <a14:foregroundMark x1="26800" y1="36093" x2="36400" y2="33775"/>
                      <a14:foregroundMark x1="45200" y1="42384" x2="49600" y2="4106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5467350"/>
          <a:ext cx="1095375" cy="1323213"/>
        </a:xfrm>
        <a:prstGeom prst="rect">
          <a:avLst/>
        </a:prstGeom>
      </xdr:spPr>
    </xdr:pic>
    <xdr:clientData/>
  </xdr:twoCellAnchor>
  <xdr:twoCellAnchor>
    <xdr:from>
      <xdr:col>12</xdr:col>
      <xdr:colOff>200025</xdr:colOff>
      <xdr:row>21</xdr:row>
      <xdr:rowOff>66675</xdr:rowOff>
    </xdr:from>
    <xdr:to>
      <xdr:col>12</xdr:col>
      <xdr:colOff>409575</xdr:colOff>
      <xdr:row>22</xdr:row>
      <xdr:rowOff>76200</xdr:rowOff>
    </xdr:to>
    <xdr:sp macro="" textlink="">
      <xdr:nvSpPr>
        <xdr:cNvPr id="15" name="Bouée 14"/>
        <xdr:cNvSpPr/>
      </xdr:nvSpPr>
      <xdr:spPr>
        <a:xfrm>
          <a:off x="7515225" y="4457700"/>
          <a:ext cx="209550" cy="200025"/>
        </a:xfrm>
        <a:prstGeom prst="donu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457200</xdr:colOff>
      <xdr:row>21</xdr:row>
      <xdr:rowOff>76200</xdr:rowOff>
    </xdr:from>
    <xdr:to>
      <xdr:col>20</xdr:col>
      <xdr:colOff>666750</xdr:colOff>
      <xdr:row>22</xdr:row>
      <xdr:rowOff>85725</xdr:rowOff>
    </xdr:to>
    <xdr:sp macro="" textlink="">
      <xdr:nvSpPr>
        <xdr:cNvPr id="16" name="Bouée 15"/>
        <xdr:cNvSpPr/>
      </xdr:nvSpPr>
      <xdr:spPr>
        <a:xfrm>
          <a:off x="14478000" y="4467225"/>
          <a:ext cx="209550" cy="200025"/>
        </a:xfrm>
        <a:prstGeom prst="donu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4</xdr:row>
      <xdr:rowOff>0</xdr:rowOff>
    </xdr:from>
    <xdr:to>
      <xdr:col>11</xdr:col>
      <xdr:colOff>257175</xdr:colOff>
      <xdr:row>7</xdr:row>
      <xdr:rowOff>9525</xdr:rowOff>
    </xdr:to>
    <xdr:sp macro="[0]!menu_Divers" textlink="">
      <xdr:nvSpPr>
        <xdr:cNvPr id="5" name="Rectangle à coins arrondis 4"/>
        <xdr:cNvSpPr/>
      </xdr:nvSpPr>
      <xdr:spPr>
        <a:xfrm>
          <a:off x="5810250" y="762000"/>
          <a:ext cx="1152525" cy="581025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DIVERS</a:t>
          </a:r>
          <a:endParaRPr lang="fr-FR" sz="1100" b="1"/>
        </a:p>
      </xdr:txBody>
    </xdr:sp>
    <xdr:clientData/>
  </xdr:twoCellAnchor>
  <xdr:twoCellAnchor>
    <xdr:from>
      <xdr:col>0</xdr:col>
      <xdr:colOff>419100</xdr:colOff>
      <xdr:row>4</xdr:row>
      <xdr:rowOff>0</xdr:rowOff>
    </xdr:from>
    <xdr:to>
      <xdr:col>2</xdr:col>
      <xdr:colOff>352425</xdr:colOff>
      <xdr:row>7</xdr:row>
      <xdr:rowOff>9525</xdr:rowOff>
    </xdr:to>
    <xdr:sp macro="[0]!menu_Liens" textlink="">
      <xdr:nvSpPr>
        <xdr:cNvPr id="6" name="Rectangle à coins arrondis 5"/>
        <xdr:cNvSpPr/>
      </xdr:nvSpPr>
      <xdr:spPr>
        <a:xfrm>
          <a:off x="419100" y="762000"/>
          <a:ext cx="1152525" cy="581025"/>
        </a:xfrm>
        <a:prstGeom prst="roundRect">
          <a:avLst/>
        </a:prstGeom>
        <a:solidFill>
          <a:schemeClr val="accent5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LIENS</a:t>
          </a:r>
          <a:endParaRPr lang="fr-FR" sz="1200" b="1"/>
        </a:p>
      </xdr:txBody>
    </xdr:sp>
    <xdr:clientData/>
  </xdr:twoCellAnchor>
  <xdr:twoCellAnchor>
    <xdr:from>
      <xdr:col>3</xdr:col>
      <xdr:colOff>342900</xdr:colOff>
      <xdr:row>4</xdr:row>
      <xdr:rowOff>0</xdr:rowOff>
    </xdr:from>
    <xdr:to>
      <xdr:col>5</xdr:col>
      <xdr:colOff>276225</xdr:colOff>
      <xdr:row>7</xdr:row>
      <xdr:rowOff>9525</xdr:rowOff>
    </xdr:to>
    <xdr:sp macro="[0]!menu_Codes" textlink="">
      <xdr:nvSpPr>
        <xdr:cNvPr id="7" name="Rectangle à coins arrondis 6"/>
        <xdr:cNvSpPr/>
      </xdr:nvSpPr>
      <xdr:spPr>
        <a:xfrm>
          <a:off x="2171700" y="762000"/>
          <a:ext cx="1152525" cy="581025"/>
        </a:xfrm>
        <a:prstGeom prst="roundRect">
          <a:avLst/>
        </a:prstGeom>
        <a:solidFill>
          <a:schemeClr val="accent4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CODES</a:t>
          </a:r>
          <a:endParaRPr lang="fr-FR" sz="1200" b="1"/>
        </a:p>
      </xdr:txBody>
    </xdr:sp>
    <xdr:clientData/>
  </xdr:twoCellAnchor>
  <xdr:twoCellAnchor>
    <xdr:from>
      <xdr:col>6</xdr:col>
      <xdr:colOff>371475</xdr:colOff>
      <xdr:row>4</xdr:row>
      <xdr:rowOff>9525</xdr:rowOff>
    </xdr:from>
    <xdr:to>
      <xdr:col>8</xdr:col>
      <xdr:colOff>304800</xdr:colOff>
      <xdr:row>7</xdr:row>
      <xdr:rowOff>19050</xdr:rowOff>
    </xdr:to>
    <xdr:sp macro="[0]!menu_Mail" textlink="">
      <xdr:nvSpPr>
        <xdr:cNvPr id="8" name="Rectangle à coins arrondis 7"/>
        <xdr:cNvSpPr/>
      </xdr:nvSpPr>
      <xdr:spPr>
        <a:xfrm>
          <a:off x="4029075" y="771525"/>
          <a:ext cx="1152525" cy="581025"/>
        </a:xfrm>
        <a:prstGeom prst="roundRect">
          <a:avLst/>
        </a:prstGeom>
        <a:solidFill>
          <a:schemeClr val="accent3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MAIL</a:t>
          </a:r>
          <a:endParaRPr lang="fr-FR" sz="1100" b="1"/>
        </a:p>
      </xdr:txBody>
    </xdr:sp>
    <xdr:clientData/>
  </xdr:twoCellAnchor>
  <xdr:twoCellAnchor>
    <xdr:from>
      <xdr:col>12</xdr:col>
      <xdr:colOff>390525</xdr:colOff>
      <xdr:row>21</xdr:row>
      <xdr:rowOff>9525</xdr:rowOff>
    </xdr:from>
    <xdr:to>
      <xdr:col>13</xdr:col>
      <xdr:colOff>514350</xdr:colOff>
      <xdr:row>27</xdr:row>
      <xdr:rowOff>161925</xdr:rowOff>
    </xdr:to>
    <xdr:sp macro="" textlink="">
      <xdr:nvSpPr>
        <xdr:cNvPr id="9" name="Accolade fermante 8"/>
        <xdr:cNvSpPr/>
      </xdr:nvSpPr>
      <xdr:spPr>
        <a:xfrm>
          <a:off x="7705725" y="4048125"/>
          <a:ext cx="733425" cy="1295400"/>
        </a:xfrm>
        <a:prstGeom prst="rightBrace">
          <a:avLst/>
        </a:prstGeom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381000</xdr:colOff>
      <xdr:row>31</xdr:row>
      <xdr:rowOff>19050</xdr:rowOff>
    </xdr:from>
    <xdr:to>
      <xdr:col>13</xdr:col>
      <xdr:colOff>504825</xdr:colOff>
      <xdr:row>37</xdr:row>
      <xdr:rowOff>171450</xdr:rowOff>
    </xdr:to>
    <xdr:sp macro="" textlink="">
      <xdr:nvSpPr>
        <xdr:cNvPr id="10" name="Accolade fermante 9"/>
        <xdr:cNvSpPr/>
      </xdr:nvSpPr>
      <xdr:spPr>
        <a:xfrm>
          <a:off x="7696200" y="5962650"/>
          <a:ext cx="733425" cy="1295400"/>
        </a:xfrm>
        <a:prstGeom prst="rightBrace">
          <a:avLst/>
        </a:prstGeom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504825</xdr:colOff>
      <xdr:row>0</xdr:row>
      <xdr:rowOff>104775</xdr:rowOff>
    </xdr:from>
    <xdr:to>
      <xdr:col>26</xdr:col>
      <xdr:colOff>438150</xdr:colOff>
      <xdr:row>3</xdr:row>
      <xdr:rowOff>114300</xdr:rowOff>
    </xdr:to>
    <xdr:sp macro="[0]!mot_de_Passe" textlink="">
      <xdr:nvSpPr>
        <xdr:cNvPr id="11" name="Rectangle à coins arrondis 10"/>
        <xdr:cNvSpPr/>
      </xdr:nvSpPr>
      <xdr:spPr>
        <a:xfrm>
          <a:off x="15135225" y="104775"/>
          <a:ext cx="1152525" cy="5810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SOURCE</a:t>
          </a:r>
          <a:endParaRPr lang="fr-FR" sz="1100" b="1"/>
        </a:p>
      </xdr:txBody>
    </xdr:sp>
    <xdr:clientData/>
  </xdr:twoCellAnchor>
  <xdr:twoCellAnchor>
    <xdr:from>
      <xdr:col>14</xdr:col>
      <xdr:colOff>161925</xdr:colOff>
      <xdr:row>3</xdr:row>
      <xdr:rowOff>104775</xdr:rowOff>
    </xdr:from>
    <xdr:to>
      <xdr:col>15</xdr:col>
      <xdr:colOff>590550</xdr:colOff>
      <xdr:row>7</xdr:row>
      <xdr:rowOff>85725</xdr:rowOff>
    </xdr:to>
    <xdr:sp macro="[0]!menu_Retour" textlink="">
      <xdr:nvSpPr>
        <xdr:cNvPr id="2" name="Flèche gauche 1"/>
        <xdr:cNvSpPr/>
      </xdr:nvSpPr>
      <xdr:spPr>
        <a:xfrm>
          <a:off x="8696325" y="676275"/>
          <a:ext cx="1038225" cy="742950"/>
        </a:xfrm>
        <a:prstGeom prst="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</sheetPr>
  <dimension ref="A1:AQ337"/>
  <sheetViews>
    <sheetView tabSelected="1" workbookViewId="0">
      <selection activeCell="D35" sqref="D35"/>
    </sheetView>
  </sheetViews>
  <sheetFormatPr baseColWidth="10" defaultColWidth="9.140625" defaultRowHeight="15" x14ac:dyDescent="0.25"/>
  <cols>
    <col min="15" max="21" width="13.7109375" customWidth="1"/>
    <col min="25" max="38" width="9.140625" hidden="1" customWidth="1"/>
    <col min="39" max="39" width="21" hidden="1" customWidth="1"/>
    <col min="40" max="40" width="0" hidden="1" customWidth="1"/>
  </cols>
  <sheetData>
    <row r="1" spans="1:43" ht="27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8"/>
      <c r="P1" s="148"/>
      <c r="Q1" s="148"/>
      <c r="R1" s="148"/>
      <c r="S1" s="148"/>
      <c r="T1" s="148"/>
      <c r="U1" s="148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</row>
    <row r="2" spans="1:43" ht="15.75" thickTop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9">
        <f ca="1">TODAY()</f>
        <v>43259</v>
      </c>
      <c r="P2" s="150"/>
      <c r="Q2" s="150"/>
      <c r="R2" s="150"/>
      <c r="S2" s="150"/>
      <c r="T2" s="150"/>
      <c r="U2" s="151"/>
      <c r="V2" s="14"/>
      <c r="W2" s="14"/>
      <c r="X2" s="14"/>
      <c r="Y2" s="14" t="str">
        <f ca="1">IF(ROW()-1&gt;MAX($AL$2:$AL$3),"",INDEX($AF$2:$AF$3,MATCH(ROW()-1,$AL$2:$AL$3,0)))</f>
        <v>Balayage</v>
      </c>
      <c r="Z2" s="14"/>
      <c r="AA2" s="15">
        <f ca="1">DAY(O2)</f>
        <v>8</v>
      </c>
      <c r="AB2" s="14"/>
      <c r="AC2" s="16">
        <f ca="1">O2</f>
        <v>43259</v>
      </c>
      <c r="AD2" s="14">
        <f ca="1">WEEKDAY(AC2,2)</f>
        <v>5</v>
      </c>
      <c r="AE2" s="14"/>
      <c r="AF2" s="155" t="str">
        <f ca="1">IF(OR(AD2=2,AD2=5),"Balayage","")</f>
        <v>Balayage</v>
      </c>
      <c r="AG2" s="155"/>
      <c r="AH2" s="155"/>
      <c r="AI2" s="155"/>
      <c r="AJ2" s="155"/>
      <c r="AK2" s="14">
        <f ca="1">IF((AF2&lt;&gt;""),1,0)</f>
        <v>1</v>
      </c>
      <c r="AL2" s="14">
        <f ca="1">IF($AK2=1,MAX($AL$1:AL1)+1,"")</f>
        <v>1</v>
      </c>
      <c r="AM2" s="17">
        <f ca="1">O2+30</f>
        <v>43289</v>
      </c>
      <c r="AN2" s="14"/>
      <c r="AO2" s="14"/>
      <c r="AP2" s="14"/>
      <c r="AQ2" s="14"/>
    </row>
    <row r="3" spans="1:43" ht="15.75" thickBo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2"/>
      <c r="P3" s="153"/>
      <c r="Q3" s="153"/>
      <c r="R3" s="153"/>
      <c r="S3" s="153"/>
      <c r="T3" s="153"/>
      <c r="U3" s="154"/>
      <c r="V3" s="14"/>
      <c r="W3" s="14"/>
      <c r="X3" s="14"/>
      <c r="Y3" s="14" t="str">
        <f ca="1">IF(ROW()-1&gt;MAX($AL$2:$AL$3),"",INDEX($AF$2:$AF$3,MATCH(ROW()-1,$AL$2:$AL$3,0)))</f>
        <v/>
      </c>
      <c r="Z3" s="14"/>
      <c r="AA3" s="14"/>
      <c r="AB3" s="14"/>
      <c r="AC3" s="18"/>
      <c r="AD3" s="14">
        <f>DAY(Q2)</f>
        <v>0</v>
      </c>
      <c r="AE3" s="14"/>
      <c r="AF3" s="155" t="str">
        <f ca="1">IF((AD2=3),"EMADOTRF/C","")</f>
        <v/>
      </c>
      <c r="AG3" s="155"/>
      <c r="AH3" s="155"/>
      <c r="AI3" s="155"/>
      <c r="AJ3" s="155"/>
      <c r="AK3" s="14">
        <f ca="1">IF((AF3&lt;&gt;""),1,0)</f>
        <v>0</v>
      </c>
      <c r="AL3" s="14" t="str">
        <f ca="1">IF($AK3=1,MAX($AL$1:AL2)+1,"")</f>
        <v/>
      </c>
      <c r="AM3" s="14"/>
      <c r="AN3" s="14"/>
      <c r="AO3" s="14"/>
      <c r="AP3" s="14"/>
      <c r="AQ3" s="14"/>
    </row>
    <row r="4" spans="1:43" ht="21.75" thickTop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9"/>
      <c r="P4" s="20"/>
      <c r="Q4" s="21" t="s">
        <v>67</v>
      </c>
      <c r="R4" s="22"/>
      <c r="S4" s="21" t="s">
        <v>122</v>
      </c>
      <c r="T4" s="20"/>
      <c r="U4" s="23"/>
      <c r="V4" s="14"/>
      <c r="W4" s="14"/>
      <c r="X4" s="14"/>
      <c r="Y4" s="14"/>
      <c r="Z4" s="14"/>
      <c r="AA4" s="14"/>
      <c r="AB4" s="14"/>
      <c r="AC4" s="18"/>
      <c r="AD4" s="17"/>
      <c r="AE4" s="14"/>
      <c r="AF4" s="24"/>
      <c r="AG4" s="24"/>
      <c r="AH4" s="24"/>
      <c r="AI4" s="24"/>
      <c r="AJ4" s="24"/>
      <c r="AK4" s="14"/>
      <c r="AL4" s="14"/>
      <c r="AM4" s="14"/>
      <c r="AN4" s="14"/>
      <c r="AO4" s="14"/>
      <c r="AP4" s="14"/>
      <c r="AQ4" s="14"/>
    </row>
    <row r="5" spans="1:43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25" t="s">
        <v>123</v>
      </c>
      <c r="P5" s="26"/>
      <c r="Q5" s="27" t="s">
        <v>124</v>
      </c>
      <c r="R5" s="27"/>
      <c r="S5" s="143" t="s">
        <v>21</v>
      </c>
      <c r="T5" s="143"/>
      <c r="U5" s="144"/>
      <c r="V5" s="14"/>
      <c r="W5" s="14"/>
      <c r="X5" s="14"/>
      <c r="Y5" s="14"/>
      <c r="Z5" s="14"/>
      <c r="AA5" s="14"/>
      <c r="AB5" s="14"/>
      <c r="AC5" s="14"/>
      <c r="AD5" s="14"/>
      <c r="AE5" s="14" t="str">
        <f ca="1">IF((AD2=1),"Formations Closes","")</f>
        <v/>
      </c>
      <c r="AF5" s="14">
        <f ca="1">IF((AE5&lt;&gt;""),1,0)</f>
        <v>0</v>
      </c>
      <c r="AG5" s="14" t="str">
        <f ca="1">IF($AF5=1,MAX($AG$4:AG4)+1,"")</f>
        <v/>
      </c>
      <c r="AH5" s="14" t="str">
        <f ca="1">IF(ROW()-4&gt;MAX($AG$5:$AG$13),"",INDEX($AE$5:$AE$13,MATCH(ROW()-4,$AG$5:$AG$13,0)))</f>
        <v/>
      </c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25" t="s">
        <v>125</v>
      </c>
      <c r="P6" s="26"/>
      <c r="Q6" s="27" t="s">
        <v>126</v>
      </c>
      <c r="R6" s="27"/>
      <c r="S6" s="143" t="s">
        <v>127</v>
      </c>
      <c r="T6" s="143"/>
      <c r="U6" s="28"/>
      <c r="V6" s="14"/>
      <c r="W6" s="14"/>
      <c r="X6" s="14"/>
      <c r="Y6" s="14"/>
      <c r="Z6" s="14"/>
      <c r="AA6" s="14"/>
      <c r="AB6" s="14"/>
      <c r="AC6" s="14"/>
      <c r="AD6" s="14"/>
      <c r="AE6" s="14" t="str">
        <f>IF(AND(($AD$3=1),($AD$3&lt;=4)),"Enfants de plus de 20 ans","")</f>
        <v/>
      </c>
      <c r="AF6" s="14">
        <f t="shared" ref="AF6:AF13" si="0">IF((AE6&lt;&gt;""),1,0)</f>
        <v>0</v>
      </c>
      <c r="AG6" s="14" t="str">
        <f>IF($AF6=1,MAX($AG$4:AG5)+1,"")</f>
        <v/>
      </c>
      <c r="AH6" s="14" t="str">
        <f t="shared" ref="AH6:AH13" ca="1" si="1">IF(ROW()-4&gt;MAX($AG$5:$AG$13),"",INDEX($AE$5:$AE$13,MATCH(ROW()-4,$AG$5:$AG$13,0)))</f>
        <v/>
      </c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29"/>
      <c r="P7" s="26"/>
      <c r="Q7" s="27" t="s">
        <v>128</v>
      </c>
      <c r="R7" s="27"/>
      <c r="S7" s="143" t="str">
        <f ca="1">AH5</f>
        <v/>
      </c>
      <c r="T7" s="143"/>
      <c r="U7" s="144"/>
      <c r="V7" s="14"/>
      <c r="W7" s="14"/>
      <c r="X7" s="14"/>
      <c r="Y7" s="14"/>
      <c r="Z7" s="14"/>
      <c r="AA7" s="14"/>
      <c r="AB7" s="14"/>
      <c r="AC7" s="14"/>
      <c r="AD7" s="14"/>
      <c r="AE7" s="14" t="str">
        <f>IF(AND(($AD$3=5),($AD$3&lt;=8)),"AED - Témoins vides","")</f>
        <v/>
      </c>
      <c r="AF7" s="14">
        <f t="shared" si="0"/>
        <v>0</v>
      </c>
      <c r="AG7" s="14" t="str">
        <f>IF($AF7=1,MAX($AG$4:AG6)+1,"")</f>
        <v/>
      </c>
      <c r="AH7" s="14" t="str">
        <f t="shared" ca="1" si="1"/>
        <v/>
      </c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29"/>
      <c r="P8" s="26"/>
      <c r="Q8" s="27" t="s">
        <v>129</v>
      </c>
      <c r="R8" s="27"/>
      <c r="S8" s="143" t="str">
        <f ca="1">AH6</f>
        <v/>
      </c>
      <c r="T8" s="143"/>
      <c r="U8" s="144"/>
      <c r="V8" s="14"/>
      <c r="W8" s="14"/>
      <c r="X8" s="14"/>
      <c r="Y8" s="14"/>
      <c r="Z8" s="14"/>
      <c r="AA8" s="14"/>
      <c r="AB8" s="14"/>
      <c r="AC8" s="14"/>
      <c r="AD8" s="14"/>
      <c r="AE8" s="14" t="str">
        <f>IF(AND(($AD$3=19),($AD$3&lt;=22)),"AED - Témoins vides","")</f>
        <v/>
      </c>
      <c r="AF8" s="14">
        <f t="shared" si="0"/>
        <v>0</v>
      </c>
      <c r="AG8" s="14" t="str">
        <f>IF($AF8=1,MAX($AG$4:AG7)+1,"")</f>
        <v/>
      </c>
      <c r="AH8" s="14" t="str">
        <f t="shared" ca="1" si="1"/>
        <v/>
      </c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29"/>
      <c r="P9" s="26"/>
      <c r="Q9" s="143" t="str">
        <f ca="1">Y2</f>
        <v>Balayage</v>
      </c>
      <c r="R9" s="143"/>
      <c r="S9" s="143" t="str">
        <f ca="1">AH7</f>
        <v/>
      </c>
      <c r="T9" s="143"/>
      <c r="U9" s="144"/>
      <c r="V9" s="14"/>
      <c r="W9" s="14"/>
      <c r="X9" s="14"/>
      <c r="Y9" s="14"/>
      <c r="Z9" s="14"/>
      <c r="AA9" s="14"/>
      <c r="AB9" s="14"/>
      <c r="AC9" s="14"/>
      <c r="AD9" s="14"/>
      <c r="AE9" s="14" t="str">
        <f>IF(AND(($AD$3=1),($AD$3&lt;=3)),"Agents sans mode de paiement","")</f>
        <v/>
      </c>
      <c r="AF9" s="14">
        <f t="shared" si="0"/>
        <v>0</v>
      </c>
      <c r="AG9" s="14" t="str">
        <f>IF($AF9=1,MAX($AG$4:AG8)+1,"")</f>
        <v/>
      </c>
      <c r="AH9" s="14" t="str">
        <f t="shared" ca="1" si="1"/>
        <v/>
      </c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5.75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30" t="s">
        <v>130</v>
      </c>
      <c r="P10" s="31"/>
      <c r="Q10" s="27"/>
      <c r="R10" s="27"/>
      <c r="S10" s="27"/>
      <c r="T10" s="27"/>
      <c r="U10" s="28"/>
      <c r="V10" s="14"/>
      <c r="W10" s="14"/>
      <c r="X10" s="14"/>
      <c r="Y10" s="14"/>
      <c r="Z10" s="14"/>
      <c r="AA10" s="14"/>
      <c r="AB10" s="14"/>
      <c r="AC10" s="14"/>
      <c r="AD10" s="14"/>
      <c r="AE10" s="14" t="str">
        <f>IF(AND(($AD$3=1),($AD$3&lt;=3)),"Contrats sans dossier de paie","")</f>
        <v/>
      </c>
      <c r="AF10" s="14">
        <f t="shared" si="0"/>
        <v>0</v>
      </c>
      <c r="AG10" s="14" t="str">
        <f>IF($AF10=1,MAX($AG$4:AG9)+1,"")</f>
        <v/>
      </c>
      <c r="AH10" s="14" t="str">
        <f t="shared" ca="1" si="1"/>
        <v/>
      </c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5" t="s">
        <v>131</v>
      </c>
      <c r="P11" s="146"/>
      <c r="Q11" s="147">
        <f ca="1">VLOOKUP(AM2,zona,1)</f>
        <v>43283</v>
      </c>
      <c r="R11" s="147"/>
      <c r="S11" s="147"/>
      <c r="T11" s="32" t="str">
        <f ca="1">"J-"&amp;Q11-O2</f>
        <v>J-24</v>
      </c>
      <c r="U11" s="33"/>
      <c r="V11" s="14"/>
      <c r="W11" s="14"/>
      <c r="X11" s="14"/>
      <c r="Y11" s="14"/>
      <c r="Z11" s="14"/>
      <c r="AA11" s="14"/>
      <c r="AB11" s="14"/>
      <c r="AC11" s="14"/>
      <c r="AD11" s="14"/>
      <c r="AE11" s="14" t="str">
        <f>IF(AND(($AD$3=11),($AD$3&lt;=16)),"Agents sans mode de paiement","")</f>
        <v/>
      </c>
      <c r="AF11" s="14">
        <f t="shared" si="0"/>
        <v>0</v>
      </c>
      <c r="AG11" s="14" t="str">
        <f>IF($AF11=1,MAX($AG$4:AG10)+1,"")</f>
        <v/>
      </c>
      <c r="AH11" s="14" t="str">
        <f t="shared" ca="1" si="1"/>
        <v/>
      </c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6.5" thickBo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31" t="s">
        <v>132</v>
      </c>
      <c r="P12" s="132"/>
      <c r="Q12" s="133">
        <f ca="1">VLOOKUP(AM2,zonb,1)</f>
        <v>43262</v>
      </c>
      <c r="R12" s="133"/>
      <c r="S12" s="133"/>
      <c r="T12" s="34" t="str">
        <f ca="1">"J-"&amp;Q12-O2</f>
        <v>J-3</v>
      </c>
      <c r="U12" s="33"/>
      <c r="V12" s="14"/>
      <c r="W12" s="14"/>
      <c r="X12" s="14"/>
      <c r="Y12" s="14"/>
      <c r="Z12" s="14"/>
      <c r="AA12" s="14"/>
      <c r="AB12" s="14"/>
      <c r="AC12" s="14"/>
      <c r="AD12" s="14"/>
      <c r="AE12" s="14" t="str">
        <f>IF(AND(($AD$3=11),($AD$3&lt;=16)),"Contrats sans dossier de paie","")</f>
        <v/>
      </c>
      <c r="AF12" s="14">
        <f t="shared" si="0"/>
        <v>0</v>
      </c>
      <c r="AG12" s="14" t="str">
        <f>IF($AF12=1,MAX($AG$4:AG11)+1,"")</f>
        <v/>
      </c>
      <c r="AH12" s="14" t="str">
        <f t="shared" ca="1" si="1"/>
        <v/>
      </c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6.5" thickTop="1" x14ac:dyDescent="0.25">
      <c r="A13" s="14"/>
      <c r="B13" s="35"/>
      <c r="C13" s="36"/>
      <c r="D13" s="36"/>
      <c r="E13" s="36"/>
      <c r="F13" s="36"/>
      <c r="G13" s="36"/>
      <c r="H13" s="36"/>
      <c r="I13" s="36"/>
      <c r="J13" s="36"/>
      <c r="K13" s="37"/>
      <c r="L13" s="38"/>
      <c r="M13" s="14"/>
      <c r="N13" s="14"/>
      <c r="O13" s="39"/>
      <c r="P13" s="40"/>
      <c r="Q13" s="26"/>
      <c r="R13" s="26"/>
      <c r="S13" s="26"/>
      <c r="T13" s="26"/>
      <c r="U13" s="33"/>
      <c r="V13" s="14"/>
      <c r="W13" s="14"/>
      <c r="X13" s="14"/>
      <c r="Y13" s="14"/>
      <c r="Z13" s="14"/>
      <c r="AA13" s="14"/>
      <c r="AB13" s="14"/>
      <c r="AC13" s="14"/>
      <c r="AD13" s="14"/>
      <c r="AE13" s="14" t="str">
        <f>IF(AND(($AD$3=15),($AD$3&lt;=18)),"EVI non apurés après paie","")</f>
        <v/>
      </c>
      <c r="AF13" s="14">
        <f t="shared" si="0"/>
        <v>0</v>
      </c>
      <c r="AG13" s="14" t="str">
        <f>IF($AF13=1,MAX($AG$4:AG12)+1,"")</f>
        <v/>
      </c>
      <c r="AH13" s="14" t="str">
        <f t="shared" ca="1" si="1"/>
        <v/>
      </c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x14ac:dyDescent="0.25">
      <c r="A14" s="14"/>
      <c r="B14" s="41"/>
      <c r="C14" s="42"/>
      <c r="D14" s="42"/>
      <c r="E14" s="42"/>
      <c r="F14" s="42"/>
      <c r="G14" s="42"/>
      <c r="H14" s="42"/>
      <c r="I14" s="42"/>
      <c r="J14" s="42"/>
      <c r="K14" s="43"/>
      <c r="L14" s="38"/>
      <c r="M14" s="14"/>
      <c r="N14" s="14"/>
      <c r="O14" s="25" t="s">
        <v>133</v>
      </c>
      <c r="P14" s="134" t="str">
        <f ca="1">VLOOKUP(O2,zone,2)</f>
        <v>Envoi du flux SIGP-IEV vers Pactole à 6h00 au plus tard (le traitement SIGP passe en J-9 au soir)</v>
      </c>
      <c r="Q14" s="134"/>
      <c r="R14" s="134"/>
      <c r="S14" s="134"/>
      <c r="T14" s="134"/>
      <c r="U14" s="135" t="str">
        <f ca="1">IF(($P$14='Calendrier Paies'!$B$7),3,IF(($P$14='Calendrier Paies'!$B$17),3,IF(($P$14='Calendrier Paies'!$B$10),2,IF(($P$14='Calendrier Paies'!$B$14),1,IF(($P$14='Calendrier Paies'!$B$15),1,IF(($P$14='Calendrier Paies'!$B$16),1,""))))))</f>
        <v/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x14ac:dyDescent="0.25">
      <c r="A15" s="14"/>
      <c r="B15" s="41"/>
      <c r="C15" s="42"/>
      <c r="D15" s="42"/>
      <c r="E15" s="42"/>
      <c r="F15" s="42"/>
      <c r="G15" s="42"/>
      <c r="H15" s="42"/>
      <c r="I15" s="42"/>
      <c r="J15" s="42"/>
      <c r="K15" s="43"/>
      <c r="L15" s="38"/>
      <c r="M15" s="14"/>
      <c r="N15" s="14"/>
      <c r="O15" s="25" t="s">
        <v>134</v>
      </c>
      <c r="P15" s="134"/>
      <c r="Q15" s="134"/>
      <c r="R15" s="134"/>
      <c r="S15" s="134"/>
      <c r="T15" s="134"/>
      <c r="U15" s="135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x14ac:dyDescent="0.25">
      <c r="A16" s="14"/>
      <c r="B16" s="41"/>
      <c r="C16" s="42"/>
      <c r="D16" s="42"/>
      <c r="E16" s="42"/>
      <c r="F16" s="42"/>
      <c r="G16" s="42"/>
      <c r="H16" s="42"/>
      <c r="I16" s="42"/>
      <c r="J16" s="42"/>
      <c r="K16" s="43"/>
      <c r="L16" s="38"/>
      <c r="M16" s="14"/>
      <c r="N16" s="14"/>
      <c r="O16" s="44"/>
      <c r="P16" s="134"/>
      <c r="Q16" s="134"/>
      <c r="R16" s="134"/>
      <c r="S16" s="134"/>
      <c r="T16" s="134"/>
      <c r="U16" s="135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x14ac:dyDescent="0.25">
      <c r="A17" s="14"/>
      <c r="B17" s="41"/>
      <c r="C17" s="42"/>
      <c r="D17" s="42"/>
      <c r="E17" s="42"/>
      <c r="F17" s="42"/>
      <c r="G17" s="42"/>
      <c r="H17" s="42"/>
      <c r="I17" s="42"/>
      <c r="J17" s="42"/>
      <c r="K17" s="43"/>
      <c r="L17" s="38"/>
      <c r="M17" s="14"/>
      <c r="N17" s="14"/>
      <c r="O17" s="39"/>
      <c r="P17" s="134"/>
      <c r="Q17" s="134"/>
      <c r="R17" s="134"/>
      <c r="S17" s="134"/>
      <c r="T17" s="134"/>
      <c r="U17" s="135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4"/>
      <c r="B18" s="41"/>
      <c r="C18" s="42"/>
      <c r="D18" s="42"/>
      <c r="E18" s="42"/>
      <c r="F18" s="42"/>
      <c r="G18" s="42"/>
      <c r="H18" s="42"/>
      <c r="I18" s="42"/>
      <c r="J18" s="42"/>
      <c r="K18" s="43"/>
      <c r="L18" s="38"/>
      <c r="M18" s="14"/>
      <c r="N18" s="14"/>
      <c r="O18" s="45"/>
      <c r="P18" s="136"/>
      <c r="Q18" s="136"/>
      <c r="R18" s="136"/>
      <c r="S18" s="136"/>
      <c r="T18" s="136"/>
      <c r="U18" s="46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Top="1" x14ac:dyDescent="0.25">
      <c r="A19" s="14"/>
      <c r="B19" s="41"/>
      <c r="C19" s="42"/>
      <c r="D19" s="42"/>
      <c r="E19" s="42"/>
      <c r="F19" s="42"/>
      <c r="G19" s="42"/>
      <c r="H19" s="42"/>
      <c r="I19" s="42"/>
      <c r="J19" s="42"/>
      <c r="K19" s="43"/>
      <c r="L19" s="38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x14ac:dyDescent="0.25">
      <c r="A20" s="14"/>
      <c r="B20" s="41"/>
      <c r="C20" s="42"/>
      <c r="D20" s="42"/>
      <c r="E20" s="42"/>
      <c r="F20" s="42"/>
      <c r="G20" s="42"/>
      <c r="H20" s="42"/>
      <c r="I20" s="42"/>
      <c r="J20" s="42"/>
      <c r="K20" s="43"/>
      <c r="L20" s="38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4"/>
      <c r="B21" s="41"/>
      <c r="C21" s="42"/>
      <c r="D21" s="42"/>
      <c r="E21" s="42"/>
      <c r="F21" s="42"/>
      <c r="G21" s="42"/>
      <c r="H21" s="42"/>
      <c r="I21" s="42"/>
      <c r="J21" s="42"/>
      <c r="K21" s="43"/>
      <c r="L21" s="38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x14ac:dyDescent="0.25">
      <c r="A22" s="14"/>
      <c r="B22" s="41"/>
      <c r="C22" s="42"/>
      <c r="D22" s="42"/>
      <c r="E22" s="42"/>
      <c r="F22" s="42"/>
      <c r="G22" s="42"/>
      <c r="H22" s="42"/>
      <c r="I22" s="42"/>
      <c r="J22" s="42"/>
      <c r="K22" s="43"/>
      <c r="L22" s="38"/>
      <c r="M22" s="137" t="s">
        <v>135</v>
      </c>
      <c r="N22" s="138"/>
      <c r="O22" s="138"/>
      <c r="P22" s="138"/>
      <c r="Q22" s="138"/>
      <c r="R22" s="138"/>
      <c r="S22" s="138"/>
      <c r="T22" s="138"/>
      <c r="U22" s="13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4"/>
      <c r="B23" s="41"/>
      <c r="C23" s="42"/>
      <c r="D23" s="42"/>
      <c r="E23" s="42"/>
      <c r="F23" s="42"/>
      <c r="G23" s="42"/>
      <c r="H23" s="42"/>
      <c r="I23" s="42"/>
      <c r="J23" s="42"/>
      <c r="K23" s="43"/>
      <c r="L23" s="38"/>
      <c r="M23" s="140"/>
      <c r="N23" s="141"/>
      <c r="O23" s="141"/>
      <c r="P23" s="141"/>
      <c r="Q23" s="141"/>
      <c r="R23" s="141"/>
      <c r="S23" s="141"/>
      <c r="T23" s="141"/>
      <c r="U23" s="142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x14ac:dyDescent="0.25">
      <c r="A24" s="14"/>
      <c r="B24" s="41"/>
      <c r="C24" s="42"/>
      <c r="D24" s="42"/>
      <c r="E24" s="42"/>
      <c r="F24" s="42"/>
      <c r="G24" s="42"/>
      <c r="H24" s="42"/>
      <c r="I24" s="42"/>
      <c r="J24" s="42"/>
      <c r="K24" s="43"/>
      <c r="L24" s="38"/>
      <c r="M24" s="47"/>
      <c r="N24" s="48"/>
      <c r="O24" s="48"/>
      <c r="P24" s="130" t="s">
        <v>136</v>
      </c>
      <c r="Q24" s="130"/>
      <c r="R24" s="130"/>
      <c r="S24" s="130"/>
      <c r="T24" s="48"/>
      <c r="U24" s="49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x14ac:dyDescent="0.25">
      <c r="A25" s="14"/>
      <c r="B25" s="41"/>
      <c r="C25" s="42"/>
      <c r="D25" s="42"/>
      <c r="E25" s="42"/>
      <c r="F25" s="42"/>
      <c r="G25" s="42"/>
      <c r="H25" s="42"/>
      <c r="I25" s="42"/>
      <c r="J25" s="42"/>
      <c r="K25" s="43"/>
      <c r="L25" s="38"/>
      <c r="M25" s="47"/>
      <c r="N25" s="48"/>
      <c r="O25" s="48"/>
      <c r="P25" s="130"/>
      <c r="Q25" s="130"/>
      <c r="R25" s="130"/>
      <c r="S25" s="130"/>
      <c r="T25" s="48"/>
      <c r="U25" s="49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4"/>
      <c r="B26" s="41"/>
      <c r="C26" s="42"/>
      <c r="D26" s="42"/>
      <c r="E26" s="42"/>
      <c r="F26" s="42"/>
      <c r="G26" s="42"/>
      <c r="H26" s="42"/>
      <c r="I26" s="42"/>
      <c r="J26" s="42"/>
      <c r="K26" s="43"/>
      <c r="L26" s="38"/>
      <c r="M26" s="47"/>
      <c r="N26" s="48"/>
      <c r="O26" s="48"/>
      <c r="P26" s="48"/>
      <c r="Q26" s="48"/>
      <c r="R26" s="48"/>
      <c r="S26" s="48"/>
      <c r="T26" s="48"/>
      <c r="U26" s="49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5.75" thickTop="1" x14ac:dyDescent="0.25">
      <c r="A27" s="14"/>
      <c r="B27" s="41"/>
      <c r="C27" s="42"/>
      <c r="D27" s="42"/>
      <c r="E27" s="42"/>
      <c r="F27" s="42"/>
      <c r="G27" s="42"/>
      <c r="H27" s="42"/>
      <c r="I27" s="42"/>
      <c r="J27" s="42"/>
      <c r="K27" s="43"/>
      <c r="L27" s="38"/>
      <c r="M27" s="47"/>
      <c r="N27" s="48"/>
      <c r="O27" s="48"/>
      <c r="P27" s="48"/>
      <c r="Q27" s="48"/>
      <c r="R27" s="48"/>
      <c r="S27" s="48"/>
      <c r="T27" s="48"/>
      <c r="U27" s="49"/>
      <c r="V27" s="14"/>
      <c r="W27" s="50"/>
      <c r="X27" s="51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x14ac:dyDescent="0.25">
      <c r="A28" s="14"/>
      <c r="B28" s="41"/>
      <c r="C28" s="42"/>
      <c r="D28" s="42"/>
      <c r="E28" s="42"/>
      <c r="F28" s="42"/>
      <c r="G28" s="42"/>
      <c r="H28" s="42"/>
      <c r="I28" s="42"/>
      <c r="J28" s="42"/>
      <c r="K28" s="43"/>
      <c r="L28" s="38"/>
      <c r="M28" s="47"/>
      <c r="N28" s="48"/>
      <c r="O28" s="48"/>
      <c r="P28" s="48"/>
      <c r="Q28" s="48"/>
      <c r="R28" s="48"/>
      <c r="S28" s="48"/>
      <c r="T28" s="48"/>
      <c r="U28" s="49"/>
      <c r="V28" s="14"/>
      <c r="W28" s="52"/>
      <c r="X28" s="53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x14ac:dyDescent="0.25">
      <c r="A29" s="14"/>
      <c r="B29" s="41"/>
      <c r="C29" s="42"/>
      <c r="D29" s="42"/>
      <c r="E29" s="42"/>
      <c r="F29" s="42"/>
      <c r="G29" s="42"/>
      <c r="H29" s="42"/>
      <c r="I29" s="42"/>
      <c r="J29" s="42"/>
      <c r="K29" s="43"/>
      <c r="L29" s="38"/>
      <c r="M29" s="47"/>
      <c r="N29" s="48"/>
      <c r="O29" s="48"/>
      <c r="P29" s="48"/>
      <c r="Q29" s="48"/>
      <c r="R29" s="48"/>
      <c r="S29" s="48"/>
      <c r="T29" s="48"/>
      <c r="U29" s="49"/>
      <c r="V29" s="14"/>
      <c r="W29" s="52"/>
      <c r="X29" s="53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x14ac:dyDescent="0.25">
      <c r="A30" s="14"/>
      <c r="B30" s="41"/>
      <c r="C30" s="42"/>
      <c r="D30" s="42"/>
      <c r="E30" s="42"/>
      <c r="F30" s="42"/>
      <c r="G30" s="42"/>
      <c r="H30" s="42"/>
      <c r="I30" s="42"/>
      <c r="J30" s="42"/>
      <c r="K30" s="43"/>
      <c r="L30" s="38"/>
      <c r="M30" s="47"/>
      <c r="N30" s="48"/>
      <c r="O30" s="48"/>
      <c r="P30" s="48"/>
      <c r="Q30" s="48"/>
      <c r="R30" s="48"/>
      <c r="S30" s="48"/>
      <c r="T30" s="48"/>
      <c r="U30" s="49"/>
      <c r="V30" s="14"/>
      <c r="W30" s="52"/>
      <c r="X30" s="53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</row>
    <row r="31" spans="1:43" x14ac:dyDescent="0.25">
      <c r="A31" s="14"/>
      <c r="B31" s="41"/>
      <c r="C31" s="42"/>
      <c r="D31" s="42"/>
      <c r="E31" s="42"/>
      <c r="F31" s="42"/>
      <c r="G31" s="42"/>
      <c r="H31" s="42"/>
      <c r="I31" s="42"/>
      <c r="J31" s="42"/>
      <c r="K31" s="43"/>
      <c r="L31" s="38"/>
      <c r="M31" s="47"/>
      <c r="N31" s="48"/>
      <c r="O31" s="48"/>
      <c r="P31" s="48"/>
      <c r="Q31" s="48"/>
      <c r="R31" s="48"/>
      <c r="S31" s="48"/>
      <c r="T31" s="48"/>
      <c r="U31" s="49"/>
      <c r="V31" s="14"/>
      <c r="W31" s="52"/>
      <c r="X31" s="53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</row>
    <row r="32" spans="1:43" ht="15.75" thickBot="1" x14ac:dyDescent="0.3">
      <c r="A32" s="14"/>
      <c r="B32" s="54"/>
      <c r="C32" s="55"/>
      <c r="D32" s="55"/>
      <c r="E32" s="55"/>
      <c r="F32" s="55"/>
      <c r="G32" s="55"/>
      <c r="H32" s="55"/>
      <c r="I32" s="55"/>
      <c r="J32" s="55"/>
      <c r="K32" s="56"/>
      <c r="L32" s="38"/>
      <c r="M32" s="47"/>
      <c r="N32" s="48"/>
      <c r="O32" s="48"/>
      <c r="P32" s="48"/>
      <c r="Q32" s="48"/>
      <c r="R32" s="48"/>
      <c r="S32" s="48"/>
      <c r="T32" s="48"/>
      <c r="U32" s="49"/>
      <c r="V32" s="14"/>
      <c r="W32" s="52"/>
      <c r="X32" s="53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</row>
    <row r="33" spans="1:43" ht="16.5" thickTop="1" thickBo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57"/>
      <c r="N33" s="58"/>
      <c r="O33" s="58"/>
      <c r="P33" s="58"/>
      <c r="Q33" s="58"/>
      <c r="R33" s="58"/>
      <c r="S33" s="58"/>
      <c r="T33" s="58"/>
      <c r="U33" s="59"/>
      <c r="V33" s="14"/>
      <c r="W33" s="52"/>
      <c r="X33" s="53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</row>
    <row r="34" spans="1:43" ht="15.75" thickBot="1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38"/>
      <c r="N34" s="38"/>
      <c r="O34" s="38"/>
      <c r="P34" s="38"/>
      <c r="Q34" s="38"/>
      <c r="R34" s="38"/>
      <c r="S34" s="38"/>
      <c r="T34" s="38"/>
      <c r="U34" s="38"/>
      <c r="V34" s="14"/>
      <c r="W34" s="60"/>
      <c r="X34" s="61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</row>
    <row r="35" spans="1:43" ht="15.75" thickTop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38"/>
      <c r="N35" s="38"/>
      <c r="O35" s="38"/>
      <c r="P35" s="38"/>
      <c r="Q35" s="38"/>
      <c r="R35" s="38"/>
      <c r="S35" s="38"/>
      <c r="T35" s="38"/>
      <c r="U35" s="38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</row>
    <row r="36" spans="1:43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38"/>
      <c r="N36" s="38"/>
      <c r="O36" s="38"/>
      <c r="P36" s="38"/>
      <c r="Q36" s="38"/>
      <c r="R36" s="38"/>
      <c r="S36" s="38"/>
      <c r="T36" s="38"/>
      <c r="U36" s="38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</row>
    <row r="37" spans="1:43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38"/>
      <c r="N37" s="38"/>
      <c r="O37" s="38"/>
      <c r="P37" s="38"/>
      <c r="Q37" s="38"/>
      <c r="R37" s="38"/>
      <c r="S37" s="38"/>
      <c r="T37" s="38"/>
      <c r="U37" s="38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</row>
    <row r="123" spans="1:6" x14ac:dyDescent="0.25">
      <c r="A123" s="62" t="s">
        <v>137</v>
      </c>
      <c r="B123" s="63"/>
      <c r="C123" s="63"/>
      <c r="D123" s="64" t="s">
        <v>138</v>
      </c>
      <c r="E123" s="65" t="s">
        <v>139</v>
      </c>
      <c r="F123" s="66" t="str">
        <f>A123&amp;" "&amp;D123&amp;" "&amp;E123</f>
        <v>VE010 - LISTE NOMINATIVE LCP - PDM  -&gt; A TRAITER + I. BORGHESI</v>
      </c>
    </row>
    <row r="124" spans="1:6" x14ac:dyDescent="0.25">
      <c r="A124" s="62" t="s">
        <v>140</v>
      </c>
      <c r="B124" s="63"/>
      <c r="C124" s="63"/>
      <c r="D124" s="64" t="s">
        <v>138</v>
      </c>
      <c r="E124" s="65" t="s">
        <v>139</v>
      </c>
      <c r="F124" s="66" t="str">
        <f t="shared" ref="F124:F187" si="2">A124&amp;" "&amp;D124&amp;" "&amp;E124</f>
        <v>VE010 - BORDEREAU LCP - PDM  -&gt; A TRAITER + I. BORGHESI</v>
      </c>
    </row>
    <row r="125" spans="1:6" x14ac:dyDescent="0.25">
      <c r="A125" s="62" t="s">
        <v>141</v>
      </c>
      <c r="B125" s="63"/>
      <c r="C125" s="63"/>
      <c r="D125" s="64" t="s">
        <v>138</v>
      </c>
      <c r="E125" s="65" t="s">
        <v>142</v>
      </c>
      <c r="F125" s="66" t="str">
        <f t="shared" si="2"/>
        <v>VE083 1&amp;2 - PAIEM LCPVIREMENTS - PDM  -&gt; CAP + Chris.B</v>
      </c>
    </row>
    <row r="126" spans="1:6" x14ac:dyDescent="0.25">
      <c r="A126" s="62" t="s">
        <v>143</v>
      </c>
      <c r="B126" s="63"/>
      <c r="C126" s="63"/>
      <c r="D126" s="64" t="s">
        <v>138</v>
      </c>
      <c r="E126" s="65" t="s">
        <v>142</v>
      </c>
      <c r="F126" s="66" t="str">
        <f t="shared" si="2"/>
        <v>VE083 3 - PAIEM LCPVIREMENTS - PDM  -&gt; CAP + Chris.B</v>
      </c>
    </row>
    <row r="127" spans="1:6" x14ac:dyDescent="0.25">
      <c r="A127" s="62" t="s">
        <v>144</v>
      </c>
      <c r="B127" s="63"/>
      <c r="C127" s="63"/>
      <c r="D127" s="64" t="s">
        <v>138</v>
      </c>
      <c r="E127" s="65" t="s">
        <v>145</v>
      </c>
      <c r="F127" s="66" t="str">
        <f t="shared" si="2"/>
        <v>VE1003 - LIVRE DE PAIE INDIVIDUEL - PDM  -&gt; ARCHIVE</v>
      </c>
    </row>
    <row r="128" spans="1:6" x14ac:dyDescent="0.25">
      <c r="A128" s="62" t="s">
        <v>146</v>
      </c>
      <c r="B128" s="63"/>
      <c r="C128" s="63"/>
      <c r="D128" s="64" t="s">
        <v>138</v>
      </c>
      <c r="E128" s="65" t="s">
        <v>75</v>
      </c>
      <c r="F128" s="66" t="str">
        <f t="shared" si="2"/>
        <v>VE1005 - JOURNAL DES RUBRIQUES - PDM  -&gt; CAP</v>
      </c>
    </row>
    <row r="129" spans="1:6" x14ac:dyDescent="0.25">
      <c r="A129" s="62" t="s">
        <v>147</v>
      </c>
      <c r="B129" s="63"/>
      <c r="C129" s="63"/>
      <c r="D129" s="64" t="s">
        <v>138</v>
      </c>
      <c r="E129" s="65" t="s">
        <v>75</v>
      </c>
      <c r="F129" s="66" t="str">
        <f t="shared" si="2"/>
        <v>VE1006 - JOURNAL DES ORGANISMES - PDM  -&gt; CAP</v>
      </c>
    </row>
    <row r="130" spans="1:6" x14ac:dyDescent="0.25">
      <c r="A130" s="62" t="s">
        <v>148</v>
      </c>
      <c r="B130" s="63"/>
      <c r="C130" s="63"/>
      <c r="D130" s="64" t="s">
        <v>138</v>
      </c>
      <c r="E130" s="65" t="s">
        <v>149</v>
      </c>
      <c r="F130" s="66" t="str">
        <f t="shared" si="2"/>
        <v>PAIE NORMALE  -&gt; A CONSULTER</v>
      </c>
    </row>
    <row r="131" spans="1:6" x14ac:dyDescent="0.25">
      <c r="A131" s="62" t="s">
        <v>150</v>
      </c>
      <c r="B131" s="63"/>
      <c r="C131" s="63"/>
      <c r="D131" s="64" t="s">
        <v>138</v>
      </c>
      <c r="E131" s="65" t="s">
        <v>151</v>
      </c>
      <c r="F131" s="66" t="str">
        <f t="shared" si="2"/>
        <v>VE0501 PN - CTRL GROS RAPPELS STANDARD  -&gt; A TRAITER</v>
      </c>
    </row>
    <row r="132" spans="1:6" x14ac:dyDescent="0.25">
      <c r="A132" s="62" t="s">
        <v>152</v>
      </c>
      <c r="B132" s="63"/>
      <c r="C132" s="63"/>
      <c r="D132" s="64" t="s">
        <v>138</v>
      </c>
      <c r="E132" s="65" t="s">
        <v>151</v>
      </c>
      <c r="F132" s="66" t="str">
        <f t="shared" si="2"/>
        <v>VE0502 PN - CTRL GROS EMOLUMENTS STANDARD  -&gt; A TRAITER</v>
      </c>
    </row>
    <row r="133" spans="1:6" x14ac:dyDescent="0.25">
      <c r="A133" s="62" t="s">
        <v>153</v>
      </c>
      <c r="B133" s="63"/>
      <c r="C133" s="63"/>
      <c r="D133" s="64" t="s">
        <v>138</v>
      </c>
      <c r="E133" s="65" t="s">
        <v>151</v>
      </c>
      <c r="F133" s="66" t="str">
        <f t="shared" si="2"/>
        <v>VE080 PN - AGENTS SBMGMR OU MCO OU MCOGMR  -&gt; A TRAITER</v>
      </c>
    </row>
    <row r="134" spans="1:6" x14ac:dyDescent="0.25">
      <c r="A134" s="62" t="s">
        <v>154</v>
      </c>
      <c r="B134" s="63"/>
      <c r="C134" s="63"/>
      <c r="D134" s="64" t="s">
        <v>138</v>
      </c>
      <c r="E134" s="65" t="s">
        <v>151</v>
      </c>
      <c r="F134" s="66" t="str">
        <f t="shared" si="2"/>
        <v>VE1211 PN - EV REJETES PAR LA PAIE NORMALE  -&gt; A TRAITER</v>
      </c>
    </row>
    <row r="135" spans="1:6" x14ac:dyDescent="0.25">
      <c r="A135" s="62" t="s">
        <v>155</v>
      </c>
      <c r="B135" s="63"/>
      <c r="C135" s="63"/>
      <c r="D135" s="64" t="s">
        <v>138</v>
      </c>
      <c r="E135" s="65" t="s">
        <v>156</v>
      </c>
      <c r="F135" s="66" t="str">
        <f t="shared" si="2"/>
        <v>VE1212 PN - EV ACCEPTES PAR LA PAIE NORMALE  -&gt; A CONSULTER + .txt (Macro)</v>
      </c>
    </row>
    <row r="136" spans="1:6" x14ac:dyDescent="0.25">
      <c r="A136" s="62" t="s">
        <v>157</v>
      </c>
      <c r="B136" s="63"/>
      <c r="C136" s="63"/>
      <c r="D136" s="64" t="s">
        <v>138</v>
      </c>
      <c r="E136" s="65" t="s">
        <v>151</v>
      </c>
      <c r="F136" s="66" t="str">
        <f t="shared" si="2"/>
        <v>VE1213 PN - EV EN ANO ACCEPTES PAR LA PAIEN  -&gt; A TRAITER</v>
      </c>
    </row>
    <row r="137" spans="1:6" x14ac:dyDescent="0.25">
      <c r="A137" s="62" t="s">
        <v>158</v>
      </c>
      <c r="B137" s="63"/>
      <c r="C137" s="63"/>
      <c r="D137" s="64" t="s">
        <v>138</v>
      </c>
      <c r="E137" s="65" t="s">
        <v>151</v>
      </c>
      <c r="F137" s="66" t="str">
        <f t="shared" si="2"/>
        <v>VE1214 PN - EV REJETES PAR LA PAIEN  -&gt; A TRAITER</v>
      </c>
    </row>
    <row r="138" spans="1:6" x14ac:dyDescent="0.25">
      <c r="A138" s="62" t="s">
        <v>159</v>
      </c>
      <c r="B138" s="63"/>
      <c r="C138" s="63"/>
      <c r="D138" s="64" t="s">
        <v>138</v>
      </c>
      <c r="E138" s="65" t="s">
        <v>151</v>
      </c>
      <c r="F138" s="66" t="str">
        <f t="shared" si="2"/>
        <v>VE1221 PN - BULLETINS EN ANOMALIE EN PAIEN   -&gt; A TRAITER</v>
      </c>
    </row>
    <row r="139" spans="1:6" x14ac:dyDescent="0.25">
      <c r="A139" s="62" t="s">
        <v>160</v>
      </c>
      <c r="B139" s="63"/>
      <c r="C139" s="63"/>
      <c r="D139" s="64" t="s">
        <v>138</v>
      </c>
      <c r="E139" s="65" t="s">
        <v>151</v>
      </c>
      <c r="F139" s="66" t="str">
        <f t="shared" si="2"/>
        <v>VE1222 PN - BULLETINS REJETES PAR LA PAIEN  -&gt; A TRAITER</v>
      </c>
    </row>
    <row r="140" spans="1:6" x14ac:dyDescent="0.25">
      <c r="A140" s="62" t="s">
        <v>161</v>
      </c>
      <c r="B140" s="63"/>
      <c r="C140" s="63"/>
      <c r="D140" s="64" t="s">
        <v>138</v>
      </c>
      <c r="E140" s="65" t="s">
        <v>151</v>
      </c>
      <c r="F140" s="66" t="str">
        <f t="shared" si="2"/>
        <v>VE600R PN - RAPPELS NEGATIFS ET RMI  -&gt; A TRAITER</v>
      </c>
    </row>
    <row r="141" spans="1:6" x14ac:dyDescent="0.25">
      <c r="A141" s="62" t="s">
        <v>162</v>
      </c>
      <c r="B141" s="63"/>
      <c r="C141" s="63"/>
      <c r="D141" s="64" t="s">
        <v>138</v>
      </c>
      <c r="E141" s="65" t="s">
        <v>149</v>
      </c>
      <c r="F141" s="66" t="str">
        <f t="shared" si="2"/>
        <v>WER031 PN - CONTROE HEURES SUPP. ET COMPL.  -&gt; A CONSULTER</v>
      </c>
    </row>
    <row r="142" spans="1:6" x14ac:dyDescent="0.25">
      <c r="A142" s="62" t="s">
        <v>163</v>
      </c>
      <c r="B142" s="63"/>
      <c r="C142" s="63"/>
      <c r="D142" s="64" t="s">
        <v>138</v>
      </c>
      <c r="E142" s="65" t="s">
        <v>75</v>
      </c>
      <c r="F142" s="66" t="str">
        <f t="shared" si="2"/>
        <v>WEP01R - SOMMES DUES AGENTS DECEDES  -&gt; CAP</v>
      </c>
    </row>
    <row r="143" spans="1:6" x14ac:dyDescent="0.25">
      <c r="A143" s="62" t="s">
        <v>164</v>
      </c>
      <c r="B143" s="63"/>
      <c r="C143" s="63"/>
      <c r="D143" s="64" t="s">
        <v>138</v>
      </c>
      <c r="E143" s="65" t="s">
        <v>149</v>
      </c>
      <c r="F143" s="66" t="str">
        <f t="shared" si="2"/>
        <v>VE006 - ETATS POST AUGMENTATION GENERALE  -&gt; A CONSULTER</v>
      </c>
    </row>
    <row r="144" spans="1:6" x14ac:dyDescent="0.25">
      <c r="A144" s="62" t="s">
        <v>165</v>
      </c>
      <c r="B144" s="63"/>
      <c r="C144" s="63"/>
      <c r="D144" s="64" t="s">
        <v>138</v>
      </c>
      <c r="E144" s="65" t="s">
        <v>149</v>
      </c>
      <c r="F144" s="66" t="str">
        <f t="shared" si="2"/>
        <v>VE007 - ETATS POST RE CALCUL SALARIE  -&gt; A CONSULTER</v>
      </c>
    </row>
    <row r="145" spans="1:6" x14ac:dyDescent="0.25">
      <c r="A145" s="62" t="s">
        <v>166</v>
      </c>
      <c r="B145" s="63"/>
      <c r="C145" s="63"/>
      <c r="D145" s="64" t="s">
        <v>138</v>
      </c>
      <c r="E145" s="65" t="s">
        <v>151</v>
      </c>
      <c r="F145" s="66" t="str">
        <f t="shared" si="2"/>
        <v>VE0550 - NO INSSE INCOMPLET  -&gt; A TRAITER</v>
      </c>
    </row>
    <row r="146" spans="1:6" x14ac:dyDescent="0.25">
      <c r="A146" s="62" t="s">
        <v>167</v>
      </c>
      <c r="B146" s="63"/>
      <c r="C146" s="63"/>
      <c r="D146" s="64" t="s">
        <v>138</v>
      </c>
      <c r="E146" s="65" t="s">
        <v>151</v>
      </c>
      <c r="F146" s="66" t="str">
        <f t="shared" si="2"/>
        <v>VOZUS - ZUS - BONIFICATION ZUS A ATTRIBUER  -&gt; A TRAITER</v>
      </c>
    </row>
    <row r="147" spans="1:6" x14ac:dyDescent="0.25">
      <c r="A147" s="62" t="s">
        <v>168</v>
      </c>
      <c r="B147" s="63"/>
      <c r="C147" s="63"/>
      <c r="D147" s="64" t="s">
        <v>138</v>
      </c>
      <c r="E147" s="65" t="s">
        <v>149</v>
      </c>
      <c r="F147" s="66" t="str">
        <f t="shared" si="2"/>
        <v>WE902 - LISTE DES AGENTS EN PRERETRAITE  -&gt; A CONSULTER</v>
      </c>
    </row>
    <row r="148" spans="1:6" x14ac:dyDescent="0.25">
      <c r="A148" s="62" t="s">
        <v>169</v>
      </c>
      <c r="B148" s="63"/>
      <c r="C148" s="63"/>
      <c r="D148" s="64" t="s">
        <v>138</v>
      </c>
      <c r="E148" s="65" t="s">
        <v>151</v>
      </c>
      <c r="F148" s="66" t="str">
        <f t="shared" si="2"/>
        <v>WEG13 - AVNA DES SALARIES SORTIS  -&gt; A TRAITER</v>
      </c>
    </row>
    <row r="149" spans="1:6" x14ac:dyDescent="0.25">
      <c r="A149" s="62" t="s">
        <v>170</v>
      </c>
      <c r="B149" s="63"/>
      <c r="C149" s="63"/>
      <c r="D149" s="64" t="s">
        <v>138</v>
      </c>
      <c r="E149" s="65" t="s">
        <v>151</v>
      </c>
      <c r="F149" s="66" t="str">
        <f t="shared" si="2"/>
        <v>WEG14 - ABONDEMENTS ZUS POUR CET  -&gt; A TRAITER</v>
      </c>
    </row>
    <row r="150" spans="1:6" x14ac:dyDescent="0.25">
      <c r="A150" s="62" t="s">
        <v>171</v>
      </c>
      <c r="B150" s="63"/>
      <c r="C150" s="63"/>
      <c r="D150" s="64" t="s">
        <v>138</v>
      </c>
      <c r="E150" s="65" t="s">
        <v>149</v>
      </c>
      <c r="F150" s="66" t="str">
        <f t="shared" si="2"/>
        <v>VE321 - LIMITATION RAPPEL AGENTS ACTIFS  -&gt; A CONSULTER</v>
      </c>
    </row>
    <row r="151" spans="1:6" x14ac:dyDescent="0.25">
      <c r="A151" s="62" t="s">
        <v>172</v>
      </c>
      <c r="B151" s="63"/>
      <c r="C151" s="63"/>
      <c r="D151" s="64" t="s">
        <v>138</v>
      </c>
      <c r="E151" s="65" t="s">
        <v>149</v>
      </c>
      <c r="F151" s="66" t="str">
        <f t="shared" si="2"/>
        <v>VE322 - LIMITATION RAPPEL AGENTS SORTIS  -&gt; A CONSULTER</v>
      </c>
    </row>
    <row r="152" spans="1:6" x14ac:dyDescent="0.25">
      <c r="A152" s="62" t="s">
        <v>173</v>
      </c>
      <c r="B152" s="63"/>
      <c r="C152" s="63"/>
      <c r="D152" s="64" t="s">
        <v>138</v>
      </c>
      <c r="E152" s="65" t="s">
        <v>151</v>
      </c>
      <c r="F152" s="66" t="str">
        <f t="shared" si="2"/>
        <v>WER011 - MODES DE PAIEMENTS INCOHERENTS  -&gt; A TRAITER</v>
      </c>
    </row>
    <row r="153" spans="1:6" x14ac:dyDescent="0.25">
      <c r="A153" s="62" t="s">
        <v>174</v>
      </c>
      <c r="B153" s="63"/>
      <c r="C153" s="63"/>
      <c r="D153" s="64" t="s">
        <v>138</v>
      </c>
      <c r="E153" s="65" t="s">
        <v>175</v>
      </c>
      <c r="F153" s="66" t="str">
        <f t="shared" si="2"/>
        <v>VE025 - AVANCES PRISES EN COMPTE  -&gt; A CONSULTER + CAP</v>
      </c>
    </row>
    <row r="154" spans="1:6" x14ac:dyDescent="0.25">
      <c r="A154" s="62" t="s">
        <v>176</v>
      </c>
      <c r="B154" s="63"/>
      <c r="C154" s="63"/>
      <c r="D154" s="64" t="s">
        <v>138</v>
      </c>
      <c r="E154" s="65" t="s">
        <v>175</v>
      </c>
      <c r="F154" s="66" t="str">
        <f t="shared" si="2"/>
        <v>VE026 - AVANCES RECOUVREES  -&gt; A CONSULTER + CAP</v>
      </c>
    </row>
    <row r="155" spans="1:6" x14ac:dyDescent="0.25">
      <c r="A155" s="62" t="s">
        <v>177</v>
      </c>
      <c r="B155" s="63"/>
      <c r="C155" s="63"/>
      <c r="D155" s="64" t="s">
        <v>138</v>
      </c>
      <c r="E155" s="65" t="s">
        <v>75</v>
      </c>
      <c r="F155" s="66" t="str">
        <f t="shared" si="2"/>
        <v>VE027 - RECAPITULATIF DES AVANCES  -&gt; CAP</v>
      </c>
    </row>
    <row r="156" spans="1:6" x14ac:dyDescent="0.25">
      <c r="A156" s="62" t="s">
        <v>178</v>
      </c>
      <c r="B156" s="63"/>
      <c r="C156" s="63"/>
      <c r="D156" s="64" t="s">
        <v>138</v>
      </c>
      <c r="E156" s="65" t="s">
        <v>75</v>
      </c>
      <c r="F156" s="66" t="str">
        <f t="shared" si="2"/>
        <v>VE028 - ACOMPTES RETENUS  -&gt; CAP</v>
      </c>
    </row>
    <row r="157" spans="1:6" x14ac:dyDescent="0.25">
      <c r="A157" s="62" t="s">
        <v>179</v>
      </c>
      <c r="B157" s="63"/>
      <c r="C157" s="63"/>
      <c r="D157" s="64" t="s">
        <v>138</v>
      </c>
      <c r="E157" s="65" t="s">
        <v>180</v>
      </c>
      <c r="F157" s="66" t="str">
        <f t="shared" si="2"/>
        <v>VE032 - AGENT AYANT IMPOT A LA SOURCE  -&gt; Graziella J.</v>
      </c>
    </row>
    <row r="158" spans="1:6" x14ac:dyDescent="0.25">
      <c r="A158" s="62" t="s">
        <v>181</v>
      </c>
      <c r="B158" s="63"/>
      <c r="C158" s="63"/>
      <c r="D158" s="64" t="s">
        <v>138</v>
      </c>
      <c r="E158" s="65" t="s">
        <v>75</v>
      </c>
      <c r="F158" s="66" t="str">
        <f t="shared" si="2"/>
        <v>VE035 - COTISATIONS IRCANTEC  -&gt; CAP</v>
      </c>
    </row>
    <row r="159" spans="1:6" x14ac:dyDescent="0.25">
      <c r="A159" s="62" t="s">
        <v>182</v>
      </c>
      <c r="B159" s="63"/>
      <c r="C159" s="63"/>
      <c r="D159" s="64" t="s">
        <v>138</v>
      </c>
      <c r="E159" s="65" t="s">
        <v>75</v>
      </c>
      <c r="F159" s="66" t="str">
        <f t="shared" si="2"/>
        <v>VE041 - BRC COTISATIONS PREVOYANCE  -&gt; CAP</v>
      </c>
    </row>
    <row r="160" spans="1:6" x14ac:dyDescent="0.25">
      <c r="A160" s="62" t="s">
        <v>183</v>
      </c>
      <c r="B160" s="63"/>
      <c r="C160" s="63"/>
      <c r="D160" s="64" t="s">
        <v>138</v>
      </c>
      <c r="E160" s="65" t="s">
        <v>184</v>
      </c>
      <c r="F160" s="66" t="str">
        <f t="shared" si="2"/>
        <v>VE086 - ETAT DES RETENUES EFFECTUEES  -&gt; A CONSULTER + CAP + Mail (recouvrement)</v>
      </c>
    </row>
    <row r="161" spans="1:6" x14ac:dyDescent="0.25">
      <c r="A161" s="62" t="s">
        <v>185</v>
      </c>
      <c r="B161" s="63"/>
      <c r="C161" s="63"/>
      <c r="D161" s="64" t="s">
        <v>138</v>
      </c>
      <c r="E161" s="65" t="s">
        <v>186</v>
      </c>
      <c r="F161" s="66" t="str">
        <f t="shared" si="2"/>
        <v>VE087 - AGENTS MUTES AVEC OPPOSITION  -&gt; A CONSULTER + OPPO</v>
      </c>
    </row>
    <row r="162" spans="1:6" x14ac:dyDescent="0.25">
      <c r="A162" s="62" t="s">
        <v>187</v>
      </c>
      <c r="B162" s="63"/>
      <c r="C162" s="63"/>
      <c r="D162" s="64" t="s">
        <v>138</v>
      </c>
      <c r="E162" s="65" t="s">
        <v>184</v>
      </c>
      <c r="F162" s="66" t="str">
        <f t="shared" si="2"/>
        <v>VE088 - AGENTS AU CREDIT MUNICIPAL  -&gt; A CONSULTER + CAP + Mail (recouvrement)</v>
      </c>
    </row>
    <row r="163" spans="1:6" x14ac:dyDescent="0.25">
      <c r="A163" s="62" t="s">
        <v>188</v>
      </c>
      <c r="B163" s="63"/>
      <c r="C163" s="63"/>
      <c r="D163" s="64" t="s">
        <v>138</v>
      </c>
      <c r="E163" s="65" t="s">
        <v>75</v>
      </c>
      <c r="F163" s="66" t="str">
        <f t="shared" si="2"/>
        <v>VE089 - MUTUELLE TUTELAIRE UECM PREFON  -&gt; CAP</v>
      </c>
    </row>
    <row r="164" spans="1:6" x14ac:dyDescent="0.25">
      <c r="A164" s="62" t="s">
        <v>189</v>
      </c>
      <c r="B164" s="63"/>
      <c r="C164" s="63"/>
      <c r="D164" s="64" t="s">
        <v>138</v>
      </c>
      <c r="E164" s="65" t="s">
        <v>75</v>
      </c>
      <c r="F164" s="66" t="str">
        <f t="shared" si="2"/>
        <v>VE200 - CONTRIB SOLIDARITE PAR CSRH  -&gt; CAP</v>
      </c>
    </row>
    <row r="165" spans="1:6" x14ac:dyDescent="0.25">
      <c r="A165" s="62" t="s">
        <v>190</v>
      </c>
      <c r="B165" s="63"/>
      <c r="C165" s="63"/>
      <c r="D165" s="64" t="s">
        <v>138</v>
      </c>
      <c r="E165" s="65" t="s">
        <v>75</v>
      </c>
      <c r="F165" s="66" t="str">
        <f t="shared" si="2"/>
        <v>VEPA1 - PAS MENSUELLES  -&gt; CAP</v>
      </c>
    </row>
    <row r="166" spans="1:6" x14ac:dyDescent="0.25">
      <c r="A166" s="62" t="s">
        <v>191</v>
      </c>
      <c r="B166" s="63"/>
      <c r="C166" s="63"/>
      <c r="D166" s="64" t="s">
        <v>138</v>
      </c>
      <c r="E166" s="65" t="s">
        <v>192</v>
      </c>
      <c r="F166" s="66" t="str">
        <f t="shared" si="2"/>
        <v>VEPS1 - RECOUVREMENT SUR PAS  -&gt; CAP + Christian PAGESY</v>
      </c>
    </row>
    <row r="167" spans="1:6" x14ac:dyDescent="0.25">
      <c r="A167" s="62" t="s">
        <v>193</v>
      </c>
      <c r="B167" s="63"/>
      <c r="C167" s="63"/>
      <c r="D167" s="64" t="s">
        <v>138</v>
      </c>
      <c r="E167" s="65" t="s">
        <v>151</v>
      </c>
      <c r="F167" s="66" t="str">
        <f t="shared" si="2"/>
        <v>PREJUDICE AT - DOSSIERS COMPLEXES  -&gt; A TRAITER</v>
      </c>
    </row>
    <row r="168" spans="1:6" x14ac:dyDescent="0.25">
      <c r="A168" s="62" t="s">
        <v>194</v>
      </c>
      <c r="B168" s="63"/>
      <c r="C168" s="63"/>
      <c r="D168" s="64" t="s">
        <v>138</v>
      </c>
      <c r="E168" s="65" t="s">
        <v>145</v>
      </c>
      <c r="F168" s="66" t="str">
        <f t="shared" si="2"/>
        <v>VE040 - LISTE DES NOUVEAUX AGENTS  -&gt; ARCHIVE</v>
      </c>
    </row>
    <row r="169" spans="1:6" x14ac:dyDescent="0.25">
      <c r="A169" s="63" t="s">
        <v>195</v>
      </c>
      <c r="B169" s="63"/>
      <c r="C169" s="63"/>
      <c r="D169" s="64" t="s">
        <v>138</v>
      </c>
      <c r="E169" s="65" t="s">
        <v>151</v>
      </c>
      <c r="F169" s="66" t="str">
        <f t="shared" si="2"/>
        <v>WEG241 - CONTRÔLE DONNEES AGENTS  -&gt; A TRAITER</v>
      </c>
    </row>
    <row r="170" spans="1:6" x14ac:dyDescent="0.25">
      <c r="A170" s="62" t="s">
        <v>196</v>
      </c>
      <c r="B170" s="63"/>
      <c r="C170" s="63"/>
      <c r="D170" s="64" t="s">
        <v>138</v>
      </c>
      <c r="E170" s="65" t="s">
        <v>145</v>
      </c>
      <c r="F170" s="66" t="str">
        <f t="shared" si="2"/>
        <v>VE005 - ETATS POST AUG A L'ANCIENNETE  -&gt; ARCHIVE</v>
      </c>
    </row>
    <row r="171" spans="1:6" x14ac:dyDescent="0.25">
      <c r="A171" s="62" t="s">
        <v>197</v>
      </c>
      <c r="B171" s="63"/>
      <c r="C171" s="63"/>
      <c r="D171" s="64" t="s">
        <v>138</v>
      </c>
      <c r="E171" s="65" t="s">
        <v>145</v>
      </c>
      <c r="F171" s="66" t="str">
        <f t="shared" si="2"/>
        <v>VE030 - ETAT DES DETTES PAR CIGAP  -&gt; ARCHIVE</v>
      </c>
    </row>
    <row r="172" spans="1:6" x14ac:dyDescent="0.25">
      <c r="A172" s="62" t="s">
        <v>198</v>
      </c>
      <c r="B172" s="63"/>
      <c r="C172" s="63"/>
      <c r="D172" s="64" t="s">
        <v>138</v>
      </c>
      <c r="E172" s="65" t="s">
        <v>145</v>
      </c>
      <c r="F172" s="66" t="str">
        <f t="shared" si="2"/>
        <v>VE031 - ETAT DES RECOUVREMENTS PAR CIGAP  -&gt; ARCHIVE</v>
      </c>
    </row>
    <row r="173" spans="1:6" x14ac:dyDescent="0.25">
      <c r="A173" s="62" t="s">
        <v>199</v>
      </c>
      <c r="B173" s="63"/>
      <c r="C173" s="63"/>
      <c r="D173" s="64" t="s">
        <v>138</v>
      </c>
      <c r="E173" s="65" t="s">
        <v>145</v>
      </c>
      <c r="F173" s="66" t="str">
        <f t="shared" si="2"/>
        <v>VE095 - RETENUES PRESTATIONS LOGEMENTS  -&gt; ARCHIVE</v>
      </c>
    </row>
    <row r="174" spans="1:6" x14ac:dyDescent="0.25">
      <c r="A174" s="63" t="s">
        <v>200</v>
      </c>
      <c r="B174" s="63"/>
      <c r="C174" s="63"/>
      <c r="D174" s="64" t="s">
        <v>138</v>
      </c>
      <c r="E174" s="65" t="s">
        <v>75</v>
      </c>
      <c r="F174" s="66" t="str">
        <f t="shared" si="2"/>
        <v>WER041 - DETTE SANTE  -&gt; CAP</v>
      </c>
    </row>
    <row r="175" spans="1:6" x14ac:dyDescent="0.25">
      <c r="A175" s="62" t="s">
        <v>201</v>
      </c>
      <c r="B175" s="63"/>
      <c r="C175" s="63"/>
      <c r="D175" s="64" t="s">
        <v>138</v>
      </c>
      <c r="E175" s="65" t="s">
        <v>75</v>
      </c>
      <c r="F175" s="66" t="str">
        <f t="shared" si="2"/>
        <v>WER042 - RECOUVREMENT DETTE SANTE  -&gt; CAP</v>
      </c>
    </row>
    <row r="176" spans="1:6" x14ac:dyDescent="0.25">
      <c r="A176" s="62" t="s">
        <v>202</v>
      </c>
      <c r="B176" s="63"/>
      <c r="C176" s="63"/>
      <c r="D176" s="64" t="s">
        <v>138</v>
      </c>
      <c r="E176" s="65" t="s">
        <v>145</v>
      </c>
      <c r="F176" s="66" t="str">
        <f t="shared" si="2"/>
        <v>VE038 - BRC COTISATIONS PREFON  -&gt; ARCHIVE</v>
      </c>
    </row>
    <row r="177" spans="1:6" x14ac:dyDescent="0.25">
      <c r="A177" s="62" t="s">
        <v>203</v>
      </c>
      <c r="B177" s="63"/>
      <c r="C177" s="63"/>
      <c r="D177" s="64" t="s">
        <v>138</v>
      </c>
      <c r="E177" s="65" t="s">
        <v>151</v>
      </c>
      <c r="F177" s="66" t="str">
        <f t="shared" si="2"/>
        <v>ANO ET SIG PN - ETAT ANOMALIES ET SIGNALISATIONS  -&gt; A TRAITER</v>
      </c>
    </row>
    <row r="178" spans="1:6" x14ac:dyDescent="0.25">
      <c r="A178" s="62" t="s">
        <v>204</v>
      </c>
      <c r="B178" s="63"/>
      <c r="C178" s="63"/>
      <c r="D178" s="64" t="s">
        <v>138</v>
      </c>
      <c r="E178" s="65" t="s">
        <v>151</v>
      </c>
      <c r="F178" s="66" t="str">
        <f t="shared" si="2"/>
        <v>CTRL SALAIRES PN - EMOLUMENTS A CONTROLER  -&gt; A TRAITER</v>
      </c>
    </row>
    <row r="179" spans="1:6" x14ac:dyDescent="0.25">
      <c r="A179" s="62" t="s">
        <v>205</v>
      </c>
      <c r="B179" s="63"/>
      <c r="C179" s="63"/>
      <c r="D179" s="64" t="s">
        <v>138</v>
      </c>
      <c r="E179" s="65" t="s">
        <v>206</v>
      </c>
      <c r="F179" s="66" t="str">
        <f t="shared" si="2"/>
        <v>GES406AA PN - LIAISON GEP PAX PAIE  -&gt; A TRAITER (Lille) - A CONSULTER (Paris)</v>
      </c>
    </row>
    <row r="180" spans="1:6" x14ac:dyDescent="0.25">
      <c r="A180" s="62" t="s">
        <v>207</v>
      </c>
      <c r="B180" s="63"/>
      <c r="C180" s="63"/>
      <c r="D180" s="64" t="s">
        <v>138</v>
      </c>
      <c r="E180" s="65" t="s">
        <v>151</v>
      </c>
      <c r="F180" s="66" t="str">
        <f t="shared" si="2"/>
        <v>GROS RAPPELS PN - EDITION DES RAPPELS A CONTROLER  -&gt; A TRAITER</v>
      </c>
    </row>
    <row r="181" spans="1:6" x14ac:dyDescent="0.25">
      <c r="A181" s="62" t="s">
        <v>208</v>
      </c>
      <c r="B181" s="63"/>
      <c r="C181" s="63"/>
      <c r="D181" s="64" t="s">
        <v>138</v>
      </c>
      <c r="E181" s="65" t="s">
        <v>151</v>
      </c>
      <c r="F181" s="66" t="str">
        <f t="shared" si="2"/>
        <v>H32010 PN - ANOMALIESLORS DE LA MAJ PBASE TS  -&gt; A TRAITER</v>
      </c>
    </row>
    <row r="182" spans="1:6" x14ac:dyDescent="0.25">
      <c r="A182" s="62" t="s">
        <v>209</v>
      </c>
      <c r="B182" s="63"/>
      <c r="C182" s="63"/>
      <c r="D182" s="64" t="s">
        <v>138</v>
      </c>
      <c r="E182" s="65" t="s">
        <v>149</v>
      </c>
      <c r="F182" s="66" t="str">
        <f t="shared" si="2"/>
        <v>K25602 - S414 - LIAISON PAXPAIE  -&gt; A CONSULTER</v>
      </c>
    </row>
    <row r="183" spans="1:6" x14ac:dyDescent="0.25">
      <c r="A183" s="62" t="s">
        <v>210</v>
      </c>
      <c r="B183" s="63"/>
      <c r="C183" s="63"/>
      <c r="D183" s="64" t="s">
        <v>138</v>
      </c>
      <c r="E183" s="65" t="s">
        <v>151</v>
      </c>
      <c r="F183" s="66" t="str">
        <f t="shared" si="2"/>
        <v>MUT AVEC CM PN - AGENTS MUTES AUTRE REGION  -&gt; A TRAITER</v>
      </c>
    </row>
    <row r="184" spans="1:6" x14ac:dyDescent="0.25">
      <c r="A184" s="62" t="s">
        <v>211</v>
      </c>
      <c r="B184" s="63"/>
      <c r="C184" s="63"/>
      <c r="D184" s="64" t="s">
        <v>138</v>
      </c>
      <c r="E184" s="65" t="s">
        <v>212</v>
      </c>
      <c r="F184" s="66" t="str">
        <f t="shared" si="2"/>
        <v>MUT AVEC OPPO PN - AGTS MUTES AVEC DOS. OPPOSITION  -&gt; A TRAITER + OPPO</v>
      </c>
    </row>
    <row r="185" spans="1:6" x14ac:dyDescent="0.25">
      <c r="A185" s="62" t="s">
        <v>213</v>
      </c>
      <c r="B185" s="63"/>
      <c r="C185" s="63"/>
      <c r="D185" s="64" t="s">
        <v>138</v>
      </c>
      <c r="E185" s="65" t="s">
        <v>149</v>
      </c>
      <c r="F185" s="66" t="str">
        <f t="shared" si="2"/>
        <v>OMAJ DU MOIS PN - LISTE DES OMAJS  -&gt; A CONSULTER</v>
      </c>
    </row>
    <row r="186" spans="1:6" x14ac:dyDescent="0.25">
      <c r="A186" s="62" t="s">
        <v>214</v>
      </c>
      <c r="B186" s="63"/>
      <c r="C186" s="63"/>
      <c r="D186" s="64" t="s">
        <v>138</v>
      </c>
      <c r="E186" s="65" t="s">
        <v>151</v>
      </c>
      <c r="F186" s="66" t="str">
        <f t="shared" si="2"/>
        <v>OMAJ PM PN - Anomalies de contrôle  -&gt; A TRAITER</v>
      </c>
    </row>
    <row r="187" spans="1:6" x14ac:dyDescent="0.25">
      <c r="A187" s="62" t="s">
        <v>215</v>
      </c>
      <c r="B187" s="63"/>
      <c r="C187" s="63"/>
      <c r="D187" s="64" t="s">
        <v>138</v>
      </c>
      <c r="E187" s="65" t="s">
        <v>151</v>
      </c>
      <c r="F187" s="66" t="str">
        <f t="shared" si="2"/>
        <v>OMAJ PM PN - OMAJ d'anomalies de grève  -&gt; A TRAITER</v>
      </c>
    </row>
    <row r="188" spans="1:6" x14ac:dyDescent="0.25">
      <c r="A188" s="62" t="s">
        <v>216</v>
      </c>
      <c r="B188" s="63"/>
      <c r="C188" s="63"/>
      <c r="D188" s="64" t="s">
        <v>138</v>
      </c>
      <c r="E188" s="65" t="s">
        <v>151</v>
      </c>
      <c r="F188" s="66" t="str">
        <f t="shared" ref="F188:F251" si="3">A188&amp;" "&amp;D188&amp;" "&amp;E188</f>
        <v>OMAJ PM PN - OMAJ d'effacement  -&gt; A TRAITER</v>
      </c>
    </row>
    <row r="189" spans="1:6" x14ac:dyDescent="0.25">
      <c r="A189" s="62" t="s">
        <v>217</v>
      </c>
      <c r="B189" s="63"/>
      <c r="C189" s="63"/>
      <c r="D189" s="64" t="s">
        <v>138</v>
      </c>
      <c r="E189" s="65" t="s">
        <v>151</v>
      </c>
      <c r="F189" s="66" t="str">
        <f t="shared" si="3"/>
        <v>PAIE ERRONEE PN - LIVRE DE PAIE DES ERRONEES  -&gt; A TRAITER</v>
      </c>
    </row>
    <row r="190" spans="1:6" x14ac:dyDescent="0.25">
      <c r="A190" s="62" t="s">
        <v>218</v>
      </c>
      <c r="B190" s="63"/>
      <c r="C190" s="63"/>
      <c r="D190" s="64" t="s">
        <v>138</v>
      </c>
      <c r="E190" s="65" t="s">
        <v>145</v>
      </c>
      <c r="F190" s="66" t="str">
        <f t="shared" si="3"/>
        <v>RAPPELS EXT PN - OMAJ 46 AUTRE QUE ALPE  -&gt; ARCHIVE</v>
      </c>
    </row>
    <row r="191" spans="1:6" x14ac:dyDescent="0.25">
      <c r="A191" s="62" t="s">
        <v>219</v>
      </c>
      <c r="B191" s="63"/>
      <c r="C191" s="63"/>
      <c r="D191" s="64" t="s">
        <v>138</v>
      </c>
      <c r="E191" s="65" t="s">
        <v>149</v>
      </c>
      <c r="F191" s="66" t="str">
        <f t="shared" si="3"/>
        <v>RAPPELS MANU PN - OMAJ 46 PROVENANT DE ALPE  -&gt; A CONSULTER</v>
      </c>
    </row>
    <row r="192" spans="1:6" x14ac:dyDescent="0.25">
      <c r="A192" s="62" t="s">
        <v>220</v>
      </c>
      <c r="B192" s="63"/>
      <c r="C192" s="63"/>
      <c r="D192" s="64" t="s">
        <v>138</v>
      </c>
      <c r="E192" s="65" t="s">
        <v>149</v>
      </c>
      <c r="F192" s="66" t="str">
        <f t="shared" si="3"/>
        <v>E26310 - ARRETS DE PAIE REJETES  -&gt; A CONSULTER</v>
      </c>
    </row>
    <row r="193" spans="1:6" x14ac:dyDescent="0.25">
      <c r="A193" s="62" t="s">
        <v>221</v>
      </c>
      <c r="B193" s="63"/>
      <c r="C193" s="63"/>
      <c r="D193" s="64" t="s">
        <v>138</v>
      </c>
      <c r="E193" s="65" t="s">
        <v>149</v>
      </c>
      <c r="F193" s="66" t="str">
        <f t="shared" si="3"/>
        <v>E26410 - ARRETS BP EXECUTES  -&gt; A CONSULTER</v>
      </c>
    </row>
    <row r="194" spans="1:6" x14ac:dyDescent="0.25">
      <c r="A194" s="62" t="s">
        <v>222</v>
      </c>
      <c r="B194" s="63"/>
      <c r="C194" s="63"/>
      <c r="D194" s="64" t="s">
        <v>138</v>
      </c>
      <c r="E194" s="65" t="s">
        <v>151</v>
      </c>
      <c r="F194" s="66" t="str">
        <f t="shared" si="3"/>
        <v>F35010 - ANOMALIES REMB. CONGE PATERNITE  -&gt; A TRAITER</v>
      </c>
    </row>
    <row r="195" spans="1:6" x14ac:dyDescent="0.25">
      <c r="A195" s="63" t="s">
        <v>223</v>
      </c>
      <c r="B195" s="63"/>
      <c r="C195" s="63"/>
      <c r="D195" s="64" t="s">
        <v>138</v>
      </c>
      <c r="E195" s="65" t="s">
        <v>75</v>
      </c>
      <c r="F195" s="66" t="str">
        <f t="shared" si="3"/>
        <v>C29511 - CONTRIBUTION LIBERATOIRE  -&gt; CAP</v>
      </c>
    </row>
    <row r="196" spans="1:6" x14ac:dyDescent="0.25">
      <c r="A196" s="62" t="s">
        <v>224</v>
      </c>
      <c r="B196" s="63"/>
      <c r="C196" s="63"/>
      <c r="D196" s="64" t="s">
        <v>138</v>
      </c>
      <c r="E196" s="65" t="s">
        <v>145</v>
      </c>
      <c r="F196" s="66" t="str">
        <f t="shared" si="3"/>
        <v>C29541 - REDUCTION HEURES SUPP FONCT  -&gt; ARCHIVE</v>
      </c>
    </row>
    <row r="197" spans="1:6" x14ac:dyDescent="0.25">
      <c r="A197" s="62" t="s">
        <v>225</v>
      </c>
      <c r="B197" s="63"/>
      <c r="C197" s="63"/>
      <c r="D197" s="64" t="s">
        <v>138</v>
      </c>
      <c r="E197" s="65" t="s">
        <v>75</v>
      </c>
      <c r="F197" s="66" t="str">
        <f t="shared" si="3"/>
        <v>C29611 - ETAT MENSUEL COTISATION RAFP  -&gt; CAP</v>
      </c>
    </row>
    <row r="198" spans="1:6" x14ac:dyDescent="0.25">
      <c r="A198" s="62" t="s">
        <v>226</v>
      </c>
      <c r="B198" s="63"/>
      <c r="C198" s="63"/>
      <c r="D198" s="64" t="s">
        <v>138</v>
      </c>
      <c r="E198" s="65" t="s">
        <v>75</v>
      </c>
      <c r="F198" s="66" t="str">
        <f t="shared" si="3"/>
        <v>C30012 - CONT. FONDS SOLIDARITE PAR CSO  -&gt; CAP</v>
      </c>
    </row>
    <row r="199" spans="1:6" x14ac:dyDescent="0.25">
      <c r="A199" s="62" t="s">
        <v>227</v>
      </c>
      <c r="B199" s="63"/>
      <c r="C199" s="63"/>
      <c r="D199" s="64" t="s">
        <v>138</v>
      </c>
      <c r="E199" s="65" t="s">
        <v>149</v>
      </c>
      <c r="F199" s="66" t="str">
        <f t="shared" si="3"/>
        <v>C32513 - REMB. CTC DES AGENTS LOGES  -&gt; A CONSULTER</v>
      </c>
    </row>
    <row r="200" spans="1:6" x14ac:dyDescent="0.25">
      <c r="A200" s="62" t="s">
        <v>228</v>
      </c>
      <c r="B200" s="63"/>
      <c r="C200" s="63"/>
      <c r="D200" s="64" t="s">
        <v>138</v>
      </c>
      <c r="E200" s="65" t="s">
        <v>145</v>
      </c>
      <c r="F200" s="66" t="str">
        <f t="shared" si="3"/>
        <v>C34513 - REMBOURSEMENT CTC VILLES NOUVELS  -&gt; ARCHIVE</v>
      </c>
    </row>
    <row r="201" spans="1:6" x14ac:dyDescent="0.25">
      <c r="A201" s="62" t="s">
        <v>229</v>
      </c>
      <c r="B201" s="63"/>
      <c r="C201" s="63"/>
      <c r="D201" s="64" t="s">
        <v>138</v>
      </c>
      <c r="E201" s="65" t="s">
        <v>75</v>
      </c>
      <c r="F201" s="66" t="str">
        <f t="shared" si="3"/>
        <v>C49611 - CNRACL PAIEMENT DES COTISATIONS  -&gt; CAP</v>
      </c>
    </row>
    <row r="202" spans="1:6" x14ac:dyDescent="0.25">
      <c r="A202" s="62" t="s">
        <v>230</v>
      </c>
      <c r="B202" s="63"/>
      <c r="C202" s="63"/>
      <c r="D202" s="64" t="s">
        <v>138</v>
      </c>
      <c r="E202" s="65" t="s">
        <v>75</v>
      </c>
      <c r="F202" s="66" t="str">
        <f t="shared" si="3"/>
        <v>C59511 - COTISATIONS DU CONTRAT CCFP  -&gt; CAP</v>
      </c>
    </row>
    <row r="203" spans="1:6" x14ac:dyDescent="0.25">
      <c r="A203" s="62" t="s">
        <v>231</v>
      </c>
      <c r="B203" s="63"/>
      <c r="C203" s="63"/>
      <c r="D203" s="64" t="s">
        <v>138</v>
      </c>
      <c r="E203" s="65" t="s">
        <v>75</v>
      </c>
      <c r="F203" s="66" t="str">
        <f t="shared" si="3"/>
        <v>C77113 - ETAT DE VENTILATION VERSEMENT M  -&gt; CAP</v>
      </c>
    </row>
    <row r="204" spans="1:6" x14ac:dyDescent="0.25">
      <c r="A204" s="62" t="s">
        <v>232</v>
      </c>
      <c r="B204" s="63"/>
      <c r="C204" s="63"/>
      <c r="D204" s="64" t="s">
        <v>138</v>
      </c>
      <c r="E204" s="65" t="s">
        <v>75</v>
      </c>
      <c r="F204" s="66" t="str">
        <f t="shared" si="3"/>
        <v>M25511 - VENTILATION DEPENSES PERSONNEL  -&gt; CAP</v>
      </c>
    </row>
    <row r="205" spans="1:6" x14ac:dyDescent="0.25">
      <c r="A205" s="62" t="s">
        <v>233</v>
      </c>
      <c r="B205" s="63"/>
      <c r="C205" s="63"/>
      <c r="D205" s="64" t="s">
        <v>138</v>
      </c>
      <c r="E205" s="65" t="s">
        <v>145</v>
      </c>
      <c r="F205" s="66" t="str">
        <f t="shared" si="3"/>
        <v>M29930 - LIVRE DE PAIE RECAP PAR CSP  -&gt; ARCHIVE</v>
      </c>
    </row>
    <row r="206" spans="1:6" x14ac:dyDescent="0.25">
      <c r="A206" s="62" t="s">
        <v>234</v>
      </c>
      <c r="B206" s="63"/>
      <c r="C206" s="63"/>
      <c r="D206" s="64" t="s">
        <v>138</v>
      </c>
      <c r="E206" s="65" t="s">
        <v>75</v>
      </c>
      <c r="F206" s="66" t="str">
        <f t="shared" si="3"/>
        <v>M61711 - ETAT RECAPITULATIF DES RETENUES  -&gt; CAP</v>
      </c>
    </row>
    <row r="207" spans="1:6" x14ac:dyDescent="0.25">
      <c r="A207" s="62" t="s">
        <v>235</v>
      </c>
      <c r="B207" s="63"/>
      <c r="C207" s="63"/>
      <c r="D207" s="64" t="s">
        <v>138</v>
      </c>
      <c r="E207" s="65" t="s">
        <v>75</v>
      </c>
      <c r="F207" s="66" t="str">
        <f t="shared" si="3"/>
        <v>M61721 - ETAT RECAPITULATIF DES RETENUES  -&gt; CAP</v>
      </c>
    </row>
    <row r="208" spans="1:6" x14ac:dyDescent="0.25">
      <c r="A208" s="62" t="s">
        <v>236</v>
      </c>
      <c r="B208" s="63"/>
      <c r="C208" s="63"/>
      <c r="D208" s="64" t="s">
        <v>138</v>
      </c>
      <c r="E208" s="65" t="s">
        <v>145</v>
      </c>
      <c r="F208" s="66" t="str">
        <f t="shared" si="3"/>
        <v>M61741 - ETAT RECAPITULATIF DES RETENUES  -&gt; ARCHIVE</v>
      </c>
    </row>
    <row r="209" spans="1:6" x14ac:dyDescent="0.25">
      <c r="A209" s="62" t="s">
        <v>237</v>
      </c>
      <c r="B209" s="63"/>
      <c r="C209" s="63"/>
      <c r="D209" s="64" t="s">
        <v>138</v>
      </c>
      <c r="E209" s="65" t="s">
        <v>238</v>
      </c>
      <c r="F209" s="66" t="str">
        <f t="shared" si="3"/>
        <v>M63011 - LIVRE DE PAIE DES AGENTS DECEDES  -&gt; A TRAITER + CAP + D. LANDRAIN</v>
      </c>
    </row>
    <row r="210" spans="1:6" x14ac:dyDescent="0.25">
      <c r="A210" s="62" t="s">
        <v>239</v>
      </c>
      <c r="B210" s="63"/>
      <c r="C210" s="63"/>
      <c r="D210" s="64" t="s">
        <v>138</v>
      </c>
      <c r="E210" s="65" t="s">
        <v>151</v>
      </c>
      <c r="F210" s="66" t="str">
        <f t="shared" si="3"/>
        <v>M71511 - BORDEREAU ENVOI LETTRES CHEQUES  -&gt; A TRAITER</v>
      </c>
    </row>
    <row r="211" spans="1:6" x14ac:dyDescent="0.25">
      <c r="A211" s="62" t="s">
        <v>240</v>
      </c>
      <c r="B211" s="63"/>
      <c r="C211" s="63"/>
      <c r="D211" s="64" t="s">
        <v>138</v>
      </c>
      <c r="E211" s="65" t="s">
        <v>139</v>
      </c>
      <c r="F211" s="66" t="str">
        <f t="shared" si="3"/>
        <v>M71911 - LISTE NOMINATIVE LCP  -&gt; A TRAITER + I. BORGHESI</v>
      </c>
    </row>
    <row r="212" spans="1:6" x14ac:dyDescent="0.25">
      <c r="A212" s="62" t="s">
        <v>241</v>
      </c>
      <c r="B212" s="63"/>
      <c r="C212" s="63"/>
      <c r="D212" s="64" t="s">
        <v>138</v>
      </c>
      <c r="E212" s="65" t="s">
        <v>145</v>
      </c>
      <c r="F212" s="66" t="str">
        <f t="shared" si="3"/>
        <v>M73111 - RECAP LETTRE CHEQUE POSTALE   -&gt; ARCHIVE</v>
      </c>
    </row>
    <row r="213" spans="1:6" x14ac:dyDescent="0.25">
      <c r="A213" s="62" t="s">
        <v>242</v>
      </c>
      <c r="B213" s="63"/>
      <c r="C213" s="63"/>
      <c r="D213" s="64" t="s">
        <v>138</v>
      </c>
      <c r="E213" s="65" t="s">
        <v>75</v>
      </c>
      <c r="F213" s="66" t="str">
        <f t="shared" si="3"/>
        <v>M73421 - VIREMENTS POSTAUX CNE BANCAIRES  -&gt; CAP</v>
      </c>
    </row>
    <row r="214" spans="1:6" x14ac:dyDescent="0.25">
      <c r="A214" s="62" t="s">
        <v>243</v>
      </c>
      <c r="B214" s="63"/>
      <c r="C214" s="63"/>
      <c r="D214" s="64" t="s">
        <v>138</v>
      </c>
      <c r="E214" s="65" t="s">
        <v>151</v>
      </c>
      <c r="F214" s="66" t="str">
        <f t="shared" si="3"/>
        <v>M74111 - BORDEREAU DES LETTRES  -&gt; A TRAITER</v>
      </c>
    </row>
    <row r="215" spans="1:6" x14ac:dyDescent="0.25">
      <c r="A215" s="62" t="s">
        <v>244</v>
      </c>
      <c r="B215" s="63"/>
      <c r="C215" s="63"/>
      <c r="D215" s="64" t="s">
        <v>138</v>
      </c>
      <c r="E215" s="65" t="s">
        <v>245</v>
      </c>
      <c r="F215" s="66" t="str">
        <f t="shared" si="3"/>
        <v>MUTES DU MOIS - AGENTS MUTES INTERNES  -&gt; A TRAITER + CAP + OPPO</v>
      </c>
    </row>
    <row r="216" spans="1:6" x14ac:dyDescent="0.25">
      <c r="A216" s="62" t="s">
        <v>246</v>
      </c>
      <c r="B216" s="63"/>
      <c r="C216" s="63"/>
      <c r="D216" s="64" t="s">
        <v>138</v>
      </c>
      <c r="E216" s="65" t="s">
        <v>151</v>
      </c>
      <c r="F216" s="66" t="str">
        <f t="shared" si="3"/>
        <v>NUM SUP 400 - PAIEMENT NUMLERAIRE SUP PLAFOND  -&gt; A TRAITER</v>
      </c>
    </row>
    <row r="217" spans="1:6" x14ac:dyDescent="0.25">
      <c r="A217" s="62" t="s">
        <v>247</v>
      </c>
      <c r="B217" s="63"/>
      <c r="C217" s="63"/>
      <c r="D217" s="64" t="s">
        <v>138</v>
      </c>
      <c r="E217" s="65" t="s">
        <v>145</v>
      </c>
      <c r="F217" s="66" t="str">
        <f t="shared" si="3"/>
        <v>S60612 - LISTE DES LCP IMPRIMEES  -&gt; ARCHIVE</v>
      </c>
    </row>
    <row r="218" spans="1:6" x14ac:dyDescent="0.25">
      <c r="A218" s="62" t="s">
        <v>248</v>
      </c>
      <c r="B218" s="63"/>
      <c r="C218" s="63"/>
      <c r="D218" s="64" t="s">
        <v>138</v>
      </c>
      <c r="E218" s="65" t="s">
        <v>145</v>
      </c>
      <c r="F218" s="66" t="str">
        <f t="shared" si="3"/>
        <v>S60712 - LISTE DES LCP GEDEON REJETES  -&gt; ARCHIVE</v>
      </c>
    </row>
    <row r="219" spans="1:6" x14ac:dyDescent="0.25">
      <c r="A219" s="62" t="s">
        <v>249</v>
      </c>
      <c r="B219" s="63"/>
      <c r="C219" s="63"/>
      <c r="D219" s="64" t="s">
        <v>138</v>
      </c>
      <c r="E219" s="65" t="s">
        <v>151</v>
      </c>
      <c r="F219" s="66" t="str">
        <f t="shared" si="3"/>
        <v>K23861 - E386 - CREDITS CET POUR ABONDEMENT ZUS  -&gt; A TRAITER</v>
      </c>
    </row>
    <row r="220" spans="1:6" x14ac:dyDescent="0.25">
      <c r="A220" s="62" t="s">
        <v>250</v>
      </c>
      <c r="B220" s="63"/>
      <c r="C220" s="63"/>
      <c r="D220" s="64" t="s">
        <v>138</v>
      </c>
      <c r="E220" s="65" t="s">
        <v>151</v>
      </c>
      <c r="F220" s="66" t="str">
        <f t="shared" si="3"/>
        <v>OMAJ PM PN - PG OMAJ et anomalies  -&gt; A TRAITER</v>
      </c>
    </row>
    <row r="221" spans="1:6" x14ac:dyDescent="0.25">
      <c r="A221" s="62" t="s">
        <v>251</v>
      </c>
      <c r="B221" s="63"/>
      <c r="C221" s="63"/>
      <c r="D221" s="64" t="s">
        <v>138</v>
      </c>
      <c r="E221" s="65" t="s">
        <v>151</v>
      </c>
      <c r="F221" s="66" t="str">
        <f t="shared" si="3"/>
        <v>CM - DETTES REST - RET NON FAITES SUITE INSUF REMU  -&gt; A TRAITER</v>
      </c>
    </row>
    <row r="222" spans="1:6" x14ac:dyDescent="0.25">
      <c r="A222" s="62" t="s">
        <v>252</v>
      </c>
      <c r="B222" s="63"/>
      <c r="C222" s="63"/>
      <c r="D222" s="64" t="s">
        <v>138</v>
      </c>
      <c r="E222" s="65" t="s">
        <v>149</v>
      </c>
      <c r="F222" s="66" t="str">
        <f t="shared" si="3"/>
        <v>C14611 - MONTANTS COTISATIONS LIGNE 46  -&gt; A CONSULTER</v>
      </c>
    </row>
    <row r="223" spans="1:6" x14ac:dyDescent="0.25">
      <c r="A223" s="62" t="s">
        <v>253</v>
      </c>
      <c r="B223" s="63"/>
      <c r="C223" s="63"/>
      <c r="D223" s="64" t="s">
        <v>138</v>
      </c>
      <c r="E223" s="65" t="s">
        <v>149</v>
      </c>
      <c r="F223" s="66" t="str">
        <f t="shared" si="3"/>
        <v>NOUVEAUX AGENTS - LISTE DES NOUVEAUX AGENTS  -&gt; A CONSULTER</v>
      </c>
    </row>
    <row r="224" spans="1:6" x14ac:dyDescent="0.25">
      <c r="A224" s="62" t="s">
        <v>254</v>
      </c>
      <c r="B224" s="63"/>
      <c r="C224" s="63"/>
      <c r="D224" s="64" t="s">
        <v>138</v>
      </c>
      <c r="E224" s="65" t="s">
        <v>145</v>
      </c>
      <c r="F224" s="66" t="str">
        <f t="shared" si="3"/>
        <v>M24311 - LISTE NX PRETS CREDIT MUNICIPAL  -&gt; ARCHIVE</v>
      </c>
    </row>
    <row r="225" spans="1:6" x14ac:dyDescent="0.25">
      <c r="A225" s="62" t="s">
        <v>255</v>
      </c>
      <c r="B225" s="63"/>
      <c r="C225" s="63"/>
      <c r="D225" s="64" t="s">
        <v>138</v>
      </c>
      <c r="E225" s="65" t="s">
        <v>151</v>
      </c>
      <c r="F225" s="66" t="str">
        <f t="shared" si="3"/>
        <v>M35611 - LISTE DES EMPLOIS MULTIPLES  -&gt; A TRAITER</v>
      </c>
    </row>
    <row r="226" spans="1:6" x14ac:dyDescent="0.25">
      <c r="A226" s="62" t="s">
        <v>256</v>
      </c>
      <c r="B226" s="63"/>
      <c r="C226" s="63"/>
      <c r="D226" s="64" t="s">
        <v>138</v>
      </c>
      <c r="E226" s="65" t="s">
        <v>149</v>
      </c>
      <c r="F226" s="66" t="str">
        <f t="shared" si="3"/>
        <v>M36011 - TIERS ATTRIBUTAIRES ET SPECIAUX  -&gt; A CONSULTER</v>
      </c>
    </row>
    <row r="227" spans="1:6" x14ac:dyDescent="0.25">
      <c r="A227" s="62" t="s">
        <v>257</v>
      </c>
      <c r="B227" s="63"/>
      <c r="C227" s="63"/>
      <c r="D227" s="64" t="s">
        <v>138</v>
      </c>
      <c r="E227" s="65" t="s">
        <v>149</v>
      </c>
      <c r="F227" s="66" t="str">
        <f t="shared" si="3"/>
        <v>M36200 - LISTE TIERS SPECIAUX  -&gt; A CONSULTER</v>
      </c>
    </row>
    <row r="228" spans="1:6" x14ac:dyDescent="0.25">
      <c r="A228" s="62" t="s">
        <v>258</v>
      </c>
      <c r="B228" s="63"/>
      <c r="C228" s="63"/>
      <c r="D228" s="64" t="s">
        <v>138</v>
      </c>
      <c r="E228" s="65" t="s">
        <v>149</v>
      </c>
      <c r="F228" s="66" t="str">
        <f t="shared" si="3"/>
        <v>M60612 - LCP PM IMPRIMEES  -&gt; A CONSULTER</v>
      </c>
    </row>
    <row r="229" spans="1:6" x14ac:dyDescent="0.25">
      <c r="A229" s="62" t="s">
        <v>259</v>
      </c>
      <c r="B229" s="63"/>
      <c r="C229" s="63"/>
      <c r="D229" s="64" t="s">
        <v>138</v>
      </c>
      <c r="E229" s="65" t="s">
        <v>151</v>
      </c>
      <c r="F229" s="66" t="str">
        <f t="shared" si="3"/>
        <v>M60712 - LISTE LCP REJETEES  -&gt; A TRAITER</v>
      </c>
    </row>
    <row r="230" spans="1:6" x14ac:dyDescent="0.25">
      <c r="A230" s="62" t="s">
        <v>260</v>
      </c>
      <c r="B230" s="63"/>
      <c r="C230" s="63"/>
      <c r="D230" s="64" t="s">
        <v>138</v>
      </c>
      <c r="E230" s="65" t="s">
        <v>261</v>
      </c>
      <c r="F230" s="66" t="str">
        <f t="shared" si="3"/>
        <v>M62013 - AGENTS AYANT LEUR IMPOT RETENU  -&gt; Graziella J. + Lise MAY</v>
      </c>
    </row>
    <row r="231" spans="1:6" x14ac:dyDescent="0.25">
      <c r="A231" s="62" t="s">
        <v>262</v>
      </c>
      <c r="B231" s="63"/>
      <c r="C231" s="63"/>
      <c r="D231" s="64" t="s">
        <v>138</v>
      </c>
      <c r="E231" s="65" t="s">
        <v>151</v>
      </c>
      <c r="F231" s="66" t="str">
        <f t="shared" si="3"/>
        <v>M93611 - ATTESTATION RECOUVREMENT PENSION  -&gt; A TRAITER</v>
      </c>
    </row>
    <row r="232" spans="1:6" x14ac:dyDescent="0.25">
      <c r="A232" s="62" t="s">
        <v>263</v>
      </c>
      <c r="B232" s="63"/>
      <c r="C232" s="63"/>
      <c r="D232" s="64" t="s">
        <v>138</v>
      </c>
      <c r="E232" s="65" t="s">
        <v>245</v>
      </c>
      <c r="F232" s="66" t="str">
        <f t="shared" si="3"/>
        <v>M94502 - AGENTS MUTES INTERNES  -&gt; A TRAITER + CAP + OPPO</v>
      </c>
    </row>
    <row r="233" spans="1:6" x14ac:dyDescent="0.25">
      <c r="A233" s="63" t="s">
        <v>264</v>
      </c>
      <c r="B233" s="63"/>
      <c r="C233" s="63"/>
      <c r="D233" s="64" t="s">
        <v>138</v>
      </c>
      <c r="E233" s="65" t="s">
        <v>145</v>
      </c>
      <c r="F233" s="66" t="str">
        <f t="shared" si="3"/>
        <v>S18031 - DETTES DEGAGEES  -&gt; ARCHIVE</v>
      </c>
    </row>
    <row r="234" spans="1:6" x14ac:dyDescent="0.25">
      <c r="A234" s="62" t="s">
        <v>265</v>
      </c>
      <c r="B234" s="63"/>
      <c r="C234" s="63"/>
      <c r="D234" s="64" t="s">
        <v>138</v>
      </c>
      <c r="E234" s="65" t="s">
        <v>145</v>
      </c>
      <c r="F234" s="66" t="str">
        <f t="shared" si="3"/>
        <v>S19031 - RECOUVREMENT SUR DETTE  -&gt; ARCHIVE</v>
      </c>
    </row>
    <row r="235" spans="1:6" x14ac:dyDescent="0.25">
      <c r="A235" s="62" t="s">
        <v>266</v>
      </c>
      <c r="B235" s="63"/>
      <c r="C235" s="63"/>
      <c r="D235" s="64" t="s">
        <v>138</v>
      </c>
      <c r="E235" s="65" t="s">
        <v>75</v>
      </c>
      <c r="F235" s="66" t="str">
        <f t="shared" si="3"/>
        <v>A25511 - ETAT 1230 - 2EME ACOMPTE  -&gt; CAP</v>
      </c>
    </row>
    <row r="236" spans="1:6" x14ac:dyDescent="0.25">
      <c r="A236" s="62" t="s">
        <v>267</v>
      </c>
      <c r="B236" s="63"/>
      <c r="C236" s="63"/>
      <c r="D236" s="64" t="s">
        <v>138</v>
      </c>
      <c r="E236" s="65" t="s">
        <v>151</v>
      </c>
      <c r="F236" s="66" t="str">
        <f t="shared" si="3"/>
        <v>S71911 - LCP GEDEON  -&gt; A TRAITER</v>
      </c>
    </row>
    <row r="237" spans="1:6" x14ac:dyDescent="0.25">
      <c r="A237" s="62" t="s">
        <v>268</v>
      </c>
      <c r="B237" s="63"/>
      <c r="C237" s="63"/>
      <c r="D237" s="64" t="s">
        <v>138</v>
      </c>
      <c r="E237" s="65" t="s">
        <v>145</v>
      </c>
      <c r="F237" s="66" t="str">
        <f t="shared" si="3"/>
        <v>S73111 - LCP PM IMPRIMEES  -&gt; ARCHIVE</v>
      </c>
    </row>
    <row r="238" spans="1:6" x14ac:dyDescent="0.25">
      <c r="A238" s="62" t="s">
        <v>269</v>
      </c>
      <c r="B238" s="63"/>
      <c r="C238" s="63"/>
      <c r="D238" s="64" t="s">
        <v>138</v>
      </c>
      <c r="E238" s="65" t="s">
        <v>270</v>
      </c>
      <c r="F238" s="66" t="str">
        <f t="shared" si="3"/>
        <v>S73411 - VIREMENTS POSTAUX CNE BANCAIRES  -&gt; OPPO</v>
      </c>
    </row>
    <row r="239" spans="1:6" x14ac:dyDescent="0.25">
      <c r="A239" s="62" t="s">
        <v>271</v>
      </c>
      <c r="B239" s="63"/>
      <c r="C239" s="63"/>
      <c r="D239" s="64" t="s">
        <v>138</v>
      </c>
      <c r="E239" s="65" t="s">
        <v>149</v>
      </c>
      <c r="F239" s="66" t="str">
        <f t="shared" si="3"/>
        <v>M20611 - LISTE DES AGENTS RECEVANT LE PF  -&gt; A CONSULTER</v>
      </c>
    </row>
    <row r="240" spans="1:6" x14ac:dyDescent="0.25">
      <c r="A240" s="62" t="s">
        <v>272</v>
      </c>
      <c r="B240" s="63"/>
      <c r="C240" s="63"/>
      <c r="D240" s="64" t="s">
        <v>138</v>
      </c>
      <c r="E240" s="65" t="s">
        <v>149</v>
      </c>
      <c r="F240" s="66" t="str">
        <f t="shared" si="3"/>
        <v>M25001 - AGENT TOUCHANT A TORD REMB TRANS  -&gt; A CONSULTER</v>
      </c>
    </row>
    <row r="241" spans="1:6" x14ac:dyDescent="0.25">
      <c r="A241" s="62" t="s">
        <v>273</v>
      </c>
      <c r="B241" s="63"/>
      <c r="C241" s="63"/>
      <c r="D241" s="64" t="s">
        <v>138</v>
      </c>
      <c r="E241" s="65" t="s">
        <v>149</v>
      </c>
      <c r="F241" s="66" t="str">
        <f t="shared" si="3"/>
        <v>M25512 - AGENT AYANT TAUX PERSONNEL  -&gt; A CONSULTER</v>
      </c>
    </row>
    <row r="242" spans="1:6" x14ac:dyDescent="0.25">
      <c r="A242" s="62" t="s">
        <v>274</v>
      </c>
      <c r="B242" s="63"/>
      <c r="C242" s="63"/>
      <c r="D242" s="64" t="s">
        <v>138</v>
      </c>
      <c r="E242" s="65" t="s">
        <v>151</v>
      </c>
      <c r="F242" s="66" t="str">
        <f t="shared" si="3"/>
        <v>M38011 - ANOMALIE DU PBASE CUMUL  -&gt; A TRAITER</v>
      </c>
    </row>
    <row r="243" spans="1:6" x14ac:dyDescent="0.25">
      <c r="A243" s="62" t="s">
        <v>275</v>
      </c>
      <c r="B243" s="63"/>
      <c r="C243" s="63"/>
      <c r="D243" s="64" t="s">
        <v>138</v>
      </c>
      <c r="E243" s="65" t="s">
        <v>145</v>
      </c>
      <c r="F243" s="66" t="str">
        <f t="shared" si="3"/>
        <v>M43011 -   -&gt; ARCHIVE</v>
      </c>
    </row>
    <row r="244" spans="1:6" x14ac:dyDescent="0.25">
      <c r="A244" s="62" t="s">
        <v>276</v>
      </c>
      <c r="B244" s="63"/>
      <c r="C244" s="63"/>
      <c r="D244" s="64" t="s">
        <v>138</v>
      </c>
      <c r="E244" s="65" t="s">
        <v>145</v>
      </c>
      <c r="F244" s="66" t="str">
        <f t="shared" si="3"/>
        <v>M43311 -   -&gt; ARCHIVE</v>
      </c>
    </row>
    <row r="245" spans="1:6" x14ac:dyDescent="0.25">
      <c r="A245" s="62" t="s">
        <v>277</v>
      </c>
      <c r="B245" s="63"/>
      <c r="C245" s="63"/>
      <c r="D245" s="64" t="s">
        <v>138</v>
      </c>
      <c r="E245" s="65" t="s">
        <v>145</v>
      </c>
      <c r="F245" s="66" t="str">
        <f t="shared" si="3"/>
        <v>M61811 - NOMBRE DE BENEFICIAIRES PREST   -&gt; ARCHIVE</v>
      </c>
    </row>
    <row r="246" spans="1:6" x14ac:dyDescent="0.25">
      <c r="A246" s="62" t="s">
        <v>278</v>
      </c>
      <c r="B246" s="63"/>
      <c r="C246" s="63"/>
      <c r="D246" s="64" t="s">
        <v>138</v>
      </c>
      <c r="E246" s="65" t="s">
        <v>279</v>
      </c>
      <c r="F246" s="66" t="str">
        <f t="shared" si="3"/>
        <v>U20012 - LISTE DES NUMEROS SS PROVISOIRES  -&gt; CUMULS</v>
      </c>
    </row>
    <row r="247" spans="1:6" x14ac:dyDescent="0.25">
      <c r="A247" s="63" t="s">
        <v>280</v>
      </c>
      <c r="B247" s="63"/>
      <c r="C247" s="63"/>
      <c r="D247" s="64" t="s">
        <v>138</v>
      </c>
      <c r="E247" s="65" t="s">
        <v>279</v>
      </c>
      <c r="F247" s="66" t="str">
        <f t="shared" si="3"/>
        <v>U21012 - ANOS CONTRÔLE DE COHERENCE FGC  -&gt; CUMULS</v>
      </c>
    </row>
    <row r="248" spans="1:6" x14ac:dyDescent="0.25">
      <c r="A248" s="63" t="s">
        <v>281</v>
      </c>
      <c r="B248" s="63"/>
      <c r="C248" s="63"/>
      <c r="D248" s="64" t="s">
        <v>138</v>
      </c>
      <c r="E248" s="65" t="s">
        <v>279</v>
      </c>
      <c r="F248" s="66" t="str">
        <f t="shared" si="3"/>
        <v>U21511 - LISTE DES ANOS DE CONTRÔLE FGC  -&gt; CUMULS</v>
      </c>
    </row>
    <row r="249" spans="1:6" x14ac:dyDescent="0.25">
      <c r="A249" s="62" t="s">
        <v>282</v>
      </c>
      <c r="B249" s="63"/>
      <c r="C249" s="63"/>
      <c r="D249" s="64" t="s">
        <v>138</v>
      </c>
      <c r="E249" s="65" t="s">
        <v>279</v>
      </c>
      <c r="F249" s="66" t="str">
        <f t="shared" si="3"/>
        <v>U23011 - MONTANTS FISCAUX NEGATIFS  -&gt; CUMULS</v>
      </c>
    </row>
    <row r="250" spans="1:6" x14ac:dyDescent="0.25">
      <c r="A250" s="62" t="s">
        <v>283</v>
      </c>
      <c r="B250" s="63"/>
      <c r="C250" s="63"/>
      <c r="D250" s="64" t="s">
        <v>138</v>
      </c>
      <c r="E250" s="65" t="s">
        <v>279</v>
      </c>
      <c r="F250" s="66" t="str">
        <f t="shared" si="3"/>
        <v>U31641 - LISTE DES OMAJ REJETES  -&gt; CUMULS</v>
      </c>
    </row>
    <row r="251" spans="1:6" x14ac:dyDescent="0.25">
      <c r="A251" s="62" t="s">
        <v>284</v>
      </c>
      <c r="B251" s="63"/>
      <c r="C251" s="63"/>
      <c r="D251" s="64" t="s">
        <v>138</v>
      </c>
      <c r="E251" s="65" t="s">
        <v>279</v>
      </c>
      <c r="F251" s="66" t="str">
        <f t="shared" si="3"/>
        <v>U31741 - LISTE DES OMAJ ACCEPTES  -&gt; CUMULS</v>
      </c>
    </row>
    <row r="252" spans="1:6" x14ac:dyDescent="0.25">
      <c r="A252" s="62" t="s">
        <v>285</v>
      </c>
      <c r="B252" s="63"/>
      <c r="C252" s="63"/>
      <c r="D252" s="64" t="s">
        <v>138</v>
      </c>
      <c r="E252" s="65" t="s">
        <v>279</v>
      </c>
      <c r="F252" s="66" t="str">
        <f t="shared" ref="F252:F263" si="4">A252&amp;" "&amp;D252&amp;" "&amp;E252</f>
        <v>U40112 - LISTE DES HOMONYMES  -&gt; CUMULS</v>
      </c>
    </row>
    <row r="253" spans="1:6" x14ac:dyDescent="0.25">
      <c r="A253" s="63" t="s">
        <v>286</v>
      </c>
      <c r="B253" s="63"/>
      <c r="C253" s="63"/>
      <c r="D253" s="64" t="s">
        <v>138</v>
      </c>
      <c r="E253" s="65" t="s">
        <v>279</v>
      </c>
      <c r="F253" s="66" t="str">
        <f t="shared" si="4"/>
        <v>U44941 - EDITION DES ARTICLES SUR FGC  -&gt; CUMULS</v>
      </c>
    </row>
    <row r="254" spans="1:6" x14ac:dyDescent="0.25">
      <c r="A254" s="62" t="s">
        <v>287</v>
      </c>
      <c r="B254" s="63"/>
      <c r="C254" s="63"/>
      <c r="D254" s="64" t="s">
        <v>138</v>
      </c>
      <c r="E254" s="65" t="s">
        <v>279</v>
      </c>
      <c r="F254" s="66" t="str">
        <f t="shared" si="4"/>
        <v>U44951 - LISTE GENERALE CUMULS  -&gt; CUMULS</v>
      </c>
    </row>
    <row r="255" spans="1:6" x14ac:dyDescent="0.25">
      <c r="A255" s="63" t="s">
        <v>288</v>
      </c>
      <c r="B255" s="63"/>
      <c r="C255" s="63"/>
      <c r="D255" s="64" t="s">
        <v>138</v>
      </c>
      <c r="E255" s="65" t="s">
        <v>279</v>
      </c>
      <c r="F255" s="66" t="str">
        <f t="shared" si="4"/>
        <v>U44981 - LISTE DES NON RESIDENTS  -&gt; CUMULS</v>
      </c>
    </row>
    <row r="256" spans="1:6" x14ac:dyDescent="0.25">
      <c r="A256" s="62" t="s">
        <v>289</v>
      </c>
      <c r="B256" s="63"/>
      <c r="C256" s="63"/>
      <c r="D256" s="64" t="s">
        <v>138</v>
      </c>
      <c r="E256" s="65" t="s">
        <v>279</v>
      </c>
      <c r="F256" s="66" t="str">
        <f t="shared" si="4"/>
        <v>U51012 - ETAT BORDEREAU NOMINATIF PREFON  -&gt; CUMULS</v>
      </c>
    </row>
    <row r="257" spans="1:6" x14ac:dyDescent="0.25">
      <c r="A257" s="62" t="s">
        <v>290</v>
      </c>
      <c r="B257" s="63"/>
      <c r="C257" s="63"/>
      <c r="D257" s="64" t="s">
        <v>138</v>
      </c>
      <c r="E257" s="65" t="s">
        <v>279</v>
      </c>
      <c r="F257" s="66" t="str">
        <f t="shared" si="4"/>
        <v>U51712 - EDITION DES BORDEREAU NOMINATIF  -&gt; CUMULS</v>
      </c>
    </row>
    <row r="258" spans="1:6" x14ac:dyDescent="0.25">
      <c r="A258" s="62" t="s">
        <v>291</v>
      </c>
      <c r="B258" s="63"/>
      <c r="C258" s="63"/>
      <c r="D258" s="64" t="s">
        <v>138</v>
      </c>
      <c r="E258" s="65" t="s">
        <v>279</v>
      </c>
      <c r="F258" s="66" t="str">
        <f t="shared" si="4"/>
        <v>U51813 - BORDEREAU NOMINATIF IRCANTEC  -&gt; CUMULS</v>
      </c>
    </row>
    <row r="259" spans="1:6" x14ac:dyDescent="0.25">
      <c r="A259" s="62" t="s">
        <v>292</v>
      </c>
      <c r="B259" s="63"/>
      <c r="C259" s="63"/>
      <c r="D259" s="64" t="s">
        <v>138</v>
      </c>
      <c r="E259" s="65" t="s">
        <v>279</v>
      </c>
      <c r="F259" s="66" t="str">
        <f t="shared" si="4"/>
        <v>U52013 - ETAT RECAPITULATIF IRCANTEC  -&gt; CUMULS</v>
      </c>
    </row>
    <row r="260" spans="1:6" x14ac:dyDescent="0.25">
      <c r="A260" s="62" t="s">
        <v>293</v>
      </c>
      <c r="B260" s="63"/>
      <c r="C260" s="63"/>
      <c r="D260" s="64" t="s">
        <v>138</v>
      </c>
      <c r="E260" s="65" t="s">
        <v>279</v>
      </c>
      <c r="F260" s="66" t="str">
        <f t="shared" si="4"/>
        <v>U54012 - LISTE NOMINATIVE DADS NON TIT  -&gt; CUMULS</v>
      </c>
    </row>
    <row r="261" spans="1:6" x14ac:dyDescent="0.25">
      <c r="A261" s="62" t="s">
        <v>294</v>
      </c>
      <c r="B261" s="63"/>
      <c r="C261" s="63"/>
      <c r="D261" s="64" t="s">
        <v>138</v>
      </c>
      <c r="E261" s="65" t="s">
        <v>279</v>
      </c>
      <c r="F261" s="66" t="str">
        <f t="shared" si="4"/>
        <v>U54112 - LISTE NOMINATIVE DADS REJETES  -&gt; CUMULS</v>
      </c>
    </row>
    <row r="262" spans="1:6" x14ac:dyDescent="0.25">
      <c r="A262" s="63" t="s">
        <v>295</v>
      </c>
      <c r="B262" s="63"/>
      <c r="C262" s="63"/>
      <c r="D262" s="64" t="s">
        <v>138</v>
      </c>
      <c r="E262" s="65" t="s">
        <v>279</v>
      </c>
      <c r="F262" s="66" t="str">
        <f t="shared" si="4"/>
        <v>U56012 - BORD AUTHENTIF BANDE FISCALE  -&gt; CUMULS</v>
      </c>
    </row>
    <row r="263" spans="1:6" x14ac:dyDescent="0.25">
      <c r="A263" s="63" t="s">
        <v>296</v>
      </c>
      <c r="B263" s="63"/>
      <c r="C263" s="63"/>
      <c r="D263" s="64" t="s">
        <v>138</v>
      </c>
      <c r="E263" s="65" t="s">
        <v>279</v>
      </c>
      <c r="F263" s="66" t="str">
        <f t="shared" si="4"/>
        <v>U56112 - LISTE DES ART FISCAUX BLOQUANTS  -&gt; CUMULS</v>
      </c>
    </row>
    <row r="264" spans="1:6" x14ac:dyDescent="0.25">
      <c r="A264" s="62" t="s">
        <v>297</v>
      </c>
      <c r="B264" s="63" t="s">
        <v>298</v>
      </c>
      <c r="C264" s="63" t="str">
        <f>A264&amp;" - "&amp;B264</f>
        <v>ETAT DES PAIEMENTS - Salariés : Paiement des agents paie demande</v>
      </c>
      <c r="D264" s="64" t="s">
        <v>138</v>
      </c>
      <c r="E264" s="65" t="s">
        <v>149</v>
      </c>
      <c r="F264" s="66" t="str">
        <f>C264&amp;" "&amp;D264&amp;" "&amp;E264</f>
        <v>ETAT DES PAIEMENTS - Salariés : Paiement des agents paie demande  -&gt; A CONSULTER</v>
      </c>
    </row>
    <row r="265" spans="1:6" x14ac:dyDescent="0.25">
      <c r="A265" s="63" t="s">
        <v>299</v>
      </c>
      <c r="B265" s="63" t="s">
        <v>300</v>
      </c>
      <c r="C265" s="63" t="str">
        <f t="shared" ref="C265:C320" si="5">A265&amp;" - "&amp;B265</f>
        <v>CR GTA - Fonctionnaires : CR d'anomalies IEV</v>
      </c>
      <c r="D265" s="64" t="s">
        <v>138</v>
      </c>
      <c r="E265" s="65" t="s">
        <v>151</v>
      </c>
      <c r="F265" s="66" t="str">
        <f t="shared" ref="F265:F320" si="6">C265&amp;" "&amp;D265&amp;" "&amp;E265</f>
        <v>CR GTA - Fonctionnaires : CR d'anomalies IEV  -&gt; A TRAITER</v>
      </c>
    </row>
    <row r="266" spans="1:6" x14ac:dyDescent="0.25">
      <c r="A266" s="62" t="s">
        <v>301</v>
      </c>
      <c r="B266" s="63" t="s">
        <v>302</v>
      </c>
      <c r="C266" s="63" t="str">
        <f t="shared" si="5"/>
        <v>SUIVI DES DETTES - Salariés : Suivi des dettes</v>
      </c>
      <c r="D266" s="64" t="s">
        <v>138</v>
      </c>
      <c r="E266" s="65" t="s">
        <v>149</v>
      </c>
      <c r="F266" s="66" t="str">
        <f t="shared" si="6"/>
        <v>SUIVI DES DETTES - Salariés : Suivi des dettes  -&gt; A CONSULTER</v>
      </c>
    </row>
    <row r="267" spans="1:6" x14ac:dyDescent="0.25">
      <c r="A267" s="62" t="s">
        <v>297</v>
      </c>
      <c r="B267" s="63" t="s">
        <v>303</v>
      </c>
      <c r="C267" s="63" t="str">
        <f t="shared" si="5"/>
        <v>ETAT DES PAIEMENTS - Identification des reprises Pactole</v>
      </c>
      <c r="D267" s="64" t="s">
        <v>138</v>
      </c>
      <c r="E267" s="65" t="s">
        <v>149</v>
      </c>
      <c r="F267" s="66" t="str">
        <f t="shared" si="6"/>
        <v>ETAT DES PAIEMENTS - Identification des reprises Pactole  -&gt; A CONSULTER</v>
      </c>
    </row>
    <row r="268" spans="1:6" x14ac:dyDescent="0.25">
      <c r="A268" s="62" t="s">
        <v>297</v>
      </c>
      <c r="B268" s="63" t="s">
        <v>304</v>
      </c>
      <c r="C268" s="63" t="str">
        <f t="shared" si="5"/>
        <v>ETAT DES PAIEMENTS - Salariés : EFI / EVI avec CSCP</v>
      </c>
      <c r="D268" s="64" t="s">
        <v>138</v>
      </c>
      <c r="E268" s="65" t="s">
        <v>151</v>
      </c>
      <c r="F268" s="66" t="str">
        <f t="shared" si="6"/>
        <v>ETAT DES PAIEMENTS - Salariés : EFI / EVI avec CSCP  -&gt; A TRAITER</v>
      </c>
    </row>
    <row r="269" spans="1:6" x14ac:dyDescent="0.25">
      <c r="A269" s="62" t="s">
        <v>297</v>
      </c>
      <c r="B269" s="63" t="s">
        <v>305</v>
      </c>
      <c r="C269" s="63" t="str">
        <f t="shared" si="5"/>
        <v>ETAT DES PAIEMENTS - Salariés: Solde de tout compte</v>
      </c>
      <c r="D269" s="64" t="s">
        <v>138</v>
      </c>
      <c r="E269" s="65" t="s">
        <v>149</v>
      </c>
      <c r="F269" s="66" t="str">
        <f t="shared" si="6"/>
        <v>ETAT DES PAIEMENTS - Salariés: Solde de tout compte  -&gt; A CONSULTER</v>
      </c>
    </row>
    <row r="270" spans="1:6" x14ac:dyDescent="0.25">
      <c r="A270" s="62" t="s">
        <v>306</v>
      </c>
      <c r="B270" s="63" t="s">
        <v>307</v>
      </c>
      <c r="C270" s="63" t="str">
        <f t="shared" si="5"/>
        <v xml:space="preserve">ETATS PACTOLE - Etat des multi saisies </v>
      </c>
      <c r="D270" s="64" t="s">
        <v>138</v>
      </c>
      <c r="E270" s="65" t="s">
        <v>151</v>
      </c>
      <c r="F270" s="66" t="str">
        <f t="shared" si="6"/>
        <v>ETATS PACTOLE - Etat des multi saisies   -&gt; A TRAITER</v>
      </c>
    </row>
    <row r="271" spans="1:6" x14ac:dyDescent="0.25">
      <c r="A271" s="62" t="s">
        <v>306</v>
      </c>
      <c r="B271" s="63" t="s">
        <v>308</v>
      </c>
      <c r="C271" s="63" t="str">
        <f t="shared" si="5"/>
        <v>ETATS PACTOLE - OMAJ IEV H400</v>
      </c>
      <c r="D271" s="64" t="s">
        <v>138</v>
      </c>
      <c r="E271" s="65" t="s">
        <v>149</v>
      </c>
      <c r="F271" s="66" t="str">
        <f t="shared" si="6"/>
        <v>ETATS PACTOLE - OMAJ IEV H400  -&gt; A CONSULTER</v>
      </c>
    </row>
    <row r="272" spans="1:6" x14ac:dyDescent="0.25">
      <c r="A272" s="62" t="s">
        <v>306</v>
      </c>
      <c r="B272" s="63" t="s">
        <v>309</v>
      </c>
      <c r="C272" s="63" t="str">
        <f t="shared" si="5"/>
        <v>ETATS PACTOLE - OMAJ IEV populations atypiques H500</v>
      </c>
      <c r="D272" s="64" t="s">
        <v>138</v>
      </c>
      <c r="E272" s="65" t="s">
        <v>149</v>
      </c>
      <c r="F272" s="66" t="str">
        <f t="shared" si="6"/>
        <v>ETATS PACTOLE - OMAJ IEV populations atypiques H500  -&gt; A CONSULTER</v>
      </c>
    </row>
    <row r="273" spans="1:6" x14ac:dyDescent="0.25">
      <c r="A273" s="63" t="s">
        <v>310</v>
      </c>
      <c r="B273" s="63" t="s">
        <v>311</v>
      </c>
      <c r="C273" s="63" t="str">
        <f t="shared" si="5"/>
        <v>GRAND DIALOGUE - Etat des reprises sur salaires</v>
      </c>
      <c r="D273" s="64" t="s">
        <v>138</v>
      </c>
      <c r="E273" s="65" t="s">
        <v>149</v>
      </c>
      <c r="F273" s="66" t="str">
        <f t="shared" si="6"/>
        <v>GRAND DIALOGUE - Etat des reprises sur salaires  -&gt; A CONSULTER</v>
      </c>
    </row>
    <row r="274" spans="1:6" x14ac:dyDescent="0.25">
      <c r="A274" s="62" t="s">
        <v>312</v>
      </c>
      <c r="B274" s="63" t="s">
        <v>313</v>
      </c>
      <c r="C274" s="63" t="str">
        <f t="shared" si="5"/>
        <v>OMAJ PM - OMAJ PM  - Anomalies de contrôle</v>
      </c>
      <c r="D274" s="64" t="s">
        <v>138</v>
      </c>
      <c r="E274" s="65" t="s">
        <v>151</v>
      </c>
      <c r="F274" s="66" t="str">
        <f t="shared" si="6"/>
        <v>OMAJ PM - OMAJ PM  - Anomalies de contrôle  -&gt; A TRAITER</v>
      </c>
    </row>
    <row r="275" spans="1:6" x14ac:dyDescent="0.25">
      <c r="A275" s="62" t="s">
        <v>312</v>
      </c>
      <c r="B275" s="63" t="s">
        <v>314</v>
      </c>
      <c r="C275" s="63" t="str">
        <f t="shared" si="5"/>
        <v>OMAJ PM - OMAJ PM  - OMAJ d'anomalies de grève</v>
      </c>
      <c r="D275" s="64" t="s">
        <v>138</v>
      </c>
      <c r="E275" s="65" t="s">
        <v>151</v>
      </c>
      <c r="F275" s="66" t="str">
        <f t="shared" si="6"/>
        <v>OMAJ PM - OMAJ PM  - OMAJ d'anomalies de grève  -&gt; A TRAITER</v>
      </c>
    </row>
    <row r="276" spans="1:6" x14ac:dyDescent="0.25">
      <c r="A276" s="62" t="s">
        <v>312</v>
      </c>
      <c r="B276" s="63" t="s">
        <v>315</v>
      </c>
      <c r="C276" s="63" t="str">
        <f t="shared" si="5"/>
        <v>OMAJ PM - OMAJ PM  - OMAJ d'effacement</v>
      </c>
      <c r="D276" s="64" t="s">
        <v>138</v>
      </c>
      <c r="E276" s="65" t="s">
        <v>151</v>
      </c>
      <c r="F276" s="66" t="str">
        <f t="shared" si="6"/>
        <v>OMAJ PM - OMAJ PM  - OMAJ d'effacement  -&gt; A TRAITER</v>
      </c>
    </row>
    <row r="277" spans="1:6" x14ac:dyDescent="0.25">
      <c r="A277" s="63" t="s">
        <v>316</v>
      </c>
      <c r="B277" s="63" t="s">
        <v>317</v>
      </c>
      <c r="C277" s="63" t="str">
        <f t="shared" si="5"/>
        <v>DETTES RESTANTES - Fonctionnaires : Dettes restantes agents en activité</v>
      </c>
      <c r="D277" s="64" t="s">
        <v>138</v>
      </c>
      <c r="E277" s="65" t="s">
        <v>149</v>
      </c>
      <c r="F277" s="66" t="str">
        <f t="shared" si="6"/>
        <v>DETTES RESTANTES - Fonctionnaires : Dettes restantes agents en activité  -&gt; A CONSULTER</v>
      </c>
    </row>
    <row r="278" spans="1:6" x14ac:dyDescent="0.25">
      <c r="A278" s="63" t="s">
        <v>316</v>
      </c>
      <c r="B278" s="63" t="s">
        <v>318</v>
      </c>
      <c r="C278" s="63" t="str">
        <f t="shared" si="5"/>
        <v>DETTES RESTANTES - Fonctionnaires : Dettes restantes agents sortis de fonction</v>
      </c>
      <c r="D278" s="64" t="s">
        <v>138</v>
      </c>
      <c r="E278" s="65" t="s">
        <v>149</v>
      </c>
      <c r="F278" s="66" t="str">
        <f t="shared" si="6"/>
        <v>DETTES RESTANTES - Fonctionnaires : Dettes restantes agents sortis de fonction  -&gt; A CONSULTER</v>
      </c>
    </row>
    <row r="279" spans="1:6" x14ac:dyDescent="0.25">
      <c r="A279" s="62" t="s">
        <v>297</v>
      </c>
      <c r="B279" s="63" t="s">
        <v>319</v>
      </c>
      <c r="C279" s="63" t="str">
        <f t="shared" si="5"/>
        <v>ETAT DES PAIEMENTS - Salariés : Paiement des agents paie normale</v>
      </c>
      <c r="D279" s="64" t="s">
        <v>138</v>
      </c>
      <c r="E279" s="65" t="s">
        <v>149</v>
      </c>
      <c r="F279" s="66" t="str">
        <f t="shared" si="6"/>
        <v>ETAT DES PAIEMENTS - Salariés : Paiement des agents paie normale  -&gt; A CONSULTER</v>
      </c>
    </row>
    <row r="280" spans="1:6" x14ac:dyDescent="0.25">
      <c r="A280" s="62" t="s">
        <v>320</v>
      </c>
      <c r="B280" s="63" t="s">
        <v>321</v>
      </c>
      <c r="C280" s="63" t="str">
        <f t="shared" si="5"/>
        <v>PACTOLE - Fonct. Retenues à effectuer sans prélèvement</v>
      </c>
      <c r="D280" s="64" t="s">
        <v>138</v>
      </c>
      <c r="E280" s="65" t="s">
        <v>175</v>
      </c>
      <c r="F280" s="66" t="str">
        <f t="shared" si="6"/>
        <v>PACTOLE - Fonct. Retenues à effectuer sans prélèvement  -&gt; A CONSULTER + CAP</v>
      </c>
    </row>
    <row r="281" spans="1:6" x14ac:dyDescent="0.25">
      <c r="A281" s="62" t="s">
        <v>320</v>
      </c>
      <c r="B281" s="63" t="s">
        <v>322</v>
      </c>
      <c r="C281" s="63" t="str">
        <f t="shared" si="5"/>
        <v>PACTOLE - Fonct. Retenues donnant lieu à règlement</v>
      </c>
      <c r="D281" s="64" t="s">
        <v>138</v>
      </c>
      <c r="E281" s="65" t="s">
        <v>184</v>
      </c>
      <c r="F281" s="66" t="str">
        <f t="shared" si="6"/>
        <v>PACTOLE - Fonct. Retenues donnant lieu à règlement  -&gt; A CONSULTER + CAP + Mail (recouvrement)</v>
      </c>
    </row>
    <row r="282" spans="1:6" x14ac:dyDescent="0.25">
      <c r="A282" s="62" t="s">
        <v>320</v>
      </c>
      <c r="B282" s="63" t="s">
        <v>323</v>
      </c>
      <c r="C282" s="63" t="str">
        <f t="shared" si="5"/>
        <v>PACTOLE - Fonct. Retenues ne donnant pas lieu à règlement</v>
      </c>
      <c r="D282" s="64" t="s">
        <v>138</v>
      </c>
      <c r="E282" s="65" t="s">
        <v>324</v>
      </c>
      <c r="F282" s="66" t="str">
        <f t="shared" si="6"/>
        <v>PACTOLE - Fonct. Retenues ne donnant pas lieu à règlement  -&gt; A CONSULTER + CAP+ Christian PAGESY</v>
      </c>
    </row>
    <row r="283" spans="1:6" x14ac:dyDescent="0.25">
      <c r="A283" s="62" t="s">
        <v>320</v>
      </c>
      <c r="B283" s="63" t="s">
        <v>325</v>
      </c>
      <c r="C283" s="63" t="str">
        <f t="shared" si="5"/>
        <v>PACTOLE - Fonct. Retenues = Préstations</v>
      </c>
      <c r="D283" s="64" t="s">
        <v>138</v>
      </c>
      <c r="E283" s="65" t="s">
        <v>175</v>
      </c>
      <c r="F283" s="66" t="str">
        <f t="shared" si="6"/>
        <v>PACTOLE - Fonct. Retenues = Préstations  -&gt; A CONSULTER + CAP</v>
      </c>
    </row>
    <row r="284" spans="1:6" x14ac:dyDescent="0.25">
      <c r="A284" s="62" t="s">
        <v>301</v>
      </c>
      <c r="B284" s="63" t="s">
        <v>302</v>
      </c>
      <c r="C284" s="63" t="str">
        <f t="shared" si="5"/>
        <v>SUIVI DES DETTES - Salariés : Suivi des dettes</v>
      </c>
      <c r="D284" s="64" t="s">
        <v>138</v>
      </c>
      <c r="E284" s="65" t="s">
        <v>149</v>
      </c>
      <c r="F284" s="66" t="str">
        <f t="shared" si="6"/>
        <v>SUIVI DES DETTES - Salariés : Suivi des dettes  -&gt; A CONSULTER</v>
      </c>
    </row>
    <row r="285" spans="1:6" x14ac:dyDescent="0.25">
      <c r="A285" s="63" t="s">
        <v>326</v>
      </c>
      <c r="B285" s="63" t="s">
        <v>327</v>
      </c>
      <c r="C285" s="63" t="str">
        <f t="shared" si="5"/>
        <v>ABSENCES - Salarié : Suivi fin de droits IJSS</v>
      </c>
      <c r="D285" s="64" t="s">
        <v>138</v>
      </c>
      <c r="E285" s="65" t="s">
        <v>151</v>
      </c>
      <c r="F285" s="66" t="str">
        <f t="shared" si="6"/>
        <v>ABSENCES - Salarié : Suivi fin de droits IJSS  -&gt; A TRAITER</v>
      </c>
    </row>
    <row r="286" spans="1:6" x14ac:dyDescent="0.25">
      <c r="A286" s="63" t="s">
        <v>326</v>
      </c>
      <c r="B286" s="63" t="s">
        <v>328</v>
      </c>
      <c r="C286" s="63" t="str">
        <f t="shared" si="5"/>
        <v>ABSENCES - Agents en absences COM de plus de 300 jours</v>
      </c>
      <c r="D286" s="64" t="s">
        <v>138</v>
      </c>
      <c r="E286" s="65" t="s">
        <v>151</v>
      </c>
      <c r="F286" s="66" t="str">
        <f t="shared" si="6"/>
        <v>ABSENCES - Agents en absences COM de plus de 300 jours  -&gt; A TRAITER</v>
      </c>
    </row>
    <row r="287" spans="1:6" x14ac:dyDescent="0.25">
      <c r="A287" s="62" t="s">
        <v>329</v>
      </c>
      <c r="B287" s="63" t="s">
        <v>330</v>
      </c>
      <c r="C287" s="63" t="str">
        <f t="shared" si="5"/>
        <v>APPRECIATIONS - CR anomalies appréciations courrier</v>
      </c>
      <c r="D287" s="64" t="s">
        <v>138</v>
      </c>
      <c r="E287" s="65" t="s">
        <v>151</v>
      </c>
      <c r="F287" s="66" t="str">
        <f t="shared" si="6"/>
        <v>APPRECIATIONS - CR anomalies appréciations courrier  -&gt; A TRAITER</v>
      </c>
    </row>
    <row r="288" spans="1:6" x14ac:dyDescent="0.25">
      <c r="A288" s="63" t="s">
        <v>331</v>
      </c>
      <c r="B288" s="63" t="s">
        <v>332</v>
      </c>
      <c r="C288" s="63" t="str">
        <f t="shared" si="5"/>
        <v>ATTESTATION AED - Anomalies des AED CRA KO</v>
      </c>
      <c r="D288" s="64" t="s">
        <v>138</v>
      </c>
      <c r="E288" s="65" t="s">
        <v>151</v>
      </c>
      <c r="F288" s="66" t="str">
        <f t="shared" si="6"/>
        <v>ATTESTATION AED - Anomalies des AED CRA KO  -&gt; A TRAITER</v>
      </c>
    </row>
    <row r="289" spans="1:6" x14ac:dyDescent="0.25">
      <c r="A289" s="63" t="s">
        <v>331</v>
      </c>
      <c r="B289" s="63" t="s">
        <v>333</v>
      </c>
      <c r="C289" s="63" t="str">
        <f t="shared" si="5"/>
        <v>ATTESTATION AED - Fichier global CSRH attestations AED</v>
      </c>
      <c r="D289" s="64" t="s">
        <v>138</v>
      </c>
      <c r="E289" s="65" t="s">
        <v>151</v>
      </c>
      <c r="F289" s="66" t="str">
        <f t="shared" si="6"/>
        <v>ATTESTATION AED - Fichier global CSRH attestations AED  -&gt; A TRAITER</v>
      </c>
    </row>
    <row r="290" spans="1:6" x14ac:dyDescent="0.25">
      <c r="A290" s="63" t="s">
        <v>334</v>
      </c>
      <c r="B290" s="63" t="s">
        <v>335</v>
      </c>
      <c r="C290" s="63" t="str">
        <f t="shared" si="5"/>
        <v>CADRES STRATEGIQUES - Liste des agents cadres stratégiques</v>
      </c>
      <c r="D290" s="64" t="s">
        <v>138</v>
      </c>
      <c r="E290" s="65" t="s">
        <v>149</v>
      </c>
      <c r="F290" s="66" t="str">
        <f t="shared" si="6"/>
        <v>CADRES STRATEGIQUES - Liste des agents cadres stratégiques  -&gt; A CONSULTER</v>
      </c>
    </row>
    <row r="291" spans="1:6" x14ac:dyDescent="0.25">
      <c r="A291" s="62" t="s">
        <v>336</v>
      </c>
      <c r="B291" s="63" t="s">
        <v>337</v>
      </c>
      <c r="C291" s="63" t="str">
        <f t="shared" si="5"/>
        <v>COMPLEMENTAIRE SANTE - ANI et nouveaux affiliés</v>
      </c>
      <c r="D291" s="64" t="s">
        <v>138</v>
      </c>
      <c r="E291" s="65" t="s">
        <v>149</v>
      </c>
      <c r="F291" s="66" t="str">
        <f t="shared" si="6"/>
        <v>COMPLEMENTAIRE SANTE - ANI et nouveaux affiliés  -&gt; A CONSULTER</v>
      </c>
    </row>
    <row r="292" spans="1:6" x14ac:dyDescent="0.25">
      <c r="A292" s="63" t="s">
        <v>299</v>
      </c>
      <c r="B292" s="63" t="s">
        <v>338</v>
      </c>
      <c r="C292" s="63" t="str">
        <f t="shared" si="5"/>
        <v>CR GTA - Fonctionnaires : CR d'anomalies absences et CET</v>
      </c>
      <c r="D292" s="64" t="s">
        <v>138</v>
      </c>
      <c r="E292" s="65" t="s">
        <v>151</v>
      </c>
      <c r="F292" s="66" t="str">
        <f t="shared" si="6"/>
        <v>CR GTA - Fonctionnaires : CR d'anomalies absences et CET  -&gt; A TRAITER</v>
      </c>
    </row>
    <row r="293" spans="1:6" x14ac:dyDescent="0.25">
      <c r="A293" s="63" t="s">
        <v>299</v>
      </c>
      <c r="B293" s="63" t="s">
        <v>339</v>
      </c>
      <c r="C293" s="63" t="str">
        <f t="shared" si="5"/>
        <v>CR GTA - Doublons IEV - EVI</v>
      </c>
      <c r="D293" s="64" t="s">
        <v>138</v>
      </c>
      <c r="E293" s="65" t="s">
        <v>149</v>
      </c>
      <c r="F293" s="66" t="str">
        <f t="shared" si="6"/>
        <v>CR GTA - Doublons IEV - EVI  -&gt; A CONSULTER</v>
      </c>
    </row>
    <row r="294" spans="1:6" x14ac:dyDescent="0.25">
      <c r="A294" s="62" t="s">
        <v>340</v>
      </c>
      <c r="B294" s="63" t="s">
        <v>341</v>
      </c>
      <c r="C294" s="63" t="str">
        <f t="shared" si="5"/>
        <v>CR SIGP GEODE - Salariés : CR anomalies absences GEODE (Flux E04)</v>
      </c>
      <c r="D294" s="64" t="s">
        <v>138</v>
      </c>
      <c r="E294" s="65" t="s">
        <v>151</v>
      </c>
      <c r="F294" s="66" t="str">
        <f t="shared" si="6"/>
        <v>CR SIGP GEODE - Salariés : CR anomalies absences GEODE (Flux E04)  -&gt; A TRAITER</v>
      </c>
    </row>
    <row r="295" spans="1:6" x14ac:dyDescent="0.25">
      <c r="A295" s="62" t="s">
        <v>340</v>
      </c>
      <c r="B295" s="63" t="s">
        <v>342</v>
      </c>
      <c r="C295" s="63" t="str">
        <f t="shared" si="5"/>
        <v>CR SIGP GEODE - Salariés : CR anomalies droits à IEV</v>
      </c>
      <c r="D295" s="64" t="s">
        <v>138</v>
      </c>
      <c r="E295" s="65" t="s">
        <v>151</v>
      </c>
      <c r="F295" s="66" t="str">
        <f t="shared" si="6"/>
        <v>CR SIGP GEODE - Salariés : CR anomalies droits à IEV  -&gt; A TRAITER</v>
      </c>
    </row>
    <row r="296" spans="1:6" x14ac:dyDescent="0.25">
      <c r="A296" s="62" t="s">
        <v>343</v>
      </c>
      <c r="B296" s="63" t="s">
        <v>344</v>
      </c>
      <c r="C296" s="63" t="str">
        <f t="shared" si="5"/>
        <v>CR SIGP KDS - CR des anomalies des éléments variables</v>
      </c>
      <c r="D296" s="64" t="s">
        <v>138</v>
      </c>
      <c r="E296" s="65" t="s">
        <v>151</v>
      </c>
      <c r="F296" s="66" t="str">
        <f t="shared" si="6"/>
        <v>CR SIGP KDS - CR des anomalies des éléments variables  -&gt; A TRAITER</v>
      </c>
    </row>
    <row r="297" spans="1:6" x14ac:dyDescent="0.25">
      <c r="A297" s="62" t="s">
        <v>345</v>
      </c>
      <c r="B297" s="63" t="s">
        <v>346</v>
      </c>
      <c r="C297" s="63" t="str">
        <f t="shared" si="5"/>
        <v>ENTITE DE PILOTAGE - Entité de pilotage</v>
      </c>
      <c r="D297" s="64" t="s">
        <v>138</v>
      </c>
      <c r="E297" s="65" t="s">
        <v>149</v>
      </c>
      <c r="F297" s="66" t="str">
        <f t="shared" si="6"/>
        <v>ENTITE DE PILOTAGE - Entité de pilotage  -&gt; A CONSULTER</v>
      </c>
    </row>
    <row r="298" spans="1:6" x14ac:dyDescent="0.25">
      <c r="A298" s="62" t="s">
        <v>297</v>
      </c>
      <c r="B298" s="63" t="s">
        <v>347</v>
      </c>
      <c r="C298" s="63" t="str">
        <f t="shared" si="5"/>
        <v>ETAT DES PAIEMENTS - SEPA - Mobilité bancaire</v>
      </c>
      <c r="D298" s="64" t="s">
        <v>138</v>
      </c>
      <c r="E298" s="65" t="s">
        <v>151</v>
      </c>
      <c r="F298" s="66" t="str">
        <f t="shared" si="6"/>
        <v>ETAT DES PAIEMENTS - SEPA - Mobilité bancaire  -&gt; A TRAITER</v>
      </c>
    </row>
    <row r="299" spans="1:6" x14ac:dyDescent="0.25">
      <c r="A299" s="63" t="s">
        <v>310</v>
      </c>
      <c r="B299" s="63" t="s">
        <v>328</v>
      </c>
      <c r="C299" s="63" t="str">
        <f t="shared" si="5"/>
        <v>GRAND DIALOGUE - Agents en absences COM de plus de 300 jours</v>
      </c>
      <c r="D299" s="64" t="s">
        <v>138</v>
      </c>
      <c r="E299" s="65" t="s">
        <v>151</v>
      </c>
      <c r="F299" s="66" t="str">
        <f t="shared" si="6"/>
        <v>GRAND DIALOGUE - Agents en absences COM de plus de 300 jours  -&gt; A TRAITER</v>
      </c>
    </row>
    <row r="300" spans="1:6" x14ac:dyDescent="0.25">
      <c r="A300" s="63" t="s">
        <v>348</v>
      </c>
      <c r="B300" s="63" t="s">
        <v>349</v>
      </c>
      <c r="C300" s="63" t="str">
        <f t="shared" si="5"/>
        <v>I-GEODE - STOCA - Stockage des CA</v>
      </c>
      <c r="D300" s="64" t="s">
        <v>138</v>
      </c>
      <c r="E300" s="65" t="s">
        <v>149</v>
      </c>
      <c r="F300" s="66" t="str">
        <f t="shared" si="6"/>
        <v>I-GEODE - STOCA - Stockage des CA  -&gt; A CONSULTER</v>
      </c>
    </row>
    <row r="301" spans="1:6" x14ac:dyDescent="0.25">
      <c r="A301" s="62" t="s">
        <v>350</v>
      </c>
      <c r="B301" s="63" t="s">
        <v>351</v>
      </c>
      <c r="C301" s="63" t="str">
        <f t="shared" si="5"/>
        <v>INDEMNITE EXCEPTIONNELLE - Indemnités excpetionnelles annuelle</v>
      </c>
      <c r="D301" s="64" t="s">
        <v>138</v>
      </c>
      <c r="E301" s="65" t="s">
        <v>151</v>
      </c>
      <c r="F301" s="66" t="str">
        <f t="shared" si="6"/>
        <v>INDEMNITE EXCEPTIONNELLE - Indemnités excpetionnelles annuelle  -&gt; A TRAITER</v>
      </c>
    </row>
    <row r="302" spans="1:6" x14ac:dyDescent="0.25">
      <c r="A302" s="62" t="s">
        <v>350</v>
      </c>
      <c r="B302" s="63" t="s">
        <v>352</v>
      </c>
      <c r="C302" s="63" t="str">
        <f t="shared" si="5"/>
        <v>INDEMNITE EXCEPTIONNELLE - Simulation indéminités exceptionnelles</v>
      </c>
      <c r="D302" s="64" t="s">
        <v>138</v>
      </c>
      <c r="E302" s="65" t="s">
        <v>151</v>
      </c>
      <c r="F302" s="66" t="str">
        <f t="shared" si="6"/>
        <v>INDEMNITE EXCEPTIONNELLE - Simulation indéminités exceptionnelles  -&gt; A TRAITER</v>
      </c>
    </row>
    <row r="303" spans="1:6" x14ac:dyDescent="0.25">
      <c r="A303" s="62" t="s">
        <v>312</v>
      </c>
      <c r="B303" s="63" t="s">
        <v>353</v>
      </c>
      <c r="C303" s="63" t="str">
        <f t="shared" si="5"/>
        <v>OMAJ PM - OMAJ PM  - PG OMAJ et anomalies</v>
      </c>
      <c r="D303" s="64" t="s">
        <v>138</v>
      </c>
      <c r="E303" s="65" t="s">
        <v>151</v>
      </c>
      <c r="F303" s="66" t="str">
        <f t="shared" si="6"/>
        <v>OMAJ PM - OMAJ PM  - PG OMAJ et anomalies  -&gt; A TRAITER</v>
      </c>
    </row>
    <row r="304" spans="1:6" x14ac:dyDescent="0.25">
      <c r="A304" s="62" t="s">
        <v>320</v>
      </c>
      <c r="B304" s="63" t="s">
        <v>354</v>
      </c>
      <c r="C304" s="63" t="str">
        <f t="shared" si="5"/>
        <v>PACTOLE - Mobilité bancaire Pactole</v>
      </c>
      <c r="D304" s="64" t="s">
        <v>138</v>
      </c>
      <c r="E304" s="65" t="s">
        <v>151</v>
      </c>
      <c r="F304" s="66" t="str">
        <f t="shared" si="6"/>
        <v>PACTOLE - Mobilité bancaire Pactole  -&gt; A TRAITER</v>
      </c>
    </row>
    <row r="305" spans="1:6" x14ac:dyDescent="0.25">
      <c r="A305" s="62" t="s">
        <v>320</v>
      </c>
      <c r="B305" s="63" t="s">
        <v>355</v>
      </c>
      <c r="C305" s="63" t="str">
        <f t="shared" si="5"/>
        <v>PACTOLE - Signalisations bancaires Pactole</v>
      </c>
      <c r="D305" s="64" t="s">
        <v>138</v>
      </c>
      <c r="E305" s="65" t="s">
        <v>151</v>
      </c>
      <c r="F305" s="66" t="str">
        <f t="shared" si="6"/>
        <v>PACTOLE - Signalisations bancaires Pactole  -&gt; A TRAITER</v>
      </c>
    </row>
    <row r="306" spans="1:6" x14ac:dyDescent="0.25">
      <c r="A306" s="62" t="s">
        <v>356</v>
      </c>
      <c r="B306" s="63" t="s">
        <v>357</v>
      </c>
      <c r="C306" s="63" t="str">
        <f t="shared" si="5"/>
        <v>RAPPORTS DSN MENSUELS - ANO - Corrections et forçages réalisés</v>
      </c>
      <c r="D306" s="64" t="s">
        <v>138</v>
      </c>
      <c r="E306" s="65" t="s">
        <v>151</v>
      </c>
      <c r="F306" s="66" t="str">
        <f t="shared" si="6"/>
        <v>RAPPORTS DSN MENSUELS - ANO - Corrections et forçages réalisés  -&gt; A TRAITER</v>
      </c>
    </row>
    <row r="307" spans="1:6" x14ac:dyDescent="0.25">
      <c r="A307" s="62" t="s">
        <v>356</v>
      </c>
      <c r="B307" s="63" t="s">
        <v>358</v>
      </c>
      <c r="C307" s="63" t="str">
        <f t="shared" si="5"/>
        <v>RAPPORTS DSN MENSUELS - ANO - Informations et incidents</v>
      </c>
      <c r="D307" s="64" t="s">
        <v>138</v>
      </c>
      <c r="E307" s="65" t="s">
        <v>151</v>
      </c>
      <c r="F307" s="66" t="str">
        <f t="shared" si="6"/>
        <v>RAPPORTS DSN MENSUELS - ANO - Informations et incidents  -&gt; A TRAITER</v>
      </c>
    </row>
    <row r="308" spans="1:6" x14ac:dyDescent="0.25">
      <c r="A308" s="62" t="s">
        <v>359</v>
      </c>
      <c r="B308" s="63" t="s">
        <v>360</v>
      </c>
      <c r="C308" s="63" t="str">
        <f t="shared" si="5"/>
        <v>RAPPROCHEMENT SUBROGATION - Salariés : Subrogation - Rejet de rapprochement</v>
      </c>
      <c r="D308" s="64" t="s">
        <v>138</v>
      </c>
      <c r="E308" s="65" t="s">
        <v>151</v>
      </c>
      <c r="F308" s="66" t="str">
        <f t="shared" si="6"/>
        <v>RAPPROCHEMENT SUBROGATION - Salariés : Subrogation - Rejet de rapprochement  -&gt; A TRAITER</v>
      </c>
    </row>
    <row r="309" spans="1:6" x14ac:dyDescent="0.25">
      <c r="A309" s="63" t="s">
        <v>361</v>
      </c>
      <c r="B309" s="63" t="s">
        <v>362</v>
      </c>
      <c r="C309" s="63" t="str">
        <f t="shared" si="5"/>
        <v>REORIENTATION - Liste des réorientations en cours</v>
      </c>
      <c r="D309" s="64" t="s">
        <v>138</v>
      </c>
      <c r="E309" s="65" t="s">
        <v>149</v>
      </c>
      <c r="F309" s="66" t="str">
        <f t="shared" si="6"/>
        <v>REORIENTATION - Liste des réorientations en cours  -&gt; A CONSULTER</v>
      </c>
    </row>
    <row r="310" spans="1:6" x14ac:dyDescent="0.25">
      <c r="A310" s="63" t="s">
        <v>363</v>
      </c>
      <c r="B310" s="63" t="s">
        <v>364</v>
      </c>
      <c r="C310" s="63" t="str">
        <f t="shared" si="5"/>
        <v>STATUT DE FONCTION - STAFON CSRH Cadres sup</v>
      </c>
      <c r="D310" s="64" t="s">
        <v>138</v>
      </c>
      <c r="E310" s="65" t="s">
        <v>149</v>
      </c>
      <c r="F310" s="66" t="str">
        <f t="shared" si="6"/>
        <v>STATUT DE FONCTION - STAFON CSRH Cadres sup  -&gt; A CONSULTER</v>
      </c>
    </row>
    <row r="311" spans="1:6" x14ac:dyDescent="0.25">
      <c r="A311" s="62" t="s">
        <v>365</v>
      </c>
      <c r="B311" s="63" t="s">
        <v>366</v>
      </c>
      <c r="C311" s="63" t="str">
        <f t="shared" si="5"/>
        <v>SUIVI DE LA SUBROGATION - Agents en absences COM de plus de 180 jours</v>
      </c>
      <c r="D311" s="64" t="s">
        <v>138</v>
      </c>
      <c r="E311" s="65" t="s">
        <v>151</v>
      </c>
      <c r="F311" s="66" t="str">
        <f t="shared" si="6"/>
        <v>SUIVI DE LA SUBROGATION - Agents en absences COM de plus de 180 jours  -&gt; A TRAITER</v>
      </c>
    </row>
    <row r="312" spans="1:6" x14ac:dyDescent="0.25">
      <c r="A312" s="62" t="s">
        <v>365</v>
      </c>
      <c r="B312" s="63" t="s">
        <v>367</v>
      </c>
      <c r="C312" s="63" t="str">
        <f t="shared" si="5"/>
        <v>SUIVI DE LA SUBROGATION - Exclusion des bénéficiaires</v>
      </c>
      <c r="D312" s="64" t="s">
        <v>138</v>
      </c>
      <c r="E312" s="65" t="s">
        <v>151</v>
      </c>
      <c r="F312" s="66" t="str">
        <f t="shared" si="6"/>
        <v>SUIVI DE LA SUBROGATION - Exclusion des bénéficiaires  -&gt; A TRAITER</v>
      </c>
    </row>
    <row r="313" spans="1:6" x14ac:dyDescent="0.25">
      <c r="A313" s="62" t="s">
        <v>365</v>
      </c>
      <c r="B313" s="63" t="s">
        <v>368</v>
      </c>
      <c r="C313" s="63" t="str">
        <f t="shared" si="5"/>
        <v>SUIVI DE LA SUBROGATION - Saisie manuelle des IJ remboursées</v>
      </c>
      <c r="D313" s="64" t="s">
        <v>138</v>
      </c>
      <c r="E313" s="65" t="s">
        <v>151</v>
      </c>
      <c r="F313" s="66" t="str">
        <f t="shared" si="6"/>
        <v>SUIVI DE LA SUBROGATION - Saisie manuelle des IJ remboursées  -&gt; A TRAITER</v>
      </c>
    </row>
    <row r="314" spans="1:6" x14ac:dyDescent="0.25">
      <c r="A314" s="62" t="s">
        <v>365</v>
      </c>
      <c r="B314" s="63" t="s">
        <v>369</v>
      </c>
      <c r="C314" s="63" t="str">
        <f t="shared" si="5"/>
        <v>SUIVI DE LA SUBROGATION - Salariés : Suivi de la Subrogation</v>
      </c>
      <c r="D314" s="64" t="s">
        <v>138</v>
      </c>
      <c r="E314" s="65" t="s">
        <v>151</v>
      </c>
      <c r="F314" s="66" t="str">
        <f t="shared" si="6"/>
        <v>SUIVI DE LA SUBROGATION - Salariés : Suivi de la Subrogation  -&gt; A TRAITER</v>
      </c>
    </row>
    <row r="315" spans="1:6" x14ac:dyDescent="0.25">
      <c r="A315" s="62" t="s">
        <v>370</v>
      </c>
      <c r="B315" s="63" t="s">
        <v>371</v>
      </c>
      <c r="C315" s="63" t="str">
        <f t="shared" si="5"/>
        <v>SUIVI DES CONTRATS - Etat prévisionnel des sorties</v>
      </c>
      <c r="D315" s="64" t="s">
        <v>138</v>
      </c>
      <c r="E315" s="65" t="s">
        <v>149</v>
      </c>
      <c r="F315" s="66" t="str">
        <f t="shared" si="6"/>
        <v>SUIVI DES CONTRATS - Etat prévisionnel des sorties  -&gt; A CONSULTER</v>
      </c>
    </row>
    <row r="316" spans="1:6" x14ac:dyDescent="0.25">
      <c r="A316" s="62" t="s">
        <v>370</v>
      </c>
      <c r="B316" s="63" t="s">
        <v>372</v>
      </c>
      <c r="C316" s="63" t="str">
        <f t="shared" si="5"/>
        <v>SUIVI DES CONTRATS - Fichier des contrats non signés</v>
      </c>
      <c r="D316" s="64" t="s">
        <v>138</v>
      </c>
      <c r="E316" s="65" t="s">
        <v>151</v>
      </c>
      <c r="F316" s="66" t="str">
        <f t="shared" si="6"/>
        <v>SUIVI DES CONTRATS - Fichier des contrats non signés  -&gt; A TRAITER</v>
      </c>
    </row>
    <row r="317" spans="1:6" x14ac:dyDescent="0.25">
      <c r="A317" s="62" t="s">
        <v>370</v>
      </c>
      <c r="B317" s="63" t="s">
        <v>373</v>
      </c>
      <c r="C317" s="63" t="str">
        <f t="shared" si="5"/>
        <v>SUIVI DES CONTRATS - Retour DUE</v>
      </c>
      <c r="D317" s="64" t="s">
        <v>138</v>
      </c>
      <c r="E317" s="65" t="s">
        <v>151</v>
      </c>
      <c r="F317" s="66" t="str">
        <f t="shared" si="6"/>
        <v>SUIVI DES CONTRATS - Retour DUE  -&gt; A TRAITER</v>
      </c>
    </row>
    <row r="318" spans="1:6" x14ac:dyDescent="0.25">
      <c r="A318" s="62" t="s">
        <v>370</v>
      </c>
      <c r="B318" s="63" t="s">
        <v>374</v>
      </c>
      <c r="C318" s="63" t="str">
        <f t="shared" si="5"/>
        <v>SUIVI DES CONTRATS - Salariés : Fichier hebdomadaire engagements CDD</v>
      </c>
      <c r="D318" s="64" t="s">
        <v>138</v>
      </c>
      <c r="E318" s="65" t="s">
        <v>149</v>
      </c>
      <c r="F318" s="66" t="str">
        <f t="shared" si="6"/>
        <v>SUIVI DES CONTRATS - Salariés : Fichier hebdomadaire engagements CDD  -&gt; A CONSULTER</v>
      </c>
    </row>
    <row r="319" spans="1:6" x14ac:dyDescent="0.25">
      <c r="A319" s="62" t="s">
        <v>370</v>
      </c>
      <c r="B319" s="63" t="s">
        <v>375</v>
      </c>
      <c r="C319" s="63" t="str">
        <f t="shared" si="5"/>
        <v>SUIVI DES CONTRATS - Salariés : Fichier mensuel engagements CDD</v>
      </c>
      <c r="D319" s="64" t="s">
        <v>138</v>
      </c>
      <c r="E319" s="65" t="s">
        <v>149</v>
      </c>
      <c r="F319" s="66" t="str">
        <f t="shared" si="6"/>
        <v>SUIVI DES CONTRATS - Salariés : Fichier mensuel engagements CDD  -&gt; A CONSULTER</v>
      </c>
    </row>
    <row r="320" spans="1:6" x14ac:dyDescent="0.25">
      <c r="A320" s="62" t="s">
        <v>376</v>
      </c>
      <c r="B320" s="63" t="s">
        <v>377</v>
      </c>
      <c r="C320" s="63" t="str">
        <f t="shared" si="5"/>
        <v>SUIVI DU DISPOSITIF TPAS - Liste des agents en fin de TPAS à M+x</v>
      </c>
      <c r="D320" s="64" t="s">
        <v>138</v>
      </c>
      <c r="E320" s="65" t="s">
        <v>151</v>
      </c>
      <c r="F320" s="66" t="str">
        <f t="shared" si="6"/>
        <v>SUIVI DU DISPOSITIF TPAS - Liste des agents en fin de TPAS à M+x  -&gt; A TRAITER</v>
      </c>
    </row>
    <row r="321" spans="1:6" x14ac:dyDescent="0.25">
      <c r="A321" s="63" t="s">
        <v>378</v>
      </c>
      <c r="B321" s="63"/>
      <c r="C321" s="63"/>
      <c r="D321" s="64" t="s">
        <v>138</v>
      </c>
      <c r="E321" s="65" t="s">
        <v>151</v>
      </c>
      <c r="F321" s="66" t="str">
        <f>A321&amp;" "&amp;D321&amp;" "&amp;E321</f>
        <v>GEODE  -&gt; A TRAITER</v>
      </c>
    </row>
    <row r="322" spans="1:6" x14ac:dyDescent="0.25">
      <c r="A322" s="62" t="s">
        <v>379</v>
      </c>
      <c r="B322" s="63"/>
      <c r="C322" s="63"/>
      <c r="D322" s="64" t="s">
        <v>138</v>
      </c>
      <c r="E322" s="65" t="s">
        <v>151</v>
      </c>
      <c r="F322" s="66" t="str">
        <f t="shared" ref="F322:F337" si="7">A322&amp;" "&amp;D322&amp;" "&amp;E322</f>
        <v>ANO ABS SIGP  -&gt; A TRAITER</v>
      </c>
    </row>
    <row r="323" spans="1:6" x14ac:dyDescent="0.25">
      <c r="A323" s="62" t="s">
        <v>380</v>
      </c>
      <c r="B323" s="63"/>
      <c r="C323" s="63"/>
      <c r="D323" s="64" t="s">
        <v>138</v>
      </c>
      <c r="E323" s="65" t="s">
        <v>151</v>
      </c>
      <c r="F323" s="66" t="str">
        <f t="shared" si="7"/>
        <v>EMADOTRF / C  -&gt; A TRAITER</v>
      </c>
    </row>
    <row r="324" spans="1:6" x14ac:dyDescent="0.25">
      <c r="A324" s="63" t="s">
        <v>381</v>
      </c>
      <c r="B324" s="63"/>
      <c r="C324" s="63"/>
      <c r="D324" s="64" t="s">
        <v>138</v>
      </c>
      <c r="E324" s="65" t="s">
        <v>151</v>
      </c>
      <c r="F324" s="66" t="str">
        <f t="shared" si="7"/>
        <v>ECHEANC  -&gt; A TRAITER</v>
      </c>
    </row>
    <row r="325" spans="1:6" x14ac:dyDescent="0.25">
      <c r="A325" s="62" t="s">
        <v>382</v>
      </c>
      <c r="B325" s="63"/>
      <c r="C325" s="63"/>
      <c r="D325" s="64" t="s">
        <v>138</v>
      </c>
      <c r="E325" s="65" t="s">
        <v>151</v>
      </c>
      <c r="F325" s="66" t="str">
        <f t="shared" si="7"/>
        <v>JOURNAL PM   -&gt; A TRAITER</v>
      </c>
    </row>
    <row r="326" spans="1:6" x14ac:dyDescent="0.25">
      <c r="A326" s="62" t="s">
        <v>383</v>
      </c>
      <c r="B326" s="63"/>
      <c r="C326" s="63"/>
      <c r="D326" s="64" t="s">
        <v>138</v>
      </c>
      <c r="E326" s="65" t="s">
        <v>151</v>
      </c>
      <c r="F326" s="66" t="str">
        <f t="shared" si="7"/>
        <v>JOURNAL IEV  -&gt; A TRAITER</v>
      </c>
    </row>
    <row r="327" spans="1:6" x14ac:dyDescent="0.25">
      <c r="A327" s="63" t="s">
        <v>384</v>
      </c>
      <c r="B327" s="63"/>
      <c r="C327" s="63"/>
      <c r="D327" s="64" t="s">
        <v>138</v>
      </c>
      <c r="E327" s="65" t="s">
        <v>151</v>
      </c>
      <c r="F327" s="66" t="str">
        <f t="shared" si="7"/>
        <v>BALAYAGE  -&gt; A TRAITER</v>
      </c>
    </row>
    <row r="328" spans="1:6" x14ac:dyDescent="0.25">
      <c r="A328" s="63" t="s">
        <v>385</v>
      </c>
      <c r="B328" s="63"/>
      <c r="C328" s="63"/>
      <c r="D328" s="64" t="s">
        <v>138</v>
      </c>
      <c r="E328" s="65" t="s">
        <v>151</v>
      </c>
      <c r="F328" s="66" t="str">
        <f t="shared" si="7"/>
        <v>JOURNEE  -&gt; A TRAITER</v>
      </c>
    </row>
    <row r="329" spans="1:6" x14ac:dyDescent="0.25">
      <c r="A329" s="63" t="s">
        <v>386</v>
      </c>
      <c r="B329" s="63"/>
      <c r="C329" s="63"/>
      <c r="D329" s="64" t="s">
        <v>138</v>
      </c>
      <c r="E329" s="65" t="s">
        <v>151</v>
      </c>
      <c r="F329" s="66" t="str">
        <f t="shared" si="7"/>
        <v>REJETS FLUX I-GEODE  -&gt; A TRAITER</v>
      </c>
    </row>
    <row r="330" spans="1:6" x14ac:dyDescent="0.25">
      <c r="A330" s="62" t="s">
        <v>387</v>
      </c>
      <c r="B330" s="63"/>
      <c r="C330" s="63"/>
      <c r="D330" s="64" t="s">
        <v>138</v>
      </c>
      <c r="E330" s="65" t="s">
        <v>151</v>
      </c>
      <c r="F330" s="66" t="str">
        <f t="shared" si="7"/>
        <v>FORMATIONS CLOSES  -&gt; A TRAITER</v>
      </c>
    </row>
    <row r="331" spans="1:6" x14ac:dyDescent="0.25">
      <c r="A331" s="62" t="s">
        <v>388</v>
      </c>
      <c r="B331" s="63"/>
      <c r="C331" s="63"/>
      <c r="D331" s="64" t="s">
        <v>138</v>
      </c>
      <c r="E331" s="65" t="s">
        <v>151</v>
      </c>
      <c r="F331" s="66" t="str">
        <f t="shared" si="7"/>
        <v>AED - TEMOINS VIDES  -&gt; A TRAITER</v>
      </c>
    </row>
    <row r="332" spans="1:6" x14ac:dyDescent="0.25">
      <c r="A332" s="62" t="s">
        <v>389</v>
      </c>
      <c r="B332" s="63"/>
      <c r="C332" s="63"/>
      <c r="D332" s="64" t="s">
        <v>138</v>
      </c>
      <c r="E332" s="65" t="s">
        <v>151</v>
      </c>
      <c r="F332" s="66" t="str">
        <f t="shared" si="7"/>
        <v>AGENTS SANS MODE DE PAIEMENT  -&gt; A TRAITER</v>
      </c>
    </row>
    <row r="333" spans="1:6" x14ac:dyDescent="0.25">
      <c r="A333" s="62" t="s">
        <v>390</v>
      </c>
      <c r="B333" s="63"/>
      <c r="C333" s="63"/>
      <c r="D333" s="64" t="s">
        <v>138</v>
      </c>
      <c r="E333" s="65" t="s">
        <v>151</v>
      </c>
      <c r="F333" s="66" t="str">
        <f t="shared" si="7"/>
        <v>CONTRATS SANS DOSSIER DE PAIE  -&gt; A TRAITER</v>
      </c>
    </row>
    <row r="334" spans="1:6" x14ac:dyDescent="0.25">
      <c r="A334" s="62" t="s">
        <v>391</v>
      </c>
      <c r="B334" s="63"/>
      <c r="C334" s="63"/>
      <c r="D334" s="64" t="s">
        <v>138</v>
      </c>
      <c r="E334" s="65" t="s">
        <v>151</v>
      </c>
      <c r="F334" s="66" t="str">
        <f t="shared" si="7"/>
        <v>ENFANT DE PLUS DE 20 ANS  -&gt; A TRAITER</v>
      </c>
    </row>
    <row r="335" spans="1:6" x14ac:dyDescent="0.25">
      <c r="A335" s="62" t="s">
        <v>392</v>
      </c>
      <c r="B335" s="63"/>
      <c r="C335" s="63"/>
      <c r="D335" s="64" t="s">
        <v>138</v>
      </c>
      <c r="E335" s="65" t="s">
        <v>151</v>
      </c>
      <c r="F335" s="66" t="str">
        <f t="shared" si="7"/>
        <v>EVI NON APURES APRES PAIE  -&gt; A TRAITER</v>
      </c>
    </row>
    <row r="336" spans="1:6" x14ac:dyDescent="0.25">
      <c r="A336" s="62" t="s">
        <v>393</v>
      </c>
      <c r="D336" s="64" t="s">
        <v>138</v>
      </c>
      <c r="E336" s="65" t="s">
        <v>394</v>
      </c>
      <c r="F336" s="66" t="str">
        <f t="shared" si="7"/>
        <v>WEG201 - PAIEMENT DES IJ NON SUBROGEES  -&gt; A TRAITER (SUBROGATION)</v>
      </c>
    </row>
    <row r="337" spans="1:6" x14ac:dyDescent="0.25">
      <c r="A337" s="62" t="s">
        <v>395</v>
      </c>
      <c r="D337" s="64" t="s">
        <v>138</v>
      </c>
      <c r="E337" s="65" t="s">
        <v>149</v>
      </c>
      <c r="F337" s="66" t="str">
        <f t="shared" si="7"/>
        <v>Bulletin de paie - Paie de début de mois  -&gt; A CONSULTER</v>
      </c>
    </row>
  </sheetData>
  <mergeCells count="19">
    <mergeCell ref="S6:T6"/>
    <mergeCell ref="O1:U1"/>
    <mergeCell ref="O2:U3"/>
    <mergeCell ref="AF2:AJ2"/>
    <mergeCell ref="AF3:AJ3"/>
    <mergeCell ref="S5:U5"/>
    <mergeCell ref="S7:U7"/>
    <mergeCell ref="S8:U8"/>
    <mergeCell ref="Q9:R9"/>
    <mergeCell ref="S9:U9"/>
    <mergeCell ref="O11:P11"/>
    <mergeCell ref="Q11:S11"/>
    <mergeCell ref="P24:S25"/>
    <mergeCell ref="O12:P12"/>
    <mergeCell ref="Q12:S12"/>
    <mergeCell ref="P14:T17"/>
    <mergeCell ref="U14:U17"/>
    <mergeCell ref="P18:T18"/>
    <mergeCell ref="M22:U2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r:id="rId5">
            <anchor moveWithCells="1">
              <from>
                <xdr:col>12</xdr:col>
                <xdr:colOff>123825</xdr:colOff>
                <xdr:row>23</xdr:row>
                <xdr:rowOff>104775</xdr:rowOff>
              </from>
              <to>
                <xdr:col>15</xdr:col>
                <xdr:colOff>152400</xdr:colOff>
                <xdr:row>24</xdr:row>
                <xdr:rowOff>152400</xdr:rowOff>
              </to>
            </anchor>
          </controlPr>
        </control>
      </mc:Choice>
      <mc:Fallback>
        <control shapeId="3073" r:id="rId4" name="TextBox1"/>
      </mc:Fallback>
    </mc:AlternateContent>
    <mc:AlternateContent xmlns:mc="http://schemas.openxmlformats.org/markup-compatibility/2006">
      <mc:Choice Requires="x14">
        <control shapeId="3074" r:id="rId6" name="ListBox1">
          <controlPr defaultSize="0" autoLine="0" r:id="rId7">
            <anchor moveWithCells="1">
              <from>
                <xdr:col>12</xdr:col>
                <xdr:colOff>123825</xdr:colOff>
                <xdr:row>25</xdr:row>
                <xdr:rowOff>104775</xdr:rowOff>
              </from>
              <to>
                <xdr:col>20</xdr:col>
                <xdr:colOff>762000</xdr:colOff>
                <xdr:row>31</xdr:row>
                <xdr:rowOff>180975</xdr:rowOff>
              </to>
            </anchor>
          </controlPr>
        </control>
      </mc:Choice>
      <mc:Fallback>
        <control shapeId="3074" r:id="rId6" name="List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575FB60B-C75E-4999-8515-17E8F88F9E2C}">
            <x14:iconSet iconSet="3Symbols2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U14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AB185"/>
  <sheetViews>
    <sheetView showGridLines="0" workbookViewId="0"/>
  </sheetViews>
  <sheetFormatPr baseColWidth="10" defaultRowHeight="15" x14ac:dyDescent="0.25"/>
  <cols>
    <col min="2" max="2" width="42.5703125" customWidth="1"/>
    <col min="3" max="3" width="12.42578125" bestFit="1" customWidth="1"/>
    <col min="16" max="16" width="2.7109375" customWidth="1"/>
    <col min="20" max="21" width="14.5703125" customWidth="1"/>
    <col min="22" max="25" width="11.42578125" hidden="1" customWidth="1"/>
    <col min="26" max="27" width="0" hidden="1" customWidth="1"/>
  </cols>
  <sheetData>
    <row r="1" spans="1:28" ht="15.75" thickBot="1" x14ac:dyDescent="0.3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</row>
    <row r="2" spans="1:28" x14ac:dyDescent="0.25">
      <c r="A2" s="67"/>
      <c r="B2" s="159" t="s">
        <v>396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1"/>
      <c r="P2" s="68"/>
      <c r="Q2" s="162" t="s">
        <v>397</v>
      </c>
      <c r="R2" s="163"/>
      <c r="S2" s="163"/>
      <c r="T2" s="164"/>
      <c r="U2" s="69"/>
      <c r="V2" s="67"/>
      <c r="W2" s="67"/>
      <c r="X2" s="70"/>
      <c r="Y2" s="67"/>
      <c r="Z2" s="67"/>
      <c r="AA2" s="67"/>
      <c r="AB2" s="67"/>
    </row>
    <row r="3" spans="1:28" x14ac:dyDescent="0.25">
      <c r="A3" s="67"/>
      <c r="B3" s="171" t="s">
        <v>398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68"/>
      <c r="Q3" s="165"/>
      <c r="R3" s="166"/>
      <c r="S3" s="166"/>
      <c r="T3" s="167"/>
      <c r="U3" s="69"/>
      <c r="V3" s="67"/>
      <c r="W3" s="67"/>
      <c r="X3" s="70"/>
      <c r="Y3" s="67"/>
      <c r="Z3" s="67"/>
      <c r="AA3" s="67"/>
      <c r="AB3" s="67"/>
    </row>
    <row r="4" spans="1:28" ht="15.75" thickBot="1" x14ac:dyDescent="0.3">
      <c r="A4" s="67"/>
      <c r="B4" s="174" t="s">
        <v>399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6"/>
      <c r="P4" s="68"/>
      <c r="Q4" s="168"/>
      <c r="R4" s="169"/>
      <c r="S4" s="169"/>
      <c r="T4" s="170"/>
      <c r="U4" s="69"/>
      <c r="V4" s="67"/>
      <c r="W4" s="67"/>
      <c r="X4" s="67"/>
      <c r="Y4" s="67"/>
      <c r="Z4" s="67"/>
      <c r="AA4" s="67"/>
      <c r="AB4" s="67"/>
    </row>
    <row r="5" spans="1:28" x14ac:dyDescent="0.2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</row>
    <row r="6" spans="1:28" ht="15.75" thickBot="1" x14ac:dyDescent="0.3">
      <c r="A6" s="67"/>
      <c r="B6" s="71" t="s">
        <v>400</v>
      </c>
      <c r="C6" s="71" t="s">
        <v>401</v>
      </c>
      <c r="D6" s="71" t="s">
        <v>402</v>
      </c>
      <c r="E6" s="71" t="s">
        <v>403</v>
      </c>
      <c r="F6" s="71" t="s">
        <v>404</v>
      </c>
      <c r="G6" s="71" t="s">
        <v>405</v>
      </c>
      <c r="H6" s="71" t="s">
        <v>406</v>
      </c>
      <c r="I6" s="71" t="s">
        <v>407</v>
      </c>
      <c r="J6" s="71" t="s">
        <v>408</v>
      </c>
      <c r="K6" s="71" t="s">
        <v>409</v>
      </c>
      <c r="L6" s="71" t="s">
        <v>410</v>
      </c>
      <c r="M6" s="71" t="s">
        <v>411</v>
      </c>
      <c r="N6" s="71" t="s">
        <v>412</v>
      </c>
      <c r="O6" s="71" t="s">
        <v>413</v>
      </c>
      <c r="P6" s="68"/>
      <c r="Q6" s="67"/>
      <c r="R6" s="67"/>
      <c r="S6" s="67"/>
      <c r="T6" s="67"/>
      <c r="U6" s="67"/>
      <c r="V6" s="70">
        <f>D7</f>
        <v>43102</v>
      </c>
      <c r="W6" s="67" t="str">
        <f>$B$7</f>
        <v>Calcul de la paie à la demande (Dernier jour de saisie pour les contrats courts terminés entre le 16 et la fin du mois m-1) - Envoi des moyens de paiement : Envoi du fichier réalisé entre 18h30 et 23h30</v>
      </c>
      <c r="X6" s="70">
        <f>D7</f>
        <v>43102</v>
      </c>
      <c r="Y6" s="67" t="str">
        <f>$B$7</f>
        <v>Calcul de la paie à la demande (Dernier jour de saisie pour les contrats courts terminés entre le 16 et la fin du mois m-1) - Envoi des moyens de paiement : Envoi du fichier réalisé entre 18h30 et 23h30</v>
      </c>
      <c r="Z6" s="70">
        <f>X6-1</f>
        <v>43101</v>
      </c>
      <c r="AA6" s="67" t="s">
        <v>414</v>
      </c>
      <c r="AB6" s="67"/>
    </row>
    <row r="7" spans="1:28" ht="61.5" thickBot="1" x14ac:dyDescent="0.3">
      <c r="A7" s="67"/>
      <c r="B7" s="72" t="s">
        <v>415</v>
      </c>
      <c r="C7" s="73" t="s">
        <v>416</v>
      </c>
      <c r="D7" s="74">
        <v>43102</v>
      </c>
      <c r="E7" s="74">
        <v>43133</v>
      </c>
      <c r="F7" s="74">
        <v>43161</v>
      </c>
      <c r="G7" s="74">
        <v>43193</v>
      </c>
      <c r="H7" s="74">
        <v>43222</v>
      </c>
      <c r="I7" s="74">
        <v>43255</v>
      </c>
      <c r="J7" s="74">
        <v>43283</v>
      </c>
      <c r="K7" s="74">
        <v>43314</v>
      </c>
      <c r="L7" s="74">
        <v>43346</v>
      </c>
      <c r="M7" s="74">
        <v>43375</v>
      </c>
      <c r="N7" s="74">
        <v>43406</v>
      </c>
      <c r="O7" s="75">
        <v>43437</v>
      </c>
      <c r="P7" s="76"/>
      <c r="Q7" s="156" t="s">
        <v>417</v>
      </c>
      <c r="R7" s="157"/>
      <c r="S7" s="157"/>
      <c r="T7" s="158"/>
      <c r="U7" s="77"/>
      <c r="V7" s="70">
        <f t="shared" ref="V7:V20" si="0">D8</f>
        <v>43103</v>
      </c>
      <c r="W7" s="67" t="str">
        <f>$B$8</f>
        <v>Envoi des moyens de paiement avant 6h30 - Feu vert de paie + APC11</v>
      </c>
      <c r="X7" s="70">
        <f>E7</f>
        <v>43133</v>
      </c>
      <c r="Y7" s="67" t="str">
        <f t="shared" ref="Y7:Y17" si="1">$B$7</f>
        <v>Calcul de la paie à la demande (Dernier jour de saisie pour les contrats courts terminés entre le 16 et la fin du mois m-1) - Envoi des moyens de paiement : Envoi du fichier réalisé entre 18h30 et 23h30</v>
      </c>
      <c r="Z7" s="70">
        <f t="shared" ref="Z7:Z17" si="2">X7-1</f>
        <v>43132</v>
      </c>
      <c r="AA7" s="67" t="s">
        <v>414</v>
      </c>
      <c r="AB7" s="67"/>
    </row>
    <row r="8" spans="1:28" ht="24" x14ac:dyDescent="0.25">
      <c r="A8" s="67"/>
      <c r="B8" s="78" t="s">
        <v>418</v>
      </c>
      <c r="C8" s="79" t="s">
        <v>419</v>
      </c>
      <c r="D8" s="80">
        <v>43103</v>
      </c>
      <c r="E8" s="80">
        <v>43136</v>
      </c>
      <c r="F8" s="80">
        <v>43164</v>
      </c>
      <c r="G8" s="80">
        <v>43194</v>
      </c>
      <c r="H8" s="80">
        <v>43223</v>
      </c>
      <c r="I8" s="80">
        <v>43256</v>
      </c>
      <c r="J8" s="80">
        <v>43284</v>
      </c>
      <c r="K8" s="80">
        <v>43315</v>
      </c>
      <c r="L8" s="80">
        <v>43347</v>
      </c>
      <c r="M8" s="80">
        <v>43376</v>
      </c>
      <c r="N8" s="80">
        <v>43409</v>
      </c>
      <c r="O8" s="81">
        <v>43438</v>
      </c>
      <c r="P8" s="82"/>
      <c r="Q8" s="67"/>
      <c r="R8" s="67"/>
      <c r="S8" s="67"/>
      <c r="T8" s="67"/>
      <c r="U8" s="67"/>
      <c r="V8" s="70">
        <f t="shared" si="0"/>
        <v>43105</v>
      </c>
      <c r="W8" s="67" t="str">
        <f>$B$9</f>
        <v>Date de crédit des comptes  (paie à la demande)</v>
      </c>
      <c r="X8" s="70">
        <f>F7</f>
        <v>43161</v>
      </c>
      <c r="Y8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8" s="70">
        <f t="shared" si="2"/>
        <v>43160</v>
      </c>
      <c r="AA8" s="67" t="s">
        <v>414</v>
      </c>
      <c r="AB8" s="67"/>
    </row>
    <row r="9" spans="1:28" ht="15.75" thickBot="1" x14ac:dyDescent="0.3">
      <c r="A9" s="67"/>
      <c r="B9" s="83" t="s">
        <v>420</v>
      </c>
      <c r="C9" s="84" t="s">
        <v>421</v>
      </c>
      <c r="D9" s="85">
        <v>43105</v>
      </c>
      <c r="E9" s="86">
        <v>43138</v>
      </c>
      <c r="F9" s="86">
        <v>43166</v>
      </c>
      <c r="G9" s="86">
        <v>43196</v>
      </c>
      <c r="H9" s="86">
        <v>43227</v>
      </c>
      <c r="I9" s="86">
        <v>43258</v>
      </c>
      <c r="J9" s="86">
        <v>43286</v>
      </c>
      <c r="K9" s="87">
        <v>43319</v>
      </c>
      <c r="L9" s="86">
        <v>43349</v>
      </c>
      <c r="M9" s="86">
        <v>43378</v>
      </c>
      <c r="N9" s="86">
        <v>43411</v>
      </c>
      <c r="O9" s="88">
        <v>43440</v>
      </c>
      <c r="P9" s="76"/>
      <c r="Q9" s="67"/>
      <c r="R9" s="67"/>
      <c r="S9" s="67"/>
      <c r="T9" s="67"/>
      <c r="U9" s="67"/>
      <c r="V9" s="70">
        <f t="shared" si="0"/>
        <v>43108</v>
      </c>
      <c r="W9" s="67" t="str">
        <f>$B$10</f>
        <v>Paie de sécurisation</v>
      </c>
      <c r="X9" s="70">
        <f>G7</f>
        <v>43193</v>
      </c>
      <c r="Y9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9" s="70">
        <f t="shared" si="2"/>
        <v>43192</v>
      </c>
      <c r="AA9" s="67" t="s">
        <v>414</v>
      </c>
      <c r="AB9" s="67"/>
    </row>
    <row r="10" spans="1:28" ht="15.75" thickTop="1" x14ac:dyDescent="0.25">
      <c r="A10" s="67"/>
      <c r="B10" s="89" t="s">
        <v>422</v>
      </c>
      <c r="C10" s="90" t="s">
        <v>423</v>
      </c>
      <c r="D10" s="91">
        <v>43108</v>
      </c>
      <c r="E10" s="91">
        <v>43138</v>
      </c>
      <c r="F10" s="91">
        <v>43166</v>
      </c>
      <c r="G10" s="91">
        <v>43199</v>
      </c>
      <c r="H10" s="91">
        <v>43223</v>
      </c>
      <c r="I10" s="91">
        <v>43258</v>
      </c>
      <c r="J10" s="91">
        <v>43290</v>
      </c>
      <c r="K10" s="91">
        <v>43318</v>
      </c>
      <c r="L10" s="91">
        <v>43350</v>
      </c>
      <c r="M10" s="91">
        <v>43381</v>
      </c>
      <c r="N10" s="91">
        <v>43411</v>
      </c>
      <c r="O10" s="92">
        <v>43441</v>
      </c>
      <c r="P10" s="76"/>
      <c r="Q10" s="67"/>
      <c r="R10" s="67"/>
      <c r="S10" s="67"/>
      <c r="T10" s="67"/>
      <c r="U10" s="67"/>
      <c r="V10" s="70" t="str">
        <f t="shared" si="0"/>
        <v>08/01/2018</v>
      </c>
      <c r="W10" s="67" t="str">
        <f>$B$11</f>
        <v>Production des IEV pour PACTOLE</v>
      </c>
      <c r="X10" s="70">
        <f>H7</f>
        <v>43222</v>
      </c>
      <c r="Y10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0" s="70">
        <f t="shared" si="2"/>
        <v>43221</v>
      </c>
      <c r="AA10" s="67" t="s">
        <v>414</v>
      </c>
      <c r="AB10" s="67"/>
    </row>
    <row r="11" spans="1:28" x14ac:dyDescent="0.25">
      <c r="A11" s="67"/>
      <c r="B11" s="93" t="s">
        <v>424</v>
      </c>
      <c r="C11" s="94" t="s">
        <v>423</v>
      </c>
      <c r="D11" s="95" t="s">
        <v>425</v>
      </c>
      <c r="E11" s="95" t="s">
        <v>426</v>
      </c>
      <c r="F11" s="95" t="s">
        <v>427</v>
      </c>
      <c r="G11" s="95" t="s">
        <v>428</v>
      </c>
      <c r="H11" s="95" t="s">
        <v>429</v>
      </c>
      <c r="I11" s="95" t="s">
        <v>430</v>
      </c>
      <c r="J11" s="95" t="s">
        <v>431</v>
      </c>
      <c r="K11" s="95" t="s">
        <v>432</v>
      </c>
      <c r="L11" s="95" t="s">
        <v>433</v>
      </c>
      <c r="M11" s="95" t="s">
        <v>434</v>
      </c>
      <c r="N11" s="95" t="s">
        <v>435</v>
      </c>
      <c r="O11" s="96" t="s">
        <v>436</v>
      </c>
      <c r="P11" s="67"/>
      <c r="Q11" s="67"/>
      <c r="R11" s="67"/>
      <c r="S11" s="67"/>
      <c r="T11" s="67"/>
      <c r="U11" s="67"/>
      <c r="V11" s="70" t="str">
        <f t="shared" si="0"/>
        <v>08/01/2018</v>
      </c>
      <c r="W11" s="67" t="str">
        <f>$B$12</f>
        <v xml:space="preserve">Géode IEV </v>
      </c>
      <c r="X11" s="70">
        <f>I7</f>
        <v>43255</v>
      </c>
      <c r="Y11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1" s="70">
        <f t="shared" si="2"/>
        <v>43254</v>
      </c>
      <c r="AA11" s="67" t="s">
        <v>414</v>
      </c>
      <c r="AB11" s="67"/>
    </row>
    <row r="12" spans="1:28" x14ac:dyDescent="0.25">
      <c r="A12" s="67"/>
      <c r="B12" s="97" t="s">
        <v>437</v>
      </c>
      <c r="C12" s="98" t="s">
        <v>423</v>
      </c>
      <c r="D12" s="95" t="s">
        <v>425</v>
      </c>
      <c r="E12" s="95" t="s">
        <v>426</v>
      </c>
      <c r="F12" s="95" t="s">
        <v>427</v>
      </c>
      <c r="G12" s="95" t="s">
        <v>428</v>
      </c>
      <c r="H12" s="95" t="s">
        <v>429</v>
      </c>
      <c r="I12" s="95" t="s">
        <v>430</v>
      </c>
      <c r="J12" s="95" t="s">
        <v>431</v>
      </c>
      <c r="K12" s="95" t="s">
        <v>432</v>
      </c>
      <c r="L12" s="95" t="s">
        <v>433</v>
      </c>
      <c r="M12" s="95" t="s">
        <v>434</v>
      </c>
      <c r="N12" s="95" t="s">
        <v>435</v>
      </c>
      <c r="O12" s="96" t="s">
        <v>436</v>
      </c>
      <c r="P12" s="67"/>
      <c r="Q12" s="67"/>
      <c r="R12" s="67"/>
      <c r="S12" s="67"/>
      <c r="T12" s="67"/>
      <c r="U12" s="67"/>
      <c r="V12" s="70">
        <f t="shared" si="0"/>
        <v>43109</v>
      </c>
      <c r="W12" s="67" t="str">
        <f>$B$13</f>
        <v>Envoi du flux SIGP-IEV vers Pactole à 6h00 au plus tard (le traitement SIGP passe en J-9 au soir)</v>
      </c>
      <c r="X12" s="70">
        <f>J7</f>
        <v>43283</v>
      </c>
      <c r="Y12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2" s="70">
        <f t="shared" si="2"/>
        <v>43282</v>
      </c>
      <c r="AA12" s="67" t="s">
        <v>414</v>
      </c>
      <c r="AB12" s="67"/>
    </row>
    <row r="13" spans="1:28" ht="24" x14ac:dyDescent="0.25">
      <c r="A13" s="67"/>
      <c r="B13" s="93" t="s">
        <v>438</v>
      </c>
      <c r="C13" s="94" t="s">
        <v>439</v>
      </c>
      <c r="D13" s="99">
        <v>43109</v>
      </c>
      <c r="E13" s="99">
        <v>43139</v>
      </c>
      <c r="F13" s="99">
        <v>43167</v>
      </c>
      <c r="G13" s="99">
        <v>43200</v>
      </c>
      <c r="H13" s="99">
        <v>43224</v>
      </c>
      <c r="I13" s="99">
        <v>43259</v>
      </c>
      <c r="J13" s="99">
        <v>43291</v>
      </c>
      <c r="K13" s="99">
        <v>43319</v>
      </c>
      <c r="L13" s="99">
        <v>43353</v>
      </c>
      <c r="M13" s="99">
        <v>43382</v>
      </c>
      <c r="N13" s="99">
        <v>43412</v>
      </c>
      <c r="O13" s="100">
        <v>43444</v>
      </c>
      <c r="P13" s="67"/>
      <c r="Q13" s="67"/>
      <c r="R13" s="67"/>
      <c r="S13" s="67"/>
      <c r="T13" s="67"/>
      <c r="U13" s="67"/>
      <c r="V13" s="70">
        <f t="shared" si="0"/>
        <v>43110</v>
      </c>
      <c r="W13" s="67" t="str">
        <f>$B$14</f>
        <v>Paie normale</v>
      </c>
      <c r="X13" s="70">
        <f>K7</f>
        <v>43314</v>
      </c>
      <c r="Y13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3" s="70">
        <f t="shared" si="2"/>
        <v>43313</v>
      </c>
      <c r="AA13" s="67" t="s">
        <v>414</v>
      </c>
      <c r="AB13" s="67"/>
    </row>
    <row r="14" spans="1:28" x14ac:dyDescent="0.25">
      <c r="A14" s="67"/>
      <c r="B14" s="101" t="s">
        <v>440</v>
      </c>
      <c r="C14" s="102" t="s">
        <v>441</v>
      </c>
      <c r="D14" s="103">
        <v>43110</v>
      </c>
      <c r="E14" s="103">
        <v>43140</v>
      </c>
      <c r="F14" s="103">
        <v>43168</v>
      </c>
      <c r="G14" s="103">
        <v>43201</v>
      </c>
      <c r="H14" s="103">
        <v>43227</v>
      </c>
      <c r="I14" s="103">
        <v>43262</v>
      </c>
      <c r="J14" s="103">
        <v>43292</v>
      </c>
      <c r="K14" s="103">
        <v>43320</v>
      </c>
      <c r="L14" s="103">
        <v>43354</v>
      </c>
      <c r="M14" s="103">
        <v>43383</v>
      </c>
      <c r="N14" s="103">
        <v>43413</v>
      </c>
      <c r="O14" s="104">
        <v>43445</v>
      </c>
      <c r="P14" s="67"/>
      <c r="Q14" s="67"/>
      <c r="R14" s="67"/>
      <c r="S14" s="67"/>
      <c r="T14" s="67"/>
      <c r="U14" s="67"/>
      <c r="V14" s="70">
        <f t="shared" si="0"/>
        <v>43112</v>
      </c>
      <c r="W14" s="67" t="str">
        <f>$B$15</f>
        <v>Correction 1</v>
      </c>
      <c r="X14" s="70">
        <f>L7</f>
        <v>43346</v>
      </c>
      <c r="Y14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4" s="70">
        <f t="shared" si="2"/>
        <v>43345</v>
      </c>
      <c r="AA14" s="67" t="s">
        <v>414</v>
      </c>
      <c r="AB14" s="67"/>
    </row>
    <row r="15" spans="1:28" ht="15.75" thickBot="1" x14ac:dyDescent="0.3">
      <c r="A15" s="67"/>
      <c r="B15" s="83" t="s">
        <v>442</v>
      </c>
      <c r="C15" s="105" t="s">
        <v>443</v>
      </c>
      <c r="D15" s="103">
        <v>43112</v>
      </c>
      <c r="E15" s="103">
        <v>43144</v>
      </c>
      <c r="F15" s="103">
        <v>43172</v>
      </c>
      <c r="G15" s="103">
        <v>43203</v>
      </c>
      <c r="H15" s="103">
        <v>43231</v>
      </c>
      <c r="I15" s="103">
        <v>43264</v>
      </c>
      <c r="J15" s="103">
        <v>43294</v>
      </c>
      <c r="K15" s="103">
        <v>43322</v>
      </c>
      <c r="L15" s="103">
        <v>43356</v>
      </c>
      <c r="M15" s="103">
        <v>43385</v>
      </c>
      <c r="N15" s="103">
        <v>43417</v>
      </c>
      <c r="O15" s="104">
        <v>43447</v>
      </c>
      <c r="P15" s="67"/>
      <c r="Q15" s="67"/>
      <c r="R15" s="67"/>
      <c r="S15" s="67"/>
      <c r="T15" s="67"/>
      <c r="U15" s="67"/>
      <c r="V15" s="70">
        <f t="shared" si="0"/>
        <v>43115</v>
      </c>
      <c r="W15" s="67" t="str">
        <f>$B$16</f>
        <v>Correction 2</v>
      </c>
      <c r="X15" s="70">
        <f>M7</f>
        <v>43375</v>
      </c>
      <c r="Y15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5" s="70">
        <f t="shared" si="2"/>
        <v>43374</v>
      </c>
      <c r="AA15" s="67" t="s">
        <v>414</v>
      </c>
      <c r="AB15" s="67"/>
    </row>
    <row r="16" spans="1:28" ht="15.75" thickBot="1" x14ac:dyDescent="0.3">
      <c r="A16" s="67"/>
      <c r="B16" s="83" t="s">
        <v>444</v>
      </c>
      <c r="C16" s="105" t="s">
        <v>445</v>
      </c>
      <c r="D16" s="103">
        <v>43115</v>
      </c>
      <c r="E16" s="103">
        <v>43145</v>
      </c>
      <c r="F16" s="103">
        <v>43173</v>
      </c>
      <c r="G16" s="103">
        <v>43206</v>
      </c>
      <c r="H16" s="103">
        <v>43234</v>
      </c>
      <c r="I16" s="103">
        <v>43265</v>
      </c>
      <c r="J16" s="103">
        <v>43297</v>
      </c>
      <c r="K16" s="103">
        <v>43325</v>
      </c>
      <c r="L16" s="103">
        <v>43357</v>
      </c>
      <c r="M16" s="103">
        <v>43388</v>
      </c>
      <c r="N16" s="103">
        <v>43418</v>
      </c>
      <c r="O16" s="104">
        <v>43448</v>
      </c>
      <c r="P16" s="67"/>
      <c r="Q16" s="156" t="s">
        <v>446</v>
      </c>
      <c r="R16" s="157"/>
      <c r="S16" s="157"/>
      <c r="T16" s="158"/>
      <c r="U16" s="77"/>
      <c r="V16" s="70">
        <f t="shared" si="0"/>
        <v>43116</v>
      </c>
      <c r="W16" s="67" t="str">
        <f>$B$17</f>
        <v>Calcul de la paie à la demande (Dernier jour de saisie pour les contrats courts terminés entre le 1 et le 15 du mois m)</v>
      </c>
      <c r="X16" s="70">
        <f>N7</f>
        <v>43406</v>
      </c>
      <c r="Y16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6" s="70">
        <f t="shared" si="2"/>
        <v>43405</v>
      </c>
      <c r="AA16" s="67" t="s">
        <v>414</v>
      </c>
      <c r="AB16" s="67"/>
    </row>
    <row r="17" spans="1:28" ht="36" x14ac:dyDescent="0.25">
      <c r="A17" s="67"/>
      <c r="B17" s="106" t="s">
        <v>447</v>
      </c>
      <c r="C17" s="105" t="s">
        <v>448</v>
      </c>
      <c r="D17" s="103">
        <v>43116</v>
      </c>
      <c r="E17" s="103">
        <v>43146</v>
      </c>
      <c r="F17" s="103">
        <v>43174</v>
      </c>
      <c r="G17" s="103">
        <v>43207</v>
      </c>
      <c r="H17" s="103">
        <v>43235</v>
      </c>
      <c r="I17" s="103">
        <v>43266</v>
      </c>
      <c r="J17" s="103">
        <v>43298</v>
      </c>
      <c r="K17" s="103">
        <v>43326</v>
      </c>
      <c r="L17" s="103">
        <v>43360</v>
      </c>
      <c r="M17" s="103">
        <v>43389</v>
      </c>
      <c r="N17" s="103">
        <v>43419</v>
      </c>
      <c r="O17" s="104">
        <v>43451</v>
      </c>
      <c r="P17" s="67"/>
      <c r="Q17" s="67"/>
      <c r="R17" s="67"/>
      <c r="S17" s="67"/>
      <c r="T17" s="67"/>
      <c r="U17" s="67"/>
      <c r="V17" s="70">
        <f t="shared" si="0"/>
        <v>43116</v>
      </c>
      <c r="W17" s="67" t="str">
        <f>$B$18</f>
        <v>Clôture de paie (arrêts de paie avant fermeture de TP)</v>
      </c>
      <c r="X17" s="70">
        <f>O7</f>
        <v>43437</v>
      </c>
      <c r="Y17" s="67" t="str">
        <f t="shared" si="1"/>
        <v>Calcul de la paie à la demande (Dernier jour de saisie pour les contrats courts terminés entre le 16 et la fin du mois m-1) - Envoi des moyens de paiement : Envoi du fichier réalisé entre 18h30 et 23h30</v>
      </c>
      <c r="Z17" s="70">
        <f t="shared" si="2"/>
        <v>43436</v>
      </c>
      <c r="AA17" s="67" t="s">
        <v>414</v>
      </c>
      <c r="AB17" s="67"/>
    </row>
    <row r="18" spans="1:28" ht="24.75" thickBot="1" x14ac:dyDescent="0.3">
      <c r="A18" s="67"/>
      <c r="B18" s="106" t="s">
        <v>449</v>
      </c>
      <c r="C18" s="105" t="s">
        <v>448</v>
      </c>
      <c r="D18" s="103">
        <v>43116</v>
      </c>
      <c r="E18" s="103">
        <v>43146</v>
      </c>
      <c r="F18" s="103">
        <v>43174</v>
      </c>
      <c r="G18" s="103">
        <v>43207</v>
      </c>
      <c r="H18" s="103">
        <v>43235</v>
      </c>
      <c r="I18" s="103">
        <v>43266</v>
      </c>
      <c r="J18" s="103">
        <v>43298</v>
      </c>
      <c r="K18" s="103">
        <v>43326</v>
      </c>
      <c r="L18" s="103">
        <v>43360</v>
      </c>
      <c r="M18" s="103">
        <v>43389</v>
      </c>
      <c r="N18" s="103">
        <v>43419</v>
      </c>
      <c r="O18" s="104">
        <v>43421</v>
      </c>
      <c r="P18" s="67"/>
      <c r="Q18" s="67"/>
      <c r="R18" s="67"/>
      <c r="S18" s="67"/>
      <c r="T18" s="67"/>
      <c r="U18" s="67"/>
      <c r="V18" s="70">
        <f t="shared" si="0"/>
        <v>43117</v>
      </c>
      <c r="W18" s="67" t="str">
        <f>$B$19</f>
        <v>Envoi des moyens de paiement avant 6h30 - Feu vert de paie + APC11</v>
      </c>
      <c r="X18" s="70">
        <f>D14</f>
        <v>43110</v>
      </c>
      <c r="Y18" s="67" t="str">
        <f>$B$14</f>
        <v>Paie normale</v>
      </c>
      <c r="Z18" s="67"/>
      <c r="AA18" s="67"/>
      <c r="AB18" s="67"/>
    </row>
    <row r="19" spans="1:28" ht="24" x14ac:dyDescent="0.25">
      <c r="A19" s="67"/>
      <c r="B19" s="107" t="s">
        <v>418</v>
      </c>
      <c r="C19" s="108" t="s">
        <v>450</v>
      </c>
      <c r="D19" s="109">
        <v>43117</v>
      </c>
      <c r="E19" s="109">
        <v>43147</v>
      </c>
      <c r="F19" s="109">
        <v>43175</v>
      </c>
      <c r="G19" s="109">
        <v>43208</v>
      </c>
      <c r="H19" s="109">
        <v>43236</v>
      </c>
      <c r="I19" s="109">
        <v>43269</v>
      </c>
      <c r="J19" s="109">
        <v>43299</v>
      </c>
      <c r="K19" s="109">
        <v>43328</v>
      </c>
      <c r="L19" s="109">
        <v>43361</v>
      </c>
      <c r="M19" s="109">
        <v>43390</v>
      </c>
      <c r="N19" s="109">
        <v>43420</v>
      </c>
      <c r="O19" s="109">
        <v>43452</v>
      </c>
      <c r="P19" s="67"/>
      <c r="Q19" s="67"/>
      <c r="R19" s="67"/>
      <c r="S19" s="67"/>
      <c r="T19" s="67"/>
      <c r="U19" s="67"/>
      <c r="V19" s="70">
        <f t="shared" si="0"/>
        <v>43117</v>
      </c>
      <c r="W19" s="67" t="str">
        <f>$B$20</f>
        <v>PRISME - données de paie</v>
      </c>
      <c r="X19" s="70">
        <f>E14</f>
        <v>43140</v>
      </c>
      <c r="Y19" s="67" t="str">
        <f t="shared" ref="Y19:Y29" si="3">$B$14</f>
        <v>Paie normale</v>
      </c>
      <c r="Z19" s="67"/>
      <c r="AA19" s="67"/>
      <c r="AB19" s="67"/>
    </row>
    <row r="20" spans="1:28" x14ac:dyDescent="0.25">
      <c r="A20" s="67"/>
      <c r="B20" s="110" t="s">
        <v>451</v>
      </c>
      <c r="C20" s="111" t="s">
        <v>450</v>
      </c>
      <c r="D20" s="112">
        <v>43117</v>
      </c>
      <c r="E20" s="113">
        <v>43147</v>
      </c>
      <c r="F20" s="113">
        <v>43175</v>
      </c>
      <c r="G20" s="113">
        <v>43208</v>
      </c>
      <c r="H20" s="113">
        <v>43236</v>
      </c>
      <c r="I20" s="113">
        <v>43269</v>
      </c>
      <c r="J20" s="113">
        <v>43299</v>
      </c>
      <c r="K20" s="113">
        <v>43328</v>
      </c>
      <c r="L20" s="113">
        <v>43361</v>
      </c>
      <c r="M20" s="113">
        <v>43390</v>
      </c>
      <c r="N20" s="113">
        <v>43420</v>
      </c>
      <c r="O20" s="113">
        <v>43452</v>
      </c>
      <c r="P20" s="67"/>
      <c r="Q20" s="67"/>
      <c r="R20" s="67"/>
      <c r="S20" s="67"/>
      <c r="T20" s="67"/>
      <c r="U20" s="67"/>
      <c r="V20" s="70">
        <f t="shared" si="0"/>
        <v>43119</v>
      </c>
      <c r="W20" s="67" t="str">
        <f>$B$21</f>
        <v>Date de crédit des comptes (paie du 20)</v>
      </c>
      <c r="X20" s="70">
        <f>F14</f>
        <v>43168</v>
      </c>
      <c r="Y20" s="67" t="str">
        <f t="shared" si="3"/>
        <v>Paie normale</v>
      </c>
      <c r="Z20" s="67"/>
      <c r="AA20" s="67"/>
      <c r="AB20" s="67"/>
    </row>
    <row r="21" spans="1:28" x14ac:dyDescent="0.25">
      <c r="A21" s="67"/>
      <c r="B21" s="114" t="s">
        <v>452</v>
      </c>
      <c r="C21" s="115" t="s">
        <v>453</v>
      </c>
      <c r="D21" s="116">
        <v>43119</v>
      </c>
      <c r="E21" s="116">
        <v>43151</v>
      </c>
      <c r="F21" s="116">
        <v>43179</v>
      </c>
      <c r="G21" s="116">
        <v>43210</v>
      </c>
      <c r="H21" s="116">
        <v>43238</v>
      </c>
      <c r="I21" s="116">
        <v>43271</v>
      </c>
      <c r="J21" s="116">
        <v>43301</v>
      </c>
      <c r="K21" s="116">
        <v>43332</v>
      </c>
      <c r="L21" s="116">
        <v>43363</v>
      </c>
      <c r="M21" s="116">
        <v>43392</v>
      </c>
      <c r="N21" s="116">
        <v>43424</v>
      </c>
      <c r="O21" s="116">
        <v>43453</v>
      </c>
      <c r="P21" s="67"/>
      <c r="Q21" s="67"/>
      <c r="R21" s="67"/>
      <c r="S21" s="67"/>
      <c r="T21" s="67"/>
      <c r="U21" s="67"/>
      <c r="V21" s="70">
        <f t="shared" ref="V21:V35" si="4">E7</f>
        <v>43133</v>
      </c>
      <c r="W21" s="67" t="str">
        <f>$B$7</f>
        <v>Calcul de la paie à la demande (Dernier jour de saisie pour les contrats courts terminés entre le 16 et la fin du mois m-1) - Envoi des moyens de paiement : Envoi du fichier réalisé entre 18h30 et 23h30</v>
      </c>
      <c r="X21" s="70">
        <f>G14</f>
        <v>43201</v>
      </c>
      <c r="Y21" s="67" t="str">
        <f t="shared" si="3"/>
        <v>Paie normale</v>
      </c>
      <c r="Z21" s="67"/>
      <c r="AA21" s="67"/>
      <c r="AB21" s="67"/>
    </row>
    <row r="22" spans="1:28" x14ac:dyDescent="0.25">
      <c r="A22" s="67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117"/>
      <c r="Q22" s="67"/>
      <c r="R22" s="67"/>
      <c r="S22" s="67"/>
      <c r="T22" s="67"/>
      <c r="U22" s="67"/>
      <c r="V22" s="70">
        <f t="shared" si="4"/>
        <v>43136</v>
      </c>
      <c r="W22" s="67" t="str">
        <f>$B$8</f>
        <v>Envoi des moyens de paiement avant 6h30 - Feu vert de paie + APC11</v>
      </c>
      <c r="X22" s="70">
        <f>H14</f>
        <v>43227</v>
      </c>
      <c r="Y22" s="67" t="str">
        <f t="shared" si="3"/>
        <v>Paie normale</v>
      </c>
      <c r="Z22" s="67"/>
      <c r="AA22" s="67"/>
      <c r="AB22" s="67"/>
    </row>
    <row r="23" spans="1:28" x14ac:dyDescent="0.25">
      <c r="A23" s="67"/>
      <c r="B23" s="118" t="s">
        <v>454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117"/>
      <c r="Q23" s="67"/>
      <c r="R23" s="67"/>
      <c r="S23" s="67"/>
      <c r="T23" s="67"/>
      <c r="U23" s="67"/>
      <c r="V23" s="70">
        <f t="shared" si="4"/>
        <v>43138</v>
      </c>
      <c r="W23" s="67" t="str">
        <f>$B$9</f>
        <v>Date de crédit des comptes  (paie à la demande)</v>
      </c>
      <c r="X23" s="70">
        <f>I14</f>
        <v>43262</v>
      </c>
      <c r="Y23" s="67" t="str">
        <f t="shared" si="3"/>
        <v>Paie normale</v>
      </c>
      <c r="Z23" s="67"/>
      <c r="AA23" s="67"/>
      <c r="AB23" s="67"/>
    </row>
    <row r="24" spans="1:28" x14ac:dyDescent="0.25">
      <c r="A24" s="67"/>
      <c r="B24" s="118" t="s">
        <v>455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117"/>
      <c r="Q24" s="67"/>
      <c r="R24" s="67"/>
      <c r="S24" s="67"/>
      <c r="T24" s="67"/>
      <c r="U24" s="67"/>
      <c r="V24" s="70">
        <f t="shared" si="4"/>
        <v>43138</v>
      </c>
      <c r="W24" s="67" t="str">
        <f>$B$10</f>
        <v>Paie de sécurisation</v>
      </c>
      <c r="X24" s="70">
        <f>J14</f>
        <v>43292</v>
      </c>
      <c r="Y24" s="67" t="str">
        <f t="shared" si="3"/>
        <v>Paie normale</v>
      </c>
      <c r="Z24" s="67"/>
      <c r="AA24" s="67"/>
      <c r="AB24" s="67"/>
    </row>
    <row r="25" spans="1:28" x14ac:dyDescent="0.25">
      <c r="A25" s="67"/>
      <c r="B25" s="119" t="s">
        <v>456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117"/>
      <c r="Q25" s="67"/>
      <c r="R25" s="67"/>
      <c r="S25" s="67"/>
      <c r="T25" s="67"/>
      <c r="U25" s="67"/>
      <c r="V25" s="70" t="str">
        <f t="shared" si="4"/>
        <v>07/02/2018</v>
      </c>
      <c r="W25" s="67" t="str">
        <f>$B$11</f>
        <v>Production des IEV pour PACTOLE</v>
      </c>
      <c r="X25" s="70">
        <f>K14</f>
        <v>43320</v>
      </c>
      <c r="Y25" s="67" t="str">
        <f t="shared" si="3"/>
        <v>Paie normale</v>
      </c>
      <c r="Z25" s="67"/>
      <c r="AA25" s="67"/>
      <c r="AB25" s="67"/>
    </row>
    <row r="26" spans="1:28" x14ac:dyDescent="0.25">
      <c r="A26" s="67"/>
      <c r="B26" s="120" t="s">
        <v>457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121"/>
      <c r="Q26" s="67"/>
      <c r="R26" s="67"/>
      <c r="S26" s="67"/>
      <c r="T26" s="67"/>
      <c r="U26" s="67"/>
      <c r="V26" s="70" t="str">
        <f t="shared" si="4"/>
        <v>07/02/2018</v>
      </c>
      <c r="W26" s="67" t="str">
        <f>$B$12</f>
        <v xml:space="preserve">Géode IEV </v>
      </c>
      <c r="X26" s="70">
        <f>L14</f>
        <v>43354</v>
      </c>
      <c r="Y26" s="67" t="str">
        <f t="shared" si="3"/>
        <v>Paie normale</v>
      </c>
      <c r="Z26" s="67"/>
      <c r="AA26" s="67"/>
      <c r="AB26" s="67"/>
    </row>
    <row r="27" spans="1:28" x14ac:dyDescent="0.25">
      <c r="A27" s="67"/>
      <c r="B27" s="122" t="s">
        <v>458</v>
      </c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121"/>
      <c r="Q27" s="67"/>
      <c r="R27" s="67"/>
      <c r="S27" s="67"/>
      <c r="T27" s="67"/>
      <c r="U27" s="67"/>
      <c r="V27" s="70">
        <f t="shared" si="4"/>
        <v>43139</v>
      </c>
      <c r="W27" s="67" t="str">
        <f>$B$13</f>
        <v>Envoi du flux SIGP-IEV vers Pactole à 6h00 au plus tard (le traitement SIGP passe en J-9 au soir)</v>
      </c>
      <c r="X27" s="70">
        <f>M14</f>
        <v>43383</v>
      </c>
      <c r="Y27" s="67" t="str">
        <f t="shared" si="3"/>
        <v>Paie normale</v>
      </c>
      <c r="Z27" s="67"/>
      <c r="AA27" s="67"/>
      <c r="AB27" s="67"/>
    </row>
    <row r="28" spans="1:28" x14ac:dyDescent="0.25">
      <c r="A28" s="67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121"/>
      <c r="Q28" s="67"/>
      <c r="R28" s="67"/>
      <c r="S28" s="67"/>
      <c r="T28" s="67"/>
      <c r="U28" s="67"/>
      <c r="V28" s="70">
        <f t="shared" si="4"/>
        <v>43140</v>
      </c>
      <c r="W28" s="67" t="str">
        <f>$B$14</f>
        <v>Paie normale</v>
      </c>
      <c r="X28" s="70">
        <f>N14</f>
        <v>43413</v>
      </c>
      <c r="Y28" s="67" t="str">
        <f t="shared" si="3"/>
        <v>Paie normale</v>
      </c>
      <c r="Z28" s="67"/>
      <c r="AA28" s="67"/>
      <c r="AB28" s="67"/>
    </row>
    <row r="29" spans="1:28" x14ac:dyDescent="0.2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70">
        <f t="shared" si="4"/>
        <v>43144</v>
      </c>
      <c r="W29" s="67" t="str">
        <f>$B$15</f>
        <v>Correction 1</v>
      </c>
      <c r="X29" s="70">
        <f>O14</f>
        <v>43445</v>
      </c>
      <c r="Y29" s="67" t="str">
        <f t="shared" si="3"/>
        <v>Paie normale</v>
      </c>
      <c r="Z29" s="67"/>
      <c r="AA29" s="67"/>
      <c r="AB29" s="67"/>
    </row>
    <row r="30" spans="1:28" x14ac:dyDescent="0.25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70">
        <f t="shared" si="4"/>
        <v>43145</v>
      </c>
      <c r="W30" s="67" t="str">
        <f>$B$16</f>
        <v>Correction 2</v>
      </c>
      <c r="X30" s="67"/>
      <c r="Y30" s="67"/>
      <c r="Z30" s="67"/>
      <c r="AA30" s="67"/>
      <c r="AB30" s="67"/>
    </row>
    <row r="31" spans="1:28" x14ac:dyDescent="0.25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70">
        <f t="shared" si="4"/>
        <v>43146</v>
      </c>
      <c r="W31" s="67" t="str">
        <f>$B$17</f>
        <v>Calcul de la paie à la demande (Dernier jour de saisie pour les contrats courts terminés entre le 1 et le 15 du mois m)</v>
      </c>
      <c r="X31" s="67"/>
      <c r="Y31" s="67"/>
      <c r="Z31" s="67"/>
      <c r="AA31" s="67"/>
      <c r="AB31" s="67"/>
    </row>
    <row r="32" spans="1:28" x14ac:dyDescent="0.25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70">
        <f t="shared" si="4"/>
        <v>43146</v>
      </c>
      <c r="W32" s="67" t="str">
        <f>$B$18</f>
        <v>Clôture de paie (arrêts de paie avant fermeture de TP)</v>
      </c>
      <c r="X32" s="67"/>
      <c r="Y32" s="67"/>
      <c r="Z32" s="67"/>
      <c r="AA32" s="67"/>
      <c r="AB32" s="67"/>
    </row>
    <row r="33" spans="1:23" x14ac:dyDescent="0.25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123">
        <f t="shared" si="4"/>
        <v>43147</v>
      </c>
      <c r="W33" t="str">
        <f>$B$19</f>
        <v>Envoi des moyens de paiement avant 6h30 - Feu vert de paie + APC11</v>
      </c>
    </row>
    <row r="34" spans="1:23" x14ac:dyDescent="0.25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123">
        <f t="shared" si="4"/>
        <v>43147</v>
      </c>
      <c r="W34" t="str">
        <f>$B$20</f>
        <v>PRISME - données de paie</v>
      </c>
    </row>
    <row r="35" spans="1:23" x14ac:dyDescent="0.25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123">
        <f t="shared" si="4"/>
        <v>43151</v>
      </c>
      <c r="W35" t="str">
        <f>$B$21</f>
        <v>Date de crédit des comptes (paie du 20)</v>
      </c>
    </row>
    <row r="36" spans="1:23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123">
        <f>F7</f>
        <v>43161</v>
      </c>
      <c r="W36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37" spans="1:23" x14ac:dyDescent="0.25">
      <c r="V37" s="123">
        <f t="shared" ref="V37:V50" si="5">F8</f>
        <v>43164</v>
      </c>
      <c r="W37" t="str">
        <f>$B$8</f>
        <v>Envoi des moyens de paiement avant 6h30 - Feu vert de paie + APC11</v>
      </c>
    </row>
    <row r="38" spans="1:23" x14ac:dyDescent="0.25">
      <c r="V38" s="123">
        <f t="shared" si="5"/>
        <v>43166</v>
      </c>
      <c r="W38" t="str">
        <f>$B$9</f>
        <v>Date de crédit des comptes  (paie à la demande)</v>
      </c>
    </row>
    <row r="39" spans="1:23" x14ac:dyDescent="0.25">
      <c r="V39" s="123">
        <f t="shared" si="5"/>
        <v>43166</v>
      </c>
      <c r="W39" t="str">
        <f>$B$10</f>
        <v>Paie de sécurisation</v>
      </c>
    </row>
    <row r="40" spans="1:23" x14ac:dyDescent="0.25">
      <c r="V40" s="123" t="str">
        <f t="shared" si="5"/>
        <v>07/03/2018</v>
      </c>
      <c r="W40" t="str">
        <f>$B$11</f>
        <v>Production des IEV pour PACTOLE</v>
      </c>
    </row>
    <row r="41" spans="1:23" x14ac:dyDescent="0.25">
      <c r="V41" s="123" t="str">
        <f t="shared" si="5"/>
        <v>07/03/2018</v>
      </c>
      <c r="W41" t="str">
        <f>$B$12</f>
        <v xml:space="preserve">Géode IEV </v>
      </c>
    </row>
    <row r="42" spans="1:23" x14ac:dyDescent="0.25">
      <c r="V42" s="123">
        <f t="shared" si="5"/>
        <v>43167</v>
      </c>
      <c r="W42" t="str">
        <f>$B$13</f>
        <v>Envoi du flux SIGP-IEV vers Pactole à 6h00 au plus tard (le traitement SIGP passe en J-9 au soir)</v>
      </c>
    </row>
    <row r="43" spans="1:23" x14ac:dyDescent="0.25">
      <c r="V43" s="123">
        <f t="shared" si="5"/>
        <v>43168</v>
      </c>
      <c r="W43" t="str">
        <f>$B$14</f>
        <v>Paie normale</v>
      </c>
    </row>
    <row r="44" spans="1:23" x14ac:dyDescent="0.25">
      <c r="V44" s="123">
        <f t="shared" si="5"/>
        <v>43172</v>
      </c>
      <c r="W44" t="str">
        <f>$B$15</f>
        <v>Correction 1</v>
      </c>
    </row>
    <row r="45" spans="1:23" x14ac:dyDescent="0.25">
      <c r="V45" s="123">
        <f t="shared" si="5"/>
        <v>43173</v>
      </c>
      <c r="W45" t="str">
        <f>$B$16</f>
        <v>Correction 2</v>
      </c>
    </row>
    <row r="46" spans="1:23" x14ac:dyDescent="0.25">
      <c r="V46" s="123">
        <f t="shared" si="5"/>
        <v>43174</v>
      </c>
      <c r="W46" t="str">
        <f>$B$17</f>
        <v>Calcul de la paie à la demande (Dernier jour de saisie pour les contrats courts terminés entre le 1 et le 15 du mois m)</v>
      </c>
    </row>
    <row r="47" spans="1:23" x14ac:dyDescent="0.25">
      <c r="V47" s="123">
        <f t="shared" si="5"/>
        <v>43174</v>
      </c>
      <c r="W47" t="str">
        <f>$B$18</f>
        <v>Clôture de paie (arrêts de paie avant fermeture de TP)</v>
      </c>
    </row>
    <row r="48" spans="1:23" x14ac:dyDescent="0.25">
      <c r="V48" s="123">
        <f t="shared" si="5"/>
        <v>43175</v>
      </c>
      <c r="W48" t="str">
        <f>$B$19</f>
        <v>Envoi des moyens de paiement avant 6h30 - Feu vert de paie + APC11</v>
      </c>
    </row>
    <row r="49" spans="22:23" x14ac:dyDescent="0.25">
      <c r="V49" s="123">
        <f t="shared" si="5"/>
        <v>43175</v>
      </c>
      <c r="W49" t="str">
        <f>$B$20</f>
        <v>PRISME - données de paie</v>
      </c>
    </row>
    <row r="50" spans="22:23" x14ac:dyDescent="0.25">
      <c r="V50" s="123">
        <f t="shared" si="5"/>
        <v>43179</v>
      </c>
      <c r="W50" t="str">
        <f>$B$21</f>
        <v>Date de crédit des comptes (paie du 20)</v>
      </c>
    </row>
    <row r="51" spans="22:23" x14ac:dyDescent="0.25">
      <c r="V51" s="123">
        <f t="shared" ref="V51:V65" si="6">G7</f>
        <v>43193</v>
      </c>
      <c r="W51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52" spans="22:23" x14ac:dyDescent="0.25">
      <c r="V52" s="123">
        <f t="shared" si="6"/>
        <v>43194</v>
      </c>
      <c r="W52" t="str">
        <f>$B$8</f>
        <v>Envoi des moyens de paiement avant 6h30 - Feu vert de paie + APC11</v>
      </c>
    </row>
    <row r="53" spans="22:23" x14ac:dyDescent="0.25">
      <c r="V53" s="123">
        <f t="shared" si="6"/>
        <v>43196</v>
      </c>
      <c r="W53" t="str">
        <f>$B$9</f>
        <v>Date de crédit des comptes  (paie à la demande)</v>
      </c>
    </row>
    <row r="54" spans="22:23" x14ac:dyDescent="0.25">
      <c r="V54" s="123">
        <f t="shared" si="6"/>
        <v>43199</v>
      </c>
      <c r="W54" t="str">
        <f>$B$10</f>
        <v>Paie de sécurisation</v>
      </c>
    </row>
    <row r="55" spans="22:23" x14ac:dyDescent="0.25">
      <c r="V55" s="123" t="str">
        <f t="shared" si="6"/>
        <v>09/04/2018</v>
      </c>
      <c r="W55" t="str">
        <f>$B$11</f>
        <v>Production des IEV pour PACTOLE</v>
      </c>
    </row>
    <row r="56" spans="22:23" x14ac:dyDescent="0.25">
      <c r="V56" s="123" t="str">
        <f t="shared" si="6"/>
        <v>09/04/2018</v>
      </c>
      <c r="W56" t="str">
        <f>$B$12</f>
        <v xml:space="preserve">Géode IEV </v>
      </c>
    </row>
    <row r="57" spans="22:23" x14ac:dyDescent="0.25">
      <c r="V57" s="123">
        <f t="shared" si="6"/>
        <v>43200</v>
      </c>
      <c r="W57" t="str">
        <f>$B$13</f>
        <v>Envoi du flux SIGP-IEV vers Pactole à 6h00 au plus tard (le traitement SIGP passe en J-9 au soir)</v>
      </c>
    </row>
    <row r="58" spans="22:23" x14ac:dyDescent="0.25">
      <c r="V58" s="123">
        <f t="shared" si="6"/>
        <v>43201</v>
      </c>
      <c r="W58" t="str">
        <f>$B$14</f>
        <v>Paie normale</v>
      </c>
    </row>
    <row r="59" spans="22:23" x14ac:dyDescent="0.25">
      <c r="V59" s="123">
        <f t="shared" si="6"/>
        <v>43203</v>
      </c>
      <c r="W59" t="str">
        <f>$B$15</f>
        <v>Correction 1</v>
      </c>
    </row>
    <row r="60" spans="22:23" x14ac:dyDescent="0.25">
      <c r="V60" s="123">
        <f t="shared" si="6"/>
        <v>43206</v>
      </c>
      <c r="W60" t="str">
        <f>$B$16</f>
        <v>Correction 2</v>
      </c>
    </row>
    <row r="61" spans="22:23" x14ac:dyDescent="0.25">
      <c r="V61" s="123">
        <f t="shared" si="6"/>
        <v>43207</v>
      </c>
      <c r="W61" t="str">
        <f>$B$17</f>
        <v>Calcul de la paie à la demande (Dernier jour de saisie pour les contrats courts terminés entre le 1 et le 15 du mois m)</v>
      </c>
    </row>
    <row r="62" spans="22:23" x14ac:dyDescent="0.25">
      <c r="V62" s="123">
        <f t="shared" si="6"/>
        <v>43207</v>
      </c>
      <c r="W62" t="str">
        <f>$B$18</f>
        <v>Clôture de paie (arrêts de paie avant fermeture de TP)</v>
      </c>
    </row>
    <row r="63" spans="22:23" x14ac:dyDescent="0.25">
      <c r="V63" s="123">
        <f t="shared" si="6"/>
        <v>43208</v>
      </c>
      <c r="W63" t="str">
        <f>$B$19</f>
        <v>Envoi des moyens de paiement avant 6h30 - Feu vert de paie + APC11</v>
      </c>
    </row>
    <row r="64" spans="22:23" x14ac:dyDescent="0.25">
      <c r="V64" s="123">
        <f t="shared" si="6"/>
        <v>43208</v>
      </c>
      <c r="W64" t="str">
        <f>$B$20</f>
        <v>PRISME - données de paie</v>
      </c>
    </row>
    <row r="65" spans="22:23" x14ac:dyDescent="0.25">
      <c r="V65" s="123">
        <f t="shared" si="6"/>
        <v>43210</v>
      </c>
      <c r="W65" t="str">
        <f>$B$21</f>
        <v>Date de crédit des comptes (paie du 20)</v>
      </c>
    </row>
    <row r="66" spans="22:23" x14ac:dyDescent="0.25">
      <c r="V66" s="123">
        <f t="shared" ref="V66:V80" si="7">H7</f>
        <v>43222</v>
      </c>
      <c r="W66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67" spans="22:23" x14ac:dyDescent="0.25">
      <c r="V67" s="123">
        <f t="shared" si="7"/>
        <v>43223</v>
      </c>
      <c r="W67" t="str">
        <f>$B$8</f>
        <v>Envoi des moyens de paiement avant 6h30 - Feu vert de paie + APC11</v>
      </c>
    </row>
    <row r="68" spans="22:23" x14ac:dyDescent="0.25">
      <c r="V68" s="123">
        <f t="shared" si="7"/>
        <v>43227</v>
      </c>
      <c r="W68" t="str">
        <f>$B$9</f>
        <v>Date de crédit des comptes  (paie à la demande)</v>
      </c>
    </row>
    <row r="69" spans="22:23" x14ac:dyDescent="0.25">
      <c r="V69" s="123">
        <f t="shared" si="7"/>
        <v>43223</v>
      </c>
      <c r="W69" t="str">
        <f>$B$10</f>
        <v>Paie de sécurisation</v>
      </c>
    </row>
    <row r="70" spans="22:23" x14ac:dyDescent="0.25">
      <c r="V70" s="123" t="str">
        <f t="shared" si="7"/>
        <v>03/05/2018</v>
      </c>
      <c r="W70" t="str">
        <f>$B$11</f>
        <v>Production des IEV pour PACTOLE</v>
      </c>
    </row>
    <row r="71" spans="22:23" x14ac:dyDescent="0.25">
      <c r="V71" s="123" t="str">
        <f t="shared" si="7"/>
        <v>03/05/2018</v>
      </c>
      <c r="W71" t="str">
        <f>$B$12</f>
        <v xml:space="preserve">Géode IEV </v>
      </c>
    </row>
    <row r="72" spans="22:23" x14ac:dyDescent="0.25">
      <c r="V72" s="123">
        <f t="shared" si="7"/>
        <v>43224</v>
      </c>
      <c r="W72" t="str">
        <f>$B$13</f>
        <v>Envoi du flux SIGP-IEV vers Pactole à 6h00 au plus tard (le traitement SIGP passe en J-9 au soir)</v>
      </c>
    </row>
    <row r="73" spans="22:23" x14ac:dyDescent="0.25">
      <c r="V73" s="123">
        <f t="shared" si="7"/>
        <v>43227</v>
      </c>
      <c r="W73" t="str">
        <f>$B$14</f>
        <v>Paie normale</v>
      </c>
    </row>
    <row r="74" spans="22:23" x14ac:dyDescent="0.25">
      <c r="V74" s="123">
        <f t="shared" si="7"/>
        <v>43231</v>
      </c>
      <c r="W74" t="str">
        <f>$B$15</f>
        <v>Correction 1</v>
      </c>
    </row>
    <row r="75" spans="22:23" x14ac:dyDescent="0.25">
      <c r="V75" s="123">
        <f t="shared" si="7"/>
        <v>43234</v>
      </c>
      <c r="W75" t="str">
        <f>$B$16</f>
        <v>Correction 2</v>
      </c>
    </row>
    <row r="76" spans="22:23" x14ac:dyDescent="0.25">
      <c r="V76" s="123">
        <f t="shared" si="7"/>
        <v>43235</v>
      </c>
      <c r="W76" t="str">
        <f>$B$17</f>
        <v>Calcul de la paie à la demande (Dernier jour de saisie pour les contrats courts terminés entre le 1 et le 15 du mois m)</v>
      </c>
    </row>
    <row r="77" spans="22:23" x14ac:dyDescent="0.25">
      <c r="V77" s="123">
        <f t="shared" si="7"/>
        <v>43235</v>
      </c>
      <c r="W77" t="str">
        <f>$B$18</f>
        <v>Clôture de paie (arrêts de paie avant fermeture de TP)</v>
      </c>
    </row>
    <row r="78" spans="22:23" x14ac:dyDescent="0.25">
      <c r="V78" s="123">
        <f t="shared" si="7"/>
        <v>43236</v>
      </c>
      <c r="W78" t="str">
        <f>$B$19</f>
        <v>Envoi des moyens de paiement avant 6h30 - Feu vert de paie + APC11</v>
      </c>
    </row>
    <row r="79" spans="22:23" x14ac:dyDescent="0.25">
      <c r="V79" s="123">
        <f t="shared" si="7"/>
        <v>43236</v>
      </c>
      <c r="W79" t="str">
        <f>$B$20</f>
        <v>PRISME - données de paie</v>
      </c>
    </row>
    <row r="80" spans="22:23" x14ac:dyDescent="0.25">
      <c r="V80" s="123">
        <f t="shared" si="7"/>
        <v>43238</v>
      </c>
      <c r="W80" t="str">
        <f>$B$21</f>
        <v>Date de crédit des comptes (paie du 20)</v>
      </c>
    </row>
    <row r="81" spans="22:23" x14ac:dyDescent="0.25">
      <c r="V81" s="123">
        <f t="shared" ref="V81:V95" si="8">I7</f>
        <v>43255</v>
      </c>
      <c r="W81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82" spans="22:23" x14ac:dyDescent="0.25">
      <c r="V82" s="123">
        <f t="shared" si="8"/>
        <v>43256</v>
      </c>
      <c r="W82" t="str">
        <f>$B$8</f>
        <v>Envoi des moyens de paiement avant 6h30 - Feu vert de paie + APC11</v>
      </c>
    </row>
    <row r="83" spans="22:23" x14ac:dyDescent="0.25">
      <c r="V83" s="123">
        <f t="shared" si="8"/>
        <v>43258</v>
      </c>
      <c r="W83" t="str">
        <f>$B$9</f>
        <v>Date de crédit des comptes  (paie à la demande)</v>
      </c>
    </row>
    <row r="84" spans="22:23" x14ac:dyDescent="0.25">
      <c r="V84" s="123">
        <f t="shared" si="8"/>
        <v>43258</v>
      </c>
      <c r="W84" t="str">
        <f>$B$10</f>
        <v>Paie de sécurisation</v>
      </c>
    </row>
    <row r="85" spans="22:23" x14ac:dyDescent="0.25">
      <c r="V85" s="123" t="str">
        <f t="shared" si="8"/>
        <v>07/06/2018</v>
      </c>
      <c r="W85" t="str">
        <f>$B$11</f>
        <v>Production des IEV pour PACTOLE</v>
      </c>
    </row>
    <row r="86" spans="22:23" x14ac:dyDescent="0.25">
      <c r="V86" s="123" t="str">
        <f t="shared" si="8"/>
        <v>07/06/2018</v>
      </c>
      <c r="W86" t="str">
        <f>$B$12</f>
        <v xml:space="preserve">Géode IEV </v>
      </c>
    </row>
    <row r="87" spans="22:23" x14ac:dyDescent="0.25">
      <c r="V87" s="123">
        <f t="shared" si="8"/>
        <v>43259</v>
      </c>
      <c r="W87" t="str">
        <f>$B$13</f>
        <v>Envoi du flux SIGP-IEV vers Pactole à 6h00 au plus tard (le traitement SIGP passe en J-9 au soir)</v>
      </c>
    </row>
    <row r="88" spans="22:23" x14ac:dyDescent="0.25">
      <c r="V88" s="123">
        <f t="shared" si="8"/>
        <v>43262</v>
      </c>
      <c r="W88" t="str">
        <f>$B$14</f>
        <v>Paie normale</v>
      </c>
    </row>
    <row r="89" spans="22:23" x14ac:dyDescent="0.25">
      <c r="V89" s="123">
        <f t="shared" si="8"/>
        <v>43264</v>
      </c>
      <c r="W89" t="str">
        <f>$B$15</f>
        <v>Correction 1</v>
      </c>
    </row>
    <row r="90" spans="22:23" x14ac:dyDescent="0.25">
      <c r="V90" s="123">
        <f t="shared" si="8"/>
        <v>43265</v>
      </c>
      <c r="W90" t="str">
        <f>$B$16</f>
        <v>Correction 2</v>
      </c>
    </row>
    <row r="91" spans="22:23" x14ac:dyDescent="0.25">
      <c r="V91" s="123">
        <f t="shared" si="8"/>
        <v>43266</v>
      </c>
      <c r="W91" t="str">
        <f>$B$17</f>
        <v>Calcul de la paie à la demande (Dernier jour de saisie pour les contrats courts terminés entre le 1 et le 15 du mois m)</v>
      </c>
    </row>
    <row r="92" spans="22:23" x14ac:dyDescent="0.25">
      <c r="V92" s="123">
        <f t="shared" si="8"/>
        <v>43266</v>
      </c>
      <c r="W92" t="str">
        <f>$B$18</f>
        <v>Clôture de paie (arrêts de paie avant fermeture de TP)</v>
      </c>
    </row>
    <row r="93" spans="22:23" x14ac:dyDescent="0.25">
      <c r="V93" s="123">
        <f t="shared" si="8"/>
        <v>43269</v>
      </c>
      <c r="W93" t="str">
        <f>$B$19</f>
        <v>Envoi des moyens de paiement avant 6h30 - Feu vert de paie + APC11</v>
      </c>
    </row>
    <row r="94" spans="22:23" x14ac:dyDescent="0.25">
      <c r="V94" s="123">
        <f t="shared" si="8"/>
        <v>43269</v>
      </c>
      <c r="W94" t="str">
        <f>$B$20</f>
        <v>PRISME - données de paie</v>
      </c>
    </row>
    <row r="95" spans="22:23" x14ac:dyDescent="0.25">
      <c r="V95" s="123">
        <f t="shared" si="8"/>
        <v>43271</v>
      </c>
      <c r="W95" t="str">
        <f>$B$21</f>
        <v>Date de crédit des comptes (paie du 20)</v>
      </c>
    </row>
    <row r="96" spans="22:23" x14ac:dyDescent="0.25">
      <c r="V96" s="123">
        <f t="shared" ref="V96:V110" si="9">J7</f>
        <v>43283</v>
      </c>
      <c r="W96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97" spans="22:23" x14ac:dyDescent="0.25">
      <c r="V97" s="123">
        <f t="shared" si="9"/>
        <v>43284</v>
      </c>
      <c r="W97" t="str">
        <f>$B$8</f>
        <v>Envoi des moyens de paiement avant 6h30 - Feu vert de paie + APC11</v>
      </c>
    </row>
    <row r="98" spans="22:23" x14ac:dyDescent="0.25">
      <c r="V98" s="123">
        <f t="shared" si="9"/>
        <v>43286</v>
      </c>
      <c r="W98" t="str">
        <f>$B$9</f>
        <v>Date de crédit des comptes  (paie à la demande)</v>
      </c>
    </row>
    <row r="99" spans="22:23" x14ac:dyDescent="0.25">
      <c r="V99" s="123">
        <f t="shared" si="9"/>
        <v>43290</v>
      </c>
      <c r="W99" t="str">
        <f>$B$10</f>
        <v>Paie de sécurisation</v>
      </c>
    </row>
    <row r="100" spans="22:23" x14ac:dyDescent="0.25">
      <c r="V100" s="123" t="str">
        <f t="shared" si="9"/>
        <v>09/07/2018</v>
      </c>
      <c r="W100" t="str">
        <f>$B$11</f>
        <v>Production des IEV pour PACTOLE</v>
      </c>
    </row>
    <row r="101" spans="22:23" x14ac:dyDescent="0.25">
      <c r="V101" s="123" t="str">
        <f t="shared" si="9"/>
        <v>09/07/2018</v>
      </c>
      <c r="W101" t="str">
        <f>$B$12</f>
        <v xml:space="preserve">Géode IEV </v>
      </c>
    </row>
    <row r="102" spans="22:23" x14ac:dyDescent="0.25">
      <c r="V102" s="123">
        <f t="shared" si="9"/>
        <v>43291</v>
      </c>
      <c r="W102" t="str">
        <f>$B$13</f>
        <v>Envoi du flux SIGP-IEV vers Pactole à 6h00 au plus tard (le traitement SIGP passe en J-9 au soir)</v>
      </c>
    </row>
    <row r="103" spans="22:23" x14ac:dyDescent="0.25">
      <c r="V103" s="123">
        <f t="shared" si="9"/>
        <v>43292</v>
      </c>
      <c r="W103" t="str">
        <f>$B$14</f>
        <v>Paie normale</v>
      </c>
    </row>
    <row r="104" spans="22:23" x14ac:dyDescent="0.25">
      <c r="V104" s="123">
        <f t="shared" si="9"/>
        <v>43294</v>
      </c>
      <c r="W104" t="str">
        <f>$B$15</f>
        <v>Correction 1</v>
      </c>
    </row>
    <row r="105" spans="22:23" x14ac:dyDescent="0.25">
      <c r="V105" s="123">
        <f t="shared" si="9"/>
        <v>43297</v>
      </c>
      <c r="W105" t="str">
        <f>$B$16</f>
        <v>Correction 2</v>
      </c>
    </row>
    <row r="106" spans="22:23" x14ac:dyDescent="0.25">
      <c r="V106" s="123">
        <f t="shared" si="9"/>
        <v>43298</v>
      </c>
      <c r="W106" t="str">
        <f>$B$17</f>
        <v>Calcul de la paie à la demande (Dernier jour de saisie pour les contrats courts terminés entre le 1 et le 15 du mois m)</v>
      </c>
    </row>
    <row r="107" spans="22:23" x14ac:dyDescent="0.25">
      <c r="V107" s="123">
        <f t="shared" si="9"/>
        <v>43298</v>
      </c>
      <c r="W107" t="str">
        <f>$B$18</f>
        <v>Clôture de paie (arrêts de paie avant fermeture de TP)</v>
      </c>
    </row>
    <row r="108" spans="22:23" x14ac:dyDescent="0.25">
      <c r="V108" s="123">
        <f t="shared" si="9"/>
        <v>43299</v>
      </c>
      <c r="W108" t="str">
        <f>$B$19</f>
        <v>Envoi des moyens de paiement avant 6h30 - Feu vert de paie + APC11</v>
      </c>
    </row>
    <row r="109" spans="22:23" x14ac:dyDescent="0.25">
      <c r="V109" s="123">
        <f t="shared" si="9"/>
        <v>43299</v>
      </c>
      <c r="W109" t="str">
        <f>$B$20</f>
        <v>PRISME - données de paie</v>
      </c>
    </row>
    <row r="110" spans="22:23" x14ac:dyDescent="0.25">
      <c r="V110" s="123">
        <f t="shared" si="9"/>
        <v>43301</v>
      </c>
      <c r="W110" t="str">
        <f>$B$21</f>
        <v>Date de crédit des comptes (paie du 20)</v>
      </c>
    </row>
    <row r="111" spans="22:23" x14ac:dyDescent="0.25">
      <c r="V111" s="123">
        <f t="shared" ref="V111:V125" si="10">K7</f>
        <v>43314</v>
      </c>
      <c r="W111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112" spans="22:23" x14ac:dyDescent="0.25">
      <c r="V112" s="123">
        <f t="shared" si="10"/>
        <v>43315</v>
      </c>
      <c r="W112" t="str">
        <f>$B$8</f>
        <v>Envoi des moyens de paiement avant 6h30 - Feu vert de paie + APC11</v>
      </c>
    </row>
    <row r="113" spans="22:23" x14ac:dyDescent="0.25">
      <c r="V113" s="123">
        <f t="shared" si="10"/>
        <v>43319</v>
      </c>
      <c r="W113" t="str">
        <f>$B$9</f>
        <v>Date de crédit des comptes  (paie à la demande)</v>
      </c>
    </row>
    <row r="114" spans="22:23" x14ac:dyDescent="0.25">
      <c r="V114" s="123">
        <f t="shared" si="10"/>
        <v>43318</v>
      </c>
      <c r="W114" t="str">
        <f>$B$10</f>
        <v>Paie de sécurisation</v>
      </c>
    </row>
    <row r="115" spans="22:23" x14ac:dyDescent="0.25">
      <c r="V115" s="123" t="str">
        <f t="shared" si="10"/>
        <v>06/08/2018</v>
      </c>
      <c r="W115" t="str">
        <f>$B$11</f>
        <v>Production des IEV pour PACTOLE</v>
      </c>
    </row>
    <row r="116" spans="22:23" x14ac:dyDescent="0.25">
      <c r="V116" s="123" t="str">
        <f t="shared" si="10"/>
        <v>06/08/2018</v>
      </c>
      <c r="W116" t="str">
        <f>$B$12</f>
        <v xml:space="preserve">Géode IEV </v>
      </c>
    </row>
    <row r="117" spans="22:23" x14ac:dyDescent="0.25">
      <c r="V117" s="123">
        <f t="shared" si="10"/>
        <v>43319</v>
      </c>
      <c r="W117" t="str">
        <f>$B$13</f>
        <v>Envoi du flux SIGP-IEV vers Pactole à 6h00 au plus tard (le traitement SIGP passe en J-9 au soir)</v>
      </c>
    </row>
    <row r="118" spans="22:23" x14ac:dyDescent="0.25">
      <c r="V118" s="123">
        <f t="shared" si="10"/>
        <v>43320</v>
      </c>
      <c r="W118" t="str">
        <f>$B$14</f>
        <v>Paie normale</v>
      </c>
    </row>
    <row r="119" spans="22:23" x14ac:dyDescent="0.25">
      <c r="V119" s="123">
        <f t="shared" si="10"/>
        <v>43322</v>
      </c>
      <c r="W119" t="str">
        <f>$B$15</f>
        <v>Correction 1</v>
      </c>
    </row>
    <row r="120" spans="22:23" x14ac:dyDescent="0.25">
      <c r="V120" s="123">
        <f t="shared" si="10"/>
        <v>43325</v>
      </c>
      <c r="W120" t="str">
        <f>$B$16</f>
        <v>Correction 2</v>
      </c>
    </row>
    <row r="121" spans="22:23" x14ac:dyDescent="0.25">
      <c r="V121" s="123">
        <f t="shared" si="10"/>
        <v>43326</v>
      </c>
      <c r="W121" t="str">
        <f>$B$17</f>
        <v>Calcul de la paie à la demande (Dernier jour de saisie pour les contrats courts terminés entre le 1 et le 15 du mois m)</v>
      </c>
    </row>
    <row r="122" spans="22:23" x14ac:dyDescent="0.25">
      <c r="V122" s="123">
        <f t="shared" si="10"/>
        <v>43326</v>
      </c>
      <c r="W122" t="str">
        <f>$B$18</f>
        <v>Clôture de paie (arrêts de paie avant fermeture de TP)</v>
      </c>
    </row>
    <row r="123" spans="22:23" x14ac:dyDescent="0.25">
      <c r="V123" s="123">
        <f t="shared" si="10"/>
        <v>43328</v>
      </c>
      <c r="W123" t="str">
        <f>$B$19</f>
        <v>Envoi des moyens de paiement avant 6h30 - Feu vert de paie + APC11</v>
      </c>
    </row>
    <row r="124" spans="22:23" x14ac:dyDescent="0.25">
      <c r="V124" s="123">
        <f t="shared" si="10"/>
        <v>43328</v>
      </c>
      <c r="W124" t="str">
        <f>$B$20</f>
        <v>PRISME - données de paie</v>
      </c>
    </row>
    <row r="125" spans="22:23" x14ac:dyDescent="0.25">
      <c r="V125" s="123">
        <f t="shared" si="10"/>
        <v>43332</v>
      </c>
      <c r="W125" t="str">
        <f>$B$21</f>
        <v>Date de crédit des comptes (paie du 20)</v>
      </c>
    </row>
    <row r="126" spans="22:23" x14ac:dyDescent="0.25">
      <c r="V126" s="123">
        <f t="shared" ref="V126:V140" si="11">L7</f>
        <v>43346</v>
      </c>
      <c r="W126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127" spans="22:23" x14ac:dyDescent="0.25">
      <c r="V127" s="123">
        <f t="shared" si="11"/>
        <v>43347</v>
      </c>
      <c r="W127" t="str">
        <f>$B$8</f>
        <v>Envoi des moyens de paiement avant 6h30 - Feu vert de paie + APC11</v>
      </c>
    </row>
    <row r="128" spans="22:23" x14ac:dyDescent="0.25">
      <c r="V128" s="123">
        <f t="shared" si="11"/>
        <v>43349</v>
      </c>
      <c r="W128" t="str">
        <f>$B$9</f>
        <v>Date de crédit des comptes  (paie à la demande)</v>
      </c>
    </row>
    <row r="129" spans="22:23" x14ac:dyDescent="0.25">
      <c r="V129" s="123">
        <f t="shared" si="11"/>
        <v>43350</v>
      </c>
      <c r="W129" t="str">
        <f>$B$10</f>
        <v>Paie de sécurisation</v>
      </c>
    </row>
    <row r="130" spans="22:23" x14ac:dyDescent="0.25">
      <c r="V130" s="123" t="str">
        <f t="shared" si="11"/>
        <v>07/09/2018</v>
      </c>
      <c r="W130" t="str">
        <f>$B$11</f>
        <v>Production des IEV pour PACTOLE</v>
      </c>
    </row>
    <row r="131" spans="22:23" x14ac:dyDescent="0.25">
      <c r="V131" s="123" t="str">
        <f t="shared" si="11"/>
        <v>07/09/2018</v>
      </c>
      <c r="W131" t="str">
        <f>$B$12</f>
        <v xml:space="preserve">Géode IEV </v>
      </c>
    </row>
    <row r="132" spans="22:23" x14ac:dyDescent="0.25">
      <c r="V132" s="123">
        <f t="shared" si="11"/>
        <v>43353</v>
      </c>
      <c r="W132" t="str">
        <f>$B$13</f>
        <v>Envoi du flux SIGP-IEV vers Pactole à 6h00 au plus tard (le traitement SIGP passe en J-9 au soir)</v>
      </c>
    </row>
    <row r="133" spans="22:23" x14ac:dyDescent="0.25">
      <c r="V133" s="123">
        <f t="shared" si="11"/>
        <v>43354</v>
      </c>
      <c r="W133" t="str">
        <f>$B$14</f>
        <v>Paie normale</v>
      </c>
    </row>
    <row r="134" spans="22:23" x14ac:dyDescent="0.25">
      <c r="V134" s="123">
        <f t="shared" si="11"/>
        <v>43356</v>
      </c>
      <c r="W134" t="str">
        <f>$B$15</f>
        <v>Correction 1</v>
      </c>
    </row>
    <row r="135" spans="22:23" x14ac:dyDescent="0.25">
      <c r="V135" s="123">
        <f t="shared" si="11"/>
        <v>43357</v>
      </c>
      <c r="W135" t="str">
        <f>$B$16</f>
        <v>Correction 2</v>
      </c>
    </row>
    <row r="136" spans="22:23" x14ac:dyDescent="0.25">
      <c r="V136" s="123">
        <f t="shared" si="11"/>
        <v>43360</v>
      </c>
      <c r="W136" t="str">
        <f>$B$17</f>
        <v>Calcul de la paie à la demande (Dernier jour de saisie pour les contrats courts terminés entre le 1 et le 15 du mois m)</v>
      </c>
    </row>
    <row r="137" spans="22:23" x14ac:dyDescent="0.25">
      <c r="V137" s="123">
        <f t="shared" si="11"/>
        <v>43360</v>
      </c>
      <c r="W137" t="str">
        <f>$B$18</f>
        <v>Clôture de paie (arrêts de paie avant fermeture de TP)</v>
      </c>
    </row>
    <row r="138" spans="22:23" x14ac:dyDescent="0.25">
      <c r="V138" s="123">
        <f t="shared" si="11"/>
        <v>43361</v>
      </c>
      <c r="W138" t="str">
        <f>$B$19</f>
        <v>Envoi des moyens de paiement avant 6h30 - Feu vert de paie + APC11</v>
      </c>
    </row>
    <row r="139" spans="22:23" x14ac:dyDescent="0.25">
      <c r="V139" s="123">
        <f t="shared" si="11"/>
        <v>43361</v>
      </c>
      <c r="W139" t="str">
        <f>$B$20</f>
        <v>PRISME - données de paie</v>
      </c>
    </row>
    <row r="140" spans="22:23" x14ac:dyDescent="0.25">
      <c r="V140" s="123">
        <f t="shared" si="11"/>
        <v>43363</v>
      </c>
      <c r="W140" t="str">
        <f>$B$21</f>
        <v>Date de crédit des comptes (paie du 20)</v>
      </c>
    </row>
    <row r="141" spans="22:23" x14ac:dyDescent="0.25">
      <c r="V141" s="123">
        <f t="shared" ref="V141:V155" si="12">M7</f>
        <v>43375</v>
      </c>
      <c r="W141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142" spans="22:23" x14ac:dyDescent="0.25">
      <c r="V142" s="123">
        <f t="shared" si="12"/>
        <v>43376</v>
      </c>
      <c r="W142" t="str">
        <f>$B$8</f>
        <v>Envoi des moyens de paiement avant 6h30 - Feu vert de paie + APC11</v>
      </c>
    </row>
    <row r="143" spans="22:23" x14ac:dyDescent="0.25">
      <c r="V143" s="123">
        <f t="shared" si="12"/>
        <v>43378</v>
      </c>
      <c r="W143" t="str">
        <f>$B$9</f>
        <v>Date de crédit des comptes  (paie à la demande)</v>
      </c>
    </row>
    <row r="144" spans="22:23" x14ac:dyDescent="0.25">
      <c r="V144" s="123">
        <f t="shared" si="12"/>
        <v>43381</v>
      </c>
      <c r="W144" t="str">
        <f>$B$10</f>
        <v>Paie de sécurisation</v>
      </c>
    </row>
    <row r="145" spans="22:23" x14ac:dyDescent="0.25">
      <c r="V145" s="123" t="str">
        <f t="shared" si="12"/>
        <v>08/10/2018</v>
      </c>
      <c r="W145" t="str">
        <f>$B$11</f>
        <v>Production des IEV pour PACTOLE</v>
      </c>
    </row>
    <row r="146" spans="22:23" x14ac:dyDescent="0.25">
      <c r="V146" s="123" t="str">
        <f t="shared" si="12"/>
        <v>08/10/2018</v>
      </c>
      <c r="W146" t="str">
        <f>$B$12</f>
        <v xml:space="preserve">Géode IEV </v>
      </c>
    </row>
    <row r="147" spans="22:23" x14ac:dyDescent="0.25">
      <c r="V147" s="123">
        <f t="shared" si="12"/>
        <v>43382</v>
      </c>
      <c r="W147" t="str">
        <f>$B$13</f>
        <v>Envoi du flux SIGP-IEV vers Pactole à 6h00 au plus tard (le traitement SIGP passe en J-9 au soir)</v>
      </c>
    </row>
    <row r="148" spans="22:23" x14ac:dyDescent="0.25">
      <c r="V148" s="123">
        <f t="shared" si="12"/>
        <v>43383</v>
      </c>
      <c r="W148" t="str">
        <f>$B$14</f>
        <v>Paie normale</v>
      </c>
    </row>
    <row r="149" spans="22:23" x14ac:dyDescent="0.25">
      <c r="V149" s="123">
        <f t="shared" si="12"/>
        <v>43385</v>
      </c>
      <c r="W149" t="str">
        <f>$B$15</f>
        <v>Correction 1</v>
      </c>
    </row>
    <row r="150" spans="22:23" x14ac:dyDescent="0.25">
      <c r="V150" s="123">
        <f t="shared" si="12"/>
        <v>43388</v>
      </c>
      <c r="W150" t="str">
        <f>$B$16</f>
        <v>Correction 2</v>
      </c>
    </row>
    <row r="151" spans="22:23" x14ac:dyDescent="0.25">
      <c r="V151" s="123">
        <f t="shared" si="12"/>
        <v>43389</v>
      </c>
      <c r="W151" t="str">
        <f>$B$17</f>
        <v>Calcul de la paie à la demande (Dernier jour de saisie pour les contrats courts terminés entre le 1 et le 15 du mois m)</v>
      </c>
    </row>
    <row r="152" spans="22:23" x14ac:dyDescent="0.25">
      <c r="V152" s="123">
        <f t="shared" si="12"/>
        <v>43389</v>
      </c>
      <c r="W152" t="str">
        <f>$B$18</f>
        <v>Clôture de paie (arrêts de paie avant fermeture de TP)</v>
      </c>
    </row>
    <row r="153" spans="22:23" x14ac:dyDescent="0.25">
      <c r="V153" s="123">
        <f t="shared" si="12"/>
        <v>43390</v>
      </c>
      <c r="W153" t="str">
        <f>$B$19</f>
        <v>Envoi des moyens de paiement avant 6h30 - Feu vert de paie + APC11</v>
      </c>
    </row>
    <row r="154" spans="22:23" x14ac:dyDescent="0.25">
      <c r="V154" s="123">
        <f t="shared" si="12"/>
        <v>43390</v>
      </c>
      <c r="W154" t="str">
        <f>$B$20</f>
        <v>PRISME - données de paie</v>
      </c>
    </row>
    <row r="155" spans="22:23" x14ac:dyDescent="0.25">
      <c r="V155" s="123">
        <f t="shared" si="12"/>
        <v>43392</v>
      </c>
      <c r="W155" t="str">
        <f>$B$21</f>
        <v>Date de crédit des comptes (paie du 20)</v>
      </c>
    </row>
    <row r="156" spans="22:23" x14ac:dyDescent="0.25">
      <c r="V156" s="123">
        <f t="shared" ref="V156:V170" si="13">N7</f>
        <v>43406</v>
      </c>
      <c r="W156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157" spans="22:23" x14ac:dyDescent="0.25">
      <c r="V157" s="123">
        <f t="shared" si="13"/>
        <v>43409</v>
      </c>
      <c r="W157" t="str">
        <f>$B$8</f>
        <v>Envoi des moyens de paiement avant 6h30 - Feu vert de paie + APC11</v>
      </c>
    </row>
    <row r="158" spans="22:23" x14ac:dyDescent="0.25">
      <c r="V158" s="123">
        <f t="shared" si="13"/>
        <v>43411</v>
      </c>
      <c r="W158" t="str">
        <f>$B$9</f>
        <v>Date de crédit des comptes  (paie à la demande)</v>
      </c>
    </row>
    <row r="159" spans="22:23" x14ac:dyDescent="0.25">
      <c r="V159" s="123">
        <f t="shared" si="13"/>
        <v>43411</v>
      </c>
      <c r="W159" t="str">
        <f>$B$10</f>
        <v>Paie de sécurisation</v>
      </c>
    </row>
    <row r="160" spans="22:23" x14ac:dyDescent="0.25">
      <c r="V160" s="123" t="str">
        <f t="shared" si="13"/>
        <v>07/11/2018</v>
      </c>
      <c r="W160" t="str">
        <f>$B$11</f>
        <v>Production des IEV pour PACTOLE</v>
      </c>
    </row>
    <row r="161" spans="22:23" x14ac:dyDescent="0.25">
      <c r="V161" s="123" t="str">
        <f t="shared" si="13"/>
        <v>07/11/2018</v>
      </c>
      <c r="W161" t="str">
        <f>$B$12</f>
        <v xml:space="preserve">Géode IEV </v>
      </c>
    </row>
    <row r="162" spans="22:23" x14ac:dyDescent="0.25">
      <c r="V162" s="123">
        <f t="shared" si="13"/>
        <v>43412</v>
      </c>
      <c r="W162" t="str">
        <f>$B$13</f>
        <v>Envoi du flux SIGP-IEV vers Pactole à 6h00 au plus tard (le traitement SIGP passe en J-9 au soir)</v>
      </c>
    </row>
    <row r="163" spans="22:23" x14ac:dyDescent="0.25">
      <c r="V163" s="123">
        <f t="shared" si="13"/>
        <v>43413</v>
      </c>
      <c r="W163" t="str">
        <f>$B$14</f>
        <v>Paie normale</v>
      </c>
    </row>
    <row r="164" spans="22:23" x14ac:dyDescent="0.25">
      <c r="V164" s="123">
        <f t="shared" si="13"/>
        <v>43417</v>
      </c>
      <c r="W164" t="str">
        <f>$B$15</f>
        <v>Correction 1</v>
      </c>
    </row>
    <row r="165" spans="22:23" x14ac:dyDescent="0.25">
      <c r="V165" s="123">
        <f t="shared" si="13"/>
        <v>43418</v>
      </c>
      <c r="W165" t="str">
        <f>$B$16</f>
        <v>Correction 2</v>
      </c>
    </row>
    <row r="166" spans="22:23" x14ac:dyDescent="0.25">
      <c r="V166" s="123">
        <f t="shared" si="13"/>
        <v>43419</v>
      </c>
      <c r="W166" t="str">
        <f>$B$17</f>
        <v>Calcul de la paie à la demande (Dernier jour de saisie pour les contrats courts terminés entre le 1 et le 15 du mois m)</v>
      </c>
    </row>
    <row r="167" spans="22:23" x14ac:dyDescent="0.25">
      <c r="V167" s="123">
        <f t="shared" si="13"/>
        <v>43419</v>
      </c>
      <c r="W167" t="str">
        <f>$B$18</f>
        <v>Clôture de paie (arrêts de paie avant fermeture de TP)</v>
      </c>
    </row>
    <row r="168" spans="22:23" x14ac:dyDescent="0.25">
      <c r="V168" s="123">
        <f t="shared" si="13"/>
        <v>43420</v>
      </c>
      <c r="W168" t="str">
        <f>$B$19</f>
        <v>Envoi des moyens de paiement avant 6h30 - Feu vert de paie + APC11</v>
      </c>
    </row>
    <row r="169" spans="22:23" x14ac:dyDescent="0.25">
      <c r="V169" s="123">
        <f t="shared" si="13"/>
        <v>43420</v>
      </c>
      <c r="W169" t="str">
        <f>$B$20</f>
        <v>PRISME - données de paie</v>
      </c>
    </row>
    <row r="170" spans="22:23" x14ac:dyDescent="0.25">
      <c r="V170" s="123">
        <f t="shared" si="13"/>
        <v>43424</v>
      </c>
      <c r="W170" t="str">
        <f>$B$21</f>
        <v>Date de crédit des comptes (paie du 20)</v>
      </c>
    </row>
    <row r="171" spans="22:23" x14ac:dyDescent="0.25">
      <c r="V171" s="123">
        <f>O7</f>
        <v>43437</v>
      </c>
      <c r="W171" t="str">
        <f>$B$7</f>
        <v>Calcul de la paie à la demande (Dernier jour de saisie pour les contrats courts terminés entre le 16 et la fin du mois m-1) - Envoi des moyens de paiement : Envoi du fichier réalisé entre 18h30 et 23h30</v>
      </c>
    </row>
    <row r="172" spans="22:23" x14ac:dyDescent="0.25">
      <c r="V172" s="123">
        <f t="shared" ref="V172:V185" si="14">O8</f>
        <v>43438</v>
      </c>
      <c r="W172" t="str">
        <f>$B$8</f>
        <v>Envoi des moyens de paiement avant 6h30 - Feu vert de paie + APC11</v>
      </c>
    </row>
    <row r="173" spans="22:23" x14ac:dyDescent="0.25">
      <c r="V173" s="123">
        <f t="shared" si="14"/>
        <v>43440</v>
      </c>
      <c r="W173" t="str">
        <f>$B$9</f>
        <v>Date de crédit des comptes  (paie à la demande)</v>
      </c>
    </row>
    <row r="174" spans="22:23" x14ac:dyDescent="0.25">
      <c r="V174" s="123">
        <f t="shared" si="14"/>
        <v>43441</v>
      </c>
      <c r="W174" t="str">
        <f>$B$10</f>
        <v>Paie de sécurisation</v>
      </c>
    </row>
    <row r="175" spans="22:23" x14ac:dyDescent="0.25">
      <c r="V175" s="123" t="str">
        <f t="shared" si="14"/>
        <v>07/12/2018</v>
      </c>
      <c r="W175" t="str">
        <f>$B$11</f>
        <v>Production des IEV pour PACTOLE</v>
      </c>
    </row>
    <row r="176" spans="22:23" x14ac:dyDescent="0.25">
      <c r="V176" s="123" t="str">
        <f t="shared" si="14"/>
        <v>07/12/2018</v>
      </c>
      <c r="W176" t="str">
        <f>$B$12</f>
        <v xml:space="preserve">Géode IEV </v>
      </c>
    </row>
    <row r="177" spans="22:23" x14ac:dyDescent="0.25">
      <c r="V177" s="123">
        <f t="shared" si="14"/>
        <v>43444</v>
      </c>
      <c r="W177" t="str">
        <f>$B$13</f>
        <v>Envoi du flux SIGP-IEV vers Pactole à 6h00 au plus tard (le traitement SIGP passe en J-9 au soir)</v>
      </c>
    </row>
    <row r="178" spans="22:23" x14ac:dyDescent="0.25">
      <c r="V178" s="123">
        <f t="shared" si="14"/>
        <v>43445</v>
      </c>
      <c r="W178" t="str">
        <f>$B$14</f>
        <v>Paie normale</v>
      </c>
    </row>
    <row r="179" spans="22:23" x14ac:dyDescent="0.25">
      <c r="V179" s="123">
        <f t="shared" si="14"/>
        <v>43447</v>
      </c>
      <c r="W179" t="str">
        <f>$B$15</f>
        <v>Correction 1</v>
      </c>
    </row>
    <row r="180" spans="22:23" x14ac:dyDescent="0.25">
      <c r="V180" s="123">
        <f t="shared" si="14"/>
        <v>43448</v>
      </c>
      <c r="W180" t="str">
        <f>$B$16</f>
        <v>Correction 2</v>
      </c>
    </row>
    <row r="181" spans="22:23" x14ac:dyDescent="0.25">
      <c r="V181" s="123">
        <f t="shared" si="14"/>
        <v>43451</v>
      </c>
      <c r="W181" t="str">
        <f>$B$17</f>
        <v>Calcul de la paie à la demande (Dernier jour de saisie pour les contrats courts terminés entre le 1 et le 15 du mois m)</v>
      </c>
    </row>
    <row r="182" spans="22:23" x14ac:dyDescent="0.25">
      <c r="V182" s="123">
        <f t="shared" si="14"/>
        <v>43421</v>
      </c>
      <c r="W182" t="str">
        <f>$B$18</f>
        <v>Clôture de paie (arrêts de paie avant fermeture de TP)</v>
      </c>
    </row>
    <row r="183" spans="22:23" x14ac:dyDescent="0.25">
      <c r="V183" s="123">
        <f t="shared" si="14"/>
        <v>43452</v>
      </c>
      <c r="W183" t="str">
        <f>$B$19</f>
        <v>Envoi des moyens de paiement avant 6h30 - Feu vert de paie + APC11</v>
      </c>
    </row>
    <row r="184" spans="22:23" x14ac:dyDescent="0.25">
      <c r="V184" s="123">
        <f t="shared" si="14"/>
        <v>43452</v>
      </c>
      <c r="W184" t="str">
        <f>$B$20</f>
        <v>PRISME - données de paie</v>
      </c>
    </row>
    <row r="185" spans="22:23" x14ac:dyDescent="0.25">
      <c r="V185" s="123">
        <f t="shared" si="14"/>
        <v>43453</v>
      </c>
      <c r="W185" t="str">
        <f>$B$21</f>
        <v>Date de crédit des comptes (paie du 20)</v>
      </c>
    </row>
  </sheetData>
  <sheetProtection selectLockedCells="1" selectUnlockedCells="1"/>
  <mergeCells count="6">
    <mergeCell ref="Q16:T16"/>
    <mergeCell ref="B2:O2"/>
    <mergeCell ref="Q2:T4"/>
    <mergeCell ref="B3:O3"/>
    <mergeCell ref="B4:O4"/>
    <mergeCell ref="Q7:T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127"/>
  <sheetViews>
    <sheetView zoomScaleNormal="100" workbookViewId="0">
      <selection activeCell="AO24" sqref="AO24"/>
    </sheetView>
  </sheetViews>
  <sheetFormatPr baseColWidth="10" defaultColWidth="9.140625" defaultRowHeight="15" x14ac:dyDescent="0.25"/>
  <cols>
    <col min="30" max="30" width="137.5703125" bestFit="1" customWidth="1"/>
    <col min="31" max="32" width="4" bestFit="1" customWidth="1"/>
    <col min="33" max="33" width="135.85546875" bestFit="1" customWidth="1"/>
    <col min="34" max="34" width="4" bestFit="1" customWidth="1"/>
    <col min="35" max="35" width="135" bestFit="1" customWidth="1"/>
    <col min="37" max="37" width="126.140625" bestFit="1" customWidth="1"/>
    <col min="38" max="39" width="4" bestFit="1" customWidth="1"/>
    <col min="40" max="40" width="124.42578125" bestFit="1" customWidth="1"/>
    <col min="41" max="41" width="4" bestFit="1" customWidth="1"/>
    <col min="42" max="42" width="123.42578125" bestFit="1" customWidth="1"/>
    <col min="51" max="51" width="9.5703125" customWidth="1"/>
  </cols>
  <sheetData>
    <row r="1" spans="1:52" ht="15" customHeight="1" x14ac:dyDescent="0.25">
      <c r="A1" s="207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12"/>
      <c r="N1" s="13"/>
      <c r="O1" s="13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Z1" t="str">
        <f>IF(B43="","",B43)</f>
        <v>Lille DSCC</v>
      </c>
    </row>
    <row r="2" spans="1:52" ht="15" customHeight="1" x14ac:dyDescent="0.25">
      <c r="A2" s="209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12"/>
      <c r="N2" s="13"/>
      <c r="O2" s="13"/>
      <c r="P2" s="13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Z2" t="str">
        <f t="shared" ref="AZ2:AZ10" si="0">IF(B44="","",B44)</f>
        <v>Arras DSCC</v>
      </c>
    </row>
    <row r="3" spans="1:52" ht="15" customHeight="1" x14ac:dyDescent="0.25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12"/>
      <c r="N3" s="13"/>
      <c r="O3" s="13"/>
      <c r="P3" s="13"/>
      <c r="Q3" s="2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Z3" t="str">
        <f t="shared" si="0"/>
        <v>Rouen DSCC</v>
      </c>
    </row>
    <row r="4" spans="1:5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Z4" t="str">
        <f t="shared" si="0"/>
        <v>Amiens DSCC</v>
      </c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4"/>
      <c r="Y5" s="1"/>
      <c r="Z5" s="1"/>
      <c r="AA5" s="1"/>
      <c r="AB5" s="1"/>
      <c r="AC5" s="1"/>
      <c r="AD5" s="1"/>
      <c r="AE5" s="1"/>
      <c r="AF5" s="1"/>
      <c r="AG5" s="1"/>
      <c r="AZ5" t="str">
        <f t="shared" si="0"/>
        <v>DRC</v>
      </c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4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Z6" t="str">
        <f t="shared" si="0"/>
        <v>DNT</v>
      </c>
    </row>
    <row r="7" spans="1:5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Z7" t="str">
        <f t="shared" si="0"/>
        <v>Paris N DSCC</v>
      </c>
    </row>
    <row r="8" spans="1:52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Z8" t="str">
        <f t="shared" si="0"/>
        <v>Paris S DSCC</v>
      </c>
    </row>
    <row r="9" spans="1:52" ht="15.75" thickTop="1" x14ac:dyDescent="0.25">
      <c r="A9" s="214" t="s">
        <v>2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Z9" t="str">
        <f t="shared" si="0"/>
        <v>Bobigny DSCC</v>
      </c>
    </row>
    <row r="10" spans="1:52" ht="15.75" thickBot="1" x14ac:dyDescent="0.3">
      <c r="A10" s="217" t="s">
        <v>3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Z10" t="str">
        <f t="shared" si="0"/>
        <v>Créteil DSCC</v>
      </c>
    </row>
    <row r="11" spans="1:52" ht="15.75" thickTop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52" x14ac:dyDescent="0.25">
      <c r="A12" s="213" t="s">
        <v>1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1"/>
      <c r="N12" s="1"/>
      <c r="O12" s="183" t="s">
        <v>121</v>
      </c>
      <c r="P12" s="183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>
        <v>1</v>
      </c>
      <c r="AE12" s="1"/>
      <c r="AF12" s="1"/>
      <c r="AG12" s="1"/>
    </row>
    <row r="13" spans="1:52" x14ac:dyDescent="0.25">
      <c r="A13" s="213"/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>
        <v>2</v>
      </c>
      <c r="AE13" s="1"/>
      <c r="AF13" s="1"/>
      <c r="AG13" s="1"/>
    </row>
    <row r="14" spans="1:52" x14ac:dyDescent="0.25">
      <c r="A14" s="220" t="s">
        <v>4</v>
      </c>
      <c r="B14" s="220"/>
      <c r="C14" s="220"/>
      <c r="D14" s="220"/>
      <c r="E14" s="220"/>
      <c r="F14" s="220"/>
      <c r="G14" s="220"/>
      <c r="H14" s="220"/>
      <c r="I14" s="220"/>
      <c r="J14" s="221">
        <v>2</v>
      </c>
      <c r="K14" s="221"/>
      <c r="L14" s="22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52" x14ac:dyDescent="0.25">
      <c r="A15" s="3" t="s">
        <v>5</v>
      </c>
      <c r="B15" s="225" t="s">
        <v>6</v>
      </c>
      <c r="C15" s="225"/>
      <c r="D15" s="225" t="s">
        <v>7</v>
      </c>
      <c r="E15" s="225"/>
      <c r="F15" s="225"/>
      <c r="G15" s="225"/>
      <c r="H15" s="225"/>
      <c r="I15" s="225"/>
      <c r="J15" s="225"/>
      <c r="K15" s="225"/>
      <c r="L15" s="225"/>
      <c r="M15" s="1"/>
      <c r="N15" s="1"/>
      <c r="O15" s="222"/>
      <c r="P15" s="223"/>
      <c r="Q15" s="4" t="s">
        <v>14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52" x14ac:dyDescent="0.25">
      <c r="A16" s="3">
        <v>1</v>
      </c>
      <c r="B16" s="221" t="s">
        <v>8</v>
      </c>
      <c r="C16" s="221"/>
      <c r="D16" s="224" t="s">
        <v>10</v>
      </c>
      <c r="E16" s="224"/>
      <c r="F16" s="224"/>
      <c r="G16" s="224"/>
      <c r="H16" s="224"/>
      <c r="I16" s="224"/>
      <c r="J16" s="224"/>
      <c r="K16" s="224"/>
      <c r="L16" s="224"/>
      <c r="M16" s="1"/>
      <c r="N16" s="1"/>
      <c r="O16" s="1"/>
      <c r="P16" s="1"/>
      <c r="Q16" s="5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 t="s">
        <v>465</v>
      </c>
      <c r="AD16" s="1" t="str">
        <f>D16</f>
        <v>\\590312ZR001\utilisat\INTERSITES\2- EXPLOITATION\1- ETATS\1- ETATS\1 - A traiter</v>
      </c>
      <c r="AE16" s="1"/>
      <c r="AF16" s="1"/>
      <c r="AG16" s="1"/>
    </row>
    <row r="17" spans="1:42" x14ac:dyDescent="0.25">
      <c r="A17" s="3">
        <f>IF(J14=2,2,"")</f>
        <v>2</v>
      </c>
      <c r="B17" s="221" t="s">
        <v>9</v>
      </c>
      <c r="C17" s="221"/>
      <c r="D17" s="224" t="s">
        <v>11</v>
      </c>
      <c r="E17" s="224"/>
      <c r="F17" s="224"/>
      <c r="G17" s="224"/>
      <c r="H17" s="224"/>
      <c r="I17" s="224"/>
      <c r="J17" s="224"/>
      <c r="K17" s="224"/>
      <c r="L17" s="224"/>
      <c r="M17" s="1"/>
      <c r="N17" s="1"/>
      <c r="O17" s="231" t="s">
        <v>460</v>
      </c>
      <c r="P17" s="232"/>
      <c r="Q17" s="4" t="s">
        <v>15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 t="s">
        <v>466</v>
      </c>
      <c r="AD17" s="1" t="str">
        <f>D17</f>
        <v>\\165.160.113.240\utilisat\Public\02-Exploitation\1 - ETATS\1 - A traiter</v>
      </c>
      <c r="AE17" s="1"/>
      <c r="AF17" s="1"/>
      <c r="AG17" s="1"/>
    </row>
    <row r="18" spans="1:42" x14ac:dyDescent="0.25">
      <c r="A18" s="6" t="s">
        <v>12</v>
      </c>
      <c r="B18" s="222" t="s">
        <v>13</v>
      </c>
      <c r="C18" s="223"/>
      <c r="D18" s="224" t="s">
        <v>80</v>
      </c>
      <c r="E18" s="224"/>
      <c r="F18" s="224"/>
      <c r="G18" s="224"/>
      <c r="H18" s="224"/>
      <c r="I18" s="224"/>
      <c r="J18" s="224"/>
      <c r="K18" s="224"/>
      <c r="L18" s="22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 t="s">
        <v>467</v>
      </c>
      <c r="AD18" s="1" t="str">
        <f>D18</f>
        <v>\\206.197.30.240\utilisat\Public\oldatild</v>
      </c>
      <c r="AE18" s="1"/>
      <c r="AF18" s="1"/>
      <c r="AG18" s="1"/>
    </row>
    <row r="19" spans="1:4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78"/>
      <c r="P19" s="179"/>
      <c r="Q19" s="4" t="s">
        <v>35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 t="str">
        <f>G77</f>
        <v>\4 - Avril</v>
      </c>
      <c r="AD19" s="1"/>
      <c r="AE19" s="1"/>
      <c r="AF19" s="1"/>
      <c r="AG19" s="1"/>
    </row>
    <row r="20" spans="1:42" x14ac:dyDescent="0.25">
      <c r="A20" s="229" t="s">
        <v>16</v>
      </c>
      <c r="B20" s="229"/>
      <c r="C20" s="229"/>
      <c r="D20" s="229"/>
      <c r="E20" s="227" t="s">
        <v>17</v>
      </c>
      <c r="F20" s="225"/>
      <c r="G20" s="225"/>
      <c r="H20" s="225"/>
      <c r="I20" s="225" t="s">
        <v>18</v>
      </c>
      <c r="J20" s="225"/>
      <c r="K20" s="225"/>
      <c r="L20" s="22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42" x14ac:dyDescent="0.25">
      <c r="A21" s="229"/>
      <c r="B21" s="229"/>
      <c r="C21" s="229"/>
      <c r="D21" s="230"/>
      <c r="E21" s="228" t="s">
        <v>19</v>
      </c>
      <c r="F21" s="228"/>
      <c r="G21" s="197" t="s">
        <v>20</v>
      </c>
      <c r="H21" s="197"/>
      <c r="I21" s="197" t="s">
        <v>19</v>
      </c>
      <c r="J21" s="197"/>
      <c r="K21" s="197" t="s">
        <v>20</v>
      </c>
      <c r="L21" s="197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 t="s">
        <v>37</v>
      </c>
      <c r="AI21" t="s">
        <v>36</v>
      </c>
    </row>
    <row r="22" spans="1:42" x14ac:dyDescent="0.25">
      <c r="A22" s="225" t="s">
        <v>21</v>
      </c>
      <c r="B22" s="225"/>
      <c r="C22" s="225"/>
      <c r="D22" s="226"/>
      <c r="E22" s="201" t="s">
        <v>81</v>
      </c>
      <c r="F22" s="202"/>
      <c r="G22" s="202"/>
      <c r="H22" s="203"/>
      <c r="I22" s="234" t="s">
        <v>33</v>
      </c>
      <c r="J22" s="235"/>
      <c r="K22" s="235"/>
      <c r="L22" s="236"/>
      <c r="M22" s="1"/>
      <c r="N22" s="1"/>
      <c r="O22" s="233" t="s">
        <v>28</v>
      </c>
      <c r="P22" s="233"/>
      <c r="Q22" s="233"/>
      <c r="R22" s="233"/>
      <c r="S22" s="233"/>
      <c r="T22" s="1"/>
      <c r="U22" s="1"/>
      <c r="V22" s="1"/>
      <c r="W22" s="1"/>
      <c r="X22" s="1"/>
      <c r="Y22" s="1"/>
      <c r="Z22" s="1"/>
      <c r="AA22" s="1"/>
      <c r="AB22" s="1"/>
      <c r="AC22" s="1" t="str">
        <f>E22</f>
        <v>Rejet Flux I-Géode</v>
      </c>
      <c r="AD22" s="1" t="str">
        <f>$D$16&amp; "\Tout statut" &amp;G76&amp; "\" &amp;E22&amp; "\" &amp;I22 &amp; "\"</f>
        <v>\\590312ZR001\utilisat\INTERSITES\2- EXPLOITATION\1- ETATS\1- ETATS\1 - A traiter\Tout statut\4 - Avril\Rejet Flux I-Géode\REJETS DU\</v>
      </c>
      <c r="AE22" s="1">
        <f>LEN(AD22)</f>
        <v>133</v>
      </c>
      <c r="AF22" s="1">
        <f>AE22-2</f>
        <v>131</v>
      </c>
      <c r="AG22" s="1" t="str">
        <f>RIGHT(AD22,AF22)</f>
        <v>590312ZR001\utilisat\INTERSITES\2- EXPLOITATION\1- ETATS\1- ETATS\1 - A traiter\Tout statut\4 - Avril\Rejet Flux I-Géode\REJETS DU\</v>
      </c>
      <c r="AH22">
        <f>AF22-1</f>
        <v>130</v>
      </c>
      <c r="AI22" t="str">
        <f>LEFT(AG22,AH22)</f>
        <v>590312ZR001\utilisat\INTERSITES\2- EXPLOITATION\1- ETATS\1- ETATS\1 - A traiter\Tout statut\4 - Avril\Rejet Flux I-Géode\REJETS DU</v>
      </c>
      <c r="AK22" t="str">
        <f>$D$17&amp; "\Tout statut" &amp;G76&amp; "\" &amp;E22&amp; "\" &amp;I22 &amp; "\"</f>
        <v>\\165.160.113.240\utilisat\Public\02-Exploitation\1 - ETATS\1 - A traiter\Tout statut\4 - Avril\Rejet Flux I-Géode\REJETS DU\</v>
      </c>
      <c r="AL22">
        <f>LEN(AK22)</f>
        <v>125</v>
      </c>
      <c r="AM22">
        <f>AL22-2</f>
        <v>123</v>
      </c>
      <c r="AN22" t="str">
        <f>RIGHT(AK22,AM22)</f>
        <v>165.160.113.240\utilisat\Public\02-Exploitation\1 - ETATS\1 - A traiter\Tout statut\4 - Avril\Rejet Flux I-Géode\REJETS DU\</v>
      </c>
      <c r="AO22">
        <f>AM22-1</f>
        <v>122</v>
      </c>
      <c r="AP22" t="str">
        <f>LEFT(AN22,AO22)</f>
        <v>165.160.113.240\utilisat\Public\02-Exploitation\1 - ETATS\1 - A traiter\Tout statut\4 - Avril\Rejet Flux I-Géode\REJETS DU</v>
      </c>
    </row>
    <row r="23" spans="1:42" ht="15" customHeight="1" x14ac:dyDescent="0.25">
      <c r="A23" s="225" t="s">
        <v>22</v>
      </c>
      <c r="B23" s="225"/>
      <c r="C23" s="225"/>
      <c r="D23" s="226"/>
      <c r="E23" s="201" t="s">
        <v>82</v>
      </c>
      <c r="F23" s="202"/>
      <c r="G23" s="202"/>
      <c r="H23" s="203"/>
      <c r="I23" s="234" t="s">
        <v>34</v>
      </c>
      <c r="J23" s="235"/>
      <c r="K23" s="235"/>
      <c r="L23" s="236"/>
      <c r="M23" s="1"/>
      <c r="N23" s="1"/>
      <c r="O23" s="239" t="s">
        <v>30</v>
      </c>
      <c r="P23" s="239"/>
      <c r="Q23" s="239"/>
      <c r="R23" s="239"/>
      <c r="S23" s="239"/>
      <c r="T23" s="1"/>
      <c r="U23" s="1"/>
      <c r="V23" s="1"/>
      <c r="W23" s="1"/>
      <c r="X23" s="1"/>
      <c r="Y23" s="1"/>
      <c r="Z23" s="1"/>
      <c r="AA23" s="1"/>
      <c r="AB23" s="1"/>
      <c r="AC23" s="1" t="str">
        <f t="shared" ref="AC23:AC38" si="1">E23</f>
        <v>1 - Anomalies absences GEODE Flux E04</v>
      </c>
      <c r="AD23" s="1" t="str">
        <f>$D$16&amp; "\Salariés" &amp;$G$76&amp; "\" &amp;E23&amp; "\" &amp;I23 &amp; "\"</f>
        <v>\\590312ZR001\utilisat\INTERSITES\2- EXPLOITATION\1- ETATS\1- ETATS\1 - A traiter\Salariés\4 - Avril\1 - Anomalies absences GEODE Flux E04\ANO DU\</v>
      </c>
      <c r="AE23" s="1">
        <f t="shared" ref="AE23:AE38" si="2">LEN(AD23)</f>
        <v>146</v>
      </c>
      <c r="AF23" s="1">
        <f t="shared" ref="AF23:AF38" si="3">AE23-2</f>
        <v>144</v>
      </c>
      <c r="AG23" s="1" t="str">
        <f t="shared" ref="AG23:AG28" si="4">RIGHT(AD23,AF23)</f>
        <v>590312ZR001\utilisat\INTERSITES\2- EXPLOITATION\1- ETATS\1- ETATS\1 - A traiter\Salariés\4 - Avril\1 - Anomalies absences GEODE Flux E04\ANO DU\</v>
      </c>
      <c r="AH23">
        <f>AF23-8</f>
        <v>136</v>
      </c>
      <c r="AI23" t="str">
        <f t="shared" ref="AI23:AI28" si="5">LEFT(AG23,AH23)</f>
        <v>590312ZR001\utilisat\INTERSITES\2- EXPLOITATION\1- ETATS\1- ETATS\1 - A traiter\Salariés\4 - Avril\1 - Anomalies absences GEODE Flux E04</v>
      </c>
      <c r="AK23" t="str">
        <f>$D$17&amp; "\Salariés" &amp;$G$76&amp; "\" &amp;E23&amp; "\" &amp;I23 &amp; "\"</f>
        <v>\\165.160.113.240\utilisat\Public\02-Exploitation\1 - ETATS\1 - A traiter\Salariés\4 - Avril\1 - Anomalies absences GEODE Flux E04\ANO DU\</v>
      </c>
      <c r="AL23">
        <f t="shared" ref="AL23:AL28" si="6">LEN(AK23)</f>
        <v>138</v>
      </c>
      <c r="AM23">
        <f t="shared" ref="AM23:AM28" si="7">AL23-2</f>
        <v>136</v>
      </c>
      <c r="AN23" t="str">
        <f t="shared" ref="AN23:AN28" si="8">RIGHT(AK23,AM23)</f>
        <v>165.160.113.240\utilisat\Public\02-Exploitation\1 - ETATS\1 - A traiter\Salariés\4 - Avril\1 - Anomalies absences GEODE Flux E04\ANO DU\</v>
      </c>
      <c r="AO23">
        <f>AM23-8</f>
        <v>128</v>
      </c>
      <c r="AP23" t="str">
        <f t="shared" ref="AP23:AP28" si="9">LEFT(AN23,AO23)</f>
        <v>165.160.113.240\utilisat\Public\02-Exploitation\1 - ETATS\1 - A traiter\Salariés\4 - Avril\1 - Anomalies absences GEODE Flux E04</v>
      </c>
    </row>
    <row r="24" spans="1:42" x14ac:dyDescent="0.25">
      <c r="A24" s="225" t="s">
        <v>23</v>
      </c>
      <c r="B24" s="225"/>
      <c r="C24" s="225"/>
      <c r="D24" s="226"/>
      <c r="E24" s="241" t="s">
        <v>85</v>
      </c>
      <c r="F24" s="241"/>
      <c r="G24" s="241" t="s">
        <v>87</v>
      </c>
      <c r="H24" s="241"/>
      <c r="I24" s="241" t="s">
        <v>88</v>
      </c>
      <c r="J24" s="241"/>
      <c r="K24" s="241" t="s">
        <v>89</v>
      </c>
      <c r="L24" s="241"/>
      <c r="M24" s="1"/>
      <c r="N24" s="1"/>
      <c r="O24" s="239"/>
      <c r="P24" s="239"/>
      <c r="Q24" s="239"/>
      <c r="R24" s="239"/>
      <c r="S24" s="239"/>
      <c r="T24" s="1"/>
      <c r="U24" s="1"/>
      <c r="V24" s="1"/>
      <c r="W24" s="1"/>
      <c r="X24" s="1"/>
      <c r="Y24" s="1"/>
      <c r="Z24" s="1"/>
      <c r="AA24" s="1"/>
      <c r="AB24" s="1"/>
      <c r="AC24" s="1" t="str">
        <f t="shared" si="1"/>
        <v>2 - Paie de début de mois</v>
      </c>
      <c r="AD24" s="1" t="str">
        <f t="shared" ref="AD24:AD28" si="10">$D$16&amp; "\Salariés" &amp;$G$76&amp; "\" &amp;E24&amp; "\" &amp;I24 &amp; "\"</f>
        <v>\\590312ZR001\utilisat\INTERSITES\2- EXPLOITATION\1- ETATS\1- ETATS\1 - A traiter\Salariés\4 - Avril\2 - Paie de début de mois\2 - Contrats\</v>
      </c>
      <c r="AE24" s="1">
        <f t="shared" si="2"/>
        <v>140</v>
      </c>
      <c r="AF24" s="1">
        <f t="shared" si="3"/>
        <v>138</v>
      </c>
      <c r="AG24" s="1" t="str">
        <f t="shared" si="4"/>
        <v>590312ZR001\utilisat\INTERSITES\2- EXPLOITATION\1- ETATS\1- ETATS\1 - A traiter\Salariés\4 - Avril\2 - Paie de début de mois\2 - Contrats\</v>
      </c>
      <c r="AH24">
        <f t="shared" ref="AH24:AH28" si="11">AF24-1</f>
        <v>137</v>
      </c>
      <c r="AI24" t="str">
        <f t="shared" si="5"/>
        <v>590312ZR001\utilisat\INTERSITES\2- EXPLOITATION\1- ETATS\1- ETATS\1 - A traiter\Salariés\4 - Avril\2 - Paie de début de mois\2 - Contrats</v>
      </c>
      <c r="AK24" t="str">
        <f t="shared" ref="AK24:AK28" si="12">$D$17&amp; "\Salariés" &amp;$G$76&amp; "\" &amp;E24&amp; "\" &amp;I24 &amp; "\"</f>
        <v>\\165.160.113.240\utilisat\Public\02-Exploitation\1 - ETATS\1 - A traiter\Salariés\4 - Avril\2 - Paie de début de mois\2 - Contrats\</v>
      </c>
      <c r="AL24">
        <f t="shared" si="6"/>
        <v>132</v>
      </c>
      <c r="AM24">
        <f t="shared" si="7"/>
        <v>130</v>
      </c>
      <c r="AN24" t="str">
        <f t="shared" si="8"/>
        <v>165.160.113.240\utilisat\Public\02-Exploitation\1 - ETATS\1 - A traiter\Salariés\4 - Avril\2 - Paie de début de mois\2 - Contrats\</v>
      </c>
      <c r="AO24">
        <f t="shared" ref="AO24:AO28" si="13">AM24-1</f>
        <v>129</v>
      </c>
      <c r="AP24" t="str">
        <f t="shared" si="9"/>
        <v>165.160.113.240\utilisat\Public\02-Exploitation\1 - ETATS\1 - A traiter\Salariés\4 - Avril\2 - Paie de début de mois\2 - Contrats</v>
      </c>
    </row>
    <row r="25" spans="1:42" x14ac:dyDescent="0.25">
      <c r="A25" s="225" t="s">
        <v>24</v>
      </c>
      <c r="B25" s="225"/>
      <c r="C25" s="225"/>
      <c r="D25" s="226"/>
      <c r="E25" s="241" t="s">
        <v>86</v>
      </c>
      <c r="F25" s="241"/>
      <c r="G25" s="241" t="s">
        <v>86</v>
      </c>
      <c r="H25" s="241"/>
      <c r="I25" s="241" t="s">
        <v>90</v>
      </c>
      <c r="J25" s="241"/>
      <c r="K25" s="241" t="s">
        <v>90</v>
      </c>
      <c r="L25" s="241"/>
      <c r="M25" s="1"/>
      <c r="N25" s="1"/>
      <c r="O25" s="240" t="s">
        <v>31</v>
      </c>
      <c r="P25" s="240"/>
      <c r="Q25" s="240"/>
      <c r="R25" s="240"/>
      <c r="S25" s="240"/>
      <c r="T25" s="1"/>
      <c r="U25" s="1"/>
      <c r="V25" s="1"/>
      <c r="W25" s="1"/>
      <c r="X25" s="1"/>
      <c r="Y25" s="1"/>
      <c r="Z25" s="1"/>
      <c r="AA25" s="1"/>
      <c r="AB25" s="1"/>
      <c r="AC25" s="1" t="str">
        <f t="shared" si="1"/>
        <v>6 - AED</v>
      </c>
      <c r="AD25" s="1" t="str">
        <f t="shared" si="10"/>
        <v>\\590312ZR001\utilisat\INTERSITES\2- EXPLOITATION\1- ETATS\1- ETATS\1 - A traiter\Salariés\4 - Avril\6 - AED\Témoins vides\</v>
      </c>
      <c r="AE25" s="1">
        <f t="shared" si="2"/>
        <v>123</v>
      </c>
      <c r="AF25" s="1">
        <f t="shared" si="3"/>
        <v>121</v>
      </c>
      <c r="AG25" s="1" t="str">
        <f t="shared" si="4"/>
        <v>590312ZR001\utilisat\INTERSITES\2- EXPLOITATION\1- ETATS\1- ETATS\1 - A traiter\Salariés\4 - Avril\6 - AED\Témoins vides\</v>
      </c>
      <c r="AH25">
        <f t="shared" si="11"/>
        <v>120</v>
      </c>
      <c r="AI25" t="str">
        <f t="shared" si="5"/>
        <v>590312ZR001\utilisat\INTERSITES\2- EXPLOITATION\1- ETATS\1- ETATS\1 - A traiter\Salariés\4 - Avril\6 - AED\Témoins vides</v>
      </c>
      <c r="AK25" t="str">
        <f t="shared" si="12"/>
        <v>\\165.160.113.240\utilisat\Public\02-Exploitation\1 - ETATS\1 - A traiter\Salariés\4 - Avril\6 - AED\Témoins vides\</v>
      </c>
      <c r="AL25">
        <f t="shared" si="6"/>
        <v>115</v>
      </c>
      <c r="AM25">
        <f t="shared" si="7"/>
        <v>113</v>
      </c>
      <c r="AN25" t="str">
        <f t="shared" si="8"/>
        <v>165.160.113.240\utilisat\Public\02-Exploitation\1 - ETATS\1 - A traiter\Salariés\4 - Avril\6 - AED\Témoins vides\</v>
      </c>
      <c r="AO25">
        <f t="shared" si="13"/>
        <v>112</v>
      </c>
      <c r="AP25" t="str">
        <f t="shared" si="9"/>
        <v>165.160.113.240\utilisat\Public\02-Exploitation\1 - ETATS\1 - A traiter\Salariés\4 - Avril\6 - AED\Témoins vides</v>
      </c>
    </row>
    <row r="26" spans="1:42" x14ac:dyDescent="0.25">
      <c r="A26" s="225" t="s">
        <v>25</v>
      </c>
      <c r="B26" s="225"/>
      <c r="C26" s="225"/>
      <c r="D26" s="226"/>
      <c r="E26" s="201" t="s">
        <v>83</v>
      </c>
      <c r="F26" s="202"/>
      <c r="G26" s="202"/>
      <c r="H26" s="203"/>
      <c r="I26" s="234"/>
      <c r="J26" s="235"/>
      <c r="K26" s="235"/>
      <c r="L26" s="236"/>
      <c r="M26" s="1"/>
      <c r="N26" s="1"/>
      <c r="O26" s="177" t="s">
        <v>29</v>
      </c>
      <c r="P26" s="177"/>
      <c r="Q26" s="177"/>
      <c r="R26" s="177"/>
      <c r="S26" s="177"/>
      <c r="T26" s="1"/>
      <c r="U26" s="1"/>
      <c r="V26" s="1"/>
      <c r="W26" s="1"/>
      <c r="X26" s="1"/>
      <c r="Y26" s="1"/>
      <c r="Z26" s="1"/>
      <c r="AA26" s="1"/>
      <c r="AB26" s="1"/>
      <c r="AC26" s="1" t="str">
        <f t="shared" si="1"/>
        <v>ANO absence formation</v>
      </c>
      <c r="AD26" s="1" t="str">
        <f>$D$16&amp; "\Tout statut" &amp;$G$76&amp; "\" &amp;E26&amp; "\" &amp;I26 &amp; "\"</f>
        <v>\\590312ZR001\utilisat\INTERSITES\2- EXPLOITATION\1- ETATS\1- ETATS\1 - A traiter\Tout statut\4 - Avril\ANO absence formation\\</v>
      </c>
      <c r="AE26" s="1">
        <f t="shared" si="2"/>
        <v>127</v>
      </c>
      <c r="AF26" s="1">
        <f t="shared" si="3"/>
        <v>125</v>
      </c>
      <c r="AG26" s="1" t="str">
        <f t="shared" si="4"/>
        <v>590312ZR001\utilisat\INTERSITES\2- EXPLOITATION\1- ETATS\1- ETATS\1 - A traiter\Tout statut\4 - Avril\ANO absence formation\\</v>
      </c>
      <c r="AH26">
        <f t="shared" si="11"/>
        <v>124</v>
      </c>
      <c r="AI26" t="str">
        <f t="shared" si="5"/>
        <v>590312ZR001\utilisat\INTERSITES\2- EXPLOITATION\1- ETATS\1- ETATS\1 - A traiter\Tout statut\4 - Avril\ANO absence formation\</v>
      </c>
      <c r="AK26" t="str">
        <f>$D$17&amp; "\Tout statut" &amp;$G$76&amp; "\" &amp;E26&amp; "\" &amp;I26 &amp; "\"</f>
        <v>\\165.160.113.240\utilisat\Public\02-Exploitation\1 - ETATS\1 - A traiter\Tout statut\4 - Avril\ANO absence formation\\</v>
      </c>
      <c r="AL26">
        <f t="shared" si="6"/>
        <v>119</v>
      </c>
      <c r="AM26">
        <f t="shared" si="7"/>
        <v>117</v>
      </c>
      <c r="AN26" t="str">
        <f t="shared" si="8"/>
        <v>165.160.113.240\utilisat\Public\02-Exploitation\1 - ETATS\1 - A traiter\Tout statut\4 - Avril\ANO absence formation\\</v>
      </c>
      <c r="AO26">
        <f t="shared" si="13"/>
        <v>116</v>
      </c>
      <c r="AP26" t="str">
        <f t="shared" si="9"/>
        <v>165.160.113.240\utilisat\Public\02-Exploitation\1 - ETATS\1 - A traiter\Tout statut\4 - Avril\ANO absence formation\</v>
      </c>
    </row>
    <row r="27" spans="1:42" x14ac:dyDescent="0.25">
      <c r="A27" s="225" t="s">
        <v>26</v>
      </c>
      <c r="B27" s="225"/>
      <c r="C27" s="225"/>
      <c r="D27" s="226"/>
      <c r="E27" s="201" t="s">
        <v>84</v>
      </c>
      <c r="F27" s="202"/>
      <c r="G27" s="202"/>
      <c r="H27" s="203"/>
      <c r="I27" s="201" t="s">
        <v>26</v>
      </c>
      <c r="J27" s="202"/>
      <c r="K27" s="202"/>
      <c r="L27" s="203"/>
      <c r="M27" s="1"/>
      <c r="N27" s="1"/>
      <c r="O27" s="177"/>
      <c r="P27" s="177"/>
      <c r="Q27" s="177"/>
      <c r="R27" s="177"/>
      <c r="S27" s="177"/>
      <c r="T27" s="1"/>
      <c r="U27" s="1"/>
      <c r="V27" s="1"/>
      <c r="W27" s="1"/>
      <c r="X27" s="1"/>
      <c r="Y27" s="1"/>
      <c r="Z27" s="1"/>
      <c r="AA27" s="1"/>
      <c r="AB27" s="1"/>
      <c r="AC27" s="1" t="str">
        <f t="shared" si="1"/>
        <v>11 - Requêtes SIGP</v>
      </c>
      <c r="AD27" s="1" t="str">
        <f t="shared" si="10"/>
        <v>\\590312ZR001\utilisat\INTERSITES\2- EXPLOITATION\1- ETATS\1- ETATS\1 - A traiter\Salariés\4 - Avril\11 - Requêtes SIGP\EVI non apurés\</v>
      </c>
      <c r="AE27" s="1">
        <f t="shared" si="2"/>
        <v>135</v>
      </c>
      <c r="AF27" s="1">
        <f t="shared" si="3"/>
        <v>133</v>
      </c>
      <c r="AG27" s="1" t="str">
        <f t="shared" si="4"/>
        <v>590312ZR001\utilisat\INTERSITES\2- EXPLOITATION\1- ETATS\1- ETATS\1 - A traiter\Salariés\4 - Avril\11 - Requêtes SIGP\EVI non apurés\</v>
      </c>
      <c r="AH27">
        <f t="shared" si="11"/>
        <v>132</v>
      </c>
      <c r="AI27" t="str">
        <f t="shared" si="5"/>
        <v>590312ZR001\utilisat\INTERSITES\2- EXPLOITATION\1- ETATS\1- ETATS\1 - A traiter\Salariés\4 - Avril\11 - Requêtes SIGP\EVI non apurés</v>
      </c>
      <c r="AK27" t="str">
        <f t="shared" si="12"/>
        <v>\\165.160.113.240\utilisat\Public\02-Exploitation\1 - ETATS\1 - A traiter\Salariés\4 - Avril\11 - Requêtes SIGP\EVI non apurés\</v>
      </c>
      <c r="AL27">
        <f t="shared" si="6"/>
        <v>127</v>
      </c>
      <c r="AM27">
        <f t="shared" si="7"/>
        <v>125</v>
      </c>
      <c r="AN27" t="str">
        <f t="shared" si="8"/>
        <v>165.160.113.240\utilisat\Public\02-Exploitation\1 - ETATS\1 - A traiter\Salariés\4 - Avril\11 - Requêtes SIGP\EVI non apurés\</v>
      </c>
      <c r="AO27">
        <f t="shared" si="13"/>
        <v>124</v>
      </c>
      <c r="AP27" t="str">
        <f t="shared" si="9"/>
        <v>165.160.113.240\utilisat\Public\02-Exploitation\1 - ETATS\1 - A traiter\Salariés\4 - Avril\11 - Requêtes SIGP\EVI non apurés</v>
      </c>
    </row>
    <row r="28" spans="1:42" x14ac:dyDescent="0.25">
      <c r="A28" s="225" t="s">
        <v>27</v>
      </c>
      <c r="B28" s="225"/>
      <c r="C28" s="225"/>
      <c r="D28" s="226"/>
      <c r="E28" s="201" t="s">
        <v>84</v>
      </c>
      <c r="F28" s="202"/>
      <c r="G28" s="202"/>
      <c r="H28" s="203"/>
      <c r="I28" s="201" t="s">
        <v>27</v>
      </c>
      <c r="J28" s="202"/>
      <c r="K28" s="202"/>
      <c r="L28" s="203"/>
      <c r="M28" s="1"/>
      <c r="N28" s="1"/>
      <c r="O28" s="177"/>
      <c r="P28" s="177"/>
      <c r="Q28" s="177"/>
      <c r="R28" s="177"/>
      <c r="S28" s="177"/>
      <c r="T28" s="1"/>
      <c r="U28" s="1"/>
      <c r="V28" s="1"/>
      <c r="W28" s="1"/>
      <c r="X28" s="1"/>
      <c r="Y28" s="1"/>
      <c r="Z28" s="1"/>
      <c r="AA28" s="1"/>
      <c r="AB28" s="1"/>
      <c r="AC28" s="1" t="str">
        <f t="shared" si="1"/>
        <v>11 - Requêtes SIGP</v>
      </c>
      <c r="AD28" s="1" t="str">
        <f t="shared" si="10"/>
        <v>\\590312ZR001\utilisat\INTERSITES\2- EXPLOITATION\1- ETATS\1- ETATS\1 - A traiter\Salariés\4 - Avril\11 - Requêtes SIGP\Enfants de plus de 20 ans\</v>
      </c>
      <c r="AE28" s="1">
        <f t="shared" si="2"/>
        <v>146</v>
      </c>
      <c r="AF28" s="1">
        <f t="shared" si="3"/>
        <v>144</v>
      </c>
      <c r="AG28" s="1" t="str">
        <f t="shared" si="4"/>
        <v>590312ZR001\utilisat\INTERSITES\2- EXPLOITATION\1- ETATS\1- ETATS\1 - A traiter\Salariés\4 - Avril\11 - Requêtes SIGP\Enfants de plus de 20 ans\</v>
      </c>
      <c r="AH28">
        <f t="shared" si="11"/>
        <v>143</v>
      </c>
      <c r="AI28" t="str">
        <f t="shared" si="5"/>
        <v>590312ZR001\utilisat\INTERSITES\2- EXPLOITATION\1- ETATS\1- ETATS\1 - A traiter\Salariés\4 - Avril\11 - Requêtes SIGP\Enfants de plus de 20 ans</v>
      </c>
      <c r="AK28" t="str">
        <f t="shared" si="12"/>
        <v>\\165.160.113.240\utilisat\Public\02-Exploitation\1 - ETATS\1 - A traiter\Salariés\4 - Avril\11 - Requêtes SIGP\Enfants de plus de 20 ans\</v>
      </c>
      <c r="AL28">
        <f t="shared" si="6"/>
        <v>138</v>
      </c>
      <c r="AM28">
        <f t="shared" si="7"/>
        <v>136</v>
      </c>
      <c r="AN28" t="str">
        <f t="shared" si="8"/>
        <v>165.160.113.240\utilisat\Public\02-Exploitation\1 - ETATS\1 - A traiter\Salariés\4 - Avril\11 - Requêtes SIGP\Enfants de plus de 20 ans\</v>
      </c>
      <c r="AO28">
        <f t="shared" si="13"/>
        <v>135</v>
      </c>
      <c r="AP28" t="str">
        <f t="shared" si="9"/>
        <v>165.160.113.240\utilisat\Public\02-Exploitation\1 - ETATS\1 - A traiter\Salariés\4 - Avril\11 - Requêtes SIGP\Enfants de plus de 20 ans</v>
      </c>
    </row>
    <row r="29" spans="1:4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42" x14ac:dyDescent="0.25">
      <c r="A30" s="242" t="s">
        <v>16</v>
      </c>
      <c r="B30" s="242"/>
      <c r="C30" s="242"/>
      <c r="D30" s="242"/>
      <c r="E30" s="244" t="s">
        <v>17</v>
      </c>
      <c r="F30" s="237"/>
      <c r="G30" s="237"/>
      <c r="H30" s="237"/>
      <c r="I30" s="237" t="s">
        <v>18</v>
      </c>
      <c r="J30" s="237"/>
      <c r="K30" s="237"/>
      <c r="L30" s="237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42" x14ac:dyDescent="0.25">
      <c r="A31" s="242"/>
      <c r="B31" s="242"/>
      <c r="C31" s="242"/>
      <c r="D31" s="243"/>
      <c r="E31" s="180" t="s">
        <v>459</v>
      </c>
      <c r="F31" s="181"/>
      <c r="G31" s="181"/>
      <c r="H31" s="182"/>
      <c r="I31" s="197" t="s">
        <v>19</v>
      </c>
      <c r="J31" s="197"/>
      <c r="K31" s="197" t="s">
        <v>20</v>
      </c>
      <c r="L31" s="19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42" x14ac:dyDescent="0.25">
      <c r="A32" s="237" t="s">
        <v>21</v>
      </c>
      <c r="B32" s="237"/>
      <c r="C32" s="237"/>
      <c r="D32" s="238"/>
      <c r="E32" s="201" t="s">
        <v>91</v>
      </c>
      <c r="F32" s="202"/>
      <c r="G32" s="202"/>
      <c r="H32" s="203"/>
      <c r="I32" s="201" t="s">
        <v>81</v>
      </c>
      <c r="J32" s="202"/>
      <c r="K32" s="202"/>
      <c r="L32" s="203"/>
      <c r="M32" s="1"/>
      <c r="N32" s="1"/>
      <c r="O32" s="233" t="s">
        <v>28</v>
      </c>
      <c r="P32" s="233"/>
      <c r="Q32" s="233"/>
      <c r="R32" s="233"/>
      <c r="S32" s="233"/>
      <c r="T32" s="1"/>
      <c r="U32" s="1"/>
      <c r="V32" s="1"/>
      <c r="W32" s="1"/>
      <c r="X32" s="1"/>
      <c r="Y32" s="1"/>
      <c r="Z32" s="1"/>
      <c r="AA32" s="1"/>
      <c r="AB32" s="1"/>
      <c r="AC32" s="1" t="str">
        <f t="shared" si="1"/>
        <v>4 - I - Géode</v>
      </c>
      <c r="AD32" s="1" t="str">
        <f ca="1">$D$18&amp; "\" &amp;$D$79&amp; "\" &amp;E32&amp; "\" &amp;I32 &amp; "\"</f>
        <v>\\206.197.30.240\utilisat\Public\oldatild\2018\4 - I - Géode\Rejet Flux I-Géode\</v>
      </c>
      <c r="AE32" s="1">
        <f t="shared" ca="1" si="2"/>
        <v>80</v>
      </c>
      <c r="AF32" s="1">
        <f t="shared" ca="1" si="3"/>
        <v>78</v>
      </c>
      <c r="AG32" s="1" t="str">
        <f t="shared" ref="AG32:AG38" ca="1" si="14">RIGHT(AD32,AF32)</f>
        <v>206.197.30.240\utilisat\Public\oldatild\2018\4 - I - Géode\Rejet Flux I-Géode\</v>
      </c>
      <c r="AH32">
        <f t="shared" ref="AH32:AH38" ca="1" si="15">AF32-1</f>
        <v>77</v>
      </c>
      <c r="AI32" t="str">
        <f t="shared" ref="AI32:AI38" ca="1" si="16">LEFT(AG32,AH32)</f>
        <v>206.197.30.240\utilisat\Public\oldatild\2018\4 - I - Géode\Rejet Flux I-Géode</v>
      </c>
    </row>
    <row r="33" spans="1:35" x14ac:dyDescent="0.25">
      <c r="A33" s="237" t="s">
        <v>22</v>
      </c>
      <c r="B33" s="237"/>
      <c r="C33" s="237"/>
      <c r="D33" s="238"/>
      <c r="E33" s="201" t="s">
        <v>92</v>
      </c>
      <c r="F33" s="202"/>
      <c r="G33" s="202"/>
      <c r="H33" s="203"/>
      <c r="I33" s="201" t="s">
        <v>93</v>
      </c>
      <c r="J33" s="202"/>
      <c r="K33" s="202"/>
      <c r="L33" s="203"/>
      <c r="M33" s="1"/>
      <c r="N33" s="1"/>
      <c r="O33" s="239" t="s">
        <v>32</v>
      </c>
      <c r="P33" s="239"/>
      <c r="Q33" s="239"/>
      <c r="R33" s="239"/>
      <c r="S33" s="239"/>
      <c r="T33" s="1"/>
      <c r="U33" s="1"/>
      <c r="V33" s="1"/>
      <c r="W33" s="1"/>
      <c r="X33" s="1"/>
      <c r="Y33" s="1"/>
      <c r="Z33" s="1"/>
      <c r="AA33" s="1"/>
      <c r="AB33" s="1"/>
      <c r="AC33" s="1" t="str">
        <f t="shared" si="1"/>
        <v>5 - SURF</v>
      </c>
      <c r="AD33" s="1" t="str">
        <f t="shared" ref="AD33:AD38" ca="1" si="17">$D$18&amp; "\" &amp;$D$79&amp; "\" &amp;E33&amp; "\" &amp;I33 &amp; "\"</f>
        <v>\\206.197.30.240\utilisat\Public\oldatild\2018\5 - SURF\Anomalies absences Géode (Flux E04)\</v>
      </c>
      <c r="AE33" s="1">
        <f t="shared" ca="1" si="2"/>
        <v>92</v>
      </c>
      <c r="AF33" s="1">
        <f t="shared" ca="1" si="3"/>
        <v>90</v>
      </c>
      <c r="AG33" s="1" t="str">
        <f t="shared" ca="1" si="14"/>
        <v>206.197.30.240\utilisat\Public\oldatild\2018\5 - SURF\Anomalies absences Géode (Flux E04)\</v>
      </c>
      <c r="AH33">
        <f t="shared" ca="1" si="15"/>
        <v>89</v>
      </c>
      <c r="AI33" t="str">
        <f t="shared" ca="1" si="16"/>
        <v>206.197.30.240\utilisat\Public\oldatild\2018\5 - SURF\Anomalies absences Géode (Flux E04)</v>
      </c>
    </row>
    <row r="34" spans="1:35" x14ac:dyDescent="0.25">
      <c r="A34" s="237" t="s">
        <v>23</v>
      </c>
      <c r="B34" s="237"/>
      <c r="C34" s="237"/>
      <c r="D34" s="238"/>
      <c r="E34" s="201" t="s">
        <v>94</v>
      </c>
      <c r="F34" s="202"/>
      <c r="G34" s="202"/>
      <c r="H34" s="203"/>
      <c r="I34" s="201" t="s">
        <v>23</v>
      </c>
      <c r="J34" s="202"/>
      <c r="K34" s="202"/>
      <c r="L34" s="203"/>
      <c r="M34" s="1"/>
      <c r="N34" s="1"/>
      <c r="O34" s="239"/>
      <c r="P34" s="239"/>
      <c r="Q34" s="239"/>
      <c r="R34" s="239"/>
      <c r="S34" s="239"/>
      <c r="T34" s="1"/>
      <c r="U34" s="1"/>
      <c r="V34" s="1"/>
      <c r="W34" s="1"/>
      <c r="X34" s="1"/>
      <c r="Y34" s="1"/>
      <c r="Z34" s="1"/>
      <c r="AA34" s="1"/>
      <c r="AB34" s="1"/>
      <c r="AC34" s="1" t="str">
        <f t="shared" si="1"/>
        <v>6 - Requêtes</v>
      </c>
      <c r="AD34" s="1" t="str">
        <f t="shared" ca="1" si="17"/>
        <v>\\206.197.30.240\utilisat\Public\oldatild\2018\6 - Requêtes\Contrats sans dossier de paie\</v>
      </c>
      <c r="AE34" s="1">
        <f t="shared" ca="1" si="2"/>
        <v>90</v>
      </c>
      <c r="AF34" s="1">
        <f t="shared" ca="1" si="3"/>
        <v>88</v>
      </c>
      <c r="AG34" s="1" t="str">
        <f t="shared" ca="1" si="14"/>
        <v>206.197.30.240\utilisat\Public\oldatild\2018\6 - Requêtes\Contrats sans dossier de paie\</v>
      </c>
      <c r="AH34">
        <f t="shared" ca="1" si="15"/>
        <v>87</v>
      </c>
      <c r="AI34" t="str">
        <f t="shared" ca="1" si="16"/>
        <v>206.197.30.240\utilisat\Public\oldatild\2018\6 - Requêtes\Contrats sans dossier de paie</v>
      </c>
    </row>
    <row r="35" spans="1:35" x14ac:dyDescent="0.25">
      <c r="A35" s="237" t="s">
        <v>24</v>
      </c>
      <c r="B35" s="237"/>
      <c r="C35" s="237"/>
      <c r="D35" s="238"/>
      <c r="E35" s="201" t="s">
        <v>95</v>
      </c>
      <c r="F35" s="202"/>
      <c r="G35" s="202"/>
      <c r="H35" s="203"/>
      <c r="I35" s="201" t="s">
        <v>76</v>
      </c>
      <c r="J35" s="202"/>
      <c r="K35" s="201" t="s">
        <v>20</v>
      </c>
      <c r="L35" s="203"/>
      <c r="M35" s="1"/>
      <c r="N35" s="1"/>
      <c r="O35" s="240" t="s">
        <v>31</v>
      </c>
      <c r="P35" s="240"/>
      <c r="Q35" s="240"/>
      <c r="R35" s="240"/>
      <c r="S35" s="240"/>
      <c r="T35" s="1"/>
      <c r="U35" s="1"/>
      <c r="V35" s="1"/>
      <c r="W35" s="1"/>
      <c r="X35" s="1"/>
      <c r="Y35" s="1"/>
      <c r="Z35" s="1"/>
      <c r="AA35" s="1"/>
      <c r="AB35" s="1"/>
      <c r="AC35" s="1" t="str">
        <f t="shared" si="1"/>
        <v>AED</v>
      </c>
      <c r="AD35" s="1" t="str">
        <f t="shared" ca="1" si="17"/>
        <v>\\206.197.30.240\utilisat\Public\oldatild\2018\AED\Paie de début de mois\</v>
      </c>
      <c r="AE35" s="1">
        <f t="shared" ca="1" si="2"/>
        <v>73</v>
      </c>
      <c r="AF35" s="1">
        <f t="shared" ca="1" si="3"/>
        <v>71</v>
      </c>
      <c r="AG35" s="1" t="str">
        <f t="shared" ca="1" si="14"/>
        <v>206.197.30.240\utilisat\Public\oldatild\2018\AED\Paie de début de mois\</v>
      </c>
      <c r="AH35">
        <f t="shared" ca="1" si="15"/>
        <v>70</v>
      </c>
      <c r="AI35" t="str">
        <f t="shared" ca="1" si="16"/>
        <v>206.197.30.240\utilisat\Public\oldatild\2018\AED\Paie de début de mois</v>
      </c>
    </row>
    <row r="36" spans="1:35" x14ac:dyDescent="0.25">
      <c r="A36" s="237" t="s">
        <v>25</v>
      </c>
      <c r="B36" s="237"/>
      <c r="C36" s="237"/>
      <c r="D36" s="238"/>
      <c r="E36" s="201" t="s">
        <v>94</v>
      </c>
      <c r="F36" s="202"/>
      <c r="G36" s="202"/>
      <c r="H36" s="203"/>
      <c r="I36" s="201" t="s">
        <v>96</v>
      </c>
      <c r="J36" s="202"/>
      <c r="K36" s="202"/>
      <c r="L36" s="203"/>
      <c r="M36" s="1"/>
      <c r="N36" s="1"/>
      <c r="O36" s="177" t="s">
        <v>29</v>
      </c>
      <c r="P36" s="177"/>
      <c r="Q36" s="177"/>
      <c r="R36" s="177"/>
      <c r="S36" s="177"/>
      <c r="T36" s="1"/>
      <c r="U36" s="1"/>
      <c r="V36" s="1"/>
      <c r="W36" s="1"/>
      <c r="X36" s="1"/>
      <c r="Y36" s="1"/>
      <c r="Z36" s="1"/>
      <c r="AA36" s="1"/>
      <c r="AB36" s="1"/>
      <c r="AC36" s="1" t="str">
        <f t="shared" si="1"/>
        <v>6 - Requêtes</v>
      </c>
      <c r="AD36" s="1" t="str">
        <f t="shared" ca="1" si="17"/>
        <v>\\206.197.30.240\utilisat\Public\oldatild\2018\6 - Requêtes\Formations closes\</v>
      </c>
      <c r="AE36" s="1">
        <f t="shared" ca="1" si="2"/>
        <v>78</v>
      </c>
      <c r="AF36" s="1">
        <f t="shared" ca="1" si="3"/>
        <v>76</v>
      </c>
      <c r="AG36" s="1" t="str">
        <f t="shared" ca="1" si="14"/>
        <v>206.197.30.240\utilisat\Public\oldatild\2018\6 - Requêtes\Formations closes\</v>
      </c>
      <c r="AH36">
        <f t="shared" ca="1" si="15"/>
        <v>75</v>
      </c>
      <c r="AI36" t="str">
        <f t="shared" ca="1" si="16"/>
        <v>206.197.30.240\utilisat\Public\oldatild\2018\6 - Requêtes\Formations closes</v>
      </c>
    </row>
    <row r="37" spans="1:35" x14ac:dyDescent="0.25">
      <c r="A37" s="237" t="s">
        <v>26</v>
      </c>
      <c r="B37" s="237"/>
      <c r="C37" s="237"/>
      <c r="D37" s="238"/>
      <c r="E37" s="201" t="s">
        <v>94</v>
      </c>
      <c r="F37" s="202"/>
      <c r="G37" s="202"/>
      <c r="H37" s="203"/>
      <c r="I37" s="201" t="s">
        <v>97</v>
      </c>
      <c r="J37" s="202"/>
      <c r="K37" s="202"/>
      <c r="L37" s="203"/>
      <c r="M37" s="1"/>
      <c r="N37" s="1"/>
      <c r="O37" s="177"/>
      <c r="P37" s="177"/>
      <c r="Q37" s="177"/>
      <c r="R37" s="177"/>
      <c r="S37" s="177"/>
      <c r="T37" s="1"/>
      <c r="U37" s="1"/>
      <c r="V37" s="1"/>
      <c r="W37" s="1"/>
      <c r="X37" s="1"/>
      <c r="Y37" s="1"/>
      <c r="Z37" s="1"/>
      <c r="AA37" s="1"/>
      <c r="AB37" s="1"/>
      <c r="AC37" s="1" t="str">
        <f t="shared" si="1"/>
        <v>6 - Requêtes</v>
      </c>
      <c r="AD37" s="1" t="str">
        <f t="shared" ca="1" si="17"/>
        <v>\\206.197.30.240\utilisat\Public\oldatild\2018\6 - Requêtes\EVI non supprimés après paie\</v>
      </c>
      <c r="AE37" s="1">
        <f t="shared" ca="1" si="2"/>
        <v>89</v>
      </c>
      <c r="AF37" s="1">
        <f t="shared" ca="1" si="3"/>
        <v>87</v>
      </c>
      <c r="AG37" s="1" t="str">
        <f t="shared" ca="1" si="14"/>
        <v>206.197.30.240\utilisat\Public\oldatild\2018\6 - Requêtes\EVI non supprimés après paie\</v>
      </c>
      <c r="AH37">
        <f t="shared" ca="1" si="15"/>
        <v>86</v>
      </c>
      <c r="AI37" t="str">
        <f t="shared" ca="1" si="16"/>
        <v>206.197.30.240\utilisat\Public\oldatild\2018\6 - Requêtes\EVI non supprimés après paie</v>
      </c>
    </row>
    <row r="38" spans="1:35" x14ac:dyDescent="0.25">
      <c r="A38" s="237" t="s">
        <v>27</v>
      </c>
      <c r="B38" s="237"/>
      <c r="C38" s="237"/>
      <c r="D38" s="238"/>
      <c r="E38" s="201" t="s">
        <v>94</v>
      </c>
      <c r="F38" s="202"/>
      <c r="G38" s="202"/>
      <c r="H38" s="203"/>
      <c r="I38" s="201" t="s">
        <v>78</v>
      </c>
      <c r="J38" s="202"/>
      <c r="K38" s="202"/>
      <c r="L38" s="203"/>
      <c r="M38" s="1"/>
      <c r="N38" s="1"/>
      <c r="O38" s="177"/>
      <c r="P38" s="177"/>
      <c r="Q38" s="177"/>
      <c r="R38" s="177"/>
      <c r="S38" s="177"/>
      <c r="T38" s="1"/>
      <c r="U38" s="1"/>
      <c r="V38" s="1"/>
      <c r="W38" s="1"/>
      <c r="X38" s="1"/>
      <c r="Y38" s="1"/>
      <c r="Z38" s="1"/>
      <c r="AA38" s="1"/>
      <c r="AB38" s="1"/>
      <c r="AC38" s="1" t="str">
        <f t="shared" si="1"/>
        <v>6 - Requêtes</v>
      </c>
      <c r="AD38" s="1" t="str">
        <f t="shared" ca="1" si="17"/>
        <v>\\206.197.30.240\utilisat\Public\oldatild\2018\6 - Requêtes\Enfant de plus de 20 ans\</v>
      </c>
      <c r="AE38" s="1">
        <f t="shared" ca="1" si="2"/>
        <v>85</v>
      </c>
      <c r="AF38" s="1">
        <f t="shared" ca="1" si="3"/>
        <v>83</v>
      </c>
      <c r="AG38" s="1" t="str">
        <f t="shared" ca="1" si="14"/>
        <v>206.197.30.240\utilisat\Public\oldatild\2018\6 - Requêtes\Enfant de plus de 20 ans\</v>
      </c>
      <c r="AH38">
        <f t="shared" ca="1" si="15"/>
        <v>82</v>
      </c>
      <c r="AI38" t="str">
        <f t="shared" ca="1" si="16"/>
        <v>206.197.30.240\utilisat\Public\oldatild\2018\6 - Requêtes\Enfant de plus de 20 ans</v>
      </c>
    </row>
    <row r="39" spans="1:35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5" hidden="1" x14ac:dyDescent="0.25">
      <c r="A40" s="195" t="s">
        <v>38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"/>
      <c r="N40" s="1"/>
      <c r="O40" s="183" t="s">
        <v>121</v>
      </c>
      <c r="P40" s="183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5" hidden="1" x14ac:dyDescent="0.25">
      <c r="A41" s="195"/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5" hidden="1" x14ac:dyDescent="0.25">
      <c r="A42" s="196" t="s">
        <v>39</v>
      </c>
      <c r="B42" s="196"/>
      <c r="C42" s="10" t="s">
        <v>115</v>
      </c>
      <c r="D42" s="196" t="s">
        <v>40</v>
      </c>
      <c r="E42" s="196"/>
      <c r="F42" s="9" t="s">
        <v>115</v>
      </c>
      <c r="G42" s="196" t="s">
        <v>41</v>
      </c>
      <c r="H42" s="196"/>
      <c r="I42" s="9" t="s">
        <v>115</v>
      </c>
      <c r="J42" s="1"/>
      <c r="K42" s="196" t="s">
        <v>461</v>
      </c>
      <c r="L42" s="196"/>
      <c r="M42" s="1"/>
      <c r="N42" s="1"/>
      <c r="O42" s="184" t="s">
        <v>115</v>
      </c>
      <c r="P42" s="185"/>
      <c r="Q42" s="4" t="s">
        <v>116</v>
      </c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5" hidden="1" x14ac:dyDescent="0.25">
      <c r="A43" s="125"/>
      <c r="B43" s="124" t="s">
        <v>98</v>
      </c>
      <c r="C43" s="7">
        <v>1</v>
      </c>
      <c r="D43" s="125"/>
      <c r="E43" s="126" t="s">
        <v>106</v>
      </c>
      <c r="F43" s="11">
        <v>1</v>
      </c>
      <c r="G43" s="125"/>
      <c r="H43" s="124">
        <v>594400</v>
      </c>
      <c r="I43" s="11">
        <v>1</v>
      </c>
      <c r="J43" s="1"/>
      <c r="K43" s="192">
        <v>590312</v>
      </c>
      <c r="L43" s="192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5" hidden="1" x14ac:dyDescent="0.25">
      <c r="A44" s="125"/>
      <c r="B44" s="124" t="s">
        <v>99</v>
      </c>
      <c r="C44" s="7">
        <f>IF(B44&lt;&gt;"",2,"")</f>
        <v>2</v>
      </c>
      <c r="D44" s="125"/>
      <c r="E44" s="124" t="s">
        <v>107</v>
      </c>
      <c r="F44" s="11">
        <v>2</v>
      </c>
      <c r="G44" s="125"/>
      <c r="H44" s="124">
        <v>621550</v>
      </c>
      <c r="I44" s="11">
        <v>2</v>
      </c>
      <c r="J44" s="1"/>
      <c r="K44" s="1"/>
      <c r="L44" s="1"/>
      <c r="M44" s="1"/>
      <c r="N44" s="1"/>
      <c r="O44" s="186"/>
      <c r="P44" s="187"/>
      <c r="Q44" s="4" t="s">
        <v>14</v>
      </c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5" hidden="1" x14ac:dyDescent="0.25">
      <c r="A45" s="125"/>
      <c r="B45" s="124" t="s">
        <v>100</v>
      </c>
      <c r="C45" s="7">
        <f>IF(B45&lt;&gt;"",3,"")</f>
        <v>3</v>
      </c>
      <c r="D45" s="125"/>
      <c r="E45" s="124" t="s">
        <v>108</v>
      </c>
      <c r="F45" s="11">
        <v>5</v>
      </c>
      <c r="G45" s="125"/>
      <c r="H45" s="124">
        <v>750775</v>
      </c>
      <c r="I45" s="11">
        <v>5</v>
      </c>
      <c r="J45" s="1"/>
      <c r="K45" s="1"/>
      <c r="L45" s="127">
        <f>MAX(C43:C52)</f>
        <v>10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5" hidden="1" x14ac:dyDescent="0.25">
      <c r="A46" s="125"/>
      <c r="B46" s="124" t="s">
        <v>101</v>
      </c>
      <c r="C46" s="7">
        <f>IF(B46&lt;&gt;"",4,"")</f>
        <v>4</v>
      </c>
      <c r="D46" s="125"/>
      <c r="E46" s="124" t="s">
        <v>109</v>
      </c>
      <c r="F46" s="11">
        <v>6</v>
      </c>
      <c r="G46" s="125"/>
      <c r="H46" s="124">
        <v>750854</v>
      </c>
      <c r="I46" s="11">
        <v>6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5" hidden="1" x14ac:dyDescent="0.25">
      <c r="A47" s="125"/>
      <c r="B47" s="124" t="s">
        <v>102</v>
      </c>
      <c r="C47" s="7">
        <f>IF(B47&lt;&gt;"",5,"")</f>
        <v>5</v>
      </c>
      <c r="D47" s="125"/>
      <c r="E47" s="124" t="s">
        <v>110</v>
      </c>
      <c r="F47" s="11">
        <v>8</v>
      </c>
      <c r="G47" s="125"/>
      <c r="H47" s="124">
        <v>755530</v>
      </c>
      <c r="I47" s="11">
        <v>7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5" hidden="1" x14ac:dyDescent="0.25">
      <c r="A48" s="125"/>
      <c r="B48" s="124" t="s">
        <v>103</v>
      </c>
      <c r="C48" s="7">
        <f>IF(B48&lt;&gt;"",6,"")</f>
        <v>6</v>
      </c>
      <c r="D48" s="125"/>
      <c r="E48" s="124" t="s">
        <v>111</v>
      </c>
      <c r="F48" s="11">
        <v>7</v>
      </c>
      <c r="G48" s="125"/>
      <c r="H48" s="124">
        <v>761530</v>
      </c>
      <c r="I48" s="11">
        <v>3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idden="1" x14ac:dyDescent="0.25">
      <c r="A49" s="125"/>
      <c r="B49" s="124" t="s">
        <v>462</v>
      </c>
      <c r="C49" s="7">
        <f>IF(B49&lt;&gt;"",7,"")</f>
        <v>7</v>
      </c>
      <c r="D49" s="125"/>
      <c r="E49" s="124" t="s">
        <v>112</v>
      </c>
      <c r="F49" s="11">
        <v>3</v>
      </c>
      <c r="G49" s="125"/>
      <c r="H49" s="124">
        <v>800830</v>
      </c>
      <c r="I49" s="11">
        <v>4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idden="1" x14ac:dyDescent="0.25">
      <c r="A50" s="125"/>
      <c r="B50" s="124" t="s">
        <v>463</v>
      </c>
      <c r="C50" s="7">
        <f>IF(B50&lt;&gt;"",8,"")</f>
        <v>8</v>
      </c>
      <c r="D50" s="125"/>
      <c r="E50" s="124" t="s">
        <v>464</v>
      </c>
      <c r="F50" s="11">
        <v>4</v>
      </c>
      <c r="G50" s="125"/>
      <c r="H50" s="124">
        <v>931960</v>
      </c>
      <c r="I50" s="11">
        <v>9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idden="1" x14ac:dyDescent="0.25">
      <c r="A51" s="125"/>
      <c r="B51" s="124" t="s">
        <v>104</v>
      </c>
      <c r="C51" s="7">
        <f>IF(B51&lt;&gt;"",9,"")</f>
        <v>9</v>
      </c>
      <c r="D51" s="125"/>
      <c r="E51" s="124" t="s">
        <v>113</v>
      </c>
      <c r="F51" s="11">
        <v>9</v>
      </c>
      <c r="G51" s="125"/>
      <c r="H51" s="124">
        <v>942440</v>
      </c>
      <c r="I51" s="11">
        <v>10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idden="1" x14ac:dyDescent="0.25">
      <c r="A52" s="125"/>
      <c r="B52" s="124" t="s">
        <v>105</v>
      </c>
      <c r="C52" s="7">
        <f>IF(B52&lt;&gt;"",10,"")</f>
        <v>10</v>
      </c>
      <c r="D52" s="125"/>
      <c r="E52" s="124" t="s">
        <v>114</v>
      </c>
      <c r="F52" s="11">
        <v>10</v>
      </c>
      <c r="G52" s="125"/>
      <c r="H52" s="124"/>
      <c r="I52" s="8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15" hidden="1" customHeight="1" x14ac:dyDescent="0.25">
      <c r="A54" s="190" t="s">
        <v>42</v>
      </c>
      <c r="B54" s="190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15" hidden="1" customHeight="1" x14ac:dyDescent="0.25">
      <c r="A55" s="190"/>
      <c r="B55" s="190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"/>
      <c r="N55" s="1"/>
      <c r="O55" s="183" t="s">
        <v>121</v>
      </c>
      <c r="P55" s="183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idden="1" x14ac:dyDescent="0.25">
      <c r="A56" s="1"/>
      <c r="B56" s="1"/>
      <c r="C56" s="1"/>
      <c r="D56" s="1"/>
      <c r="E56" s="191" t="s">
        <v>43</v>
      </c>
      <c r="F56" s="191"/>
      <c r="G56" s="191"/>
      <c r="H56" s="19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idden="1" x14ac:dyDescent="0.25">
      <c r="A57" s="1"/>
      <c r="B57" s="1"/>
      <c r="C57" s="1"/>
      <c r="D57" s="1"/>
      <c r="E57" s="192" t="s">
        <v>117</v>
      </c>
      <c r="F57" s="192"/>
      <c r="G57" s="192"/>
      <c r="H57" s="192"/>
      <c r="I57" s="1"/>
      <c r="J57" s="1"/>
      <c r="K57" s="1"/>
      <c r="L57" s="1"/>
      <c r="M57" s="1"/>
      <c r="N57" s="1"/>
      <c r="O57" s="186"/>
      <c r="P57" s="187"/>
      <c r="Q57" s="4" t="s">
        <v>14</v>
      </c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15" hidden="1" customHeight="1" x14ac:dyDescent="0.25">
      <c r="A59" s="193" t="s">
        <v>44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15" hidden="1" customHeight="1" x14ac:dyDescent="0.25">
      <c r="A60" s="193"/>
      <c r="B60" s="193"/>
      <c r="C60" s="193"/>
      <c r="D60" s="193"/>
      <c r="E60" s="193"/>
      <c r="F60" s="193"/>
      <c r="G60" s="193"/>
      <c r="H60" s="193"/>
      <c r="I60" s="193"/>
      <c r="J60" s="193"/>
      <c r="K60" s="193"/>
      <c r="L60" s="193"/>
      <c r="M60" s="1"/>
      <c r="N60" s="1"/>
      <c r="O60" s="183" t="s">
        <v>121</v>
      </c>
      <c r="P60" s="183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idden="1" x14ac:dyDescent="0.25">
      <c r="A61" s="1"/>
      <c r="B61" s="1"/>
      <c r="C61" s="1"/>
      <c r="D61" s="194" t="s">
        <v>45</v>
      </c>
      <c r="E61" s="194"/>
      <c r="F61" s="194"/>
      <c r="G61" s="194"/>
      <c r="H61" s="194"/>
      <c r="I61" s="19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idden="1" x14ac:dyDescent="0.25">
      <c r="A62" s="1"/>
      <c r="B62" s="1"/>
      <c r="C62" s="1"/>
      <c r="D62" s="128" t="s">
        <v>118</v>
      </c>
      <c r="E62" s="129"/>
      <c r="F62" s="128" t="s">
        <v>119</v>
      </c>
      <c r="G62" s="129"/>
      <c r="H62" s="128" t="s">
        <v>120</v>
      </c>
      <c r="I62" s="129"/>
      <c r="J62" s="1"/>
      <c r="K62" s="1"/>
      <c r="L62" s="1"/>
      <c r="M62" s="1"/>
      <c r="N62" s="1"/>
      <c r="O62" s="186"/>
      <c r="P62" s="187"/>
      <c r="Q62" s="4" t="s">
        <v>14</v>
      </c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15" hidden="1" customHeight="1" x14ac:dyDescent="0.25">
      <c r="A64" s="188" t="s">
        <v>46</v>
      </c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15" hidden="1" customHeight="1" x14ac:dyDescent="0.25">
      <c r="A65" s="188"/>
      <c r="B65" s="188"/>
      <c r="C65" s="188"/>
      <c r="D65" s="188"/>
      <c r="E65" s="188"/>
      <c r="F65" s="188"/>
      <c r="G65" s="188"/>
      <c r="H65" s="188"/>
      <c r="I65" s="188"/>
      <c r="J65" s="188"/>
      <c r="K65" s="188"/>
      <c r="L65" s="188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idden="1" x14ac:dyDescent="0.25">
      <c r="A66" s="189" t="s">
        <v>47</v>
      </c>
      <c r="B66" s="189"/>
      <c r="C66" s="189"/>
      <c r="D66" s="189"/>
      <c r="E66" s="189"/>
      <c r="F66" s="189"/>
      <c r="G66" s="189"/>
      <c r="H66" s="189"/>
      <c r="I66" s="189"/>
      <c r="J66" s="189"/>
      <c r="K66" s="189"/>
      <c r="L66" s="189"/>
      <c r="M66" s="1"/>
      <c r="N66" s="1"/>
      <c r="O66" s="183" t="s">
        <v>121</v>
      </c>
      <c r="P66" s="18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idden="1" x14ac:dyDescent="0.25">
      <c r="A67" s="204" t="s">
        <v>48</v>
      </c>
      <c r="B67" s="204"/>
      <c r="C67" s="1"/>
      <c r="D67" s="204" t="s">
        <v>49</v>
      </c>
      <c r="E67" s="204"/>
      <c r="F67" s="1"/>
      <c r="G67" s="204" t="s">
        <v>50</v>
      </c>
      <c r="H67" s="204"/>
      <c r="I67" s="1"/>
      <c r="J67" s="204" t="s">
        <v>52</v>
      </c>
      <c r="K67" s="204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idden="1" x14ac:dyDescent="0.25">
      <c r="A68" s="198" t="s">
        <v>55</v>
      </c>
      <c r="B68" s="198"/>
      <c r="C68" s="1"/>
      <c r="D68" s="192" t="s">
        <v>67</v>
      </c>
      <c r="E68" s="192"/>
      <c r="F68" s="1"/>
      <c r="G68" s="192" t="s">
        <v>76</v>
      </c>
      <c r="H68" s="192"/>
      <c r="I68" s="1"/>
      <c r="J68" s="192" t="s">
        <v>21</v>
      </c>
      <c r="K68" s="192"/>
      <c r="L68" s="1"/>
      <c r="M68" s="1"/>
      <c r="N68" s="1"/>
      <c r="O68" s="186"/>
      <c r="P68" s="187"/>
      <c r="Q68" s="4" t="s">
        <v>14</v>
      </c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idden="1" x14ac:dyDescent="0.25">
      <c r="A69" s="198" t="s">
        <v>56</v>
      </c>
      <c r="B69" s="198"/>
      <c r="C69" s="1"/>
      <c r="D69" s="192" t="s">
        <v>68</v>
      </c>
      <c r="E69" s="192"/>
      <c r="F69" s="1"/>
      <c r="G69" s="192" t="s">
        <v>20</v>
      </c>
      <c r="H69" s="192"/>
      <c r="I69" s="1"/>
      <c r="J69" s="192" t="s">
        <v>22</v>
      </c>
      <c r="K69" s="19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idden="1" x14ac:dyDescent="0.25">
      <c r="A70" s="198" t="s">
        <v>57</v>
      </c>
      <c r="B70" s="198"/>
      <c r="C70" s="1"/>
      <c r="D70" s="192" t="s">
        <v>69</v>
      </c>
      <c r="E70" s="192"/>
      <c r="F70" s="1"/>
      <c r="G70" s="1"/>
      <c r="H70" s="1"/>
      <c r="I70" s="1"/>
      <c r="J70" s="192" t="s">
        <v>77</v>
      </c>
      <c r="K70" s="192"/>
      <c r="L70" s="1"/>
      <c r="M70" s="1"/>
      <c r="N70" s="1"/>
      <c r="O70" s="178"/>
      <c r="P70" s="179"/>
      <c r="Q70" s="4" t="s">
        <v>35</v>
      </c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idden="1" x14ac:dyDescent="0.25">
      <c r="A71" s="198" t="s">
        <v>58</v>
      </c>
      <c r="B71" s="198"/>
      <c r="C71" s="1"/>
      <c r="D71" s="192" t="s">
        <v>70</v>
      </c>
      <c r="E71" s="192"/>
      <c r="F71" s="1"/>
      <c r="G71" s="204" t="s">
        <v>51</v>
      </c>
      <c r="H71" s="204"/>
      <c r="I71" s="1"/>
      <c r="J71" s="192" t="s">
        <v>25</v>
      </c>
      <c r="K71" s="19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idden="1" x14ac:dyDescent="0.25">
      <c r="A72" s="198" t="s">
        <v>59</v>
      </c>
      <c r="B72" s="198"/>
      <c r="C72" s="1"/>
      <c r="D72" s="192" t="s">
        <v>71</v>
      </c>
      <c r="E72" s="192"/>
      <c r="F72" s="1"/>
      <c r="G72" s="192" t="str">
        <f>IF(J14=2,B17,"")</f>
        <v>Paris</v>
      </c>
      <c r="H72" s="192"/>
      <c r="I72" s="1"/>
      <c r="J72" s="205"/>
      <c r="K72" s="206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idden="1" x14ac:dyDescent="0.25">
      <c r="A73" s="198" t="s">
        <v>60</v>
      </c>
      <c r="B73" s="198"/>
      <c r="C73" s="1"/>
      <c r="D73" s="192" t="s">
        <v>72</v>
      </c>
      <c r="E73" s="192"/>
      <c r="F73" s="1"/>
      <c r="G73" s="192" t="str">
        <f>IF(J14=2,B16&amp; " / " &amp;B17,B16)</f>
        <v>Lille / Paris</v>
      </c>
      <c r="H73" s="19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idden="1" x14ac:dyDescent="0.25">
      <c r="A74" s="198" t="s">
        <v>61</v>
      </c>
      <c r="B74" s="198"/>
      <c r="C74" s="1"/>
      <c r="D74" s="192" t="s">
        <v>73</v>
      </c>
      <c r="E74" s="192"/>
      <c r="F74" s="1"/>
      <c r="G74" s="1"/>
      <c r="H74" s="1"/>
      <c r="I74" s="1"/>
      <c r="J74" s="204" t="s">
        <v>53</v>
      </c>
      <c r="K74" s="204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idden="1" x14ac:dyDescent="0.25">
      <c r="A75" s="198" t="s">
        <v>62</v>
      </c>
      <c r="B75" s="198"/>
      <c r="C75" s="1"/>
      <c r="D75" s="192" t="s">
        <v>74</v>
      </c>
      <c r="E75" s="192"/>
      <c r="F75" s="1"/>
      <c r="G75" s="204" t="s">
        <v>54</v>
      </c>
      <c r="H75" s="204"/>
      <c r="I75" s="1"/>
      <c r="J75" s="192" t="s">
        <v>25</v>
      </c>
      <c r="K75" s="19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idden="1" x14ac:dyDescent="0.25">
      <c r="A76" s="198" t="s">
        <v>63</v>
      </c>
      <c r="B76" s="198"/>
      <c r="C76" s="1"/>
      <c r="D76" s="192" t="s">
        <v>75</v>
      </c>
      <c r="E76" s="192"/>
      <c r="F76" s="1"/>
      <c r="G76" s="200" t="s">
        <v>58</v>
      </c>
      <c r="H76" s="200"/>
      <c r="I76" s="1"/>
      <c r="J76" s="192" t="s">
        <v>23</v>
      </c>
      <c r="K76" s="19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idden="1" x14ac:dyDescent="0.25">
      <c r="A77" s="198" t="s">
        <v>64</v>
      </c>
      <c r="B77" s="198"/>
      <c r="C77" s="1"/>
      <c r="D77" s="1"/>
      <c r="E77" s="1"/>
      <c r="F77" s="1"/>
      <c r="G77" s="200" t="str">
        <f>G76</f>
        <v>\4 - Avril</v>
      </c>
      <c r="H77" s="200"/>
      <c r="I77" s="1"/>
      <c r="J77" s="192" t="s">
        <v>78</v>
      </c>
      <c r="K77" s="19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idden="1" x14ac:dyDescent="0.25">
      <c r="A78" s="198" t="s">
        <v>65</v>
      </c>
      <c r="B78" s="198"/>
      <c r="C78" s="1"/>
      <c r="D78" s="199">
        <f ca="1">TODAY()</f>
        <v>43259</v>
      </c>
      <c r="E78" s="200"/>
      <c r="F78" s="1"/>
      <c r="G78" s="200" t="str">
        <f>MID(G77,5,20)</f>
        <v xml:space="preserve"> Avril</v>
      </c>
      <c r="H78" s="200"/>
      <c r="I78" s="1"/>
      <c r="J78" s="192" t="s">
        <v>24</v>
      </c>
      <c r="K78" s="19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idden="1" x14ac:dyDescent="0.25">
      <c r="A79" s="198" t="s">
        <v>66</v>
      </c>
      <c r="B79" s="198"/>
      <c r="C79" s="1"/>
      <c r="D79" s="200">
        <f ca="1">YEAR(D78)</f>
        <v>2018</v>
      </c>
      <c r="E79" s="200"/>
      <c r="F79" s="1"/>
      <c r="G79" s="1"/>
      <c r="H79" s="1"/>
      <c r="I79" s="1"/>
      <c r="J79" s="192" t="s">
        <v>26</v>
      </c>
      <c r="K79" s="19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 t="s">
        <v>79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</sheetData>
  <mergeCells count="156">
    <mergeCell ref="I35:J35"/>
    <mergeCell ref="K35:L35"/>
    <mergeCell ref="I34:L34"/>
    <mergeCell ref="I33:L33"/>
    <mergeCell ref="I32:L32"/>
    <mergeCell ref="E33:H33"/>
    <mergeCell ref="E32:H32"/>
    <mergeCell ref="I31:J31"/>
    <mergeCell ref="K31:L31"/>
    <mergeCell ref="I30:L30"/>
    <mergeCell ref="A26:D26"/>
    <mergeCell ref="A27:D27"/>
    <mergeCell ref="I23:L23"/>
    <mergeCell ref="E26:H26"/>
    <mergeCell ref="I26:L26"/>
    <mergeCell ref="E27:H27"/>
    <mergeCell ref="E28:H28"/>
    <mergeCell ref="I27:L27"/>
    <mergeCell ref="A23:D23"/>
    <mergeCell ref="A24:D24"/>
    <mergeCell ref="A25:D25"/>
    <mergeCell ref="I24:J24"/>
    <mergeCell ref="G24:H24"/>
    <mergeCell ref="G25:H25"/>
    <mergeCell ref="I28:L28"/>
    <mergeCell ref="K24:L24"/>
    <mergeCell ref="K25:L25"/>
    <mergeCell ref="E23:H23"/>
    <mergeCell ref="A38:D38"/>
    <mergeCell ref="O23:S24"/>
    <mergeCell ref="O25:S25"/>
    <mergeCell ref="O32:S32"/>
    <mergeCell ref="O33:S34"/>
    <mergeCell ref="O35:S35"/>
    <mergeCell ref="A36:D36"/>
    <mergeCell ref="A37:D37"/>
    <mergeCell ref="A34:D34"/>
    <mergeCell ref="A35:D35"/>
    <mergeCell ref="O36:S38"/>
    <mergeCell ref="I36:L36"/>
    <mergeCell ref="I37:L37"/>
    <mergeCell ref="I38:L38"/>
    <mergeCell ref="E38:H38"/>
    <mergeCell ref="E37:H37"/>
    <mergeCell ref="E36:H36"/>
    <mergeCell ref="A32:D32"/>
    <mergeCell ref="E25:F25"/>
    <mergeCell ref="E24:F24"/>
    <mergeCell ref="I25:J25"/>
    <mergeCell ref="A33:D33"/>
    <mergeCell ref="A30:D31"/>
    <mergeCell ref="E30:H30"/>
    <mergeCell ref="O15:P15"/>
    <mergeCell ref="O17:P17"/>
    <mergeCell ref="B15:C15"/>
    <mergeCell ref="B16:C16"/>
    <mergeCell ref="B17:C17"/>
    <mergeCell ref="D15:L15"/>
    <mergeCell ref="D16:L16"/>
    <mergeCell ref="D17:L17"/>
    <mergeCell ref="O22:S22"/>
    <mergeCell ref="E22:H22"/>
    <mergeCell ref="I22:L22"/>
    <mergeCell ref="O12:P12"/>
    <mergeCell ref="G71:H71"/>
    <mergeCell ref="K42:L42"/>
    <mergeCell ref="K43:L43"/>
    <mergeCell ref="D42:E42"/>
    <mergeCell ref="G72:H72"/>
    <mergeCell ref="A77:B77"/>
    <mergeCell ref="G69:H69"/>
    <mergeCell ref="A1:L3"/>
    <mergeCell ref="A12:L13"/>
    <mergeCell ref="A9:L9"/>
    <mergeCell ref="A10:L10"/>
    <mergeCell ref="A14:I14"/>
    <mergeCell ref="J14:L14"/>
    <mergeCell ref="B18:C18"/>
    <mergeCell ref="D18:L18"/>
    <mergeCell ref="A28:D28"/>
    <mergeCell ref="I20:L20"/>
    <mergeCell ref="E20:H20"/>
    <mergeCell ref="A22:D22"/>
    <mergeCell ref="E21:F21"/>
    <mergeCell ref="G21:H21"/>
    <mergeCell ref="I21:J21"/>
    <mergeCell ref="A20:D21"/>
    <mergeCell ref="A78:B78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1:B71"/>
    <mergeCell ref="A79:B79"/>
    <mergeCell ref="D78:E78"/>
    <mergeCell ref="D79:E79"/>
    <mergeCell ref="E34:H34"/>
    <mergeCell ref="E35:H35"/>
    <mergeCell ref="J79:K79"/>
    <mergeCell ref="G75:H75"/>
    <mergeCell ref="G76:H76"/>
    <mergeCell ref="G77:H77"/>
    <mergeCell ref="G78:H78"/>
    <mergeCell ref="J74:K74"/>
    <mergeCell ref="J75:K75"/>
    <mergeCell ref="J76:K76"/>
    <mergeCell ref="J77:K77"/>
    <mergeCell ref="J78:K78"/>
    <mergeCell ref="G73:H73"/>
    <mergeCell ref="J67:K67"/>
    <mergeCell ref="J68:K68"/>
    <mergeCell ref="J69:K69"/>
    <mergeCell ref="J70:K70"/>
    <mergeCell ref="J71:K71"/>
    <mergeCell ref="J72:K72"/>
    <mergeCell ref="G67:H67"/>
    <mergeCell ref="G68:H68"/>
    <mergeCell ref="O26:S28"/>
    <mergeCell ref="O19:P19"/>
    <mergeCell ref="E31:H31"/>
    <mergeCell ref="O70:P70"/>
    <mergeCell ref="O66:P66"/>
    <mergeCell ref="O60:P60"/>
    <mergeCell ref="O55:P55"/>
    <mergeCell ref="O40:P40"/>
    <mergeCell ref="O42:P42"/>
    <mergeCell ref="O44:P44"/>
    <mergeCell ref="O57:P57"/>
    <mergeCell ref="O62:P62"/>
    <mergeCell ref="O68:P68"/>
    <mergeCell ref="A64:L65"/>
    <mergeCell ref="A66:L66"/>
    <mergeCell ref="A54:L55"/>
    <mergeCell ref="E56:H56"/>
    <mergeCell ref="E57:H57"/>
    <mergeCell ref="A59:L60"/>
    <mergeCell ref="D61:I61"/>
    <mergeCell ref="A40:L41"/>
    <mergeCell ref="A42:B42"/>
    <mergeCell ref="G42:H42"/>
    <mergeCell ref="K21:L21"/>
  </mergeCells>
  <conditionalFormatting sqref="B17:L17">
    <cfRule type="expression" dxfId="0" priority="1">
      <formula>$J$14=1</formula>
    </cfRule>
  </conditionalFormatting>
  <dataValidations count="2">
    <dataValidation type="list" allowBlank="1" showInputMessage="1" showErrorMessage="1" sqref="J14:L14">
      <formula1>$AD$12:$AD$13</formula1>
    </dataValidation>
    <dataValidation type="list" allowBlank="1" showInputMessage="1" showErrorMessage="1" sqref="F43:F52 I43:I52">
      <formula1>$C$43:$C$52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INFOS</vt:lpstr>
      <vt:lpstr>Calendrier Paies</vt:lpstr>
      <vt:lpstr>Réglages</vt:lpstr>
      <vt:lpstr>Transformation</vt:lpstr>
      <vt:lpstr>zona</vt:lpstr>
      <vt:lpstr>zonb</vt:lpstr>
      <vt:lpstr>zonc</vt:lpstr>
      <vt:lpstr>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VIGNOT</dc:creator>
  <cp:lastModifiedBy>LOUIS VIGNOT</cp:lastModifiedBy>
  <dcterms:created xsi:type="dcterms:W3CDTF">2006-09-16T00:00:00Z</dcterms:created>
  <dcterms:modified xsi:type="dcterms:W3CDTF">2018-06-08T13:29:19Z</dcterms:modified>
</cp:coreProperties>
</file>