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date1904="1" showInkAnnotation="0" checkCompatibility="1" autoCompressPictures="0"/>
  <bookViews>
    <workbookView xWindow="-740" yWindow="0" windowWidth="29860" windowHeight="16360" tabRatio="994" activeTab="2"/>
  </bookViews>
  <sheets>
    <sheet name="Notice" sheetId="111" r:id="rId1"/>
    <sheet name="DRAFT OTO" sheetId="105" r:id="rId2"/>
    <sheet name="MASTER" sheetId="69" r:id="rId3"/>
    <sheet name="1 ABDALLA" sheetId="74" r:id="rId4"/>
    <sheet name="2 BARISONE" sheetId="75" r:id="rId5"/>
    <sheet name="3 BELHAJ" sheetId="76" r:id="rId6"/>
    <sheet name="4 BIRGERSSON-DAHLBERG" sheetId="77" r:id="rId7"/>
    <sheet name="5 BONSANTI" sheetId="78" r:id="rId8"/>
    <sheet name="6 CHRISTIAENS" sheetId="79" r:id="rId9"/>
    <sheet name="7 DE KONING" sheetId="80" r:id="rId10"/>
    <sheet name="8 HEPP" sheetId="81" r:id="rId11"/>
    <sheet name="9 HERMANN" sheetId="82" r:id="rId12"/>
    <sheet name="10 KASTELICOVA" sheetId="83" r:id="rId13"/>
    <sheet name="11 KNETIG" sheetId="84" r:id="rId14"/>
    <sheet name="12 LAWSON-BAKER" sheetId="85" r:id="rId15"/>
    <sheet name="13 MANOURY" sheetId="86" r:id="rId16"/>
    <sheet name="14 X" sheetId="87" r:id="rId17"/>
    <sheet name="15 NEGRIN" sheetId="88" r:id="rId18"/>
    <sheet name="16 OHLSEN" sheetId="89" r:id="rId19"/>
    <sheet name="17 PUCHAULT" sheetId="90" r:id="rId20"/>
    <sheet name="18 ROLLBERG" sheetId="91" r:id="rId21"/>
    <sheet name="19 SCHAEFER" sheetId="92" r:id="rId22"/>
    <sheet name="20 THALBERG" sheetId="93" r:id="rId23"/>
    <sheet name="21 VERMEULEN" sheetId="94" r:id="rId24"/>
    <sheet name="22 WESTERGARD" sheetId="95" r:id="rId25"/>
    <sheet name="23 ZWICK" sheetId="96" r:id="rId26"/>
    <sheet name="24 X" sheetId="97" r:id="rId27"/>
    <sheet name="25 X" sheetId="98" r:id="rId28"/>
    <sheet name="26 X" sheetId="107" r:id="rId29"/>
    <sheet name="27 X" sheetId="108" r:id="rId30"/>
    <sheet name="28 X" sheetId="109" r:id="rId31"/>
    <sheet name="29 X" sheetId="110" r:id="rId32"/>
    <sheet name="30 X" sheetId="106" r:id="rId33"/>
    <sheet name="TUTEUR1 MATTHIEU" sheetId="102" r:id="rId34"/>
    <sheet name="TUTEUR2 HEINO" sheetId="104" r:id="rId35"/>
  </sheets>
  <definedNames>
    <definedName name="ASTALA" localSheetId="12">#REF!</definedName>
    <definedName name="ASTALA" localSheetId="13">#REF!</definedName>
    <definedName name="ASTALA" localSheetId="14">#REF!</definedName>
    <definedName name="ASTALA" localSheetId="15">#REF!</definedName>
    <definedName name="ASTALA" localSheetId="16">#REF!</definedName>
    <definedName name="ASTALA" localSheetId="17">#REF!</definedName>
    <definedName name="ASTALA" localSheetId="18">#REF!</definedName>
    <definedName name="ASTALA" localSheetId="19">#REF!</definedName>
    <definedName name="ASTALA" localSheetId="20">#REF!</definedName>
    <definedName name="ASTALA" localSheetId="21">#REF!</definedName>
    <definedName name="ASTALA" localSheetId="4">#REF!</definedName>
    <definedName name="ASTALA" localSheetId="22">#REF!</definedName>
    <definedName name="ASTALA" localSheetId="23">#REF!</definedName>
    <definedName name="ASTALA" localSheetId="24">#REF!</definedName>
    <definedName name="ASTALA" localSheetId="25">#REF!</definedName>
    <definedName name="ASTALA" localSheetId="26">#REF!</definedName>
    <definedName name="ASTALA" localSheetId="27">#REF!</definedName>
    <definedName name="ASTALA" localSheetId="5">#REF!</definedName>
    <definedName name="ASTALA" localSheetId="6">#REF!</definedName>
    <definedName name="ASTALA" localSheetId="7">#REF!</definedName>
    <definedName name="ASTALA" localSheetId="8">#REF!</definedName>
    <definedName name="ASTALA" localSheetId="9">#REF!</definedName>
    <definedName name="ASTALA" localSheetId="10">#REF!</definedName>
    <definedName name="ASTALA" localSheetId="11">#REF!</definedName>
    <definedName name="ATTIA" localSheetId="12">#REF!</definedName>
    <definedName name="ATTIA" localSheetId="13">#REF!</definedName>
    <definedName name="ATTIA" localSheetId="14">#REF!</definedName>
    <definedName name="ATTIA" localSheetId="15">#REF!</definedName>
    <definedName name="ATTIA" localSheetId="16">#REF!</definedName>
    <definedName name="ATTIA" localSheetId="17">#REF!</definedName>
    <definedName name="ATTIA" localSheetId="18">#REF!</definedName>
    <definedName name="ATTIA" localSheetId="19">#REF!</definedName>
    <definedName name="ATTIA" localSheetId="20">#REF!</definedName>
    <definedName name="ATTIA" localSheetId="21">#REF!</definedName>
    <definedName name="ATTIA" localSheetId="4">#REF!</definedName>
    <definedName name="ATTIA" localSheetId="22">#REF!</definedName>
    <definedName name="ATTIA" localSheetId="23">#REF!</definedName>
    <definedName name="ATTIA" localSheetId="24">#REF!</definedName>
    <definedName name="ATTIA" localSheetId="25">#REF!</definedName>
    <definedName name="ATTIA" localSheetId="26">#REF!</definedName>
    <definedName name="ATTIA" localSheetId="27">#REF!</definedName>
    <definedName name="ATTIA" localSheetId="5">#REF!</definedName>
    <definedName name="ATTIA" localSheetId="6">#REF!</definedName>
    <definedName name="ATTIA" localSheetId="7">#REF!</definedName>
    <definedName name="ATTIA" localSheetId="8">#REF!</definedName>
    <definedName name="ATTIA" localSheetId="9">#REF!</definedName>
    <definedName name="ATTIA" localSheetId="10">#REF!</definedName>
    <definedName name="ATTIA" localSheetId="11">#REF!</definedName>
    <definedName name="BASE">MASTER!$B$16:$AL$44</definedName>
    <definedName name="COLART" localSheetId="12">#REF!</definedName>
    <definedName name="COLART" localSheetId="13">#REF!</definedName>
    <definedName name="COLART" localSheetId="14">#REF!</definedName>
    <definedName name="COLART" localSheetId="15">#REF!</definedName>
    <definedName name="COLART" localSheetId="16">#REF!</definedName>
    <definedName name="COLART" localSheetId="17">#REF!</definedName>
    <definedName name="COLART" localSheetId="18">#REF!</definedName>
    <definedName name="COLART" localSheetId="19">#REF!</definedName>
    <definedName name="COLART" localSheetId="20">#REF!</definedName>
    <definedName name="COLART" localSheetId="21">#REF!</definedName>
    <definedName name="COLART" localSheetId="4">#REF!</definedName>
    <definedName name="COLART" localSheetId="22">#REF!</definedName>
    <definedName name="COLART" localSheetId="23">#REF!</definedName>
    <definedName name="COLART" localSheetId="24">#REF!</definedName>
    <definedName name="COLART" localSheetId="25">#REF!</definedName>
    <definedName name="COLART" localSheetId="26">#REF!</definedName>
    <definedName name="COLART" localSheetId="27">#REF!</definedName>
    <definedName name="COLART" localSheetId="5">#REF!</definedName>
    <definedName name="COLART" localSheetId="6">#REF!</definedName>
    <definedName name="COLART" localSheetId="7">#REF!</definedName>
    <definedName name="COLART" localSheetId="8">#REF!</definedName>
    <definedName name="COLART" localSheetId="9">#REF!</definedName>
    <definedName name="COLART" localSheetId="10">#REF!</definedName>
    <definedName name="COLART" localSheetId="11">#REF!</definedName>
    <definedName name="DOTZER" localSheetId="12">#REF!</definedName>
    <definedName name="DOTZER" localSheetId="13">#REF!</definedName>
    <definedName name="DOTZER" localSheetId="14">#REF!</definedName>
    <definedName name="DOTZER" localSheetId="15">#REF!</definedName>
    <definedName name="DOTZER" localSheetId="16">#REF!</definedName>
    <definedName name="DOTZER" localSheetId="17">#REF!</definedName>
    <definedName name="DOTZER" localSheetId="18">#REF!</definedName>
    <definedName name="DOTZER" localSheetId="19">#REF!</definedName>
    <definedName name="DOTZER" localSheetId="20">#REF!</definedName>
    <definedName name="DOTZER" localSheetId="21">#REF!</definedName>
    <definedName name="DOTZER" localSheetId="4">#REF!</definedName>
    <definedName name="DOTZER" localSheetId="22">#REF!</definedName>
    <definedName name="DOTZER" localSheetId="23">#REF!</definedName>
    <definedName name="DOTZER" localSheetId="24">#REF!</definedName>
    <definedName name="DOTZER" localSheetId="25">#REF!</definedName>
    <definedName name="DOTZER" localSheetId="26">#REF!</definedName>
    <definedName name="DOTZER" localSheetId="27">#REF!</definedName>
    <definedName name="DOTZER" localSheetId="5">#REF!</definedName>
    <definedName name="DOTZER" localSheetId="6">#REF!</definedName>
    <definedName name="DOTZER" localSheetId="7">#REF!</definedName>
    <definedName name="DOTZER" localSheetId="8">#REF!</definedName>
    <definedName name="DOTZER" localSheetId="9">#REF!</definedName>
    <definedName name="DOTZER" localSheetId="10">#REF!</definedName>
    <definedName name="DOTZER" localSheetId="11">#REF!</definedName>
    <definedName name="DUFRESNE" localSheetId="12">#REF!</definedName>
    <definedName name="DUFRESNE" localSheetId="13">#REF!</definedName>
    <definedName name="DUFRESNE" localSheetId="14">#REF!</definedName>
    <definedName name="DUFRESNE" localSheetId="15">#REF!</definedName>
    <definedName name="DUFRESNE" localSheetId="16">#REF!</definedName>
    <definedName name="DUFRESNE" localSheetId="17">#REF!</definedName>
    <definedName name="DUFRESNE" localSheetId="18">#REF!</definedName>
    <definedName name="DUFRESNE" localSheetId="19">#REF!</definedName>
    <definedName name="DUFRESNE" localSheetId="20">#REF!</definedName>
    <definedName name="DUFRESNE" localSheetId="21">#REF!</definedName>
    <definedName name="DUFRESNE" localSheetId="4">#REF!</definedName>
    <definedName name="DUFRESNE" localSheetId="22">#REF!</definedName>
    <definedName name="DUFRESNE" localSheetId="23">#REF!</definedName>
    <definedName name="DUFRESNE" localSheetId="24">#REF!</definedName>
    <definedName name="DUFRESNE" localSheetId="25">#REF!</definedName>
    <definedName name="DUFRESNE" localSheetId="26">#REF!</definedName>
    <definedName name="DUFRESNE" localSheetId="27">#REF!</definedName>
    <definedName name="DUFRESNE" localSheetId="5">#REF!</definedName>
    <definedName name="DUFRESNE" localSheetId="6">#REF!</definedName>
    <definedName name="DUFRESNE" localSheetId="7">#REF!</definedName>
    <definedName name="DUFRESNE" localSheetId="8">#REF!</definedName>
    <definedName name="DUFRESNE" localSheetId="9">#REF!</definedName>
    <definedName name="DUFRESNE" localSheetId="10">#REF!</definedName>
    <definedName name="DUFRESNE" localSheetId="11">#REF!</definedName>
    <definedName name="EXPERT1">MASTER!$C$16:$C$44</definedName>
    <definedName name="EXPERT10">MASTER!$L$16:$L$44</definedName>
    <definedName name="EXPERT11">MASTER!$M$16:$M$44</definedName>
    <definedName name="EXPERT12">MASTER!$N$16:$N$44</definedName>
    <definedName name="EXPERT13">MASTER!$O$16:$O$44</definedName>
    <definedName name="EXPERT14">MASTER!$P$16:$P$44</definedName>
    <definedName name="EXPERT15">MASTER!$Q$16:$Q$44</definedName>
    <definedName name="EXPERT16">MASTER!$R$16:$R$44</definedName>
    <definedName name="EXPERT17">MASTER!$S$16:$S$44</definedName>
    <definedName name="EXPERT18">MASTER!$T$16:$T$44</definedName>
    <definedName name="EXPERT19">MASTER!$U$16:$U$44</definedName>
    <definedName name="EXPERT2">MASTER!$D$16:$D$44</definedName>
    <definedName name="EXPERT20">MASTER!$V$16:$V$44</definedName>
    <definedName name="EXPERT21">MASTER!$W$16:$W$44</definedName>
    <definedName name="EXPERT22">MASTER!$X$16:$X$44</definedName>
    <definedName name="EXPERT23">MASTER!$Y$16:$Y$44</definedName>
    <definedName name="EXPERT24">MASTER!$Z$16:$Z$44</definedName>
    <definedName name="EXPERT25">MASTER!$AA$16:$AA$44</definedName>
    <definedName name="EXPERT26">MASTER!$AB$16:$AB$44</definedName>
    <definedName name="EXPERT27">MASTER!$AC$16:$AC$44</definedName>
    <definedName name="EXPERT28">MASTER!$AD$16:$AD$44</definedName>
    <definedName name="EXPERT29">MASTER!$AE$16:$AE$44</definedName>
    <definedName name="EXPERT3">MASTER!$E$16:$E$44</definedName>
    <definedName name="EXPERT30">MASTER!$AF$16:$AF$44</definedName>
    <definedName name="EXPERT4">MASTER!$F$16:$F$44</definedName>
    <definedName name="EXPERT5">MASTER!$G$16:$G$44</definedName>
    <definedName name="EXPERT6">MASTER!$H$16:$H$44</definedName>
    <definedName name="EXPERT7">MASTER!$I$16:$I$44</definedName>
    <definedName name="EXPERT8">MASTER!$J$16:$J$44</definedName>
    <definedName name="EXPERT9">MASTER!$K$16:$K$44</definedName>
    <definedName name="EXPERTPER1">MASTER!$AG$16:$AG$44</definedName>
    <definedName name="EXPERTPER2">MASTER!$AH$16:$AH$44</definedName>
    <definedName name="EXPERTPER3">MASTER!$AI$16:$AI$44</definedName>
    <definedName name="EXPERTPER4">MASTER!$AJ$16:$AJ$44</definedName>
    <definedName name="GROLLERON" localSheetId="12">#REF!</definedName>
    <definedName name="GROLLERON" localSheetId="13">#REF!</definedName>
    <definedName name="GROLLERON" localSheetId="14">#REF!</definedName>
    <definedName name="GROLLERON" localSheetId="15">#REF!</definedName>
    <definedName name="GROLLERON" localSheetId="16">#REF!</definedName>
    <definedName name="GROLLERON" localSheetId="17">#REF!</definedName>
    <definedName name="GROLLERON" localSheetId="18">#REF!</definedName>
    <definedName name="GROLLERON" localSheetId="19">#REF!</definedName>
    <definedName name="GROLLERON" localSheetId="20">#REF!</definedName>
    <definedName name="GROLLERON" localSheetId="21">#REF!</definedName>
    <definedName name="GROLLERON" localSheetId="4">#REF!</definedName>
    <definedName name="GROLLERON" localSheetId="22">#REF!</definedName>
    <definedName name="GROLLERON" localSheetId="23">#REF!</definedName>
    <definedName name="GROLLERON" localSheetId="24">#REF!</definedName>
    <definedName name="GROLLERON" localSheetId="25">#REF!</definedName>
    <definedName name="GROLLERON" localSheetId="26">#REF!</definedName>
    <definedName name="GROLLERON" localSheetId="27">#REF!</definedName>
    <definedName name="GROLLERON" localSheetId="5">#REF!</definedName>
    <definedName name="GROLLERON" localSheetId="6">#REF!</definedName>
    <definedName name="GROLLERON" localSheetId="7">#REF!</definedName>
    <definedName name="GROLLERON" localSheetId="8">#REF!</definedName>
    <definedName name="GROLLERON" localSheetId="9">#REF!</definedName>
    <definedName name="GROLLERON" localSheetId="10">#REF!</definedName>
    <definedName name="GROLLERON" localSheetId="11">#REF!</definedName>
    <definedName name="KASTELICOVA" localSheetId="12">#REF!</definedName>
    <definedName name="KASTELICOVA" localSheetId="13">#REF!</definedName>
    <definedName name="KASTELICOVA" localSheetId="14">#REF!</definedName>
    <definedName name="KASTELICOVA" localSheetId="15">#REF!</definedName>
    <definedName name="KASTELICOVA" localSheetId="16">#REF!</definedName>
    <definedName name="KASTELICOVA" localSheetId="17">#REF!</definedName>
    <definedName name="KASTELICOVA" localSheetId="18">#REF!</definedName>
    <definedName name="KASTELICOVA" localSheetId="19">#REF!</definedName>
    <definedName name="KASTELICOVA" localSheetId="20">#REF!</definedName>
    <definedName name="KASTELICOVA" localSheetId="21">#REF!</definedName>
    <definedName name="KASTELICOVA" localSheetId="4">#REF!</definedName>
    <definedName name="KASTELICOVA" localSheetId="22">#REF!</definedName>
    <definedName name="KASTELICOVA" localSheetId="23">#REF!</definedName>
    <definedName name="KASTELICOVA" localSheetId="24">#REF!</definedName>
    <definedName name="KASTELICOVA" localSheetId="25">#REF!</definedName>
    <definedName name="KASTELICOVA" localSheetId="26">#REF!</definedName>
    <definedName name="KASTELICOVA" localSheetId="27">#REF!</definedName>
    <definedName name="KASTELICOVA" localSheetId="5">#REF!</definedName>
    <definedName name="KASTELICOVA" localSheetId="6">#REF!</definedName>
    <definedName name="KASTELICOVA" localSheetId="7">#REF!</definedName>
    <definedName name="KASTELICOVA" localSheetId="8">#REF!</definedName>
    <definedName name="KASTELICOVA" localSheetId="9">#REF!</definedName>
    <definedName name="KASTELICOVA" localSheetId="10">#REF!</definedName>
    <definedName name="KASTELICOVA" localSheetId="11">#REF!</definedName>
    <definedName name="MEALLAIGH" localSheetId="12">#REF!</definedName>
    <definedName name="MEALLAIGH" localSheetId="13">#REF!</definedName>
    <definedName name="MEALLAIGH" localSheetId="14">#REF!</definedName>
    <definedName name="MEALLAIGH" localSheetId="15">#REF!</definedName>
    <definedName name="MEALLAIGH" localSheetId="16">#REF!</definedName>
    <definedName name="MEALLAIGH" localSheetId="17">#REF!</definedName>
    <definedName name="MEALLAIGH" localSheetId="18">#REF!</definedName>
    <definedName name="MEALLAIGH" localSheetId="19">#REF!</definedName>
    <definedName name="MEALLAIGH" localSheetId="20">#REF!</definedName>
    <definedName name="MEALLAIGH" localSheetId="21">#REF!</definedName>
    <definedName name="MEALLAIGH" localSheetId="4">#REF!</definedName>
    <definedName name="MEALLAIGH" localSheetId="22">#REF!</definedName>
    <definedName name="MEALLAIGH" localSheetId="23">#REF!</definedName>
    <definedName name="MEALLAIGH" localSheetId="24">#REF!</definedName>
    <definedName name="MEALLAIGH" localSheetId="25">#REF!</definedName>
    <definedName name="MEALLAIGH" localSheetId="26">#REF!</definedName>
    <definedName name="MEALLAIGH" localSheetId="27">#REF!</definedName>
    <definedName name="MEALLAIGH" localSheetId="5">#REF!</definedName>
    <definedName name="MEALLAIGH" localSheetId="6">#REF!</definedName>
    <definedName name="MEALLAIGH" localSheetId="7">#REF!</definedName>
    <definedName name="MEALLAIGH" localSheetId="8">#REF!</definedName>
    <definedName name="MEALLAIGH" localSheetId="9">#REF!</definedName>
    <definedName name="MEALLAIGH" localSheetId="10">#REF!</definedName>
    <definedName name="MEALLAIGH" localSheetId="11">#REF!</definedName>
    <definedName name="MERTENS" localSheetId="12">#REF!</definedName>
    <definedName name="MERTENS" localSheetId="13">#REF!</definedName>
    <definedName name="MERTENS" localSheetId="14">#REF!</definedName>
    <definedName name="MERTENS" localSheetId="15">#REF!</definedName>
    <definedName name="MERTENS" localSheetId="16">#REF!</definedName>
    <definedName name="MERTENS" localSheetId="17">#REF!</definedName>
    <definedName name="MERTENS" localSheetId="18">#REF!</definedName>
    <definedName name="MERTENS" localSheetId="19">#REF!</definedName>
    <definedName name="MERTENS" localSheetId="20">#REF!</definedName>
    <definedName name="MERTENS" localSheetId="21">#REF!</definedName>
    <definedName name="MERTENS" localSheetId="4">#REF!</definedName>
    <definedName name="MERTENS" localSheetId="22">#REF!</definedName>
    <definedName name="MERTENS" localSheetId="23">#REF!</definedName>
    <definedName name="MERTENS" localSheetId="24">#REF!</definedName>
    <definedName name="MERTENS" localSheetId="25">#REF!</definedName>
    <definedName name="MERTENS" localSheetId="26">#REF!</definedName>
    <definedName name="MERTENS" localSheetId="27">#REF!</definedName>
    <definedName name="MERTENS" localSheetId="5">#REF!</definedName>
    <definedName name="MERTENS" localSheetId="6">#REF!</definedName>
    <definedName name="MERTENS" localSheetId="7">#REF!</definedName>
    <definedName name="MERTENS" localSheetId="8">#REF!</definedName>
    <definedName name="MERTENS" localSheetId="9">#REF!</definedName>
    <definedName name="MERTENS" localSheetId="10">#REF!</definedName>
    <definedName name="MERTENS" localSheetId="11">#REF!</definedName>
    <definedName name="MICHAEL" localSheetId="12">#REF!</definedName>
    <definedName name="MICHAEL" localSheetId="13">#REF!</definedName>
    <definedName name="MICHAEL" localSheetId="14">#REF!</definedName>
    <definedName name="MICHAEL" localSheetId="15">#REF!</definedName>
    <definedName name="MICHAEL" localSheetId="16">#REF!</definedName>
    <definedName name="MICHAEL" localSheetId="17">#REF!</definedName>
    <definedName name="MICHAEL" localSheetId="18">#REF!</definedName>
    <definedName name="MICHAEL" localSheetId="19">#REF!</definedName>
    <definedName name="MICHAEL" localSheetId="20">#REF!</definedName>
    <definedName name="MICHAEL" localSheetId="21">#REF!</definedName>
    <definedName name="MICHAEL" localSheetId="4">#REF!</definedName>
    <definedName name="MICHAEL" localSheetId="22">#REF!</definedName>
    <definedName name="MICHAEL" localSheetId="23">#REF!</definedName>
    <definedName name="MICHAEL" localSheetId="24">#REF!</definedName>
    <definedName name="MICHAEL" localSheetId="25">#REF!</definedName>
    <definedName name="MICHAEL" localSheetId="26">#REF!</definedName>
    <definedName name="MICHAEL" localSheetId="27">#REF!</definedName>
    <definedName name="MICHAEL" localSheetId="5">#REF!</definedName>
    <definedName name="MICHAEL" localSheetId="6">#REF!</definedName>
    <definedName name="MICHAEL" localSheetId="7">#REF!</definedName>
    <definedName name="MICHAEL" localSheetId="8">#REF!</definedName>
    <definedName name="MICHAEL" localSheetId="9">#REF!</definedName>
    <definedName name="MICHAEL" localSheetId="10">#REF!</definedName>
    <definedName name="MICHAEL" localSheetId="11">#REF!</definedName>
    <definedName name="REHOFF" localSheetId="12">#REF!</definedName>
    <definedName name="REHOFF" localSheetId="13">#REF!</definedName>
    <definedName name="REHOFF" localSheetId="14">#REF!</definedName>
    <definedName name="REHOFF" localSheetId="15">#REF!</definedName>
    <definedName name="REHOFF" localSheetId="16">#REF!</definedName>
    <definedName name="REHOFF" localSheetId="17">#REF!</definedName>
    <definedName name="REHOFF" localSheetId="18">#REF!</definedName>
    <definedName name="REHOFF" localSheetId="19">#REF!</definedName>
    <definedName name="REHOFF" localSheetId="20">#REF!</definedName>
    <definedName name="REHOFF" localSheetId="21">#REF!</definedName>
    <definedName name="REHOFF" localSheetId="4">#REF!</definedName>
    <definedName name="REHOFF" localSheetId="22">#REF!</definedName>
    <definedName name="REHOFF" localSheetId="23">#REF!</definedName>
    <definedName name="REHOFF" localSheetId="24">#REF!</definedName>
    <definedName name="REHOFF" localSheetId="25">#REF!</definedName>
    <definedName name="REHOFF" localSheetId="26">#REF!</definedName>
    <definedName name="REHOFF" localSheetId="27">#REF!</definedName>
    <definedName name="REHOFF" localSheetId="5">#REF!</definedName>
    <definedName name="REHOFF" localSheetId="6">#REF!</definedName>
    <definedName name="REHOFF" localSheetId="7">#REF!</definedName>
    <definedName name="REHOFF" localSheetId="8">#REF!</definedName>
    <definedName name="REHOFF" localSheetId="9">#REF!</definedName>
    <definedName name="REHOFF" localSheetId="10">#REF!</definedName>
    <definedName name="REHOFF" localSheetId="11">#REF!</definedName>
    <definedName name="SCHREINER" localSheetId="12">#REF!</definedName>
    <definedName name="SCHREINER" localSheetId="13">#REF!</definedName>
    <definedName name="SCHREINER" localSheetId="14">#REF!</definedName>
    <definedName name="SCHREINER" localSheetId="15">#REF!</definedName>
    <definedName name="SCHREINER" localSheetId="16">#REF!</definedName>
    <definedName name="SCHREINER" localSheetId="17">#REF!</definedName>
    <definedName name="SCHREINER" localSheetId="18">#REF!</definedName>
    <definedName name="SCHREINER" localSheetId="19">#REF!</definedName>
    <definedName name="SCHREINER" localSheetId="20">#REF!</definedName>
    <definedName name="SCHREINER" localSheetId="21">#REF!</definedName>
    <definedName name="SCHREINER" localSheetId="4">#REF!</definedName>
    <definedName name="SCHREINER" localSheetId="22">#REF!</definedName>
    <definedName name="SCHREINER" localSheetId="23">#REF!</definedName>
    <definedName name="SCHREINER" localSheetId="24">#REF!</definedName>
    <definedName name="SCHREINER" localSheetId="25">#REF!</definedName>
    <definedName name="SCHREINER" localSheetId="26">#REF!</definedName>
    <definedName name="SCHREINER" localSheetId="27">#REF!</definedName>
    <definedName name="SCHREINER" localSheetId="5">#REF!</definedName>
    <definedName name="SCHREINER" localSheetId="6">#REF!</definedName>
    <definedName name="SCHREINER" localSheetId="7">#REF!</definedName>
    <definedName name="SCHREINER" localSheetId="8">#REF!</definedName>
    <definedName name="SCHREINER" localSheetId="9">#REF!</definedName>
    <definedName name="SCHREINER" localSheetId="10">#REF!</definedName>
    <definedName name="SCHREINER" localSheetId="11">#REF!</definedName>
    <definedName name="TROST" localSheetId="12">#REF!</definedName>
    <definedName name="TROST" localSheetId="13">#REF!</definedName>
    <definedName name="TROST" localSheetId="14">#REF!</definedName>
    <definedName name="TROST" localSheetId="15">#REF!</definedName>
    <definedName name="TROST" localSheetId="16">#REF!</definedName>
    <definedName name="TROST" localSheetId="17">#REF!</definedName>
    <definedName name="TROST" localSheetId="18">#REF!</definedName>
    <definedName name="TROST" localSheetId="19">#REF!</definedName>
    <definedName name="TROST" localSheetId="20">#REF!</definedName>
    <definedName name="TROST" localSheetId="21">#REF!</definedName>
    <definedName name="TROST" localSheetId="4">#REF!</definedName>
    <definedName name="TROST" localSheetId="22">#REF!</definedName>
    <definedName name="TROST" localSheetId="23">#REF!</definedName>
    <definedName name="TROST" localSheetId="24">#REF!</definedName>
    <definedName name="TROST" localSheetId="25">#REF!</definedName>
    <definedName name="TROST" localSheetId="26">#REF!</definedName>
    <definedName name="TROST" localSheetId="27">#REF!</definedName>
    <definedName name="TROST" localSheetId="5">#REF!</definedName>
    <definedName name="TROST" localSheetId="6">#REF!</definedName>
    <definedName name="TROST" localSheetId="7">#REF!</definedName>
    <definedName name="TROST" localSheetId="8">#REF!</definedName>
    <definedName name="TROST" localSheetId="9">#REF!</definedName>
    <definedName name="TROST" localSheetId="10">#REF!</definedName>
    <definedName name="TROST" localSheetId="11">#REF!</definedName>
    <definedName name="TUTEUR1">MASTER!$AK$16:$AK$44</definedName>
    <definedName name="TUTEUR2">MASTER!$AL$16:$AL$44</definedName>
    <definedName name="WESTERGARD" localSheetId="12">#REF!</definedName>
    <definedName name="WESTERGARD" localSheetId="13">#REF!</definedName>
    <definedName name="WESTERGARD" localSheetId="14">#REF!</definedName>
    <definedName name="WESTERGARD" localSheetId="15">#REF!</definedName>
    <definedName name="WESTERGARD" localSheetId="16">#REF!</definedName>
    <definedName name="WESTERGARD" localSheetId="17">#REF!</definedName>
    <definedName name="WESTERGARD" localSheetId="18">#REF!</definedName>
    <definedName name="WESTERGARD" localSheetId="19">#REF!</definedName>
    <definedName name="WESTERGARD" localSheetId="20">#REF!</definedName>
    <definedName name="WESTERGARD" localSheetId="21">#REF!</definedName>
    <definedName name="WESTERGARD" localSheetId="4">#REF!</definedName>
    <definedName name="WESTERGARD" localSheetId="22">#REF!</definedName>
    <definedName name="WESTERGARD" localSheetId="23">#REF!</definedName>
    <definedName name="WESTERGARD" localSheetId="24">#REF!</definedName>
    <definedName name="WESTERGARD" localSheetId="25">#REF!</definedName>
    <definedName name="WESTERGARD" localSheetId="26">#REF!</definedName>
    <definedName name="WESTERGARD" localSheetId="27">#REF!</definedName>
    <definedName name="WESTERGARD" localSheetId="5">#REF!</definedName>
    <definedName name="WESTERGARD" localSheetId="6">#REF!</definedName>
    <definedName name="WESTERGARD" localSheetId="7">#REF!</definedName>
    <definedName name="WESTERGARD" localSheetId="8">#REF!</definedName>
    <definedName name="WESTERGARD" localSheetId="9">#REF!</definedName>
    <definedName name="WESTERGARD" localSheetId="10">#REF!</definedName>
    <definedName name="WESTERGARD" localSheetId="11">#REF!</definedName>
    <definedName name="_xlnm.Print_Area" localSheetId="3">'1 ABDALLA'!$G$1:$I$35</definedName>
    <definedName name="_xlnm.Print_Area" localSheetId="12">'10 KASTELICOVA'!$J$1:$K$34</definedName>
    <definedName name="_xlnm.Print_Area" localSheetId="13">'11 KNETIG'!$D$1:$K$35</definedName>
    <definedName name="_xlnm.Print_Area" localSheetId="14">'12 LAWSON-BAKER'!$D$1:$E$35</definedName>
    <definedName name="_xlnm.Print_Area" localSheetId="15">'13 MANOURY'!$D$1:$E$35</definedName>
    <definedName name="_xlnm.Print_Area" localSheetId="16">'14 X'!$D$1:$K$35</definedName>
    <definedName name="_xlnm.Print_Area" localSheetId="17">'15 NEGRIN'!$D$1:$E$35</definedName>
    <definedName name="_xlnm.Print_Area" localSheetId="18">'16 OHLSEN'!$A$1:$K$35</definedName>
    <definedName name="_xlnm.Print_Area" localSheetId="19">'17 PUCHAULT'!$A$1:$K$35</definedName>
    <definedName name="_xlnm.Print_Area" localSheetId="20">'18 ROLLBERG'!$G$1:$I$35</definedName>
    <definedName name="_xlnm.Print_Area" localSheetId="21">'19 SCHAEFER'!$G$1:$I$35</definedName>
    <definedName name="_xlnm.Print_Area" localSheetId="4">'2 BARISONE'!$D$1:$K$35</definedName>
    <definedName name="_xlnm.Print_Area" localSheetId="22">'20 THALBERG'!$G$1:$I$35</definedName>
    <definedName name="_xlnm.Print_Area" localSheetId="23">'21 VERMEULEN'!$D$1:$E$35</definedName>
    <definedName name="_xlnm.Print_Area" localSheetId="24">'22 WESTERGARD'!$A$1:$B$35</definedName>
    <definedName name="_xlnm.Print_Area" localSheetId="25">'23 ZWICK'!$J$1:$K$34</definedName>
    <definedName name="_xlnm.Print_Area" localSheetId="26">'24 X'!$D$1:$E$35</definedName>
    <definedName name="_xlnm.Print_Area" localSheetId="27">'25 X'!$D$1:$K$35</definedName>
    <definedName name="_xlnm.Print_Area" localSheetId="28">'26 X'!$G$1:$I$35</definedName>
    <definedName name="_xlnm.Print_Area" localSheetId="29">'27 X'!$G$1:$I$35</definedName>
    <definedName name="_xlnm.Print_Area" localSheetId="30">'28 X'!$G$1:$I$35</definedName>
    <definedName name="_xlnm.Print_Area" localSheetId="31">'29 X'!$G$1:$I$35</definedName>
    <definedName name="_xlnm.Print_Area" localSheetId="5">'3 BELHAJ'!$A$1:$K$35</definedName>
    <definedName name="_xlnm.Print_Area" localSheetId="32">'30 X'!$G$1:$I$35</definedName>
    <definedName name="_xlnm.Print_Area" localSheetId="6">'4 BIRGERSSON-DAHLBERG'!$J$1:$K$34</definedName>
    <definedName name="_xlnm.Print_Area" localSheetId="7">'5 BONSANTI'!$G$1:$H$35</definedName>
    <definedName name="_xlnm.Print_Area" localSheetId="8">'6 CHRISTIAENS'!$D$1:$E$35</definedName>
    <definedName name="_xlnm.Print_Area" localSheetId="9">'7 DE KONING'!$D$1:$K$35</definedName>
    <definedName name="_xlnm.Print_Area" localSheetId="10">'8 HEPP'!$D$1:$H$35</definedName>
    <definedName name="_xlnm.Print_Area" localSheetId="11">'9 HERMANN'!$J$19</definedName>
    <definedName name="_xlnm.Print_Area" localSheetId="1">'DRAFT OTO'!$A$2:$K$36</definedName>
    <definedName name="_xlnm.Print_Area" localSheetId="2">MASTER!$B$2:$Y$15</definedName>
    <definedName name="_xlnm.Print_Area" localSheetId="33">'TUTEUR1 MATTHIEU'!$A$1:$K$35</definedName>
    <definedName name="_xlnm.Print_Area" localSheetId="34">'TUTEUR2 HEINO'!$D$1:$F$35</definedName>
    <definedName name="ZWICK" localSheetId="12">#REF!</definedName>
    <definedName name="ZWICK" localSheetId="13">#REF!</definedName>
    <definedName name="ZWICK" localSheetId="14">#REF!</definedName>
    <definedName name="ZWICK" localSheetId="15">#REF!</definedName>
    <definedName name="ZWICK" localSheetId="16">#REF!</definedName>
    <definedName name="ZWICK" localSheetId="17">#REF!</definedName>
    <definedName name="ZWICK" localSheetId="18">#REF!</definedName>
    <definedName name="ZWICK" localSheetId="19">#REF!</definedName>
    <definedName name="ZWICK" localSheetId="20">#REF!</definedName>
    <definedName name="ZWICK" localSheetId="21">#REF!</definedName>
    <definedName name="ZWICK" localSheetId="4">#REF!</definedName>
    <definedName name="ZWICK" localSheetId="22">#REF!</definedName>
    <definedName name="ZWICK" localSheetId="23">#REF!</definedName>
    <definedName name="ZWICK" localSheetId="24">#REF!</definedName>
    <definedName name="ZWICK" localSheetId="25">#REF!</definedName>
    <definedName name="ZWICK" localSheetId="26">#REF!</definedName>
    <definedName name="ZWICK" localSheetId="27">#REF!</definedName>
    <definedName name="ZWICK" localSheetId="5">#REF!</definedName>
    <definedName name="ZWICK" localSheetId="6">#REF!</definedName>
    <definedName name="ZWICK" localSheetId="7">#REF!</definedName>
    <definedName name="ZWICK" localSheetId="8">#REF!</definedName>
    <definedName name="ZWICK" localSheetId="9">#REF!</definedName>
    <definedName name="ZWICK" localSheetId="10">#REF!</definedName>
    <definedName name="ZWICK" localSheetId="11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J45" i="69" l="1"/>
  <c r="AI45" i="69"/>
  <c r="AH45" i="69"/>
  <c r="AG45" i="69"/>
  <c r="AF45" i="69"/>
  <c r="AE45" i="69"/>
  <c r="AD45" i="69"/>
  <c r="AC45" i="69"/>
  <c r="AB45" i="69"/>
  <c r="AA45" i="69"/>
  <c r="Z45" i="69"/>
  <c r="AL45" i="69"/>
  <c r="AK45" i="69"/>
  <c r="Y45" i="69"/>
  <c r="X45" i="69"/>
  <c r="W45" i="69"/>
  <c r="V45" i="69"/>
  <c r="U45" i="69"/>
  <c r="T45" i="69"/>
  <c r="B9" i="105"/>
  <c r="E9" i="105"/>
  <c r="H9" i="105"/>
  <c r="K9" i="105"/>
  <c r="B11" i="105"/>
  <c r="E11" i="105"/>
  <c r="H11" i="105"/>
  <c r="K11" i="105"/>
  <c r="B13" i="105"/>
  <c r="E13" i="105"/>
  <c r="H13" i="105"/>
  <c r="K13" i="105"/>
  <c r="B16" i="105"/>
  <c r="E16" i="105"/>
  <c r="H16" i="105"/>
  <c r="K16" i="105"/>
  <c r="B18" i="105"/>
  <c r="E18" i="105"/>
  <c r="H18" i="105"/>
  <c r="K18" i="105"/>
  <c r="B25" i="105"/>
  <c r="E25" i="105"/>
  <c r="H25" i="105"/>
  <c r="B27" i="105"/>
  <c r="E27" i="105"/>
  <c r="H27" i="105"/>
  <c r="B29" i="105"/>
  <c r="E29" i="105"/>
  <c r="H29" i="105"/>
  <c r="B32" i="105"/>
  <c r="E32" i="105"/>
  <c r="H32" i="105"/>
  <c r="B34" i="105"/>
  <c r="E34" i="105"/>
  <c r="H34" i="105"/>
  <c r="B1" i="69"/>
  <c r="D1" i="69"/>
  <c r="E1" i="69"/>
  <c r="F1" i="69"/>
  <c r="G1" i="69"/>
  <c r="H1" i="69"/>
  <c r="I1" i="69"/>
  <c r="J1" i="69"/>
  <c r="K1" i="69"/>
  <c r="L1" i="69"/>
  <c r="M1" i="69"/>
  <c r="N1" i="69"/>
  <c r="O1" i="69"/>
  <c r="P1" i="69"/>
  <c r="Q1" i="69"/>
  <c r="R1" i="69"/>
  <c r="S1" i="69"/>
  <c r="T1" i="69"/>
  <c r="U1" i="69"/>
  <c r="V1" i="69"/>
  <c r="W1" i="69"/>
  <c r="X1" i="69"/>
  <c r="Y1" i="69"/>
  <c r="Z1" i="69"/>
  <c r="AA1" i="69"/>
  <c r="AB1" i="69"/>
  <c r="AC1" i="69"/>
  <c r="AD1" i="69"/>
  <c r="AE1" i="69"/>
  <c r="AF1" i="69"/>
  <c r="AG1" i="69"/>
  <c r="AH1" i="69"/>
  <c r="AI1" i="69"/>
  <c r="AJ1" i="69"/>
  <c r="D15" i="69"/>
  <c r="E15" i="69"/>
  <c r="F15" i="69"/>
  <c r="G15" i="69"/>
  <c r="H15" i="69"/>
  <c r="I15" i="69"/>
  <c r="J15" i="69"/>
  <c r="K15" i="69"/>
  <c r="L15" i="69"/>
  <c r="M15" i="69"/>
  <c r="N15" i="69"/>
  <c r="O15" i="69"/>
  <c r="Q15" i="69"/>
  <c r="R15" i="69"/>
  <c r="S15" i="69"/>
  <c r="T15" i="69"/>
  <c r="U15" i="69"/>
  <c r="V15" i="69"/>
  <c r="W15" i="69"/>
  <c r="X15" i="69"/>
  <c r="Y15" i="69"/>
  <c r="Z15" i="69"/>
  <c r="AA15" i="69"/>
  <c r="AB15" i="69"/>
  <c r="AC15" i="69"/>
  <c r="AD15" i="69"/>
  <c r="AE15" i="69"/>
  <c r="AF15" i="69"/>
  <c r="AG15" i="69"/>
  <c r="AH15" i="69"/>
  <c r="AI15" i="69"/>
  <c r="AJ15" i="69"/>
  <c r="AM15" i="69"/>
  <c r="AM16" i="69"/>
  <c r="A16" i="69"/>
  <c r="AM17" i="69"/>
  <c r="A17" i="69"/>
  <c r="AO17" i="69"/>
  <c r="AM18" i="69"/>
  <c r="A18" i="69"/>
  <c r="AO18" i="69"/>
  <c r="AM19" i="69"/>
  <c r="A19" i="69"/>
  <c r="AO19" i="69"/>
  <c r="AM20" i="69"/>
  <c r="A20" i="69"/>
  <c r="AO20" i="69"/>
  <c r="AM21" i="69"/>
  <c r="A21" i="69"/>
  <c r="AO21" i="69"/>
  <c r="AM22" i="69"/>
  <c r="A22" i="69"/>
  <c r="AO22" i="69"/>
  <c r="AM23" i="69"/>
  <c r="A23" i="69"/>
  <c r="AO23" i="69"/>
  <c r="AM24" i="69"/>
  <c r="A24" i="69"/>
  <c r="AO24" i="69"/>
  <c r="AM25" i="69"/>
  <c r="A25" i="69"/>
  <c r="AO25" i="69"/>
  <c r="AM26" i="69"/>
  <c r="A26" i="69"/>
  <c r="AO26" i="69"/>
  <c r="AM27" i="69"/>
  <c r="A27" i="69"/>
  <c r="AO27" i="69"/>
  <c r="AM28" i="69"/>
  <c r="A28" i="69"/>
  <c r="AO28" i="69"/>
  <c r="AM29" i="69"/>
  <c r="A29" i="69"/>
  <c r="AO29" i="69"/>
  <c r="AM30" i="69"/>
  <c r="A30" i="69"/>
  <c r="AO30" i="69"/>
  <c r="AM31" i="69"/>
  <c r="A31" i="69"/>
  <c r="AO31" i="69"/>
  <c r="AM32" i="69"/>
  <c r="A32" i="69"/>
  <c r="AO32" i="69"/>
  <c r="AM33" i="69"/>
  <c r="A33" i="69"/>
  <c r="AO33" i="69"/>
  <c r="AM34" i="69"/>
  <c r="A34" i="69"/>
  <c r="AO34" i="69"/>
  <c r="AM35" i="69"/>
  <c r="A35" i="69"/>
  <c r="AO35" i="69"/>
  <c r="AM36" i="69"/>
  <c r="A36" i="69"/>
  <c r="AO36" i="69"/>
  <c r="AM37" i="69"/>
  <c r="A37" i="69"/>
  <c r="AO37" i="69"/>
  <c r="AM38" i="69"/>
  <c r="A38" i="69"/>
  <c r="AO38" i="69"/>
  <c r="AM39" i="69"/>
  <c r="A39" i="69"/>
  <c r="AO39" i="69"/>
  <c r="AM40" i="69"/>
  <c r="A40" i="69"/>
  <c r="AO40" i="69"/>
  <c r="AM41" i="69"/>
  <c r="A41" i="69"/>
  <c r="AO41" i="69"/>
  <c r="AM42" i="69"/>
  <c r="A42" i="69"/>
  <c r="AO42" i="69"/>
  <c r="AM43" i="69"/>
  <c r="A43" i="69"/>
  <c r="AO43" i="69"/>
  <c r="AM44" i="69"/>
  <c r="A44" i="69"/>
  <c r="AO44" i="69"/>
  <c r="C45" i="69"/>
  <c r="D45" i="69"/>
  <c r="E45" i="69"/>
  <c r="F45" i="69"/>
  <c r="G45" i="69"/>
  <c r="H45" i="69"/>
  <c r="I45" i="69"/>
  <c r="J45" i="69"/>
  <c r="K45" i="69"/>
  <c r="L45" i="69"/>
  <c r="M45" i="69"/>
  <c r="N45" i="69"/>
  <c r="O45" i="69"/>
  <c r="P45" i="69"/>
  <c r="Q45" i="69"/>
  <c r="R45" i="69"/>
  <c r="S45" i="69"/>
  <c r="AM45" i="69"/>
  <c r="C47" i="69"/>
  <c r="D47" i="69"/>
  <c r="E47" i="69"/>
  <c r="F47" i="69"/>
  <c r="G47" i="69"/>
  <c r="H47" i="69"/>
  <c r="I47" i="69"/>
  <c r="J47" i="69"/>
  <c r="K47" i="69"/>
  <c r="L47" i="69"/>
  <c r="M47" i="69"/>
  <c r="N47" i="69"/>
  <c r="O47" i="69"/>
  <c r="P47" i="69"/>
  <c r="Q47" i="69"/>
  <c r="R47" i="69"/>
  <c r="S47" i="69"/>
  <c r="T47" i="69"/>
  <c r="U47" i="69"/>
  <c r="V47" i="69"/>
  <c r="W47" i="69"/>
  <c r="X47" i="69"/>
  <c r="Y47" i="69"/>
  <c r="Z47" i="69"/>
  <c r="AA47" i="69"/>
  <c r="AB47" i="69"/>
  <c r="AC47" i="69"/>
  <c r="AD47" i="69"/>
  <c r="AE47" i="69"/>
  <c r="AF47" i="69"/>
  <c r="AG47" i="69"/>
  <c r="AH47" i="69"/>
  <c r="AI47" i="69"/>
  <c r="AJ47" i="69"/>
  <c r="AK47" i="69"/>
  <c r="AL47" i="69"/>
  <c r="B47" i="69"/>
  <c r="AM49" i="69"/>
  <c r="AM50" i="69"/>
  <c r="B7" i="74"/>
  <c r="E7" i="74"/>
  <c r="H7" i="74"/>
  <c r="K7" i="74"/>
  <c r="B8" i="74"/>
  <c r="E8" i="74"/>
  <c r="H8" i="74"/>
  <c r="K8" i="74"/>
  <c r="B9" i="74"/>
  <c r="E9" i="74"/>
  <c r="H9" i="74"/>
  <c r="K9" i="74"/>
  <c r="B10" i="74"/>
  <c r="E10" i="74"/>
  <c r="H10" i="74"/>
  <c r="K10" i="74"/>
  <c r="B11" i="74"/>
  <c r="E11" i="74"/>
  <c r="H11" i="74"/>
  <c r="K11" i="74"/>
  <c r="B12" i="74"/>
  <c r="E12" i="74"/>
  <c r="H12" i="74"/>
  <c r="K12" i="74"/>
  <c r="B14" i="74"/>
  <c r="E14" i="74"/>
  <c r="H14" i="74"/>
  <c r="K14" i="74"/>
  <c r="B15" i="74"/>
  <c r="E15" i="74"/>
  <c r="H15" i="74"/>
  <c r="K15" i="74"/>
  <c r="B16" i="74"/>
  <c r="E16" i="74"/>
  <c r="H16" i="74"/>
  <c r="K16" i="74"/>
  <c r="B17" i="74"/>
  <c r="E17" i="74"/>
  <c r="H17" i="74"/>
  <c r="K17" i="74"/>
  <c r="B23" i="74"/>
  <c r="E23" i="74"/>
  <c r="H23" i="74"/>
  <c r="B24" i="74"/>
  <c r="E24" i="74"/>
  <c r="H24" i="74"/>
  <c r="B25" i="74"/>
  <c r="E25" i="74"/>
  <c r="H25" i="74"/>
  <c r="B26" i="74"/>
  <c r="E26" i="74"/>
  <c r="H26" i="74"/>
  <c r="B27" i="74"/>
  <c r="E27" i="74"/>
  <c r="H27" i="74"/>
  <c r="B28" i="74"/>
  <c r="E28" i="74"/>
  <c r="H28" i="74"/>
  <c r="B30" i="74"/>
  <c r="E30" i="74"/>
  <c r="H30" i="74"/>
  <c r="B31" i="74"/>
  <c r="E31" i="74"/>
  <c r="H31" i="74"/>
  <c r="B32" i="74"/>
  <c r="E32" i="74"/>
  <c r="H32" i="74"/>
  <c r="B33" i="74"/>
  <c r="E33" i="74"/>
  <c r="H33" i="74"/>
  <c r="B7" i="75"/>
  <c r="E7" i="75"/>
  <c r="H7" i="75"/>
  <c r="K7" i="75"/>
  <c r="B8" i="75"/>
  <c r="E8" i="75"/>
  <c r="H8" i="75"/>
  <c r="K8" i="75"/>
  <c r="B9" i="75"/>
  <c r="E9" i="75"/>
  <c r="H9" i="75"/>
  <c r="K9" i="75"/>
  <c r="B10" i="75"/>
  <c r="E10" i="75"/>
  <c r="H10" i="75"/>
  <c r="K10" i="75"/>
  <c r="B11" i="75"/>
  <c r="E11" i="75"/>
  <c r="H11" i="75"/>
  <c r="K11" i="75"/>
  <c r="B12" i="75"/>
  <c r="E12" i="75"/>
  <c r="H12" i="75"/>
  <c r="K12" i="75"/>
  <c r="B14" i="75"/>
  <c r="E14" i="75"/>
  <c r="H14" i="75"/>
  <c r="K14" i="75"/>
  <c r="B15" i="75"/>
  <c r="E15" i="75"/>
  <c r="H15" i="75"/>
  <c r="K15" i="75"/>
  <c r="B16" i="75"/>
  <c r="E16" i="75"/>
  <c r="H16" i="75"/>
  <c r="K16" i="75"/>
  <c r="B17" i="75"/>
  <c r="E17" i="75"/>
  <c r="H17" i="75"/>
  <c r="K17" i="75"/>
  <c r="B23" i="75"/>
  <c r="E23" i="75"/>
  <c r="H23" i="75"/>
  <c r="B24" i="75"/>
  <c r="E24" i="75"/>
  <c r="H24" i="75"/>
  <c r="B25" i="75"/>
  <c r="E25" i="75"/>
  <c r="H25" i="75"/>
  <c r="B26" i="75"/>
  <c r="E26" i="75"/>
  <c r="H26" i="75"/>
  <c r="B27" i="75"/>
  <c r="E27" i="75"/>
  <c r="H27" i="75"/>
  <c r="B28" i="75"/>
  <c r="E28" i="75"/>
  <c r="H28" i="75"/>
  <c r="B30" i="75"/>
  <c r="E30" i="75"/>
  <c r="H30" i="75"/>
  <c r="B31" i="75"/>
  <c r="E31" i="75"/>
  <c r="H31" i="75"/>
  <c r="B32" i="75"/>
  <c r="E32" i="75"/>
  <c r="H32" i="75"/>
  <c r="B33" i="75"/>
  <c r="E33" i="75"/>
  <c r="H33" i="75"/>
  <c r="B7" i="76"/>
  <c r="E7" i="76"/>
  <c r="H7" i="76"/>
  <c r="K7" i="76"/>
  <c r="B8" i="76"/>
  <c r="E8" i="76"/>
  <c r="H8" i="76"/>
  <c r="K8" i="76"/>
  <c r="B9" i="76"/>
  <c r="E9" i="76"/>
  <c r="H9" i="76"/>
  <c r="K9" i="76"/>
  <c r="B10" i="76"/>
  <c r="E10" i="76"/>
  <c r="H10" i="76"/>
  <c r="K10" i="76"/>
  <c r="B11" i="76"/>
  <c r="E11" i="76"/>
  <c r="H11" i="76"/>
  <c r="K11" i="76"/>
  <c r="B12" i="76"/>
  <c r="E12" i="76"/>
  <c r="H12" i="76"/>
  <c r="K12" i="76"/>
  <c r="B14" i="76"/>
  <c r="E14" i="76"/>
  <c r="H14" i="76"/>
  <c r="K14" i="76"/>
  <c r="B15" i="76"/>
  <c r="E15" i="76"/>
  <c r="H15" i="76"/>
  <c r="K15" i="76"/>
  <c r="B16" i="76"/>
  <c r="E16" i="76"/>
  <c r="H16" i="76"/>
  <c r="K16" i="76"/>
  <c r="B17" i="76"/>
  <c r="E17" i="76"/>
  <c r="H17" i="76"/>
  <c r="K17" i="76"/>
  <c r="B23" i="76"/>
  <c r="E23" i="76"/>
  <c r="H23" i="76"/>
  <c r="B24" i="76"/>
  <c r="E24" i="76"/>
  <c r="H24" i="76"/>
  <c r="B25" i="76"/>
  <c r="E25" i="76"/>
  <c r="H25" i="76"/>
  <c r="B26" i="76"/>
  <c r="E26" i="76"/>
  <c r="H26" i="76"/>
  <c r="B27" i="76"/>
  <c r="E27" i="76"/>
  <c r="H27" i="76"/>
  <c r="B28" i="76"/>
  <c r="E28" i="76"/>
  <c r="H28" i="76"/>
  <c r="B30" i="76"/>
  <c r="E30" i="76"/>
  <c r="H30" i="76"/>
  <c r="B31" i="76"/>
  <c r="E31" i="76"/>
  <c r="H31" i="76"/>
  <c r="B32" i="76"/>
  <c r="E32" i="76"/>
  <c r="H32" i="76"/>
  <c r="B33" i="76"/>
  <c r="E33" i="76"/>
  <c r="H33" i="76"/>
  <c r="B7" i="77"/>
  <c r="E7" i="77"/>
  <c r="H7" i="77"/>
  <c r="K7" i="77"/>
  <c r="B8" i="77"/>
  <c r="E8" i="77"/>
  <c r="H8" i="77"/>
  <c r="K8" i="77"/>
  <c r="B9" i="77"/>
  <c r="E9" i="77"/>
  <c r="H9" i="77"/>
  <c r="K9" i="77"/>
  <c r="B10" i="77"/>
  <c r="E10" i="77"/>
  <c r="H10" i="77"/>
  <c r="K10" i="77"/>
  <c r="B11" i="77"/>
  <c r="E11" i="77"/>
  <c r="H11" i="77"/>
  <c r="K11" i="77"/>
  <c r="B12" i="77"/>
  <c r="E12" i="77"/>
  <c r="H12" i="77"/>
  <c r="K12" i="77"/>
  <c r="B14" i="77"/>
  <c r="E14" i="77"/>
  <c r="H14" i="77"/>
  <c r="K14" i="77"/>
  <c r="B15" i="77"/>
  <c r="E15" i="77"/>
  <c r="H15" i="77"/>
  <c r="K15" i="77"/>
  <c r="B16" i="77"/>
  <c r="E16" i="77"/>
  <c r="H16" i="77"/>
  <c r="K16" i="77"/>
  <c r="B17" i="77"/>
  <c r="E17" i="77"/>
  <c r="H17" i="77"/>
  <c r="K17" i="77"/>
  <c r="B23" i="77"/>
  <c r="E23" i="77"/>
  <c r="H23" i="77"/>
  <c r="B24" i="77"/>
  <c r="E24" i="77"/>
  <c r="H24" i="77"/>
  <c r="B25" i="77"/>
  <c r="E25" i="77"/>
  <c r="H25" i="77"/>
  <c r="B26" i="77"/>
  <c r="E26" i="77"/>
  <c r="H26" i="77"/>
  <c r="B27" i="77"/>
  <c r="E27" i="77"/>
  <c r="H27" i="77"/>
  <c r="B28" i="77"/>
  <c r="E28" i="77"/>
  <c r="H28" i="77"/>
  <c r="B30" i="77"/>
  <c r="E30" i="77"/>
  <c r="H30" i="77"/>
  <c r="B31" i="77"/>
  <c r="E31" i="77"/>
  <c r="H31" i="77"/>
  <c r="B32" i="77"/>
  <c r="E32" i="77"/>
  <c r="H32" i="77"/>
  <c r="B33" i="77"/>
  <c r="E33" i="77"/>
  <c r="H33" i="77"/>
  <c r="B7" i="78"/>
  <c r="E7" i="78"/>
  <c r="H7" i="78"/>
  <c r="K7" i="78"/>
  <c r="B8" i="78"/>
  <c r="E8" i="78"/>
  <c r="H8" i="78"/>
  <c r="K8" i="78"/>
  <c r="B9" i="78"/>
  <c r="E9" i="78"/>
  <c r="H9" i="78"/>
  <c r="K9" i="78"/>
  <c r="B10" i="78"/>
  <c r="E10" i="78"/>
  <c r="H10" i="78"/>
  <c r="K10" i="78"/>
  <c r="B11" i="78"/>
  <c r="E11" i="78"/>
  <c r="H11" i="78"/>
  <c r="K11" i="78"/>
  <c r="B12" i="78"/>
  <c r="E12" i="78"/>
  <c r="H12" i="78"/>
  <c r="K12" i="78"/>
  <c r="B14" i="78"/>
  <c r="E14" i="78"/>
  <c r="H14" i="78"/>
  <c r="K14" i="78"/>
  <c r="B15" i="78"/>
  <c r="E15" i="78"/>
  <c r="H15" i="78"/>
  <c r="K15" i="78"/>
  <c r="B16" i="78"/>
  <c r="E16" i="78"/>
  <c r="H16" i="78"/>
  <c r="K16" i="78"/>
  <c r="B17" i="78"/>
  <c r="E17" i="78"/>
  <c r="H17" i="78"/>
  <c r="K17" i="78"/>
  <c r="B23" i="78"/>
  <c r="E23" i="78"/>
  <c r="H23" i="78"/>
  <c r="B24" i="78"/>
  <c r="E24" i="78"/>
  <c r="H24" i="78"/>
  <c r="B25" i="78"/>
  <c r="E25" i="78"/>
  <c r="H25" i="78"/>
  <c r="B26" i="78"/>
  <c r="E26" i="78"/>
  <c r="H26" i="78"/>
  <c r="B27" i="78"/>
  <c r="E27" i="78"/>
  <c r="H27" i="78"/>
  <c r="B28" i="78"/>
  <c r="E28" i="78"/>
  <c r="H28" i="78"/>
  <c r="B30" i="78"/>
  <c r="E30" i="78"/>
  <c r="H30" i="78"/>
  <c r="B31" i="78"/>
  <c r="E31" i="78"/>
  <c r="H31" i="78"/>
  <c r="B32" i="78"/>
  <c r="E32" i="78"/>
  <c r="H32" i="78"/>
  <c r="B33" i="78"/>
  <c r="E33" i="78"/>
  <c r="H33" i="78"/>
  <c r="B7" i="79"/>
  <c r="E7" i="79"/>
  <c r="H7" i="79"/>
  <c r="K7" i="79"/>
  <c r="B8" i="79"/>
  <c r="E8" i="79"/>
  <c r="H8" i="79"/>
  <c r="K8" i="79"/>
  <c r="B9" i="79"/>
  <c r="E9" i="79"/>
  <c r="H9" i="79"/>
  <c r="K9" i="79"/>
  <c r="B10" i="79"/>
  <c r="E10" i="79"/>
  <c r="H10" i="79"/>
  <c r="K10" i="79"/>
  <c r="B11" i="79"/>
  <c r="E11" i="79"/>
  <c r="H11" i="79"/>
  <c r="K11" i="79"/>
  <c r="B12" i="79"/>
  <c r="E12" i="79"/>
  <c r="H12" i="79"/>
  <c r="K12" i="79"/>
  <c r="B14" i="79"/>
  <c r="E14" i="79"/>
  <c r="H14" i="79"/>
  <c r="K14" i="79"/>
  <c r="B15" i="79"/>
  <c r="E15" i="79"/>
  <c r="H15" i="79"/>
  <c r="K15" i="79"/>
  <c r="B16" i="79"/>
  <c r="E16" i="79"/>
  <c r="H16" i="79"/>
  <c r="K16" i="79"/>
  <c r="B17" i="79"/>
  <c r="E17" i="79"/>
  <c r="H17" i="79"/>
  <c r="K17" i="79"/>
  <c r="B23" i="79"/>
  <c r="E23" i="79"/>
  <c r="H23" i="79"/>
  <c r="B24" i="79"/>
  <c r="E24" i="79"/>
  <c r="H24" i="79"/>
  <c r="B25" i="79"/>
  <c r="E25" i="79"/>
  <c r="H25" i="79"/>
  <c r="B26" i="79"/>
  <c r="E26" i="79"/>
  <c r="H26" i="79"/>
  <c r="B27" i="79"/>
  <c r="E27" i="79"/>
  <c r="H27" i="79"/>
  <c r="B28" i="79"/>
  <c r="E28" i="79"/>
  <c r="H28" i="79"/>
  <c r="B30" i="79"/>
  <c r="E30" i="79"/>
  <c r="H30" i="79"/>
  <c r="B31" i="79"/>
  <c r="E31" i="79"/>
  <c r="H31" i="79"/>
  <c r="B32" i="79"/>
  <c r="E32" i="79"/>
  <c r="H32" i="79"/>
  <c r="B33" i="79"/>
  <c r="E33" i="79"/>
  <c r="H33" i="79"/>
  <c r="B7" i="80"/>
  <c r="E7" i="80"/>
  <c r="H7" i="80"/>
  <c r="K7" i="80"/>
  <c r="B8" i="80"/>
  <c r="E8" i="80"/>
  <c r="H8" i="80"/>
  <c r="K8" i="80"/>
  <c r="B9" i="80"/>
  <c r="E9" i="80"/>
  <c r="H9" i="80"/>
  <c r="K9" i="80"/>
  <c r="B10" i="80"/>
  <c r="E10" i="80"/>
  <c r="H10" i="80"/>
  <c r="K10" i="80"/>
  <c r="B11" i="80"/>
  <c r="E11" i="80"/>
  <c r="H11" i="80"/>
  <c r="K11" i="80"/>
  <c r="B12" i="80"/>
  <c r="E12" i="80"/>
  <c r="H12" i="80"/>
  <c r="K12" i="80"/>
  <c r="B14" i="80"/>
  <c r="E14" i="80"/>
  <c r="H14" i="80"/>
  <c r="K14" i="80"/>
  <c r="B15" i="80"/>
  <c r="E15" i="80"/>
  <c r="H15" i="80"/>
  <c r="K15" i="80"/>
  <c r="B16" i="80"/>
  <c r="E16" i="80"/>
  <c r="H16" i="80"/>
  <c r="K16" i="80"/>
  <c r="B17" i="80"/>
  <c r="E17" i="80"/>
  <c r="H17" i="80"/>
  <c r="K17" i="80"/>
  <c r="B23" i="80"/>
  <c r="E23" i="80"/>
  <c r="H23" i="80"/>
  <c r="B24" i="80"/>
  <c r="E24" i="80"/>
  <c r="H24" i="80"/>
  <c r="B25" i="80"/>
  <c r="E25" i="80"/>
  <c r="H25" i="80"/>
  <c r="B26" i="80"/>
  <c r="E26" i="80"/>
  <c r="H26" i="80"/>
  <c r="B27" i="80"/>
  <c r="E27" i="80"/>
  <c r="H27" i="80"/>
  <c r="B28" i="80"/>
  <c r="E28" i="80"/>
  <c r="H28" i="80"/>
  <c r="B30" i="80"/>
  <c r="E30" i="80"/>
  <c r="H30" i="80"/>
  <c r="B31" i="80"/>
  <c r="E31" i="80"/>
  <c r="H31" i="80"/>
  <c r="B32" i="80"/>
  <c r="E32" i="80"/>
  <c r="H32" i="80"/>
  <c r="B33" i="80"/>
  <c r="E33" i="80"/>
  <c r="H33" i="80"/>
  <c r="B7" i="81"/>
  <c r="E7" i="81"/>
  <c r="H7" i="81"/>
  <c r="K7" i="81"/>
  <c r="B8" i="81"/>
  <c r="E8" i="81"/>
  <c r="H8" i="81"/>
  <c r="K8" i="81"/>
  <c r="B9" i="81"/>
  <c r="E9" i="81"/>
  <c r="H9" i="81"/>
  <c r="K9" i="81"/>
  <c r="B10" i="81"/>
  <c r="E10" i="81"/>
  <c r="H10" i="81"/>
  <c r="K10" i="81"/>
  <c r="B11" i="81"/>
  <c r="E11" i="81"/>
  <c r="H11" i="81"/>
  <c r="K11" i="81"/>
  <c r="B12" i="81"/>
  <c r="E12" i="81"/>
  <c r="H12" i="81"/>
  <c r="K12" i="81"/>
  <c r="B14" i="81"/>
  <c r="E14" i="81"/>
  <c r="H14" i="81"/>
  <c r="K14" i="81"/>
  <c r="B15" i="81"/>
  <c r="E15" i="81"/>
  <c r="H15" i="81"/>
  <c r="K15" i="81"/>
  <c r="B16" i="81"/>
  <c r="E16" i="81"/>
  <c r="H16" i="81"/>
  <c r="K16" i="81"/>
  <c r="B17" i="81"/>
  <c r="E17" i="81"/>
  <c r="H17" i="81"/>
  <c r="K17" i="81"/>
  <c r="B23" i="81"/>
  <c r="E23" i="81"/>
  <c r="H23" i="81"/>
  <c r="B24" i="81"/>
  <c r="E24" i="81"/>
  <c r="H24" i="81"/>
  <c r="B25" i="81"/>
  <c r="E25" i="81"/>
  <c r="H25" i="81"/>
  <c r="B26" i="81"/>
  <c r="E26" i="81"/>
  <c r="H26" i="81"/>
  <c r="B27" i="81"/>
  <c r="E27" i="81"/>
  <c r="H27" i="81"/>
  <c r="B28" i="81"/>
  <c r="E28" i="81"/>
  <c r="H28" i="81"/>
  <c r="B30" i="81"/>
  <c r="E30" i="81"/>
  <c r="H30" i="81"/>
  <c r="B31" i="81"/>
  <c r="E31" i="81"/>
  <c r="H31" i="81"/>
  <c r="B32" i="81"/>
  <c r="E32" i="81"/>
  <c r="H32" i="81"/>
  <c r="B33" i="81"/>
  <c r="E33" i="81"/>
  <c r="H33" i="81"/>
  <c r="B7" i="82"/>
  <c r="E7" i="82"/>
  <c r="H7" i="82"/>
  <c r="K7" i="82"/>
  <c r="B8" i="82"/>
  <c r="E8" i="82"/>
  <c r="H8" i="82"/>
  <c r="K8" i="82"/>
  <c r="B9" i="82"/>
  <c r="E9" i="82"/>
  <c r="H9" i="82"/>
  <c r="K9" i="82"/>
  <c r="B10" i="82"/>
  <c r="E10" i="82"/>
  <c r="H10" i="82"/>
  <c r="K10" i="82"/>
  <c r="B11" i="82"/>
  <c r="E11" i="82"/>
  <c r="H11" i="82"/>
  <c r="K11" i="82"/>
  <c r="B12" i="82"/>
  <c r="E12" i="82"/>
  <c r="H12" i="82"/>
  <c r="K12" i="82"/>
  <c r="B14" i="82"/>
  <c r="E14" i="82"/>
  <c r="H14" i="82"/>
  <c r="K14" i="82"/>
  <c r="B15" i="82"/>
  <c r="E15" i="82"/>
  <c r="H15" i="82"/>
  <c r="K15" i="82"/>
  <c r="B16" i="82"/>
  <c r="E16" i="82"/>
  <c r="H16" i="82"/>
  <c r="K16" i="82"/>
  <c r="B17" i="82"/>
  <c r="E17" i="82"/>
  <c r="H17" i="82"/>
  <c r="K17" i="82"/>
  <c r="B23" i="82"/>
  <c r="E23" i="82"/>
  <c r="H23" i="82"/>
  <c r="B24" i="82"/>
  <c r="E24" i="82"/>
  <c r="H24" i="82"/>
  <c r="B25" i="82"/>
  <c r="E25" i="82"/>
  <c r="H25" i="82"/>
  <c r="B26" i="82"/>
  <c r="E26" i="82"/>
  <c r="H26" i="82"/>
  <c r="B27" i="82"/>
  <c r="E27" i="82"/>
  <c r="H27" i="82"/>
  <c r="B28" i="82"/>
  <c r="E28" i="82"/>
  <c r="H28" i="82"/>
  <c r="B30" i="82"/>
  <c r="E30" i="82"/>
  <c r="H30" i="82"/>
  <c r="B31" i="82"/>
  <c r="E31" i="82"/>
  <c r="H31" i="82"/>
  <c r="B32" i="82"/>
  <c r="E32" i="82"/>
  <c r="H32" i="82"/>
  <c r="B33" i="82"/>
  <c r="E33" i="82"/>
  <c r="H33" i="82"/>
  <c r="B7" i="83"/>
  <c r="E7" i="83"/>
  <c r="H7" i="83"/>
  <c r="K7" i="83"/>
  <c r="B8" i="83"/>
  <c r="E8" i="83"/>
  <c r="H8" i="83"/>
  <c r="K8" i="83"/>
  <c r="B9" i="83"/>
  <c r="E9" i="83"/>
  <c r="H9" i="83"/>
  <c r="K9" i="83"/>
  <c r="B10" i="83"/>
  <c r="E10" i="83"/>
  <c r="H10" i="83"/>
  <c r="K10" i="83"/>
  <c r="B11" i="83"/>
  <c r="E11" i="83"/>
  <c r="H11" i="83"/>
  <c r="K11" i="83"/>
  <c r="B12" i="83"/>
  <c r="E12" i="83"/>
  <c r="H12" i="83"/>
  <c r="K12" i="83"/>
  <c r="B14" i="83"/>
  <c r="E14" i="83"/>
  <c r="H14" i="83"/>
  <c r="K14" i="83"/>
  <c r="B15" i="83"/>
  <c r="E15" i="83"/>
  <c r="H15" i="83"/>
  <c r="K15" i="83"/>
  <c r="B16" i="83"/>
  <c r="E16" i="83"/>
  <c r="H16" i="83"/>
  <c r="K16" i="83"/>
  <c r="B17" i="83"/>
  <c r="E17" i="83"/>
  <c r="H17" i="83"/>
  <c r="K17" i="83"/>
  <c r="B23" i="83"/>
  <c r="E23" i="83"/>
  <c r="H23" i="83"/>
  <c r="B24" i="83"/>
  <c r="E24" i="83"/>
  <c r="H24" i="83"/>
  <c r="B25" i="83"/>
  <c r="E25" i="83"/>
  <c r="H25" i="83"/>
  <c r="B26" i="83"/>
  <c r="E26" i="83"/>
  <c r="H26" i="83"/>
  <c r="B27" i="83"/>
  <c r="E27" i="83"/>
  <c r="H27" i="83"/>
  <c r="B28" i="83"/>
  <c r="E28" i="83"/>
  <c r="H28" i="83"/>
  <c r="B30" i="83"/>
  <c r="E30" i="83"/>
  <c r="H30" i="83"/>
  <c r="B31" i="83"/>
  <c r="E31" i="83"/>
  <c r="H31" i="83"/>
  <c r="B32" i="83"/>
  <c r="E32" i="83"/>
  <c r="H32" i="83"/>
  <c r="B33" i="83"/>
  <c r="E33" i="83"/>
  <c r="H33" i="83"/>
  <c r="B7" i="84"/>
  <c r="E7" i="84"/>
  <c r="H7" i="84"/>
  <c r="K7" i="84"/>
  <c r="B8" i="84"/>
  <c r="E8" i="84"/>
  <c r="H8" i="84"/>
  <c r="K8" i="84"/>
  <c r="B9" i="84"/>
  <c r="E9" i="84"/>
  <c r="H9" i="84"/>
  <c r="K9" i="84"/>
  <c r="B10" i="84"/>
  <c r="E10" i="84"/>
  <c r="H10" i="84"/>
  <c r="K10" i="84"/>
  <c r="B11" i="84"/>
  <c r="E11" i="84"/>
  <c r="H11" i="84"/>
  <c r="K11" i="84"/>
  <c r="B12" i="84"/>
  <c r="E12" i="84"/>
  <c r="H12" i="84"/>
  <c r="K12" i="84"/>
  <c r="B14" i="84"/>
  <c r="E14" i="84"/>
  <c r="H14" i="84"/>
  <c r="K14" i="84"/>
  <c r="B15" i="84"/>
  <c r="E15" i="84"/>
  <c r="H15" i="84"/>
  <c r="K15" i="84"/>
  <c r="B16" i="84"/>
  <c r="E16" i="84"/>
  <c r="H16" i="84"/>
  <c r="K16" i="84"/>
  <c r="B17" i="84"/>
  <c r="E17" i="84"/>
  <c r="H17" i="84"/>
  <c r="K17" i="84"/>
  <c r="B23" i="84"/>
  <c r="E23" i="84"/>
  <c r="H23" i="84"/>
  <c r="B24" i="84"/>
  <c r="E24" i="84"/>
  <c r="H24" i="84"/>
  <c r="B25" i="84"/>
  <c r="E25" i="84"/>
  <c r="H25" i="84"/>
  <c r="B26" i="84"/>
  <c r="E26" i="84"/>
  <c r="H26" i="84"/>
  <c r="B27" i="84"/>
  <c r="E27" i="84"/>
  <c r="H27" i="84"/>
  <c r="B28" i="84"/>
  <c r="E28" i="84"/>
  <c r="H28" i="84"/>
  <c r="B30" i="84"/>
  <c r="E30" i="84"/>
  <c r="H30" i="84"/>
  <c r="B31" i="84"/>
  <c r="E31" i="84"/>
  <c r="H31" i="84"/>
  <c r="B32" i="84"/>
  <c r="E32" i="84"/>
  <c r="H32" i="84"/>
  <c r="B33" i="84"/>
  <c r="E33" i="84"/>
  <c r="H33" i="84"/>
  <c r="B7" i="85"/>
  <c r="E7" i="85"/>
  <c r="H7" i="85"/>
  <c r="K7" i="85"/>
  <c r="B8" i="85"/>
  <c r="E8" i="85"/>
  <c r="H8" i="85"/>
  <c r="K8" i="85"/>
  <c r="B9" i="85"/>
  <c r="E9" i="85"/>
  <c r="H9" i="85"/>
  <c r="K9" i="85"/>
  <c r="B10" i="85"/>
  <c r="E10" i="85"/>
  <c r="H10" i="85"/>
  <c r="K10" i="85"/>
  <c r="B11" i="85"/>
  <c r="E11" i="85"/>
  <c r="H11" i="85"/>
  <c r="K11" i="85"/>
  <c r="B12" i="85"/>
  <c r="E12" i="85"/>
  <c r="H12" i="85"/>
  <c r="K12" i="85"/>
  <c r="B14" i="85"/>
  <c r="E14" i="85"/>
  <c r="H14" i="85"/>
  <c r="K14" i="85"/>
  <c r="B15" i="85"/>
  <c r="E15" i="85"/>
  <c r="H15" i="85"/>
  <c r="K15" i="85"/>
  <c r="B16" i="85"/>
  <c r="E16" i="85"/>
  <c r="H16" i="85"/>
  <c r="K16" i="85"/>
  <c r="B17" i="85"/>
  <c r="E17" i="85"/>
  <c r="H17" i="85"/>
  <c r="K17" i="85"/>
  <c r="B23" i="85"/>
  <c r="E23" i="85"/>
  <c r="H23" i="85"/>
  <c r="B24" i="85"/>
  <c r="E24" i="85"/>
  <c r="H24" i="85"/>
  <c r="B25" i="85"/>
  <c r="E25" i="85"/>
  <c r="H25" i="85"/>
  <c r="B26" i="85"/>
  <c r="E26" i="85"/>
  <c r="H26" i="85"/>
  <c r="B27" i="85"/>
  <c r="E27" i="85"/>
  <c r="H27" i="85"/>
  <c r="B28" i="85"/>
  <c r="E28" i="85"/>
  <c r="H28" i="85"/>
  <c r="B30" i="85"/>
  <c r="E30" i="85"/>
  <c r="H30" i="85"/>
  <c r="B31" i="85"/>
  <c r="E31" i="85"/>
  <c r="H31" i="85"/>
  <c r="B32" i="85"/>
  <c r="E32" i="85"/>
  <c r="H32" i="85"/>
  <c r="B33" i="85"/>
  <c r="E33" i="85"/>
  <c r="H33" i="85"/>
  <c r="B7" i="86"/>
  <c r="E7" i="86"/>
  <c r="H7" i="86"/>
  <c r="K7" i="86"/>
  <c r="B8" i="86"/>
  <c r="E8" i="86"/>
  <c r="H8" i="86"/>
  <c r="K8" i="86"/>
  <c r="B9" i="86"/>
  <c r="E9" i="86"/>
  <c r="H9" i="86"/>
  <c r="K9" i="86"/>
  <c r="B10" i="86"/>
  <c r="E10" i="86"/>
  <c r="H10" i="86"/>
  <c r="K10" i="86"/>
  <c r="B11" i="86"/>
  <c r="E11" i="86"/>
  <c r="H11" i="86"/>
  <c r="K11" i="86"/>
  <c r="B12" i="86"/>
  <c r="E12" i="86"/>
  <c r="H12" i="86"/>
  <c r="K12" i="86"/>
  <c r="B14" i="86"/>
  <c r="E14" i="86"/>
  <c r="H14" i="86"/>
  <c r="K14" i="86"/>
  <c r="B15" i="86"/>
  <c r="E15" i="86"/>
  <c r="H15" i="86"/>
  <c r="K15" i="86"/>
  <c r="B16" i="86"/>
  <c r="E16" i="86"/>
  <c r="H16" i="86"/>
  <c r="K16" i="86"/>
  <c r="B17" i="86"/>
  <c r="E17" i="86"/>
  <c r="H17" i="86"/>
  <c r="K17" i="86"/>
  <c r="B23" i="86"/>
  <c r="E23" i="86"/>
  <c r="H23" i="86"/>
  <c r="B24" i="86"/>
  <c r="E24" i="86"/>
  <c r="H24" i="86"/>
  <c r="B25" i="86"/>
  <c r="E25" i="86"/>
  <c r="H25" i="86"/>
  <c r="B26" i="86"/>
  <c r="E26" i="86"/>
  <c r="H26" i="86"/>
  <c r="B27" i="86"/>
  <c r="E27" i="86"/>
  <c r="H27" i="86"/>
  <c r="B28" i="86"/>
  <c r="E28" i="86"/>
  <c r="H28" i="86"/>
  <c r="B30" i="86"/>
  <c r="E30" i="86"/>
  <c r="H30" i="86"/>
  <c r="B31" i="86"/>
  <c r="E31" i="86"/>
  <c r="H31" i="86"/>
  <c r="B32" i="86"/>
  <c r="E32" i="86"/>
  <c r="H32" i="86"/>
  <c r="B33" i="86"/>
  <c r="E33" i="86"/>
  <c r="H33" i="86"/>
  <c r="B7" i="87"/>
  <c r="E7" i="87"/>
  <c r="H7" i="87"/>
  <c r="K7" i="87"/>
  <c r="B8" i="87"/>
  <c r="E8" i="87"/>
  <c r="H8" i="87"/>
  <c r="K8" i="87"/>
  <c r="B9" i="87"/>
  <c r="E9" i="87"/>
  <c r="H9" i="87"/>
  <c r="K9" i="87"/>
  <c r="B10" i="87"/>
  <c r="E10" i="87"/>
  <c r="H10" i="87"/>
  <c r="K10" i="87"/>
  <c r="B11" i="87"/>
  <c r="E11" i="87"/>
  <c r="H11" i="87"/>
  <c r="K11" i="87"/>
  <c r="B12" i="87"/>
  <c r="E12" i="87"/>
  <c r="H12" i="87"/>
  <c r="K12" i="87"/>
  <c r="B14" i="87"/>
  <c r="E14" i="87"/>
  <c r="H14" i="87"/>
  <c r="K14" i="87"/>
  <c r="B15" i="87"/>
  <c r="E15" i="87"/>
  <c r="H15" i="87"/>
  <c r="K15" i="87"/>
  <c r="B16" i="87"/>
  <c r="E16" i="87"/>
  <c r="H16" i="87"/>
  <c r="K16" i="87"/>
  <c r="B17" i="87"/>
  <c r="E17" i="87"/>
  <c r="H17" i="87"/>
  <c r="K17" i="87"/>
  <c r="B23" i="87"/>
  <c r="E23" i="87"/>
  <c r="H23" i="87"/>
  <c r="B24" i="87"/>
  <c r="E24" i="87"/>
  <c r="H24" i="87"/>
  <c r="B25" i="87"/>
  <c r="E25" i="87"/>
  <c r="H25" i="87"/>
  <c r="B26" i="87"/>
  <c r="E26" i="87"/>
  <c r="H26" i="87"/>
  <c r="B27" i="87"/>
  <c r="E27" i="87"/>
  <c r="H27" i="87"/>
  <c r="B28" i="87"/>
  <c r="E28" i="87"/>
  <c r="H28" i="87"/>
  <c r="B30" i="87"/>
  <c r="E30" i="87"/>
  <c r="H30" i="87"/>
  <c r="B31" i="87"/>
  <c r="E31" i="87"/>
  <c r="H31" i="87"/>
  <c r="B32" i="87"/>
  <c r="E32" i="87"/>
  <c r="H32" i="87"/>
  <c r="B33" i="87"/>
  <c r="E33" i="87"/>
  <c r="H33" i="87"/>
  <c r="B7" i="88"/>
  <c r="E7" i="88"/>
  <c r="H7" i="88"/>
  <c r="K7" i="88"/>
  <c r="B8" i="88"/>
  <c r="E8" i="88"/>
  <c r="H8" i="88"/>
  <c r="K8" i="88"/>
  <c r="B9" i="88"/>
  <c r="E9" i="88"/>
  <c r="H9" i="88"/>
  <c r="K9" i="88"/>
  <c r="B10" i="88"/>
  <c r="E10" i="88"/>
  <c r="H10" i="88"/>
  <c r="K10" i="88"/>
  <c r="B11" i="88"/>
  <c r="E11" i="88"/>
  <c r="H11" i="88"/>
  <c r="K11" i="88"/>
  <c r="B12" i="88"/>
  <c r="E12" i="88"/>
  <c r="H12" i="88"/>
  <c r="K12" i="88"/>
  <c r="B14" i="88"/>
  <c r="E14" i="88"/>
  <c r="H14" i="88"/>
  <c r="K14" i="88"/>
  <c r="B15" i="88"/>
  <c r="E15" i="88"/>
  <c r="H15" i="88"/>
  <c r="K15" i="88"/>
  <c r="B16" i="88"/>
  <c r="E16" i="88"/>
  <c r="H16" i="88"/>
  <c r="K16" i="88"/>
  <c r="B17" i="88"/>
  <c r="E17" i="88"/>
  <c r="H17" i="88"/>
  <c r="K17" i="88"/>
  <c r="B23" i="88"/>
  <c r="E23" i="88"/>
  <c r="H23" i="88"/>
  <c r="B24" i="88"/>
  <c r="E24" i="88"/>
  <c r="H24" i="88"/>
  <c r="B25" i="88"/>
  <c r="E25" i="88"/>
  <c r="H25" i="88"/>
  <c r="B26" i="88"/>
  <c r="E26" i="88"/>
  <c r="H26" i="88"/>
  <c r="B27" i="88"/>
  <c r="E27" i="88"/>
  <c r="H27" i="88"/>
  <c r="B28" i="88"/>
  <c r="E28" i="88"/>
  <c r="H28" i="88"/>
  <c r="B30" i="88"/>
  <c r="E30" i="88"/>
  <c r="H30" i="88"/>
  <c r="B31" i="88"/>
  <c r="E31" i="88"/>
  <c r="H31" i="88"/>
  <c r="B32" i="88"/>
  <c r="E32" i="88"/>
  <c r="H32" i="88"/>
  <c r="B33" i="88"/>
  <c r="E33" i="88"/>
  <c r="H33" i="88"/>
  <c r="B7" i="89"/>
  <c r="E7" i="89"/>
  <c r="H7" i="89"/>
  <c r="K7" i="89"/>
  <c r="B8" i="89"/>
  <c r="E8" i="89"/>
  <c r="H8" i="89"/>
  <c r="K8" i="89"/>
  <c r="B9" i="89"/>
  <c r="E9" i="89"/>
  <c r="H9" i="89"/>
  <c r="K9" i="89"/>
  <c r="B10" i="89"/>
  <c r="E10" i="89"/>
  <c r="H10" i="89"/>
  <c r="K10" i="89"/>
  <c r="B11" i="89"/>
  <c r="E11" i="89"/>
  <c r="H11" i="89"/>
  <c r="K11" i="89"/>
  <c r="B12" i="89"/>
  <c r="E12" i="89"/>
  <c r="H12" i="89"/>
  <c r="K12" i="89"/>
  <c r="B14" i="89"/>
  <c r="E14" i="89"/>
  <c r="H14" i="89"/>
  <c r="K14" i="89"/>
  <c r="B15" i="89"/>
  <c r="E15" i="89"/>
  <c r="H15" i="89"/>
  <c r="K15" i="89"/>
  <c r="B16" i="89"/>
  <c r="E16" i="89"/>
  <c r="H16" i="89"/>
  <c r="K16" i="89"/>
  <c r="B17" i="89"/>
  <c r="E17" i="89"/>
  <c r="H17" i="89"/>
  <c r="K17" i="89"/>
  <c r="B23" i="89"/>
  <c r="E23" i="89"/>
  <c r="H23" i="89"/>
  <c r="B24" i="89"/>
  <c r="E24" i="89"/>
  <c r="H24" i="89"/>
  <c r="B25" i="89"/>
  <c r="E25" i="89"/>
  <c r="H25" i="89"/>
  <c r="B26" i="89"/>
  <c r="E26" i="89"/>
  <c r="H26" i="89"/>
  <c r="B27" i="89"/>
  <c r="E27" i="89"/>
  <c r="H27" i="89"/>
  <c r="B28" i="89"/>
  <c r="E28" i="89"/>
  <c r="H28" i="89"/>
  <c r="B30" i="89"/>
  <c r="E30" i="89"/>
  <c r="H30" i="89"/>
  <c r="B31" i="89"/>
  <c r="E31" i="89"/>
  <c r="H31" i="89"/>
  <c r="B32" i="89"/>
  <c r="E32" i="89"/>
  <c r="H32" i="89"/>
  <c r="B33" i="89"/>
  <c r="E33" i="89"/>
  <c r="H33" i="89"/>
  <c r="B7" i="90"/>
  <c r="E7" i="90"/>
  <c r="H7" i="90"/>
  <c r="K7" i="90"/>
  <c r="B8" i="90"/>
  <c r="E8" i="90"/>
  <c r="H8" i="90"/>
  <c r="K8" i="90"/>
  <c r="B9" i="90"/>
  <c r="E9" i="90"/>
  <c r="H9" i="90"/>
  <c r="K9" i="90"/>
  <c r="B10" i="90"/>
  <c r="E10" i="90"/>
  <c r="H10" i="90"/>
  <c r="K10" i="90"/>
  <c r="B11" i="90"/>
  <c r="E11" i="90"/>
  <c r="H11" i="90"/>
  <c r="K11" i="90"/>
  <c r="B12" i="90"/>
  <c r="E12" i="90"/>
  <c r="H12" i="90"/>
  <c r="K12" i="90"/>
  <c r="B14" i="90"/>
  <c r="E14" i="90"/>
  <c r="H14" i="90"/>
  <c r="K14" i="90"/>
  <c r="B15" i="90"/>
  <c r="E15" i="90"/>
  <c r="H15" i="90"/>
  <c r="K15" i="90"/>
  <c r="B16" i="90"/>
  <c r="E16" i="90"/>
  <c r="H16" i="90"/>
  <c r="K16" i="90"/>
  <c r="B17" i="90"/>
  <c r="E17" i="90"/>
  <c r="H17" i="90"/>
  <c r="K17" i="90"/>
  <c r="B23" i="90"/>
  <c r="E23" i="90"/>
  <c r="H23" i="90"/>
  <c r="B24" i="90"/>
  <c r="E24" i="90"/>
  <c r="H24" i="90"/>
  <c r="B25" i="90"/>
  <c r="E25" i="90"/>
  <c r="H25" i="90"/>
  <c r="B26" i="90"/>
  <c r="E26" i="90"/>
  <c r="H26" i="90"/>
  <c r="B27" i="90"/>
  <c r="E27" i="90"/>
  <c r="H27" i="90"/>
  <c r="B28" i="90"/>
  <c r="E28" i="90"/>
  <c r="H28" i="90"/>
  <c r="B30" i="90"/>
  <c r="E30" i="90"/>
  <c r="H30" i="90"/>
  <c r="B31" i="90"/>
  <c r="E31" i="90"/>
  <c r="H31" i="90"/>
  <c r="B32" i="90"/>
  <c r="E32" i="90"/>
  <c r="H32" i="90"/>
  <c r="B33" i="90"/>
  <c r="E33" i="90"/>
  <c r="H33" i="90"/>
  <c r="B7" i="91"/>
  <c r="E7" i="91"/>
  <c r="H7" i="91"/>
  <c r="K7" i="91"/>
  <c r="B8" i="91"/>
  <c r="E8" i="91"/>
  <c r="H8" i="91"/>
  <c r="K8" i="91"/>
  <c r="B9" i="91"/>
  <c r="E9" i="91"/>
  <c r="H9" i="91"/>
  <c r="K9" i="91"/>
  <c r="B10" i="91"/>
  <c r="E10" i="91"/>
  <c r="H10" i="91"/>
  <c r="K10" i="91"/>
  <c r="B11" i="91"/>
  <c r="E11" i="91"/>
  <c r="H11" i="91"/>
  <c r="K11" i="91"/>
  <c r="B12" i="91"/>
  <c r="E12" i="91"/>
  <c r="H12" i="91"/>
  <c r="K12" i="91"/>
  <c r="B14" i="91"/>
  <c r="E14" i="91"/>
  <c r="H14" i="91"/>
  <c r="K14" i="91"/>
  <c r="B15" i="91"/>
  <c r="E15" i="91"/>
  <c r="H15" i="91"/>
  <c r="K15" i="91"/>
  <c r="B16" i="91"/>
  <c r="E16" i="91"/>
  <c r="H16" i="91"/>
  <c r="K16" i="91"/>
  <c r="B17" i="91"/>
  <c r="E17" i="91"/>
  <c r="H17" i="91"/>
  <c r="K17" i="91"/>
  <c r="B23" i="91"/>
  <c r="E23" i="91"/>
  <c r="H23" i="91"/>
  <c r="B24" i="91"/>
  <c r="E24" i="91"/>
  <c r="H24" i="91"/>
  <c r="B25" i="91"/>
  <c r="E25" i="91"/>
  <c r="H25" i="91"/>
  <c r="B26" i="91"/>
  <c r="E26" i="91"/>
  <c r="H26" i="91"/>
  <c r="B27" i="91"/>
  <c r="E27" i="91"/>
  <c r="H27" i="91"/>
  <c r="B28" i="91"/>
  <c r="E28" i="91"/>
  <c r="H28" i="91"/>
  <c r="B30" i="91"/>
  <c r="E30" i="91"/>
  <c r="H30" i="91"/>
  <c r="B31" i="91"/>
  <c r="E31" i="91"/>
  <c r="H31" i="91"/>
  <c r="B32" i="91"/>
  <c r="E32" i="91"/>
  <c r="H32" i="91"/>
  <c r="B33" i="91"/>
  <c r="E33" i="91"/>
  <c r="H33" i="91"/>
  <c r="B7" i="92"/>
  <c r="E7" i="92"/>
  <c r="H7" i="92"/>
  <c r="K7" i="92"/>
  <c r="B8" i="92"/>
  <c r="E8" i="92"/>
  <c r="H8" i="92"/>
  <c r="K8" i="92"/>
  <c r="B9" i="92"/>
  <c r="E9" i="92"/>
  <c r="H9" i="92"/>
  <c r="K9" i="92"/>
  <c r="B10" i="92"/>
  <c r="E10" i="92"/>
  <c r="H10" i="92"/>
  <c r="K10" i="92"/>
  <c r="B11" i="92"/>
  <c r="E11" i="92"/>
  <c r="H11" i="92"/>
  <c r="K11" i="92"/>
  <c r="B12" i="92"/>
  <c r="E12" i="92"/>
  <c r="H12" i="92"/>
  <c r="K12" i="92"/>
  <c r="B14" i="92"/>
  <c r="E14" i="92"/>
  <c r="H14" i="92"/>
  <c r="K14" i="92"/>
  <c r="B15" i="92"/>
  <c r="E15" i="92"/>
  <c r="H15" i="92"/>
  <c r="K15" i="92"/>
  <c r="B16" i="92"/>
  <c r="E16" i="92"/>
  <c r="H16" i="92"/>
  <c r="K16" i="92"/>
  <c r="B17" i="92"/>
  <c r="E17" i="92"/>
  <c r="H17" i="92"/>
  <c r="K17" i="92"/>
  <c r="B23" i="92"/>
  <c r="E23" i="92"/>
  <c r="H23" i="92"/>
  <c r="B24" i="92"/>
  <c r="E24" i="92"/>
  <c r="H24" i="92"/>
  <c r="B25" i="92"/>
  <c r="E25" i="92"/>
  <c r="H25" i="92"/>
  <c r="B26" i="92"/>
  <c r="E26" i="92"/>
  <c r="H26" i="92"/>
  <c r="B27" i="92"/>
  <c r="E27" i="92"/>
  <c r="H27" i="92"/>
  <c r="B28" i="92"/>
  <c r="E28" i="92"/>
  <c r="H28" i="92"/>
  <c r="B30" i="92"/>
  <c r="E30" i="92"/>
  <c r="H30" i="92"/>
  <c r="B31" i="92"/>
  <c r="E31" i="92"/>
  <c r="H31" i="92"/>
  <c r="B32" i="92"/>
  <c r="E32" i="92"/>
  <c r="H32" i="92"/>
  <c r="B33" i="92"/>
  <c r="E33" i="92"/>
  <c r="H33" i="92"/>
  <c r="B7" i="93"/>
  <c r="E7" i="93"/>
  <c r="H7" i="93"/>
  <c r="K7" i="93"/>
  <c r="B8" i="93"/>
  <c r="E8" i="93"/>
  <c r="H8" i="93"/>
  <c r="K8" i="93"/>
  <c r="B9" i="93"/>
  <c r="E9" i="93"/>
  <c r="H9" i="93"/>
  <c r="K9" i="93"/>
  <c r="B10" i="93"/>
  <c r="E10" i="93"/>
  <c r="H10" i="93"/>
  <c r="K10" i="93"/>
  <c r="B11" i="93"/>
  <c r="E11" i="93"/>
  <c r="H11" i="93"/>
  <c r="K11" i="93"/>
  <c r="B12" i="93"/>
  <c r="E12" i="93"/>
  <c r="H12" i="93"/>
  <c r="K12" i="93"/>
  <c r="B14" i="93"/>
  <c r="E14" i="93"/>
  <c r="H14" i="93"/>
  <c r="K14" i="93"/>
  <c r="B15" i="93"/>
  <c r="E15" i="93"/>
  <c r="H15" i="93"/>
  <c r="K15" i="93"/>
  <c r="B16" i="93"/>
  <c r="E16" i="93"/>
  <c r="H16" i="93"/>
  <c r="K16" i="93"/>
  <c r="B17" i="93"/>
  <c r="E17" i="93"/>
  <c r="H17" i="93"/>
  <c r="K17" i="93"/>
  <c r="B23" i="93"/>
  <c r="E23" i="93"/>
  <c r="H23" i="93"/>
  <c r="B24" i="93"/>
  <c r="E24" i="93"/>
  <c r="H24" i="93"/>
  <c r="B25" i="93"/>
  <c r="E25" i="93"/>
  <c r="H25" i="93"/>
  <c r="B26" i="93"/>
  <c r="E26" i="93"/>
  <c r="H26" i="93"/>
  <c r="B27" i="93"/>
  <c r="E27" i="93"/>
  <c r="H27" i="93"/>
  <c r="B28" i="93"/>
  <c r="E28" i="93"/>
  <c r="H28" i="93"/>
  <c r="B30" i="93"/>
  <c r="E30" i="93"/>
  <c r="H30" i="93"/>
  <c r="B31" i="93"/>
  <c r="E31" i="93"/>
  <c r="H31" i="93"/>
  <c r="B32" i="93"/>
  <c r="E32" i="93"/>
  <c r="H32" i="93"/>
  <c r="B33" i="93"/>
  <c r="E33" i="93"/>
  <c r="H33" i="93"/>
  <c r="B7" i="94"/>
  <c r="E7" i="94"/>
  <c r="H7" i="94"/>
  <c r="K7" i="94"/>
  <c r="B8" i="94"/>
  <c r="E8" i="94"/>
  <c r="H8" i="94"/>
  <c r="K8" i="94"/>
  <c r="B9" i="94"/>
  <c r="E9" i="94"/>
  <c r="H9" i="94"/>
  <c r="K9" i="94"/>
  <c r="B10" i="94"/>
  <c r="E10" i="94"/>
  <c r="H10" i="94"/>
  <c r="K10" i="94"/>
  <c r="B11" i="94"/>
  <c r="E11" i="94"/>
  <c r="H11" i="94"/>
  <c r="K11" i="94"/>
  <c r="B12" i="94"/>
  <c r="E12" i="94"/>
  <c r="H12" i="94"/>
  <c r="K12" i="94"/>
  <c r="B14" i="94"/>
  <c r="E14" i="94"/>
  <c r="H14" i="94"/>
  <c r="K14" i="94"/>
  <c r="B15" i="94"/>
  <c r="E15" i="94"/>
  <c r="H15" i="94"/>
  <c r="K15" i="94"/>
  <c r="B16" i="94"/>
  <c r="E16" i="94"/>
  <c r="H16" i="94"/>
  <c r="K16" i="94"/>
  <c r="B17" i="94"/>
  <c r="E17" i="94"/>
  <c r="H17" i="94"/>
  <c r="K17" i="94"/>
  <c r="B23" i="94"/>
  <c r="E23" i="94"/>
  <c r="H23" i="94"/>
  <c r="B24" i="94"/>
  <c r="E24" i="94"/>
  <c r="H24" i="94"/>
  <c r="B25" i="94"/>
  <c r="E25" i="94"/>
  <c r="H25" i="94"/>
  <c r="B26" i="94"/>
  <c r="E26" i="94"/>
  <c r="H26" i="94"/>
  <c r="B27" i="94"/>
  <c r="E27" i="94"/>
  <c r="H27" i="94"/>
  <c r="B28" i="94"/>
  <c r="E28" i="94"/>
  <c r="H28" i="94"/>
  <c r="B30" i="94"/>
  <c r="E30" i="94"/>
  <c r="H30" i="94"/>
  <c r="B31" i="94"/>
  <c r="E31" i="94"/>
  <c r="H31" i="94"/>
  <c r="B32" i="94"/>
  <c r="E32" i="94"/>
  <c r="H32" i="94"/>
  <c r="B33" i="94"/>
  <c r="E33" i="94"/>
  <c r="H33" i="94"/>
  <c r="B7" i="95"/>
  <c r="E7" i="95"/>
  <c r="H7" i="95"/>
  <c r="K7" i="95"/>
  <c r="B8" i="95"/>
  <c r="E8" i="95"/>
  <c r="H8" i="95"/>
  <c r="K8" i="95"/>
  <c r="B9" i="95"/>
  <c r="E9" i="95"/>
  <c r="H9" i="95"/>
  <c r="K9" i="95"/>
  <c r="B10" i="95"/>
  <c r="E10" i="95"/>
  <c r="H10" i="95"/>
  <c r="K10" i="95"/>
  <c r="B11" i="95"/>
  <c r="E11" i="95"/>
  <c r="H11" i="95"/>
  <c r="K11" i="95"/>
  <c r="B12" i="95"/>
  <c r="E12" i="95"/>
  <c r="H12" i="95"/>
  <c r="K12" i="95"/>
  <c r="B14" i="95"/>
  <c r="E14" i="95"/>
  <c r="H14" i="95"/>
  <c r="K14" i="95"/>
  <c r="B15" i="95"/>
  <c r="E15" i="95"/>
  <c r="H15" i="95"/>
  <c r="K15" i="95"/>
  <c r="B16" i="95"/>
  <c r="E16" i="95"/>
  <c r="H16" i="95"/>
  <c r="K16" i="95"/>
  <c r="B17" i="95"/>
  <c r="E17" i="95"/>
  <c r="H17" i="95"/>
  <c r="K17" i="95"/>
  <c r="B23" i="95"/>
  <c r="E23" i="95"/>
  <c r="H23" i="95"/>
  <c r="B24" i="95"/>
  <c r="E24" i="95"/>
  <c r="H24" i="95"/>
  <c r="B25" i="95"/>
  <c r="E25" i="95"/>
  <c r="H25" i="95"/>
  <c r="B26" i="95"/>
  <c r="E26" i="95"/>
  <c r="H26" i="95"/>
  <c r="B27" i="95"/>
  <c r="E27" i="95"/>
  <c r="H27" i="95"/>
  <c r="B28" i="95"/>
  <c r="E28" i="95"/>
  <c r="H28" i="95"/>
  <c r="B30" i="95"/>
  <c r="E30" i="95"/>
  <c r="H30" i="95"/>
  <c r="B31" i="95"/>
  <c r="E31" i="95"/>
  <c r="H31" i="95"/>
  <c r="B32" i="95"/>
  <c r="E32" i="95"/>
  <c r="H32" i="95"/>
  <c r="B33" i="95"/>
  <c r="E33" i="95"/>
  <c r="H33" i="95"/>
  <c r="B7" i="96"/>
  <c r="E7" i="96"/>
  <c r="H7" i="96"/>
  <c r="K7" i="96"/>
  <c r="B8" i="96"/>
  <c r="E8" i="96"/>
  <c r="H8" i="96"/>
  <c r="K8" i="96"/>
  <c r="B9" i="96"/>
  <c r="E9" i="96"/>
  <c r="H9" i="96"/>
  <c r="K9" i="96"/>
  <c r="B10" i="96"/>
  <c r="E10" i="96"/>
  <c r="H10" i="96"/>
  <c r="K10" i="96"/>
  <c r="B11" i="96"/>
  <c r="E11" i="96"/>
  <c r="H11" i="96"/>
  <c r="K11" i="96"/>
  <c r="B12" i="96"/>
  <c r="E12" i="96"/>
  <c r="H12" i="96"/>
  <c r="K12" i="96"/>
  <c r="B14" i="96"/>
  <c r="E14" i="96"/>
  <c r="H14" i="96"/>
  <c r="K14" i="96"/>
  <c r="B15" i="96"/>
  <c r="E15" i="96"/>
  <c r="H15" i="96"/>
  <c r="K15" i="96"/>
  <c r="B16" i="96"/>
  <c r="E16" i="96"/>
  <c r="H16" i="96"/>
  <c r="K16" i="96"/>
  <c r="B17" i="96"/>
  <c r="E17" i="96"/>
  <c r="H17" i="96"/>
  <c r="K17" i="96"/>
  <c r="B23" i="96"/>
  <c r="E23" i="96"/>
  <c r="H23" i="96"/>
  <c r="B24" i="96"/>
  <c r="E24" i="96"/>
  <c r="H24" i="96"/>
  <c r="B25" i="96"/>
  <c r="E25" i="96"/>
  <c r="H25" i="96"/>
  <c r="B26" i="96"/>
  <c r="E26" i="96"/>
  <c r="H26" i="96"/>
  <c r="B27" i="96"/>
  <c r="E27" i="96"/>
  <c r="H27" i="96"/>
  <c r="B28" i="96"/>
  <c r="E28" i="96"/>
  <c r="H28" i="96"/>
  <c r="B30" i="96"/>
  <c r="E30" i="96"/>
  <c r="H30" i="96"/>
  <c r="B31" i="96"/>
  <c r="E31" i="96"/>
  <c r="H31" i="96"/>
  <c r="B32" i="96"/>
  <c r="E32" i="96"/>
  <c r="H32" i="96"/>
  <c r="B33" i="96"/>
  <c r="E33" i="96"/>
  <c r="H33" i="96"/>
  <c r="B7" i="97"/>
  <c r="E7" i="97"/>
  <c r="H7" i="97"/>
  <c r="K7" i="97"/>
  <c r="B8" i="97"/>
  <c r="E8" i="97"/>
  <c r="H8" i="97"/>
  <c r="K8" i="97"/>
  <c r="B9" i="97"/>
  <c r="E9" i="97"/>
  <c r="H9" i="97"/>
  <c r="K9" i="97"/>
  <c r="B10" i="97"/>
  <c r="E10" i="97"/>
  <c r="H10" i="97"/>
  <c r="K10" i="97"/>
  <c r="B11" i="97"/>
  <c r="E11" i="97"/>
  <c r="H11" i="97"/>
  <c r="K11" i="97"/>
  <c r="B12" i="97"/>
  <c r="E12" i="97"/>
  <c r="H12" i="97"/>
  <c r="K12" i="97"/>
  <c r="B14" i="97"/>
  <c r="E14" i="97"/>
  <c r="H14" i="97"/>
  <c r="K14" i="97"/>
  <c r="B15" i="97"/>
  <c r="E15" i="97"/>
  <c r="H15" i="97"/>
  <c r="K15" i="97"/>
  <c r="B16" i="97"/>
  <c r="E16" i="97"/>
  <c r="H16" i="97"/>
  <c r="K16" i="97"/>
  <c r="B17" i="97"/>
  <c r="E17" i="97"/>
  <c r="H17" i="97"/>
  <c r="K17" i="97"/>
  <c r="B23" i="97"/>
  <c r="E23" i="97"/>
  <c r="H23" i="97"/>
  <c r="B24" i="97"/>
  <c r="E24" i="97"/>
  <c r="H24" i="97"/>
  <c r="B25" i="97"/>
  <c r="E25" i="97"/>
  <c r="H25" i="97"/>
  <c r="B26" i="97"/>
  <c r="E26" i="97"/>
  <c r="H26" i="97"/>
  <c r="B27" i="97"/>
  <c r="E27" i="97"/>
  <c r="H27" i="97"/>
  <c r="B28" i="97"/>
  <c r="E28" i="97"/>
  <c r="H28" i="97"/>
  <c r="B30" i="97"/>
  <c r="E30" i="97"/>
  <c r="H30" i="97"/>
  <c r="B31" i="97"/>
  <c r="E31" i="97"/>
  <c r="H31" i="97"/>
  <c r="B32" i="97"/>
  <c r="E32" i="97"/>
  <c r="H32" i="97"/>
  <c r="B33" i="97"/>
  <c r="E33" i="97"/>
  <c r="H33" i="97"/>
  <c r="B7" i="98"/>
  <c r="E7" i="98"/>
  <c r="H7" i="98"/>
  <c r="K7" i="98"/>
  <c r="B8" i="98"/>
  <c r="E8" i="98"/>
  <c r="H8" i="98"/>
  <c r="K8" i="98"/>
  <c r="B9" i="98"/>
  <c r="E9" i="98"/>
  <c r="H9" i="98"/>
  <c r="K9" i="98"/>
  <c r="B10" i="98"/>
  <c r="E10" i="98"/>
  <c r="H10" i="98"/>
  <c r="K10" i="98"/>
  <c r="B11" i="98"/>
  <c r="E11" i="98"/>
  <c r="H11" i="98"/>
  <c r="K11" i="98"/>
  <c r="B12" i="98"/>
  <c r="E12" i="98"/>
  <c r="H12" i="98"/>
  <c r="K12" i="98"/>
  <c r="B14" i="98"/>
  <c r="E14" i="98"/>
  <c r="H14" i="98"/>
  <c r="K14" i="98"/>
  <c r="B15" i="98"/>
  <c r="E15" i="98"/>
  <c r="H15" i="98"/>
  <c r="K15" i="98"/>
  <c r="B16" i="98"/>
  <c r="E16" i="98"/>
  <c r="H16" i="98"/>
  <c r="K16" i="98"/>
  <c r="B17" i="98"/>
  <c r="E17" i="98"/>
  <c r="H17" i="98"/>
  <c r="K17" i="98"/>
  <c r="B23" i="98"/>
  <c r="E23" i="98"/>
  <c r="H23" i="98"/>
  <c r="B24" i="98"/>
  <c r="E24" i="98"/>
  <c r="H24" i="98"/>
  <c r="B25" i="98"/>
  <c r="E25" i="98"/>
  <c r="H25" i="98"/>
  <c r="B26" i="98"/>
  <c r="E26" i="98"/>
  <c r="H26" i="98"/>
  <c r="B27" i="98"/>
  <c r="E27" i="98"/>
  <c r="H27" i="98"/>
  <c r="B28" i="98"/>
  <c r="E28" i="98"/>
  <c r="H28" i="98"/>
  <c r="B30" i="98"/>
  <c r="E30" i="98"/>
  <c r="H30" i="98"/>
  <c r="B31" i="98"/>
  <c r="E31" i="98"/>
  <c r="H31" i="98"/>
  <c r="B32" i="98"/>
  <c r="E32" i="98"/>
  <c r="H32" i="98"/>
  <c r="B33" i="98"/>
  <c r="E33" i="98"/>
  <c r="H33" i="98"/>
  <c r="B7" i="107"/>
  <c r="E7" i="107"/>
  <c r="H7" i="107"/>
  <c r="K7" i="107"/>
  <c r="B8" i="107"/>
  <c r="E8" i="107"/>
  <c r="H8" i="107"/>
  <c r="K8" i="107"/>
  <c r="B9" i="107"/>
  <c r="E9" i="107"/>
  <c r="H9" i="107"/>
  <c r="K9" i="107"/>
  <c r="B10" i="107"/>
  <c r="E10" i="107"/>
  <c r="H10" i="107"/>
  <c r="K10" i="107"/>
  <c r="B11" i="107"/>
  <c r="E11" i="107"/>
  <c r="H11" i="107"/>
  <c r="K11" i="107"/>
  <c r="B12" i="107"/>
  <c r="E12" i="107"/>
  <c r="H12" i="107"/>
  <c r="K12" i="107"/>
  <c r="B14" i="107"/>
  <c r="E14" i="107"/>
  <c r="H14" i="107"/>
  <c r="K14" i="107"/>
  <c r="B15" i="107"/>
  <c r="E15" i="107"/>
  <c r="H15" i="107"/>
  <c r="K15" i="107"/>
  <c r="B16" i="107"/>
  <c r="E16" i="107"/>
  <c r="H16" i="107"/>
  <c r="K16" i="107"/>
  <c r="B17" i="107"/>
  <c r="E17" i="107"/>
  <c r="H17" i="107"/>
  <c r="K17" i="107"/>
  <c r="B23" i="107"/>
  <c r="E23" i="107"/>
  <c r="H23" i="107"/>
  <c r="B24" i="107"/>
  <c r="E24" i="107"/>
  <c r="H24" i="107"/>
  <c r="B25" i="107"/>
  <c r="E25" i="107"/>
  <c r="H25" i="107"/>
  <c r="B26" i="107"/>
  <c r="E26" i="107"/>
  <c r="H26" i="107"/>
  <c r="B27" i="107"/>
  <c r="E27" i="107"/>
  <c r="H27" i="107"/>
  <c r="B28" i="107"/>
  <c r="E28" i="107"/>
  <c r="H28" i="107"/>
  <c r="B30" i="107"/>
  <c r="E30" i="107"/>
  <c r="H30" i="107"/>
  <c r="B31" i="107"/>
  <c r="E31" i="107"/>
  <c r="H31" i="107"/>
  <c r="B32" i="107"/>
  <c r="E32" i="107"/>
  <c r="H32" i="107"/>
  <c r="B33" i="107"/>
  <c r="E33" i="107"/>
  <c r="H33" i="107"/>
  <c r="B7" i="108"/>
  <c r="E7" i="108"/>
  <c r="H7" i="108"/>
  <c r="K7" i="108"/>
  <c r="B8" i="108"/>
  <c r="E8" i="108"/>
  <c r="H8" i="108"/>
  <c r="K8" i="108"/>
  <c r="B9" i="108"/>
  <c r="E9" i="108"/>
  <c r="H9" i="108"/>
  <c r="K9" i="108"/>
  <c r="B10" i="108"/>
  <c r="E10" i="108"/>
  <c r="H10" i="108"/>
  <c r="K10" i="108"/>
  <c r="B11" i="108"/>
  <c r="E11" i="108"/>
  <c r="H11" i="108"/>
  <c r="K11" i="108"/>
  <c r="B12" i="108"/>
  <c r="E12" i="108"/>
  <c r="H12" i="108"/>
  <c r="K12" i="108"/>
  <c r="B14" i="108"/>
  <c r="E14" i="108"/>
  <c r="H14" i="108"/>
  <c r="K14" i="108"/>
  <c r="B15" i="108"/>
  <c r="E15" i="108"/>
  <c r="H15" i="108"/>
  <c r="K15" i="108"/>
  <c r="B16" i="108"/>
  <c r="E16" i="108"/>
  <c r="H16" i="108"/>
  <c r="K16" i="108"/>
  <c r="B17" i="108"/>
  <c r="E17" i="108"/>
  <c r="H17" i="108"/>
  <c r="K17" i="108"/>
  <c r="B23" i="108"/>
  <c r="E23" i="108"/>
  <c r="H23" i="108"/>
  <c r="B24" i="108"/>
  <c r="E24" i="108"/>
  <c r="H24" i="108"/>
  <c r="B25" i="108"/>
  <c r="E25" i="108"/>
  <c r="H25" i="108"/>
  <c r="B26" i="108"/>
  <c r="E26" i="108"/>
  <c r="H26" i="108"/>
  <c r="B27" i="108"/>
  <c r="E27" i="108"/>
  <c r="H27" i="108"/>
  <c r="B28" i="108"/>
  <c r="E28" i="108"/>
  <c r="H28" i="108"/>
  <c r="B30" i="108"/>
  <c r="E30" i="108"/>
  <c r="H30" i="108"/>
  <c r="B31" i="108"/>
  <c r="E31" i="108"/>
  <c r="H31" i="108"/>
  <c r="B32" i="108"/>
  <c r="E32" i="108"/>
  <c r="H32" i="108"/>
  <c r="B33" i="108"/>
  <c r="E33" i="108"/>
  <c r="H33" i="108"/>
  <c r="B7" i="109"/>
  <c r="E7" i="109"/>
  <c r="H7" i="109"/>
  <c r="K7" i="109"/>
  <c r="B8" i="109"/>
  <c r="E8" i="109"/>
  <c r="H8" i="109"/>
  <c r="K8" i="109"/>
  <c r="B9" i="109"/>
  <c r="E9" i="109"/>
  <c r="H9" i="109"/>
  <c r="K9" i="109"/>
  <c r="B10" i="109"/>
  <c r="E10" i="109"/>
  <c r="H10" i="109"/>
  <c r="K10" i="109"/>
  <c r="B11" i="109"/>
  <c r="E11" i="109"/>
  <c r="H11" i="109"/>
  <c r="K11" i="109"/>
  <c r="B12" i="109"/>
  <c r="E12" i="109"/>
  <c r="H12" i="109"/>
  <c r="K12" i="109"/>
  <c r="B14" i="109"/>
  <c r="E14" i="109"/>
  <c r="H14" i="109"/>
  <c r="K14" i="109"/>
  <c r="B15" i="109"/>
  <c r="E15" i="109"/>
  <c r="H15" i="109"/>
  <c r="K15" i="109"/>
  <c r="B16" i="109"/>
  <c r="E16" i="109"/>
  <c r="H16" i="109"/>
  <c r="K16" i="109"/>
  <c r="B17" i="109"/>
  <c r="E17" i="109"/>
  <c r="H17" i="109"/>
  <c r="K17" i="109"/>
  <c r="B23" i="109"/>
  <c r="E23" i="109"/>
  <c r="H23" i="109"/>
  <c r="B24" i="109"/>
  <c r="E24" i="109"/>
  <c r="H24" i="109"/>
  <c r="B25" i="109"/>
  <c r="E25" i="109"/>
  <c r="H25" i="109"/>
  <c r="B26" i="109"/>
  <c r="E26" i="109"/>
  <c r="H26" i="109"/>
  <c r="B27" i="109"/>
  <c r="E27" i="109"/>
  <c r="H27" i="109"/>
  <c r="B28" i="109"/>
  <c r="E28" i="109"/>
  <c r="H28" i="109"/>
  <c r="B30" i="109"/>
  <c r="E30" i="109"/>
  <c r="H30" i="109"/>
  <c r="B31" i="109"/>
  <c r="E31" i="109"/>
  <c r="H31" i="109"/>
  <c r="B32" i="109"/>
  <c r="E32" i="109"/>
  <c r="H32" i="109"/>
  <c r="B33" i="109"/>
  <c r="E33" i="109"/>
  <c r="H33" i="109"/>
  <c r="B7" i="110"/>
  <c r="E7" i="110"/>
  <c r="H7" i="110"/>
  <c r="K7" i="110"/>
  <c r="B8" i="110"/>
  <c r="E8" i="110"/>
  <c r="H8" i="110"/>
  <c r="K8" i="110"/>
  <c r="B9" i="110"/>
  <c r="E9" i="110"/>
  <c r="H9" i="110"/>
  <c r="K9" i="110"/>
  <c r="B10" i="110"/>
  <c r="E10" i="110"/>
  <c r="H10" i="110"/>
  <c r="K10" i="110"/>
  <c r="B11" i="110"/>
  <c r="E11" i="110"/>
  <c r="H11" i="110"/>
  <c r="K11" i="110"/>
  <c r="B12" i="110"/>
  <c r="E12" i="110"/>
  <c r="H12" i="110"/>
  <c r="K12" i="110"/>
  <c r="B14" i="110"/>
  <c r="E14" i="110"/>
  <c r="H14" i="110"/>
  <c r="K14" i="110"/>
  <c r="B15" i="110"/>
  <c r="E15" i="110"/>
  <c r="H15" i="110"/>
  <c r="K15" i="110"/>
  <c r="B16" i="110"/>
  <c r="E16" i="110"/>
  <c r="H16" i="110"/>
  <c r="K16" i="110"/>
  <c r="B17" i="110"/>
  <c r="E17" i="110"/>
  <c r="H17" i="110"/>
  <c r="K17" i="110"/>
  <c r="B23" i="110"/>
  <c r="E23" i="110"/>
  <c r="H23" i="110"/>
  <c r="B24" i="110"/>
  <c r="E24" i="110"/>
  <c r="H24" i="110"/>
  <c r="B25" i="110"/>
  <c r="E25" i="110"/>
  <c r="H25" i="110"/>
  <c r="B26" i="110"/>
  <c r="E26" i="110"/>
  <c r="H26" i="110"/>
  <c r="B27" i="110"/>
  <c r="E27" i="110"/>
  <c r="H27" i="110"/>
  <c r="B28" i="110"/>
  <c r="E28" i="110"/>
  <c r="H28" i="110"/>
  <c r="B30" i="110"/>
  <c r="E30" i="110"/>
  <c r="H30" i="110"/>
  <c r="B31" i="110"/>
  <c r="E31" i="110"/>
  <c r="H31" i="110"/>
  <c r="B32" i="110"/>
  <c r="E32" i="110"/>
  <c r="H32" i="110"/>
  <c r="B33" i="110"/>
  <c r="E33" i="110"/>
  <c r="H33" i="110"/>
  <c r="B7" i="106"/>
  <c r="E7" i="106"/>
  <c r="H7" i="106"/>
  <c r="K7" i="106"/>
  <c r="B8" i="106"/>
  <c r="E8" i="106"/>
  <c r="H8" i="106"/>
  <c r="K8" i="106"/>
  <c r="B9" i="106"/>
  <c r="E9" i="106"/>
  <c r="H9" i="106"/>
  <c r="K9" i="106"/>
  <c r="B10" i="106"/>
  <c r="E10" i="106"/>
  <c r="H10" i="106"/>
  <c r="K10" i="106"/>
  <c r="B11" i="106"/>
  <c r="E11" i="106"/>
  <c r="H11" i="106"/>
  <c r="K11" i="106"/>
  <c r="B12" i="106"/>
  <c r="E12" i="106"/>
  <c r="H12" i="106"/>
  <c r="K12" i="106"/>
  <c r="B14" i="106"/>
  <c r="E14" i="106"/>
  <c r="H14" i="106"/>
  <c r="K14" i="106"/>
  <c r="B15" i="106"/>
  <c r="E15" i="106"/>
  <c r="H15" i="106"/>
  <c r="K15" i="106"/>
  <c r="B16" i="106"/>
  <c r="E16" i="106"/>
  <c r="H16" i="106"/>
  <c r="K16" i="106"/>
  <c r="B17" i="106"/>
  <c r="E17" i="106"/>
  <c r="H17" i="106"/>
  <c r="K17" i="106"/>
  <c r="B23" i="106"/>
  <c r="E23" i="106"/>
  <c r="H23" i="106"/>
  <c r="B24" i="106"/>
  <c r="E24" i="106"/>
  <c r="H24" i="106"/>
  <c r="B25" i="106"/>
  <c r="E25" i="106"/>
  <c r="H25" i="106"/>
  <c r="B26" i="106"/>
  <c r="E26" i="106"/>
  <c r="H26" i="106"/>
  <c r="B27" i="106"/>
  <c r="E27" i="106"/>
  <c r="H27" i="106"/>
  <c r="B28" i="106"/>
  <c r="E28" i="106"/>
  <c r="H28" i="106"/>
  <c r="B30" i="106"/>
  <c r="E30" i="106"/>
  <c r="H30" i="106"/>
  <c r="B31" i="106"/>
  <c r="E31" i="106"/>
  <c r="H31" i="106"/>
  <c r="B32" i="106"/>
  <c r="E32" i="106"/>
  <c r="H32" i="106"/>
  <c r="B33" i="106"/>
  <c r="E33" i="106"/>
  <c r="H33" i="106"/>
  <c r="B7" i="102"/>
  <c r="E7" i="102"/>
  <c r="H7" i="102"/>
  <c r="K7" i="102"/>
  <c r="B8" i="102"/>
  <c r="E8" i="102"/>
  <c r="H8" i="102"/>
  <c r="K8" i="102"/>
  <c r="B9" i="102"/>
  <c r="E9" i="102"/>
  <c r="H9" i="102"/>
  <c r="K9" i="102"/>
  <c r="B10" i="102"/>
  <c r="E10" i="102"/>
  <c r="H10" i="102"/>
  <c r="K10" i="102"/>
  <c r="B11" i="102"/>
  <c r="E11" i="102"/>
  <c r="H11" i="102"/>
  <c r="K11" i="102"/>
  <c r="B12" i="102"/>
  <c r="E12" i="102"/>
  <c r="H12" i="102"/>
  <c r="K12" i="102"/>
  <c r="B14" i="102"/>
  <c r="E14" i="102"/>
  <c r="H14" i="102"/>
  <c r="K14" i="102"/>
  <c r="B15" i="102"/>
  <c r="E15" i="102"/>
  <c r="H15" i="102"/>
  <c r="K15" i="102"/>
  <c r="B16" i="102"/>
  <c r="E16" i="102"/>
  <c r="H16" i="102"/>
  <c r="K16" i="102"/>
  <c r="B17" i="102"/>
  <c r="E17" i="102"/>
  <c r="H17" i="102"/>
  <c r="K17" i="102"/>
  <c r="B23" i="102"/>
  <c r="E23" i="102"/>
  <c r="H23" i="102"/>
  <c r="B24" i="102"/>
  <c r="E24" i="102"/>
  <c r="H24" i="102"/>
  <c r="B25" i="102"/>
  <c r="E25" i="102"/>
  <c r="H25" i="102"/>
  <c r="B26" i="102"/>
  <c r="E26" i="102"/>
  <c r="H26" i="102"/>
  <c r="B27" i="102"/>
  <c r="E27" i="102"/>
  <c r="H27" i="102"/>
  <c r="B28" i="102"/>
  <c r="E28" i="102"/>
  <c r="H28" i="102"/>
  <c r="B30" i="102"/>
  <c r="E30" i="102"/>
  <c r="H30" i="102"/>
  <c r="B31" i="102"/>
  <c r="E31" i="102"/>
  <c r="H31" i="102"/>
  <c r="B32" i="102"/>
  <c r="E32" i="102"/>
  <c r="H32" i="102"/>
  <c r="B33" i="102"/>
  <c r="E33" i="102"/>
  <c r="H33" i="102"/>
  <c r="B7" i="104"/>
  <c r="E7" i="104"/>
  <c r="H7" i="104"/>
  <c r="K7" i="104"/>
  <c r="B8" i="104"/>
  <c r="E8" i="104"/>
  <c r="H8" i="104"/>
  <c r="K8" i="104"/>
  <c r="B9" i="104"/>
  <c r="E9" i="104"/>
  <c r="H9" i="104"/>
  <c r="K9" i="104"/>
  <c r="B10" i="104"/>
  <c r="E10" i="104"/>
  <c r="H10" i="104"/>
  <c r="K10" i="104"/>
  <c r="B11" i="104"/>
  <c r="E11" i="104"/>
  <c r="H11" i="104"/>
  <c r="K11" i="104"/>
  <c r="B12" i="104"/>
  <c r="E12" i="104"/>
  <c r="H12" i="104"/>
  <c r="K12" i="104"/>
  <c r="B14" i="104"/>
  <c r="E14" i="104"/>
  <c r="H14" i="104"/>
  <c r="K14" i="104"/>
  <c r="B15" i="104"/>
  <c r="E15" i="104"/>
  <c r="H15" i="104"/>
  <c r="K15" i="104"/>
  <c r="B16" i="104"/>
  <c r="E16" i="104"/>
  <c r="H16" i="104"/>
  <c r="K16" i="104"/>
  <c r="B17" i="104"/>
  <c r="E17" i="104"/>
  <c r="H17" i="104"/>
  <c r="K17" i="104"/>
  <c r="B23" i="104"/>
  <c r="E23" i="104"/>
  <c r="H23" i="104"/>
  <c r="B24" i="104"/>
  <c r="E24" i="104"/>
  <c r="H24" i="104"/>
  <c r="B25" i="104"/>
  <c r="E25" i="104"/>
  <c r="H25" i="104"/>
  <c r="B26" i="104"/>
  <c r="E26" i="104"/>
  <c r="H26" i="104"/>
  <c r="B27" i="104"/>
  <c r="E27" i="104"/>
  <c r="H27" i="104"/>
  <c r="B28" i="104"/>
  <c r="E28" i="104"/>
  <c r="H28" i="104"/>
  <c r="B30" i="104"/>
  <c r="E30" i="104"/>
  <c r="H30" i="104"/>
  <c r="B31" i="104"/>
  <c r="E31" i="104"/>
  <c r="H31" i="104"/>
  <c r="B32" i="104"/>
  <c r="E32" i="104"/>
  <c r="H32" i="104"/>
  <c r="B33" i="104"/>
  <c r="E33" i="104"/>
  <c r="H33" i="104"/>
</calcChain>
</file>

<file path=xl/comments1.xml><?xml version="1.0" encoding="utf-8"?>
<comments xmlns="http://schemas.openxmlformats.org/spreadsheetml/2006/main">
  <authors>
    <author>ad</author>
  </authors>
  <commentList>
    <comment ref="I11" authorId="0">
      <text>
        <r>
          <rPr>
            <b/>
            <sz val="9"/>
            <color indexed="81"/>
            <rFont val="Verdana"/>
          </rPr>
          <t>ad:</t>
        </r>
        <r>
          <rPr>
            <sz val="9"/>
            <color indexed="81"/>
            <rFont val="Verdana"/>
          </rPr>
          <t xml:space="preserve">
départ à 20:05
</t>
        </r>
      </text>
    </comment>
  </commentList>
</comments>
</file>

<file path=xl/sharedStrings.xml><?xml version="1.0" encoding="utf-8"?>
<sst xmlns="http://schemas.openxmlformats.org/spreadsheetml/2006/main" count="1630" uniqueCount="171">
  <si>
    <t>Debriefs</t>
    <phoneticPr fontId="5"/>
  </si>
  <si>
    <t xml:space="preserve"> pm</t>
    <phoneticPr fontId="3"/>
  </si>
  <si>
    <t>ROOMS one-to-one</t>
  </si>
  <si>
    <t>FR</t>
    <phoneticPr fontId="5"/>
  </si>
  <si>
    <t>GB</t>
    <phoneticPr fontId="5"/>
  </si>
  <si>
    <t>LUNCH</t>
  </si>
  <si>
    <t>Monday 28/9</t>
    <phoneticPr fontId="3"/>
  </si>
  <si>
    <t>DEBRIEFING</t>
  </si>
  <si>
    <t>Coffee Break</t>
  </si>
  <si>
    <t xml:space="preserve">Coffee Break </t>
  </si>
  <si>
    <t>Saturday 3/10</t>
    <phoneticPr fontId="3"/>
  </si>
  <si>
    <t xml:space="preserve">SCREENINGS </t>
    <phoneticPr fontId="3" type="noConversion"/>
  </si>
  <si>
    <t>14h30</t>
    <phoneticPr fontId="3" type="noConversion"/>
  </si>
  <si>
    <t>17h30</t>
    <phoneticPr fontId="3" type="noConversion"/>
  </si>
  <si>
    <t>Mohammed BELHAJ</t>
  </si>
  <si>
    <t>Maria BONSANTI</t>
  </si>
  <si>
    <t>Delphine MANOURY</t>
  </si>
  <si>
    <t>Anne-Laure NEGRIN</t>
  </si>
  <si>
    <t>Astrid OHLSEN</t>
  </si>
  <si>
    <t>Sabine ROLLBERG</t>
  </si>
  <si>
    <t>Joan UBEDA</t>
  </si>
  <si>
    <t>Nathalie VERDIER</t>
  </si>
  <si>
    <t>TUTEUR1
MATTHIEU</t>
  </si>
  <si>
    <t>TUTEUR2
HEINO</t>
  </si>
  <si>
    <t>Matthieu BELGHITI</t>
  </si>
  <si>
    <t>Heino DECKERT</t>
  </si>
  <si>
    <t>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,ml</t>
  </si>
  <si>
    <r>
      <rPr>
        <b/>
        <u/>
        <sz val="10"/>
        <rFont val="Verdana"/>
      </rPr>
      <t>BASE</t>
    </r>
    <r>
      <rPr>
        <sz val="10"/>
        <rFont val="Verdana"/>
      </rPr>
      <t>:</t>
    </r>
    <r>
      <rPr>
        <sz val="10"/>
        <rFont val="Verdana"/>
      </rPr>
      <t xml:space="preserve"> plage incluant les Noms des participants (inscrits en colonne B) et les cellules vierges à remplir (numéroter selon le draft OTO) pour définir les entretiens entre experts et participants</t>
    </r>
  </si>
  <si>
    <r>
      <rPr>
        <b/>
        <u/>
        <sz val="10"/>
        <rFont val="Verdana"/>
      </rPr>
      <t>EXPERT</t>
    </r>
    <r>
      <rPr>
        <b/>
        <u/>
        <sz val="10"/>
        <color indexed="10"/>
        <rFont val="Verdana"/>
      </rPr>
      <t>X</t>
    </r>
    <r>
      <rPr>
        <sz val="10"/>
        <rFont val="Verdana"/>
      </rPr>
      <t xml:space="preserve">: plages Experts numérotés de </t>
    </r>
    <r>
      <rPr>
        <b/>
        <sz val="10"/>
        <color indexed="10"/>
        <rFont val="Verdana"/>
      </rPr>
      <t>1 à 30</t>
    </r>
    <r>
      <rPr>
        <sz val="10"/>
        <rFont val="Verdana"/>
      </rPr>
      <t xml:space="preserve">, puis </t>
    </r>
    <r>
      <rPr>
        <b/>
        <sz val="10"/>
        <rFont val="Verdana"/>
      </rPr>
      <t>EXPERTPER</t>
    </r>
    <r>
      <rPr>
        <b/>
        <sz val="10"/>
        <color indexed="10"/>
        <rFont val="Verdana"/>
      </rPr>
      <t>X</t>
    </r>
    <r>
      <rPr>
        <sz val="10"/>
        <rFont val="Verdana"/>
      </rPr>
      <t xml:space="preserve"> numérotés de</t>
    </r>
    <r>
      <rPr>
        <b/>
        <sz val="10"/>
        <color indexed="10"/>
        <rFont val="Verdana"/>
      </rPr>
      <t xml:space="preserve"> 1 à 4</t>
    </r>
    <r>
      <rPr>
        <sz val="10"/>
        <rFont val="Verdana"/>
      </rPr>
      <t xml:space="preserve">, puis </t>
    </r>
    <r>
      <rPr>
        <b/>
        <sz val="10"/>
        <rFont val="Verdana"/>
      </rPr>
      <t>TUTEUR1</t>
    </r>
    <r>
      <rPr>
        <sz val="10"/>
        <rFont val="Verdana"/>
      </rPr>
      <t xml:space="preserve"> et </t>
    </r>
    <r>
      <rPr>
        <b/>
        <sz val="10"/>
        <rFont val="Verdana"/>
      </rPr>
      <t xml:space="preserve">TUTEUR2: </t>
    </r>
  </si>
  <si>
    <r>
      <t>=SIERREUR(INDEX</t>
    </r>
    <r>
      <rPr>
        <b/>
        <sz val="10"/>
        <color indexed="72"/>
        <rFont val="Verdana"/>
      </rPr>
      <t>(</t>
    </r>
    <r>
      <rPr>
        <b/>
        <sz val="10"/>
        <rFont val="Verdana"/>
      </rPr>
      <t>'MASTER one to one oct 2015.xls'!BASE;EQUIV</t>
    </r>
    <r>
      <rPr>
        <b/>
        <sz val="10"/>
        <color indexed="72"/>
        <rFont val="Verdana"/>
      </rPr>
      <t>(</t>
    </r>
    <r>
      <rPr>
        <b/>
        <sz val="10"/>
        <rFont val="Verdana"/>
      </rPr>
      <t>1;EXPERT1;0</t>
    </r>
    <r>
      <rPr>
        <b/>
        <sz val="10"/>
        <color indexed="72"/>
        <rFont val="Verdana"/>
      </rPr>
      <t>)</t>
    </r>
    <r>
      <rPr>
        <b/>
        <sz val="10"/>
        <rFont val="Verdana"/>
      </rPr>
      <t>;1</t>
    </r>
    <r>
      <rPr>
        <b/>
        <sz val="10"/>
        <color indexed="72"/>
        <rFont val="Verdana"/>
      </rPr>
      <t>)</t>
    </r>
    <r>
      <rPr>
        <b/>
        <sz val="10"/>
        <rFont val="Verdana"/>
      </rPr>
      <t>;"-")</t>
    </r>
  </si>
  <si>
    <t>Ces plages commandent les cellules des onglets numérotés, par la formule suivante:</t>
  </si>
  <si>
    <t>Fonctionnement:</t>
  </si>
  <si>
    <r>
      <rPr>
        <b/>
        <sz val="10"/>
        <color indexed="10"/>
        <rFont val="Verdana"/>
      </rPr>
      <t xml:space="preserve">EXPERT1 </t>
    </r>
    <r>
      <rPr>
        <sz val="10"/>
        <rFont val="Verdana"/>
      </rPr>
      <t>renvoie à la plage correspondante dans l'onglet MASTER.</t>
    </r>
  </si>
  <si>
    <r>
      <rPr>
        <b/>
        <sz val="10"/>
        <color indexed="62"/>
        <rFont val="Verdana"/>
      </rPr>
      <t>l'INDEX</t>
    </r>
    <r>
      <rPr>
        <sz val="10"/>
        <rFont val="Verdana"/>
      </rPr>
      <t xml:space="preserve"> est nommé </t>
    </r>
    <r>
      <rPr>
        <b/>
        <sz val="10"/>
        <color indexed="10"/>
        <rFont val="Verdana"/>
      </rPr>
      <t>'MASTER one to one oct 2015.xls' !BASE</t>
    </r>
    <r>
      <rPr>
        <sz val="10"/>
        <rFont val="Verdana"/>
      </rPr>
      <t xml:space="preserve">: la plage </t>
    </r>
    <r>
      <rPr>
        <b/>
        <sz val="10"/>
        <rFont val="Verdana"/>
      </rPr>
      <t>BASE</t>
    </r>
    <r>
      <rPr>
        <sz val="10"/>
        <rFont val="Verdana"/>
      </rPr>
      <t xml:space="preserve"> de cette feuille de calcul est donc la référence</t>
    </r>
  </si>
  <si>
    <t>selectionner la plage de cellule dans laquelle on veut avoir notification des doublons; aller dans FORMAT - MISE EN FORME CONDITIONELLE - choisir "sélection actuelle" en haut, puis Ajouter une règle - STYLE Classique - Ajouter une mise en forme uniquement aux valeurs uniques ou aux doublons - selectionner EN DOUBLE, et choisir la couleur (rouge pour les lignes / jaune pour les colonnes)</t>
  </si>
  <si>
    <t>MASTER:</t>
  </si>
  <si>
    <t xml:space="preserve">ONGLETS </t>
  </si>
  <si>
    <t>EXPERTS</t>
  </si>
  <si>
    <t>NUMEROTES:</t>
  </si>
  <si>
    <t>ONGLETS</t>
  </si>
  <si>
    <t>FONCTIONNEMENT INTERNE / FORMULES</t>
  </si>
  <si>
    <t xml:space="preserve">Draft planning individuel. Doc non formaté, sert uniquement de référence pour les numéros de chaque plage horaire </t>
  </si>
  <si>
    <t>Plage de cellules vierges située dans la colonne correspondant à chaque numéro d'expert (nommé en ligne 2) et allant de la ligne du 1er participant à la ligne du dernier participant</t>
  </si>
  <si>
    <t>UTILISATION DU DOCUMENT:</t>
  </si>
  <si>
    <t>x</t>
  </si>
  <si>
    <t>Name</t>
  </si>
  <si>
    <t>EXPERT24
x</t>
  </si>
  <si>
    <t>EXPERT25
x</t>
  </si>
  <si>
    <t>EXPERTPER1
x</t>
  </si>
  <si>
    <t>EXPERTPER2
x</t>
  </si>
  <si>
    <t>EXPERTPER3
x</t>
  </si>
  <si>
    <t>EXPERTPER4
x</t>
  </si>
  <si>
    <t>EXPERT26
x</t>
  </si>
  <si>
    <t>EXPERT27
x</t>
  </si>
  <si>
    <t>EXPERT28
x</t>
  </si>
  <si>
    <t>EXPERT29
x</t>
  </si>
  <si>
    <t>EXPERT30
x</t>
  </si>
  <si>
    <t xml:space="preserve">DRAFT OTO: </t>
  </si>
  <si>
    <t>Le document maître. Il est composé de différentes PLAGES qui commandent les différents onglets:</t>
  </si>
  <si>
    <t>EXPERT11
KNETIG Alexander</t>
  </si>
  <si>
    <t>EXPERT12
LAWSON-BAKER Fiona</t>
  </si>
  <si>
    <t>EXPERT13
MANOURY Delphine</t>
  </si>
  <si>
    <t>EXPERT15
NEGRIN Anne-Laure</t>
  </si>
  <si>
    <t>EXPERT16
OHLSEN Astrid</t>
  </si>
  <si>
    <t>EXPERT17
PUCHAULT Fabrice</t>
  </si>
  <si>
    <t>EXPERT18
ROLLBERG Sabine</t>
  </si>
  <si>
    <t>EXPERT19
SCHAEFER Monika</t>
  </si>
  <si>
    <t>EXPERT20
THALBERG Beate</t>
  </si>
  <si>
    <t>EXPERT21
VERMEULEN Petra</t>
  </si>
  <si>
    <t>EXPERT22
WESTERGARD Jenny</t>
  </si>
  <si>
    <t>EXPERT23
ZWICK Nadine</t>
  </si>
  <si>
    <t>?</t>
  </si>
  <si>
    <t>TUESDAY 04/10</t>
  </si>
  <si>
    <t>WEDNESDAY 05/10</t>
  </si>
  <si>
    <t>THURSDAY 06/10</t>
  </si>
  <si>
    <t>FRIDAY 07/10</t>
  </si>
  <si>
    <t>One to Ones for Matthieu's group</t>
  </si>
  <si>
    <t>One to Ones for Heino's group</t>
  </si>
  <si>
    <t>X</t>
  </si>
  <si>
    <t>Rebecca DAY
Becoming Animal</t>
  </si>
  <si>
    <t>Louai HAFFAR
A Man On Fire</t>
  </si>
  <si>
    <t>Johnny HOLMVAG
Miracle In Moldova</t>
  </si>
  <si>
    <t>Agnes HORVATH-SZABO
Nine Months War</t>
  </si>
  <si>
    <t>Bojan KANJERA
The Lost Dream Team</t>
  </si>
  <si>
    <t>Elsa KREMSER
Stary Dogs</t>
  </si>
  <si>
    <r>
      <rPr>
        <b/>
        <sz val="10"/>
        <color indexed="62"/>
        <rFont val="Verdana"/>
      </rPr>
      <t>EQUIV(</t>
    </r>
    <r>
      <rPr>
        <b/>
        <sz val="10"/>
        <rFont val="Verdana"/>
      </rPr>
      <t xml:space="preserve"> 1; </t>
    </r>
    <r>
      <rPr>
        <b/>
        <sz val="10"/>
        <color indexed="10"/>
        <rFont val="Verdana"/>
      </rPr>
      <t>EXPERT1</t>
    </r>
    <r>
      <rPr>
        <sz val="10"/>
        <rFont val="Verdana"/>
      </rPr>
      <t xml:space="preserve"> : le premier chiffre </t>
    </r>
    <r>
      <rPr>
        <b/>
        <sz val="10"/>
        <rFont val="Verdana"/>
      </rPr>
      <t>1</t>
    </r>
    <r>
      <rPr>
        <sz val="10"/>
        <rFont val="Verdana"/>
      </rPr>
      <t xml:space="preserve"> désigne l'horaire dans l'emploi du temps. A chaque cellule de l'emploi du temps correspond un nombre (numéroté ici de 1 à 35) que l'on retrouve dans l'onglet DRAFT OTO.</t>
    </r>
  </si>
  <si>
    <t>Mode d'emploi: Dans l'onglet MASTER, Il faut donc renseigner dans la plage de chaque expert le nombre codant pour l'horaire voulu - ainsi, le nom du participant et projet noté en colonne B est automatiquement renseigné dans la fiche de l'expert correspondant</t>
  </si>
  <si>
    <t>Notifications des erreurs:</t>
  </si>
  <si>
    <t>L'onglet MASTER est programmé pour mettre en avant les erreurs : chevauchement de rendez-vous:</t>
  </si>
  <si>
    <t>Chaque plage de cellules en ligne correspondant à l'emploi du temps d'un participant / chaque plage de cellules en colonne correspondant à l'emploi du temps d'un expert indique en rouge (ligne) ou jaune (colonne) les éventuels doublons.</t>
  </si>
  <si>
    <t>En cas d'ajout de ligne ou de colonne, pour reproduire cette automatisme, faire comme indiqué:</t>
  </si>
  <si>
    <t>Michael KROTKIEWSKI
Hamada</t>
  </si>
  <si>
    <t>Diana Chiawen LEE 
The Boss</t>
  </si>
  <si>
    <t>Christie MOLIA
The Louvre Is Moving</t>
  </si>
  <si>
    <t>Reinel GARCIA PEREZ
The Rice Rush</t>
  </si>
  <si>
    <t>Natalya SARCH
The Waleed Ahmed Story</t>
  </si>
  <si>
    <t>Biljana TUTOROV
Aunts</t>
  </si>
  <si>
    <t>Malgorzata WABINSKA
Diagnosis</t>
  </si>
  <si>
    <t>John WALLACE
All The Numbers</t>
  </si>
  <si>
    <t>Lara ABOU SAIFAN
The Great Family</t>
  </si>
  <si>
    <t>Lorenzo CIOFFI
Life Of Marzouk</t>
  </si>
  <si>
    <t>Isabelle COUTURE
Finding Sally</t>
  </si>
  <si>
    <t>Ivan ERHEL
Baghdad 3D</t>
  </si>
  <si>
    <t>Suzy GILLETT
This Is Not Cricket</t>
  </si>
  <si>
    <t>Anne Laure GUÉGAN
Family Portrait</t>
  </si>
  <si>
    <t>Margarida GRAMAXO
Principe</t>
  </si>
  <si>
    <t>David HURST
Degenerando Argentina</t>
  </si>
  <si>
    <t>Quentin LAURENT
The Choice of Jean</t>
  </si>
  <si>
    <t>Britta RINDELAUB
Our American Cousins</t>
  </si>
  <si>
    <t>Laura ROMANO
AK Stories</t>
  </si>
  <si>
    <t>Svetlana STRELNIKOVA
People, Gods &amp; Other Creatures</t>
  </si>
  <si>
    <t>Santi VALLDEPEREZ
The Fisherman's Shadow</t>
  </si>
  <si>
    <t>Pour chaque session, repartir de CE DOCUMENT et faire les mises à jour de données : Nom des participants et projets / nom des experts / Planning individuel - SANS TOUCHER AUX FORMULES pour ne pas devoir reformater le document</t>
  </si>
  <si>
    <t>Si nécessaire pour la création d'un nouvel onglet EXPERT, faire une copie d'un onglet déjà existant afin de conserver le formatage, puis mettre à jour les formules grâce à l'outil Rechercher/ Remplacer</t>
  </si>
  <si>
    <t xml:space="preserve">La seule partie qui semble pouvoir poser problème pour la mise à jour serait le changement des horaires…. À faire manuellement fiche par fiche ? </t>
  </si>
  <si>
    <t>Monday 3/10</t>
  </si>
  <si>
    <t>Tuesday 4/10</t>
  </si>
  <si>
    <t>Wednesday 5/10</t>
  </si>
  <si>
    <t>Thursday 6/10</t>
  </si>
  <si>
    <t>Friday 7/10</t>
  </si>
  <si>
    <t>Saturday 8/10</t>
  </si>
  <si>
    <t>Mostafa MAHFOUZ</t>
  </si>
  <si>
    <t>Anna CHARRIERE</t>
  </si>
  <si>
    <t>(rdv a 12:00)</t>
  </si>
  <si>
    <t>EXPERT1
ABDALLA Salma</t>
  </si>
  <si>
    <t>EXPERT2
BARISONE Luciano</t>
  </si>
  <si>
    <t>EXPERT3
BELHAJ Mohammed</t>
  </si>
  <si>
    <t>EXPERT4
BIRGERSSON-DAHLBERG Anna</t>
  </si>
  <si>
    <t>EXPERT5
BONSANTI Maria</t>
  </si>
  <si>
    <t>EXPERT6
CHRISTIAENS Isabelle</t>
  </si>
  <si>
    <t>EXPERT7
DE KONING Margje</t>
  </si>
  <si>
    <t>EXPERT8
HEPP Doris</t>
  </si>
  <si>
    <t>EXPERT9
HERMANN Alec</t>
  </si>
  <si>
    <t>EXPERT10
KASTELICOVA Hanka</t>
  </si>
  <si>
    <t>PLENARY - PARIS ROOM</t>
  </si>
  <si>
    <t>THE PRODUCTION COMPANY</t>
  </si>
  <si>
    <t>PRESENTATION &amp; DEBRIEFING - PARIS ROOM</t>
  </si>
  <si>
    <t>15h00</t>
  </si>
  <si>
    <t>727 DAYS WITHOUT KARAMO</t>
  </si>
  <si>
    <t>Prod: Amour Fou Filmproduktion</t>
  </si>
  <si>
    <t>presented by Anja Salomonowitz</t>
  </si>
  <si>
    <t>(director)</t>
  </si>
  <si>
    <t>SOUR GRAPES</t>
  </si>
  <si>
    <t>Prod: Faites un voeu - Met Film</t>
  </si>
  <si>
    <t>presented by Catherine Siméon (producer)</t>
  </si>
  <si>
    <t>Salma ABDALLA</t>
  </si>
  <si>
    <t>Luciano BARISONE</t>
  </si>
  <si>
    <t>Anna BIRGERSSON-DAHLBERG</t>
  </si>
  <si>
    <t>Créneau 1</t>
  </si>
  <si>
    <t>Créneau 2</t>
  </si>
  <si>
    <t>Créneau 3</t>
  </si>
  <si>
    <t>Créneau 4</t>
  </si>
  <si>
    <t>Isabelle CHRISTIAENS</t>
  </si>
  <si>
    <t>Margje DE KONING</t>
  </si>
  <si>
    <t>Doris HEPP</t>
  </si>
  <si>
    <t>Alec HERMANN</t>
  </si>
  <si>
    <t>Hanka KASTELICOVA</t>
  </si>
  <si>
    <t>Alexander KNETIG</t>
  </si>
  <si>
    <t>Fiona LAWSON-BAKER</t>
  </si>
  <si>
    <t>EXPERT14
XX</t>
  </si>
  <si>
    <t>Fabrice PUCHAULT</t>
  </si>
  <si>
    <t>Monika SCHAEFER</t>
  </si>
  <si>
    <t>Beate THALBERG</t>
  </si>
  <si>
    <t>Petra VERMEULEN</t>
  </si>
  <si>
    <t>Jenny WESTERGARD</t>
  </si>
  <si>
    <t>Nadine ZWICK</t>
  </si>
  <si>
    <t>Anna BIRGERSSON (UR), Isabelle CHRISTIAENS (RTBF), Anne-Laure NEGRIN, Nadine ZWICK, Alexander KNETIG (ARTE G.E.I.E.), Astrid OHLSEN (SVT), Beate THALBERG (ORF), Jenny WESTERGARD (YLE)</t>
  </si>
  <si>
    <t>Salma ABDALLAH (AUTLOOK FILMSALES), Mohammed BELHAJ (AL JAZEERA Documentary Channel), Fiona LAWSON-BAKER (AL JAZEERA English)</t>
  </si>
  <si>
    <t>Hanka KASTELICOVA (HBO Europe), Petra VERMEULEN (VPRO), Margje De Koning (EO), Monika SCHAEFFER (NDR/ARTE)</t>
  </si>
  <si>
    <t>Luciano BARISONE (Visions du Réel), Fabrice PUCHAULT, Alec HERMANN (ARTE France), Maria BONSANTI (Cinéma du Réel), Delphine MANOURY (TV5 Monde), Sabine ROLLBERG (ARTE WDR), Doris HEPP (ZDF)</t>
  </si>
  <si>
    <t>22h15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</si>
</sst>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"/>
    <numFmt numFmtId="165" formatCode="h:mm;@"/>
  </numFmts>
  <fonts count="86" x14ac:knownFonts="1">
    <font>
      <sz val="10"/>
      <name val="Verdana"/>
    </font>
    <font>
      <b/>
      <i/>
      <sz val="11"/>
      <name val="Verdana"/>
    </font>
    <font>
      <b/>
      <sz val="10"/>
      <name val="Verdana"/>
    </font>
    <font>
      <i/>
      <sz val="10"/>
      <name val="Verdana"/>
    </font>
    <font>
      <sz val="9"/>
      <name val="Arial"/>
      <family val="2"/>
    </font>
    <font>
      <sz val="8"/>
      <name val="Verdana"/>
    </font>
    <font>
      <b/>
      <sz val="10"/>
      <name val="Arial"/>
      <family val="2"/>
    </font>
    <font>
      <i/>
      <sz val="9"/>
      <name val="Arial"/>
      <family val="2"/>
    </font>
    <font>
      <sz val="9"/>
      <color indexed="12"/>
      <name val="Arial"/>
    </font>
    <font>
      <b/>
      <sz val="11"/>
      <color indexed="10"/>
      <name val="Verdana"/>
    </font>
    <font>
      <sz val="10"/>
      <name val="Geneva"/>
    </font>
    <font>
      <sz val="9"/>
      <name val="Geneva"/>
    </font>
    <font>
      <sz val="9"/>
      <color indexed="10"/>
      <name val="Verdana"/>
    </font>
    <font>
      <sz val="11"/>
      <name val="Arial"/>
      <family val="2"/>
    </font>
    <font>
      <sz val="12"/>
      <name val="Optima"/>
    </font>
    <font>
      <b/>
      <sz val="12"/>
      <name val="Optima"/>
    </font>
    <font>
      <b/>
      <sz val="10"/>
      <name val="Optima"/>
    </font>
    <font>
      <sz val="10"/>
      <name val="Optima"/>
    </font>
    <font>
      <b/>
      <i/>
      <sz val="10"/>
      <name val="Optima"/>
    </font>
    <font>
      <i/>
      <sz val="10"/>
      <color indexed="12"/>
      <name val="Optima"/>
    </font>
    <font>
      <sz val="11"/>
      <color indexed="10"/>
      <name val="Optima"/>
    </font>
    <font>
      <sz val="9"/>
      <name val="Optima"/>
    </font>
    <font>
      <i/>
      <sz val="9"/>
      <color indexed="12"/>
      <name val="Optima"/>
    </font>
    <font>
      <sz val="9"/>
      <color indexed="10"/>
      <name val="Optima"/>
    </font>
    <font>
      <b/>
      <i/>
      <sz val="10"/>
      <color indexed="10"/>
      <name val="Optima"/>
    </font>
    <font>
      <b/>
      <u/>
      <sz val="11"/>
      <color indexed="10"/>
      <name val="Optima"/>
    </font>
    <font>
      <b/>
      <u/>
      <sz val="11"/>
      <color indexed="48"/>
      <name val="Optima"/>
    </font>
    <font>
      <i/>
      <sz val="9"/>
      <name val="Optima"/>
    </font>
    <font>
      <b/>
      <sz val="11"/>
      <color indexed="10"/>
      <name val="Optima"/>
    </font>
    <font>
      <b/>
      <i/>
      <sz val="11"/>
      <color indexed="10"/>
      <name val="Optima"/>
    </font>
    <font>
      <i/>
      <sz val="10"/>
      <name val="Optima"/>
    </font>
    <font>
      <sz val="11"/>
      <color indexed="17"/>
      <name val="Arial"/>
    </font>
    <font>
      <sz val="9"/>
      <color indexed="17"/>
      <name val="Arial"/>
    </font>
    <font>
      <i/>
      <sz val="9"/>
      <color indexed="17"/>
      <name val="Optima"/>
    </font>
    <font>
      <sz val="10"/>
      <color indexed="17"/>
      <name val="Optima"/>
    </font>
    <font>
      <b/>
      <sz val="10"/>
      <color indexed="8"/>
      <name val="Optima"/>
    </font>
    <font>
      <b/>
      <sz val="12"/>
      <name val="Calibri"/>
    </font>
    <font>
      <sz val="9"/>
      <name val="Calibri"/>
    </font>
    <font>
      <b/>
      <sz val="10"/>
      <name val="Calibri"/>
    </font>
    <font>
      <b/>
      <sz val="9"/>
      <name val="Calibri"/>
    </font>
    <font>
      <b/>
      <sz val="10"/>
      <name val="Arial Rounded MT Bold"/>
    </font>
    <font>
      <b/>
      <sz val="9"/>
      <name val="Arial Rounded MT Bold"/>
    </font>
    <font>
      <sz val="12"/>
      <color indexed="9"/>
      <name val="Arial Black"/>
    </font>
    <font>
      <sz val="12"/>
      <color indexed="10"/>
      <name val="Arial Black"/>
    </font>
    <font>
      <sz val="9"/>
      <color indexed="9"/>
      <name val="Calibri"/>
    </font>
    <font>
      <b/>
      <i/>
      <sz val="10"/>
      <color indexed="10"/>
      <name val="Geneva"/>
    </font>
    <font>
      <b/>
      <sz val="14"/>
      <color indexed="10"/>
      <name val="Arial"/>
    </font>
    <font>
      <b/>
      <sz val="16"/>
      <color indexed="10"/>
      <name val="Franklin Gothic Medium"/>
      <family val="2"/>
    </font>
    <font>
      <b/>
      <sz val="12"/>
      <name val="Arial"/>
      <family val="2"/>
    </font>
    <font>
      <sz val="12"/>
      <name val="Verdana"/>
    </font>
    <font>
      <b/>
      <sz val="14"/>
      <name val="Arial"/>
      <family val="2"/>
    </font>
    <font>
      <b/>
      <sz val="14"/>
      <name val="Verdana"/>
    </font>
    <font>
      <sz val="14"/>
      <name val="Verdana"/>
    </font>
    <font>
      <b/>
      <sz val="16"/>
      <name val="Franklin Gothic Medium"/>
      <family val="2"/>
    </font>
    <font>
      <sz val="14"/>
      <name val="Arial"/>
    </font>
    <font>
      <i/>
      <sz val="14"/>
      <name val="Arial"/>
    </font>
    <font>
      <b/>
      <i/>
      <sz val="12"/>
      <color indexed="9"/>
      <name val="Verdana"/>
    </font>
    <font>
      <sz val="10"/>
      <color indexed="10"/>
      <name val="Arial"/>
      <family val="2"/>
    </font>
    <font>
      <b/>
      <sz val="18"/>
      <color indexed="9"/>
      <name val="Abadi MT Condensed Extra Bold"/>
    </font>
    <font>
      <sz val="16"/>
      <name val="Abadi MT Condensed Extra Bold"/>
    </font>
    <font>
      <sz val="12"/>
      <name val="Geneva"/>
    </font>
    <font>
      <b/>
      <sz val="12"/>
      <color indexed="10"/>
      <name val="Optima"/>
    </font>
    <font>
      <b/>
      <sz val="14"/>
      <name val="Optima"/>
    </font>
    <font>
      <sz val="11"/>
      <name val="Verdana"/>
    </font>
    <font>
      <b/>
      <sz val="10"/>
      <name val="Geneva"/>
    </font>
    <font>
      <sz val="18"/>
      <name val="Abadi MT Condensed Extra Bold"/>
    </font>
    <font>
      <i/>
      <sz val="18"/>
      <name val="Abadi MT Condensed Extra Bold"/>
    </font>
    <font>
      <sz val="17"/>
      <name val="Abadi MT Condensed Extra Bold"/>
    </font>
    <font>
      <sz val="20"/>
      <name val="Abadi MT Condensed Extra Bold"/>
    </font>
    <font>
      <b/>
      <i/>
      <u/>
      <sz val="16"/>
      <name val="Optima"/>
    </font>
    <font>
      <b/>
      <sz val="36"/>
      <name val="Candara"/>
    </font>
    <font>
      <b/>
      <u/>
      <sz val="10"/>
      <name val="Verdana"/>
    </font>
    <font>
      <b/>
      <u/>
      <sz val="10"/>
      <color indexed="10"/>
      <name val="Verdana"/>
    </font>
    <font>
      <b/>
      <sz val="10"/>
      <color indexed="10"/>
      <name val="Verdana"/>
    </font>
    <font>
      <b/>
      <sz val="10"/>
      <color indexed="72"/>
      <name val="Verdana"/>
    </font>
    <font>
      <b/>
      <sz val="10"/>
      <color indexed="62"/>
      <name val="Verdana"/>
    </font>
    <font>
      <sz val="9"/>
      <color indexed="81"/>
      <name val="Verdana"/>
    </font>
    <font>
      <b/>
      <sz val="9"/>
      <color indexed="81"/>
      <name val="Verdana"/>
    </font>
    <font>
      <sz val="12"/>
      <name val="Calibri"/>
    </font>
    <font>
      <i/>
      <sz val="9"/>
      <name val="Calibri"/>
    </font>
    <font>
      <b/>
      <sz val="14"/>
      <color indexed="10"/>
      <name val="Arial"/>
    </font>
    <font>
      <b/>
      <i/>
      <sz val="14"/>
      <color indexed="10"/>
      <name val="Arial"/>
    </font>
    <font>
      <b/>
      <u/>
      <sz val="10"/>
      <color indexed="62"/>
      <name val="Verdana"/>
    </font>
    <font>
      <b/>
      <sz val="12"/>
      <color indexed="10"/>
      <name val="Calibri"/>
    </font>
    <font>
      <u/>
      <sz val="10"/>
      <color theme="10"/>
      <name val="Verdana"/>
    </font>
    <font>
      <u/>
      <sz val="10"/>
      <color theme="11"/>
      <name val="Verdana"/>
    </font>
  </fonts>
  <fills count="2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8"/>
      </patternFill>
    </fill>
    <fill>
      <patternFill patternType="solid">
        <fgColor indexed="5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1"/>
        <bgColor indexed="8"/>
      </patternFill>
    </fill>
    <fill>
      <patternFill patternType="solid">
        <fgColor indexed="49"/>
        <bgColor indexed="64"/>
      </patternFill>
    </fill>
    <fill>
      <patternFill patternType="solid">
        <fgColor indexed="49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6">
    <xf numFmtId="0" fontId="0" fillId="0" borderId="0"/>
    <xf numFmtId="0" fontId="63" fillId="0" borderId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</cellStyleXfs>
  <cellXfs count="322">
    <xf numFmtId="0" fontId="0" fillId="0" borderId="0" xfId="0"/>
    <xf numFmtId="0" fontId="48" fillId="2" borderId="1" xfId="0" applyFont="1" applyFill="1" applyBorder="1" applyAlignment="1">
      <alignment horizontal="left" vertical="center"/>
    </xf>
    <xf numFmtId="0" fontId="48" fillId="3" borderId="1" xfId="0" applyFont="1" applyFill="1" applyBorder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8" fillId="4" borderId="1" xfId="0" applyFont="1" applyFill="1" applyBorder="1" applyAlignment="1">
      <alignment horizontal="left" vertical="center"/>
    </xf>
    <xf numFmtId="0" fontId="48" fillId="5" borderId="1" xfId="0" applyFont="1" applyFill="1" applyBorder="1" applyAlignment="1">
      <alignment horizontal="left" vertical="center"/>
    </xf>
    <xf numFmtId="0" fontId="48" fillId="6" borderId="1" xfId="0" applyFont="1" applyFill="1" applyBorder="1" applyAlignment="1">
      <alignment horizontal="left" vertical="center"/>
    </xf>
    <xf numFmtId="0" fontId="48" fillId="0" borderId="2" xfId="0" applyFont="1" applyBorder="1" applyAlignment="1">
      <alignment horizontal="left" vertical="center"/>
    </xf>
    <xf numFmtId="0" fontId="48" fillId="7" borderId="1" xfId="0" applyFont="1" applyFill="1" applyBorder="1" applyAlignment="1">
      <alignment horizontal="left" vertical="center"/>
    </xf>
    <xf numFmtId="0" fontId="36" fillId="0" borderId="3" xfId="0" applyFont="1" applyFill="1" applyBorder="1" applyAlignment="1">
      <alignment horizontal="center" vertical="center"/>
    </xf>
    <xf numFmtId="20" fontId="39" fillId="8" borderId="4" xfId="0" applyNumberFormat="1" applyFont="1" applyFill="1" applyBorder="1" applyAlignment="1">
      <alignment horizontal="center" vertical="center"/>
    </xf>
    <xf numFmtId="0" fontId="36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0" fillId="0" borderId="0" xfId="0" applyFont="1"/>
    <xf numFmtId="0" fontId="7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11" fillId="0" borderId="0" xfId="0" applyFont="1" applyFill="1" applyAlignment="1"/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0" fillId="8" borderId="0" xfId="0" applyFill="1"/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/>
    </xf>
    <xf numFmtId="0" fontId="19" fillId="9" borderId="0" xfId="0" applyFont="1" applyFill="1" applyAlignment="1">
      <alignment horizontal="center" vertical="center"/>
    </xf>
    <xf numFmtId="0" fontId="20" fillId="0" borderId="0" xfId="0" applyFont="1" applyAlignment="1">
      <alignment textRotation="90"/>
    </xf>
    <xf numFmtId="0" fontId="17" fillId="0" borderId="0" xfId="0" applyFont="1" applyAlignment="1">
      <alignment horizontal="center"/>
    </xf>
    <xf numFmtId="0" fontId="18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/>
    <xf numFmtId="0" fontId="21" fillId="0" borderId="0" xfId="0" applyFont="1" applyFill="1" applyAlignment="1">
      <alignment horizontal="center"/>
    </xf>
    <xf numFmtId="0" fontId="18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1" fontId="15" fillId="3" borderId="5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" fontId="17" fillId="8" borderId="1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1" fontId="28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1" fontId="36" fillId="0" borderId="6" xfId="0" applyNumberFormat="1" applyFont="1" applyFill="1" applyBorder="1" applyAlignment="1">
      <alignment horizontal="center" vertical="center"/>
    </xf>
    <xf numFmtId="164" fontId="37" fillId="0" borderId="6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0" fontId="36" fillId="0" borderId="7" xfId="0" applyFont="1" applyFill="1" applyBorder="1" applyAlignment="1">
      <alignment horizontal="center" vertical="center"/>
    </xf>
    <xf numFmtId="1" fontId="36" fillId="0" borderId="8" xfId="0" applyNumberFormat="1" applyFont="1" applyFill="1" applyBorder="1" applyAlignment="1">
      <alignment horizontal="center" vertical="center"/>
    </xf>
    <xf numFmtId="20" fontId="37" fillId="8" borderId="3" xfId="0" applyNumberFormat="1" applyFont="1" applyFill="1" applyBorder="1" applyAlignment="1">
      <alignment horizontal="center" vertical="center"/>
    </xf>
    <xf numFmtId="0" fontId="37" fillId="8" borderId="3" xfId="0" applyFont="1" applyFill="1" applyBorder="1" applyAlignment="1">
      <alignment horizontal="center" vertical="center"/>
    </xf>
    <xf numFmtId="20" fontId="38" fillId="0" borderId="1" xfId="0" applyNumberFormat="1" applyFont="1" applyFill="1" applyBorder="1" applyAlignment="1">
      <alignment horizontal="center" vertical="center"/>
    </xf>
    <xf numFmtId="20" fontId="37" fillId="0" borderId="1" xfId="0" applyNumberFormat="1" applyFont="1" applyFill="1" applyBorder="1" applyAlignment="1">
      <alignment horizontal="center" vertical="center"/>
    </xf>
    <xf numFmtId="1" fontId="36" fillId="8" borderId="7" xfId="0" applyNumberFormat="1" applyFont="1" applyFill="1" applyBorder="1" applyAlignment="1">
      <alignment horizontal="center" vertical="center"/>
    </xf>
    <xf numFmtId="0" fontId="36" fillId="8" borderId="3" xfId="0" applyFont="1" applyFill="1" applyBorder="1" applyAlignment="1">
      <alignment horizontal="center" vertical="center"/>
    </xf>
    <xf numFmtId="0" fontId="37" fillId="0" borderId="3" xfId="0" applyFont="1" applyBorder="1" applyAlignment="1">
      <alignment vertical="center"/>
    </xf>
    <xf numFmtId="0" fontId="37" fillId="0" borderId="4" xfId="0" applyFont="1" applyFill="1" applyBorder="1" applyAlignment="1">
      <alignment horizontal="center" vertical="center"/>
    </xf>
    <xf numFmtId="0" fontId="38" fillId="0" borderId="7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 textRotation="90"/>
    </xf>
    <xf numFmtId="0" fontId="41" fillId="0" borderId="0" xfId="0" applyFont="1" applyFill="1" applyAlignment="1">
      <alignment horizontal="center" vertical="center"/>
    </xf>
    <xf numFmtId="0" fontId="37" fillId="0" borderId="6" xfId="0" applyFont="1" applyFill="1" applyBorder="1" applyAlignment="1">
      <alignment horizontal="center" vertical="justify"/>
    </xf>
    <xf numFmtId="0" fontId="42" fillId="10" borderId="1" xfId="0" applyFont="1" applyFill="1" applyBorder="1" applyAlignment="1">
      <alignment horizontal="center" vertical="center"/>
    </xf>
    <xf numFmtId="0" fontId="43" fillId="10" borderId="1" xfId="0" applyFont="1" applyFill="1" applyBorder="1" applyAlignment="1">
      <alignment horizontal="center" vertical="center"/>
    </xf>
    <xf numFmtId="1" fontId="2" fillId="9" borderId="1" xfId="0" applyNumberFormat="1" applyFont="1" applyFill="1" applyBorder="1" applyAlignment="1">
      <alignment horizontal="center" vertical="center"/>
    </xf>
    <xf numFmtId="0" fontId="45" fillId="11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49" fillId="0" borderId="0" xfId="0" applyFont="1"/>
    <xf numFmtId="22" fontId="48" fillId="0" borderId="0" xfId="0" applyNumberFormat="1" applyFont="1"/>
    <xf numFmtId="0" fontId="60" fillId="0" borderId="0" xfId="0" applyFont="1"/>
    <xf numFmtId="0" fontId="60" fillId="0" borderId="0" xfId="0" applyFont="1" applyFill="1" applyAlignment="1"/>
    <xf numFmtId="0" fontId="48" fillId="7" borderId="1" xfId="0" applyFont="1" applyFill="1" applyBorder="1" applyAlignment="1">
      <alignment horizontal="right" vertical="center"/>
    </xf>
    <xf numFmtId="0" fontId="48" fillId="0" borderId="2" xfId="0" applyFont="1" applyBorder="1" applyAlignment="1">
      <alignment horizontal="right" vertical="center"/>
    </xf>
    <xf numFmtId="0" fontId="48" fillId="6" borderId="1" xfId="0" applyFont="1" applyFill="1" applyBorder="1" applyAlignment="1">
      <alignment horizontal="right" vertical="center"/>
    </xf>
    <xf numFmtId="0" fontId="48" fillId="5" borderId="1" xfId="0" applyFont="1" applyFill="1" applyBorder="1" applyAlignment="1">
      <alignment horizontal="right" vertical="center"/>
    </xf>
    <xf numFmtId="0" fontId="48" fillId="4" borderId="1" xfId="0" applyFont="1" applyFill="1" applyBorder="1" applyAlignment="1">
      <alignment horizontal="right" vertical="center"/>
    </xf>
    <xf numFmtId="0" fontId="48" fillId="0" borderId="1" xfId="0" applyFont="1" applyBorder="1" applyAlignment="1">
      <alignment horizontal="right" vertical="center"/>
    </xf>
    <xf numFmtId="0" fontId="48" fillId="3" borderId="1" xfId="0" applyFont="1" applyFill="1" applyBorder="1" applyAlignment="1">
      <alignment horizontal="right" vertical="center"/>
    </xf>
    <xf numFmtId="0" fontId="48" fillId="2" borderId="1" xfId="0" applyFont="1" applyFill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49" fillId="0" borderId="0" xfId="0" applyFont="1" applyFill="1" applyBorder="1"/>
    <xf numFmtId="0" fontId="31" fillId="0" borderId="0" xfId="0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3" fillId="12" borderId="0" xfId="0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horizontal="center" vertical="center"/>
    </xf>
    <xf numFmtId="20" fontId="37" fillId="8" borderId="1" xfId="0" applyNumberFormat="1" applyFont="1" applyFill="1" applyBorder="1" applyAlignment="1">
      <alignment horizontal="center" vertical="center"/>
    </xf>
    <xf numFmtId="20" fontId="37" fillId="8" borderId="4" xfId="0" applyNumberFormat="1" applyFont="1" applyFill="1" applyBorder="1" applyAlignment="1">
      <alignment horizontal="center" vertical="center"/>
    </xf>
    <xf numFmtId="1" fontId="35" fillId="3" borderId="0" xfId="0" applyNumberFormat="1" applyFont="1" applyFill="1" applyAlignment="1">
      <alignment horizontal="center" vertical="center"/>
    </xf>
    <xf numFmtId="1" fontId="16" fillId="3" borderId="1" xfId="0" applyNumberFormat="1" applyFont="1" applyFill="1" applyBorder="1" applyAlignment="1">
      <alignment horizontal="center" vertical="center"/>
    </xf>
    <xf numFmtId="1" fontId="61" fillId="0" borderId="5" xfId="0" applyNumberFormat="1" applyFont="1" applyFill="1" applyBorder="1" applyAlignment="1">
      <alignment horizontal="center" vertical="center"/>
    </xf>
    <xf numFmtId="1" fontId="15" fillId="0" borderId="0" xfId="0" applyNumberFormat="1" applyFont="1" applyFill="1" applyBorder="1" applyAlignment="1">
      <alignment horizontal="center" vertical="center"/>
    </xf>
    <xf numFmtId="164" fontId="37" fillId="0" borderId="4" xfId="0" applyNumberFormat="1" applyFont="1" applyFill="1" applyBorder="1" applyAlignment="1">
      <alignment horizontal="center" vertical="center"/>
    </xf>
    <xf numFmtId="1" fontId="62" fillId="0" borderId="1" xfId="0" applyNumberFormat="1" applyFont="1" applyFill="1" applyBorder="1" applyAlignment="1">
      <alignment horizontal="center" vertical="center"/>
    </xf>
    <xf numFmtId="1" fontId="62" fillId="0" borderId="1" xfId="0" applyNumberFormat="1" applyFont="1" applyBorder="1" applyAlignment="1">
      <alignment horizontal="center" vertical="center"/>
    </xf>
    <xf numFmtId="1" fontId="62" fillId="8" borderId="1" xfId="0" applyNumberFormat="1" applyFont="1" applyFill="1" applyBorder="1" applyAlignment="1">
      <alignment horizontal="center" vertical="center"/>
    </xf>
    <xf numFmtId="20" fontId="50" fillId="0" borderId="0" xfId="1" applyNumberFormat="1" applyFont="1" applyAlignment="1">
      <alignment horizontal="center" vertical="center"/>
    </xf>
    <xf numFmtId="0" fontId="48" fillId="0" borderId="0" xfId="1" applyFont="1" applyAlignment="1">
      <alignment horizontal="center" vertical="center"/>
    </xf>
    <xf numFmtId="0" fontId="63" fillId="0" borderId="0" xfId="1" applyAlignment="1">
      <alignment vertical="center"/>
    </xf>
    <xf numFmtId="0" fontId="51" fillId="9" borderId="9" xfId="1" applyFont="1" applyFill="1" applyBorder="1" applyAlignment="1">
      <alignment horizontal="center" vertical="center"/>
    </xf>
    <xf numFmtId="0" fontId="52" fillId="0" borderId="0" xfId="1" applyFont="1" applyAlignment="1">
      <alignment horizontal="center" vertical="center"/>
    </xf>
    <xf numFmtId="0" fontId="53" fillId="0" borderId="0" xfId="1" applyFont="1" applyAlignment="1">
      <alignment horizontal="center" vertical="center"/>
    </xf>
    <xf numFmtId="0" fontId="63" fillId="0" borderId="0" xfId="1" applyAlignment="1">
      <alignment horizontal="center" vertical="center"/>
    </xf>
    <xf numFmtId="20" fontId="50" fillId="0" borderId="10" xfId="1" applyNumberFormat="1" applyFont="1" applyBorder="1" applyAlignment="1">
      <alignment horizontal="center" vertical="center"/>
    </xf>
    <xf numFmtId="0" fontId="54" fillId="0" borderId="0" xfId="1" applyFont="1" applyAlignment="1">
      <alignment vertical="center"/>
    </xf>
    <xf numFmtId="20" fontId="55" fillId="0" borderId="10" xfId="1" applyNumberFormat="1" applyFont="1" applyBorder="1" applyAlignment="1">
      <alignment horizontal="center" vertical="center"/>
    </xf>
    <xf numFmtId="20" fontId="46" fillId="0" borderId="0" xfId="1" applyNumberFormat="1" applyFont="1" applyAlignment="1">
      <alignment horizontal="center" vertical="center"/>
    </xf>
    <xf numFmtId="0" fontId="47" fillId="3" borderId="1" xfId="1" applyFont="1" applyFill="1" applyBorder="1" applyAlignment="1">
      <alignment horizontal="center" vertical="center"/>
    </xf>
    <xf numFmtId="0" fontId="57" fillId="0" borderId="0" xfId="1" applyFont="1" applyAlignment="1">
      <alignment vertical="center"/>
    </xf>
    <xf numFmtId="20" fontId="48" fillId="9" borderId="6" xfId="1" applyNumberFormat="1" applyFont="1" applyFill="1" applyBorder="1" applyAlignment="1">
      <alignment horizontal="center" vertical="center" wrapText="1"/>
    </xf>
    <xf numFmtId="20" fontId="55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58" fillId="13" borderId="11" xfId="1" applyFont="1" applyFill="1" applyBorder="1" applyAlignment="1">
      <alignment horizontal="center" vertical="center"/>
    </xf>
    <xf numFmtId="20" fontId="59" fillId="14" borderId="4" xfId="1" applyNumberFormat="1" applyFont="1" applyFill="1" applyBorder="1" applyAlignment="1">
      <alignment horizontal="center" vertical="center"/>
    </xf>
    <xf numFmtId="20" fontId="50" fillId="0" borderId="0" xfId="1" applyNumberFormat="1" applyFont="1" applyBorder="1" applyAlignment="1">
      <alignment horizontal="center" vertical="center"/>
    </xf>
    <xf numFmtId="0" fontId="65" fillId="14" borderId="4" xfId="1" applyFont="1" applyFill="1" applyBorder="1" applyAlignment="1">
      <alignment horizontal="center" vertical="center"/>
    </xf>
    <xf numFmtId="0" fontId="66" fillId="14" borderId="4" xfId="1" applyFont="1" applyFill="1" applyBorder="1" applyAlignment="1">
      <alignment horizontal="center" vertical="center"/>
    </xf>
    <xf numFmtId="0" fontId="67" fillId="14" borderId="4" xfId="1" applyFont="1" applyFill="1" applyBorder="1" applyAlignment="1">
      <alignment horizontal="center" vertical="center"/>
    </xf>
    <xf numFmtId="49" fontId="56" fillId="15" borderId="11" xfId="1" applyNumberFormat="1" applyFont="1" applyFill="1" applyBorder="1" applyAlignment="1">
      <alignment horizontal="center" vertical="center"/>
    </xf>
    <xf numFmtId="20" fontId="59" fillId="14" borderId="11" xfId="1" applyNumberFormat="1" applyFont="1" applyFill="1" applyBorder="1" applyAlignment="1">
      <alignment horizontal="center" vertical="center"/>
    </xf>
    <xf numFmtId="0" fontId="68" fillId="14" borderId="4" xfId="1" applyFont="1" applyFill="1" applyBorder="1" applyAlignment="1">
      <alignment horizontal="center" vertical="center"/>
    </xf>
    <xf numFmtId="0" fontId="65" fillId="14" borderId="2" xfId="1" applyFont="1" applyFill="1" applyBorder="1" applyAlignment="1">
      <alignment horizontal="center" vertical="center"/>
    </xf>
    <xf numFmtId="20" fontId="46" fillId="0" borderId="10" xfId="1" applyNumberFormat="1" applyFont="1" applyBorder="1" applyAlignment="1">
      <alignment horizontal="center" vertical="center"/>
    </xf>
    <xf numFmtId="0" fontId="48" fillId="0" borderId="1" xfId="1" applyFont="1" applyBorder="1" applyAlignment="1">
      <alignment horizontal="center" vertical="center" wrapText="1"/>
    </xf>
    <xf numFmtId="0" fontId="48" fillId="9" borderId="1" xfId="1" applyFont="1" applyFill="1" applyBorder="1" applyAlignment="1">
      <alignment horizontal="center" vertical="center" wrapText="1"/>
    </xf>
    <xf numFmtId="20" fontId="46" fillId="0" borderId="0" xfId="1" applyNumberFormat="1" applyFont="1" applyAlignment="1">
      <alignment horizontal="center"/>
    </xf>
    <xf numFmtId="0" fontId="54" fillId="0" borderId="0" xfId="1" applyFont="1"/>
    <xf numFmtId="0" fontId="63" fillId="0" borderId="0" xfId="1"/>
    <xf numFmtId="0" fontId="56" fillId="15" borderId="4" xfId="1" applyNumberFormat="1" applyFont="1" applyFill="1" applyBorder="1" applyAlignment="1">
      <alignment horizontal="center" vertical="center"/>
    </xf>
    <xf numFmtId="0" fontId="63" fillId="0" borderId="0" xfId="1" applyNumberFormat="1" applyAlignment="1">
      <alignment horizontal="center" vertical="center"/>
    </xf>
    <xf numFmtId="0" fontId="47" fillId="3" borderId="1" xfId="1" applyNumberFormat="1" applyFont="1" applyFill="1" applyBorder="1" applyAlignment="1">
      <alignment horizontal="center" vertical="center"/>
    </xf>
    <xf numFmtId="0" fontId="48" fillId="9" borderId="6" xfId="1" applyNumberFormat="1" applyFont="1" applyFill="1" applyBorder="1" applyAlignment="1">
      <alignment horizontal="center" vertical="center" wrapText="1"/>
    </xf>
    <xf numFmtId="0" fontId="1" fillId="0" borderId="0" xfId="1" applyNumberFormat="1" applyFont="1" applyAlignment="1">
      <alignment horizontal="center" vertical="center"/>
    </xf>
    <xf numFmtId="0" fontId="56" fillId="15" borderId="1" xfId="1" applyNumberFormat="1" applyFont="1" applyFill="1" applyBorder="1" applyAlignment="1">
      <alignment horizontal="center" vertical="center"/>
    </xf>
    <xf numFmtId="49" fontId="36" fillId="16" borderId="1" xfId="0" applyNumberFormat="1" applyFont="1" applyFill="1" applyBorder="1" applyAlignment="1">
      <alignment horizontal="center" vertical="center" wrapText="1"/>
    </xf>
    <xf numFmtId="18" fontId="36" fillId="0" borderId="4" xfId="0" applyNumberFormat="1" applyFont="1" applyFill="1" applyBorder="1" applyAlignment="1">
      <alignment horizontal="center" vertical="center"/>
    </xf>
    <xf numFmtId="1" fontId="69" fillId="0" borderId="1" xfId="0" applyNumberFormat="1" applyFont="1" applyFill="1" applyBorder="1" applyAlignment="1">
      <alignment horizontal="center" vertical="center"/>
    </xf>
    <xf numFmtId="20" fontId="50" fillId="0" borderId="0" xfId="1" applyNumberFormat="1" applyFont="1" applyAlignment="1">
      <alignment horizontal="center" vertical="center" wrapText="1"/>
    </xf>
    <xf numFmtId="0" fontId="48" fillId="0" borderId="0" xfId="1" applyFont="1" applyAlignment="1">
      <alignment horizontal="center" vertical="center" wrapText="1"/>
    </xf>
    <xf numFmtId="0" fontId="63" fillId="0" borderId="0" xfId="1" applyAlignment="1">
      <alignment vertical="center" wrapText="1"/>
    </xf>
    <xf numFmtId="0" fontId="51" fillId="9" borderId="9" xfId="1" applyFont="1" applyFill="1" applyBorder="1" applyAlignment="1">
      <alignment horizontal="center" vertical="center" wrapText="1"/>
    </xf>
    <xf numFmtId="0" fontId="52" fillId="0" borderId="0" xfId="1" applyFont="1" applyAlignment="1">
      <alignment horizontal="center" vertical="center" wrapText="1"/>
    </xf>
    <xf numFmtId="0" fontId="53" fillId="0" borderId="0" xfId="1" applyFont="1" applyAlignment="1">
      <alignment horizontal="center" vertical="center" wrapText="1"/>
    </xf>
    <xf numFmtId="0" fontId="63" fillId="0" borderId="0" xfId="1" applyAlignment="1">
      <alignment horizontal="center" vertical="center" wrapText="1"/>
    </xf>
    <xf numFmtId="20" fontId="50" fillId="0" borderId="10" xfId="1" applyNumberFormat="1" applyFont="1" applyBorder="1" applyAlignment="1">
      <alignment horizontal="center" vertical="center" wrapText="1"/>
    </xf>
    <xf numFmtId="0" fontId="54" fillId="0" borderId="0" xfId="1" applyFont="1" applyAlignment="1">
      <alignment vertical="center" wrapText="1"/>
    </xf>
    <xf numFmtId="20" fontId="55" fillId="0" borderId="10" xfId="1" applyNumberFormat="1" applyFont="1" applyBorder="1" applyAlignment="1">
      <alignment horizontal="center" vertical="center" wrapText="1"/>
    </xf>
    <xf numFmtId="0" fontId="56" fillId="15" borderId="4" xfId="1" applyNumberFormat="1" applyFont="1" applyFill="1" applyBorder="1" applyAlignment="1">
      <alignment horizontal="center" vertical="center" wrapText="1"/>
    </xf>
    <xf numFmtId="0" fontId="63" fillId="0" borderId="0" xfId="1" applyNumberFormat="1" applyAlignment="1">
      <alignment horizontal="center" vertical="center" wrapText="1"/>
    </xf>
    <xf numFmtId="20" fontId="46" fillId="0" borderId="0" xfId="1" applyNumberFormat="1" applyFont="1" applyAlignment="1">
      <alignment horizontal="center" vertical="center" wrapText="1"/>
    </xf>
    <xf numFmtId="0" fontId="47" fillId="3" borderId="1" xfId="1" applyNumberFormat="1" applyFont="1" applyFill="1" applyBorder="1" applyAlignment="1">
      <alignment horizontal="center" vertical="center" wrapText="1"/>
    </xf>
    <xf numFmtId="0" fontId="47" fillId="3" borderId="1" xfId="1" applyFont="1" applyFill="1" applyBorder="1" applyAlignment="1">
      <alignment horizontal="center" vertical="center" wrapText="1"/>
    </xf>
    <xf numFmtId="0" fontId="57" fillId="0" borderId="0" xfId="1" applyFont="1" applyAlignment="1">
      <alignment vertical="center" wrapText="1"/>
    </xf>
    <xf numFmtId="20" fontId="55" fillId="0" borderId="0" xfId="1" applyNumberFormat="1" applyFont="1" applyAlignment="1">
      <alignment horizontal="center" vertical="center" wrapText="1"/>
    </xf>
    <xf numFmtId="0" fontId="1" fillId="0" borderId="0" xfId="1" applyNumberFormat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58" fillId="13" borderId="11" xfId="1" applyFont="1" applyFill="1" applyBorder="1" applyAlignment="1">
      <alignment horizontal="center" vertical="center" wrapText="1"/>
    </xf>
    <xf numFmtId="20" fontId="59" fillId="14" borderId="4" xfId="1" applyNumberFormat="1" applyFont="1" applyFill="1" applyBorder="1" applyAlignment="1">
      <alignment horizontal="center" vertical="center" wrapText="1"/>
    </xf>
    <xf numFmtId="20" fontId="50" fillId="0" borderId="0" xfId="1" applyNumberFormat="1" applyFont="1" applyBorder="1" applyAlignment="1">
      <alignment horizontal="center" vertical="center" wrapText="1"/>
    </xf>
    <xf numFmtId="0" fontId="65" fillId="14" borderId="4" xfId="1" applyFont="1" applyFill="1" applyBorder="1" applyAlignment="1">
      <alignment horizontal="center" vertical="center" wrapText="1"/>
    </xf>
    <xf numFmtId="0" fontId="66" fillId="14" borderId="4" xfId="1" applyFont="1" applyFill="1" applyBorder="1" applyAlignment="1">
      <alignment horizontal="center" vertical="center" wrapText="1"/>
    </xf>
    <xf numFmtId="0" fontId="67" fillId="14" borderId="4" xfId="1" applyFont="1" applyFill="1" applyBorder="1" applyAlignment="1">
      <alignment horizontal="center" vertical="center" wrapText="1"/>
    </xf>
    <xf numFmtId="0" fontId="56" fillId="15" borderId="1" xfId="1" applyNumberFormat="1" applyFont="1" applyFill="1" applyBorder="1" applyAlignment="1">
      <alignment horizontal="center" vertical="center" wrapText="1"/>
    </xf>
    <xf numFmtId="49" fontId="56" fillId="15" borderId="11" xfId="1" applyNumberFormat="1" applyFont="1" applyFill="1" applyBorder="1" applyAlignment="1">
      <alignment horizontal="center" vertical="center" wrapText="1"/>
    </xf>
    <xf numFmtId="20" fontId="59" fillId="14" borderId="11" xfId="1" applyNumberFormat="1" applyFont="1" applyFill="1" applyBorder="1" applyAlignment="1">
      <alignment horizontal="center" vertical="center" wrapText="1"/>
    </xf>
    <xf numFmtId="0" fontId="68" fillId="14" borderId="4" xfId="1" applyFont="1" applyFill="1" applyBorder="1" applyAlignment="1">
      <alignment horizontal="center" vertical="center" wrapText="1"/>
    </xf>
    <xf numFmtId="0" fontId="65" fillId="14" borderId="2" xfId="1" applyFont="1" applyFill="1" applyBorder="1" applyAlignment="1">
      <alignment horizontal="center" vertical="center" wrapText="1"/>
    </xf>
    <xf numFmtId="20" fontId="46" fillId="0" borderId="10" xfId="1" applyNumberFormat="1" applyFont="1" applyBorder="1" applyAlignment="1">
      <alignment horizontal="center" vertical="center" wrapText="1"/>
    </xf>
    <xf numFmtId="20" fontId="46" fillId="0" borderId="0" xfId="1" applyNumberFormat="1" applyFont="1" applyAlignment="1">
      <alignment horizontal="center" wrapText="1"/>
    </xf>
    <xf numFmtId="0" fontId="54" fillId="0" borderId="0" xfId="1" applyFont="1" applyAlignment="1">
      <alignment wrapText="1"/>
    </xf>
    <xf numFmtId="0" fontId="63" fillId="0" borderId="0" xfId="1" applyAlignment="1">
      <alignment wrapText="1"/>
    </xf>
    <xf numFmtId="0" fontId="36" fillId="5" borderId="1" xfId="0" applyFont="1" applyFill="1" applyBorder="1" applyAlignment="1">
      <alignment horizontal="center" vertical="justify" textRotation="90" wrapText="1"/>
    </xf>
    <xf numFmtId="0" fontId="36" fillId="17" borderId="1" xfId="0" applyFont="1" applyFill="1" applyBorder="1" applyAlignment="1">
      <alignment horizontal="center" vertical="justify" textRotation="90" wrapText="1"/>
    </xf>
    <xf numFmtId="0" fontId="36" fillId="3" borderId="1" xfId="0" applyFont="1" applyFill="1" applyBorder="1" applyAlignment="1">
      <alignment horizontal="center" vertical="justify" textRotation="90" wrapText="1"/>
    </xf>
    <xf numFmtId="0" fontId="25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70" fillId="0" borderId="0" xfId="1" applyFont="1" applyAlignment="1">
      <alignment horizontal="center" vertical="center"/>
    </xf>
    <xf numFmtId="20" fontId="80" fillId="0" borderId="0" xfId="1" applyNumberFormat="1" applyFont="1" applyAlignment="1">
      <alignment horizontal="center" vertical="center" wrapText="1"/>
    </xf>
    <xf numFmtId="20" fontId="81" fillId="0" borderId="10" xfId="1" applyNumberFormat="1" applyFont="1" applyBorder="1" applyAlignment="1">
      <alignment horizontal="center" vertical="center" wrapText="1"/>
    </xf>
    <xf numFmtId="20" fontId="81" fillId="0" borderId="10" xfId="1" applyNumberFormat="1" applyFont="1" applyBorder="1" applyAlignment="1">
      <alignment horizontal="center" vertical="center"/>
    </xf>
    <xf numFmtId="20" fontId="80" fillId="0" borderId="0" xfId="1" applyNumberFormat="1" applyFont="1" applyAlignment="1">
      <alignment horizontal="center" vertical="center"/>
    </xf>
    <xf numFmtId="20" fontId="80" fillId="0" borderId="10" xfId="1" applyNumberFormat="1" applyFont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justify"/>
    </xf>
    <xf numFmtId="20" fontId="37" fillId="0" borderId="3" xfId="0" applyNumberFormat="1" applyFont="1" applyFill="1" applyBorder="1" applyAlignment="1">
      <alignment horizontal="center" vertical="center"/>
    </xf>
    <xf numFmtId="20" fontId="37" fillId="0" borderId="2" xfId="0" applyNumberFormat="1" applyFont="1" applyFill="1" applyBorder="1" applyAlignment="1">
      <alignment horizontal="center" vertical="center"/>
    </xf>
    <xf numFmtId="20" fontId="37" fillId="0" borderId="7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20" fontId="36" fillId="0" borderId="1" xfId="0" applyNumberFormat="1" applyFont="1" applyFill="1" applyBorder="1" applyAlignment="1">
      <alignment horizontal="center" vertical="center"/>
    </xf>
    <xf numFmtId="1" fontId="28" fillId="0" borderId="0" xfId="0" applyNumberFormat="1" applyFont="1" applyFill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1" fontId="36" fillId="0" borderId="1" xfId="0" applyNumberFormat="1" applyFont="1" applyFill="1" applyBorder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71" fillId="0" borderId="0" xfId="0" applyFont="1"/>
    <xf numFmtId="0" fontId="0" fillId="0" borderId="0" xfId="0" applyAlignment="1">
      <alignment wrapText="1"/>
    </xf>
    <xf numFmtId="0" fontId="2" fillId="5" borderId="0" xfId="0" applyFont="1" applyFill="1"/>
    <xf numFmtId="0" fontId="82" fillId="0" borderId="0" xfId="0" applyFont="1"/>
    <xf numFmtId="165" fontId="37" fillId="8" borderId="3" xfId="0" applyNumberFormat="1" applyFont="1" applyFill="1" applyBorder="1" applyAlignment="1">
      <alignment horizontal="center" vertical="center"/>
    </xf>
    <xf numFmtId="165" fontId="37" fillId="0" borderId="6" xfId="0" applyNumberFormat="1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/>
    </xf>
    <xf numFmtId="1" fontId="36" fillId="8" borderId="6" xfId="0" applyNumberFormat="1" applyFont="1" applyFill="1" applyBorder="1" applyAlignment="1">
      <alignment horizontal="center" vertical="center"/>
    </xf>
    <xf numFmtId="49" fontId="83" fillId="16" borderId="1" xfId="0" applyNumberFormat="1" applyFont="1" applyFill="1" applyBorder="1" applyAlignment="1">
      <alignment horizontal="center" vertical="center" wrapText="1"/>
    </xf>
    <xf numFmtId="49" fontId="36" fillId="18" borderId="1" xfId="0" applyNumberFormat="1" applyFont="1" applyFill="1" applyBorder="1" applyAlignment="1">
      <alignment horizontal="center" vertical="center" wrapText="1"/>
    </xf>
    <xf numFmtId="49" fontId="83" fillId="18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1" fontId="15" fillId="0" borderId="0" xfId="0" applyNumberFormat="1" applyFont="1" applyAlignment="1">
      <alignment vertical="center"/>
    </xf>
    <xf numFmtId="1" fontId="36" fillId="8" borderId="8" xfId="0" applyNumberFormat="1" applyFont="1" applyFill="1" applyBorder="1" applyAlignment="1">
      <alignment horizontal="center" vertical="center"/>
    </xf>
    <xf numFmtId="16" fontId="37" fillId="0" borderId="1" xfId="0" applyNumberFormat="1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/>
    </xf>
    <xf numFmtId="0" fontId="38" fillId="0" borderId="8" xfId="0" applyFont="1" applyFill="1" applyBorder="1" applyAlignment="1">
      <alignment horizontal="center" vertical="center"/>
    </xf>
    <xf numFmtId="1" fontId="78" fillId="0" borderId="6" xfId="0" applyNumberFormat="1" applyFont="1" applyFill="1" applyBorder="1" applyAlignment="1">
      <alignment horizontal="center" vertical="center"/>
    </xf>
    <xf numFmtId="0" fontId="79" fillId="0" borderId="1" xfId="0" applyFont="1" applyFill="1" applyBorder="1" applyAlignment="1">
      <alignment horizontal="center" vertical="center"/>
    </xf>
    <xf numFmtId="1" fontId="36" fillId="0" borderId="4" xfId="0" applyNumberFormat="1" applyFont="1" applyFill="1" applyBorder="1" applyAlignment="1">
      <alignment horizontal="center" vertical="center"/>
    </xf>
    <xf numFmtId="1" fontId="36" fillId="0" borderId="1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16" fontId="37" fillId="8" borderId="3" xfId="0" applyNumberFormat="1" applyFont="1" applyFill="1" applyBorder="1" applyAlignment="1">
      <alignment horizontal="center" vertical="center"/>
    </xf>
    <xf numFmtId="0" fontId="38" fillId="8" borderId="3" xfId="0" applyFont="1" applyFill="1" applyBorder="1" applyAlignment="1">
      <alignment horizontal="center" vertical="center"/>
    </xf>
    <xf numFmtId="20" fontId="36" fillId="8" borderId="3" xfId="0" applyNumberFormat="1" applyFont="1" applyFill="1" applyBorder="1" applyAlignment="1">
      <alignment horizontal="center" vertical="center"/>
    </xf>
    <xf numFmtId="0" fontId="38" fillId="8" borderId="4" xfId="0" applyFont="1" applyFill="1" applyBorder="1" applyAlignment="1">
      <alignment horizontal="center" vertical="center"/>
    </xf>
    <xf numFmtId="1" fontId="83" fillId="8" borderId="8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4" fillId="17" borderId="13" xfId="0" applyFont="1" applyFill="1" applyBorder="1" applyAlignment="1">
      <alignment horizontal="center" vertical="center"/>
    </xf>
    <xf numFmtId="0" fontId="17" fillId="17" borderId="14" xfId="0" applyFont="1" applyFill="1" applyBorder="1" applyAlignment="1">
      <alignment horizontal="center" vertical="center"/>
    </xf>
    <xf numFmtId="0" fontId="17" fillId="17" borderId="15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83" fillId="0" borderId="7" xfId="0" applyFont="1" applyFill="1" applyBorder="1" applyAlignment="1">
      <alignment horizontal="center" vertical="center"/>
    </xf>
    <xf numFmtId="1" fontId="2" fillId="6" borderId="1" xfId="0" applyNumberFormat="1" applyFont="1" applyFill="1" applyBorder="1" applyAlignment="1">
      <alignment horizontal="center" vertical="center"/>
    </xf>
    <xf numFmtId="0" fontId="36" fillId="19" borderId="1" xfId="0" applyFont="1" applyFill="1" applyBorder="1" applyAlignment="1">
      <alignment horizontal="center" vertical="justify" textRotation="90" wrapText="1"/>
    </xf>
    <xf numFmtId="20" fontId="50" fillId="20" borderId="0" xfId="1" applyNumberFormat="1" applyFont="1" applyFill="1" applyAlignment="1">
      <alignment horizontal="center" vertical="center" wrapText="1"/>
    </xf>
    <xf numFmtId="0" fontId="48" fillId="20" borderId="0" xfId="1" applyFont="1" applyFill="1" applyAlignment="1">
      <alignment horizontal="center" vertical="center" wrapText="1"/>
    </xf>
    <xf numFmtId="0" fontId="63" fillId="20" borderId="0" xfId="1" applyFill="1" applyAlignment="1">
      <alignment vertical="center" wrapText="1"/>
    </xf>
    <xf numFmtId="0" fontId="51" fillId="20" borderId="9" xfId="1" applyFont="1" applyFill="1" applyBorder="1" applyAlignment="1">
      <alignment horizontal="center" vertical="center" wrapText="1"/>
    </xf>
    <xf numFmtId="0" fontId="52" fillId="20" borderId="0" xfId="1" applyFont="1" applyFill="1" applyAlignment="1">
      <alignment horizontal="center" vertical="center" wrapText="1"/>
    </xf>
    <xf numFmtId="0" fontId="53" fillId="20" borderId="0" xfId="1" applyFont="1" applyFill="1" applyAlignment="1">
      <alignment horizontal="center" vertical="center" wrapText="1"/>
    </xf>
    <xf numFmtId="0" fontId="63" fillId="20" borderId="0" xfId="1" applyFill="1" applyAlignment="1">
      <alignment horizontal="center" vertical="center" wrapText="1"/>
    </xf>
    <xf numFmtId="20" fontId="50" fillId="20" borderId="10" xfId="1" applyNumberFormat="1" applyFont="1" applyFill="1" applyBorder="1" applyAlignment="1">
      <alignment horizontal="center" vertical="center" wrapText="1"/>
    </xf>
    <xf numFmtId="0" fontId="54" fillId="20" borderId="0" xfId="1" applyFont="1" applyFill="1" applyAlignment="1">
      <alignment vertical="center" wrapText="1"/>
    </xf>
    <xf numFmtId="20" fontId="55" fillId="20" borderId="10" xfId="1" applyNumberFormat="1" applyFont="1" applyFill="1" applyBorder="1" applyAlignment="1">
      <alignment horizontal="center" vertical="center" wrapText="1"/>
    </xf>
    <xf numFmtId="0" fontId="56" fillId="20" borderId="4" xfId="1" applyNumberFormat="1" applyFont="1" applyFill="1" applyBorder="1" applyAlignment="1">
      <alignment horizontal="center" vertical="center" wrapText="1"/>
    </xf>
    <xf numFmtId="20" fontId="81" fillId="20" borderId="10" xfId="1" applyNumberFormat="1" applyFont="1" applyFill="1" applyBorder="1" applyAlignment="1">
      <alignment horizontal="center" vertical="center" wrapText="1"/>
    </xf>
    <xf numFmtId="20" fontId="80" fillId="20" borderId="0" xfId="1" applyNumberFormat="1" applyFont="1" applyFill="1" applyAlignment="1">
      <alignment horizontal="center" vertical="center" wrapText="1"/>
    </xf>
    <xf numFmtId="0" fontId="63" fillId="20" borderId="0" xfId="1" applyNumberFormat="1" applyFill="1" applyAlignment="1">
      <alignment horizontal="center" vertical="center" wrapText="1"/>
    </xf>
    <xf numFmtId="20" fontId="46" fillId="20" borderId="0" xfId="1" applyNumberFormat="1" applyFont="1" applyFill="1" applyAlignment="1">
      <alignment horizontal="center" vertical="center" wrapText="1"/>
    </xf>
    <xf numFmtId="0" fontId="47" fillId="20" borderId="1" xfId="1" applyNumberFormat="1" applyFont="1" applyFill="1" applyBorder="1" applyAlignment="1">
      <alignment horizontal="center" vertical="center" wrapText="1"/>
    </xf>
    <xf numFmtId="0" fontId="47" fillId="20" borderId="1" xfId="1" applyFont="1" applyFill="1" applyBorder="1" applyAlignment="1">
      <alignment horizontal="center" vertical="center" wrapText="1"/>
    </xf>
    <xf numFmtId="0" fontId="57" fillId="20" borderId="0" xfId="1" applyFont="1" applyFill="1" applyAlignment="1">
      <alignment vertical="center" wrapText="1"/>
    </xf>
    <xf numFmtId="0" fontId="48" fillId="20" borderId="6" xfId="1" applyNumberFormat="1" applyFont="1" applyFill="1" applyBorder="1" applyAlignment="1">
      <alignment horizontal="center" vertical="center" wrapText="1"/>
    </xf>
    <xf numFmtId="20" fontId="48" fillId="20" borderId="6" xfId="1" applyNumberFormat="1" applyFont="1" applyFill="1" applyBorder="1" applyAlignment="1">
      <alignment horizontal="center" vertical="center" wrapText="1"/>
    </xf>
    <xf numFmtId="20" fontId="55" fillId="20" borderId="0" xfId="1" applyNumberFormat="1" applyFont="1" applyFill="1" applyAlignment="1">
      <alignment horizontal="center" vertical="center" wrapText="1"/>
    </xf>
    <xf numFmtId="0" fontId="1" fillId="20" borderId="0" xfId="1" applyNumberFormat="1" applyFont="1" applyFill="1" applyAlignment="1">
      <alignment horizontal="center" vertical="center" wrapText="1"/>
    </xf>
    <xf numFmtId="0" fontId="1" fillId="20" borderId="0" xfId="1" applyFont="1" applyFill="1" applyAlignment="1">
      <alignment horizontal="center" vertical="center" wrapText="1"/>
    </xf>
    <xf numFmtId="0" fontId="58" fillId="20" borderId="11" xfId="1" applyFont="1" applyFill="1" applyBorder="1" applyAlignment="1">
      <alignment horizontal="center" vertical="center" wrapText="1"/>
    </xf>
    <xf numFmtId="20" fontId="59" fillId="20" borderId="4" xfId="1" applyNumberFormat="1" applyFont="1" applyFill="1" applyBorder="1" applyAlignment="1">
      <alignment horizontal="center" vertical="center" wrapText="1"/>
    </xf>
    <xf numFmtId="20" fontId="50" fillId="20" borderId="0" xfId="1" applyNumberFormat="1" applyFont="1" applyFill="1" applyBorder="1" applyAlignment="1">
      <alignment horizontal="center" vertical="center" wrapText="1"/>
    </xf>
    <xf numFmtId="0" fontId="65" fillId="20" borderId="4" xfId="1" applyFont="1" applyFill="1" applyBorder="1" applyAlignment="1">
      <alignment horizontal="center" vertical="center" wrapText="1"/>
    </xf>
    <xf numFmtId="0" fontId="66" fillId="20" borderId="4" xfId="1" applyFont="1" applyFill="1" applyBorder="1" applyAlignment="1">
      <alignment horizontal="center" vertical="center" wrapText="1"/>
    </xf>
    <xf numFmtId="0" fontId="67" fillId="20" borderId="4" xfId="1" applyFont="1" applyFill="1" applyBorder="1" applyAlignment="1">
      <alignment horizontal="center" vertical="center" wrapText="1"/>
    </xf>
    <xf numFmtId="0" fontId="56" fillId="20" borderId="1" xfId="1" applyNumberFormat="1" applyFont="1" applyFill="1" applyBorder="1" applyAlignment="1">
      <alignment horizontal="center" vertical="center" wrapText="1"/>
    </xf>
    <xf numFmtId="49" fontId="56" fillId="20" borderId="11" xfId="1" applyNumberFormat="1" applyFont="1" applyFill="1" applyBorder="1" applyAlignment="1">
      <alignment horizontal="center" vertical="center" wrapText="1"/>
    </xf>
    <xf numFmtId="20" fontId="59" fillId="20" borderId="11" xfId="1" applyNumberFormat="1" applyFont="1" applyFill="1" applyBorder="1" applyAlignment="1">
      <alignment horizontal="center" vertical="center" wrapText="1"/>
    </xf>
    <xf numFmtId="0" fontId="68" fillId="20" borderId="4" xfId="1" applyFont="1" applyFill="1" applyBorder="1" applyAlignment="1">
      <alignment horizontal="center" vertical="center" wrapText="1"/>
    </xf>
    <xf numFmtId="0" fontId="65" fillId="20" borderId="2" xfId="1" applyFont="1" applyFill="1" applyBorder="1" applyAlignment="1">
      <alignment horizontal="center" vertical="center" wrapText="1"/>
    </xf>
    <xf numFmtId="20" fontId="46" fillId="20" borderId="10" xfId="1" applyNumberFormat="1" applyFont="1" applyFill="1" applyBorder="1" applyAlignment="1">
      <alignment horizontal="center" vertical="center" wrapText="1"/>
    </xf>
    <xf numFmtId="0" fontId="48" fillId="20" borderId="1" xfId="1" applyFont="1" applyFill="1" applyBorder="1" applyAlignment="1">
      <alignment horizontal="center" vertical="center" wrapText="1"/>
    </xf>
    <xf numFmtId="20" fontId="46" fillId="20" borderId="0" xfId="1" applyNumberFormat="1" applyFont="1" applyFill="1" applyAlignment="1">
      <alignment horizontal="center" wrapText="1"/>
    </xf>
    <xf numFmtId="0" fontId="54" fillId="20" borderId="0" xfId="1" applyFont="1" applyFill="1" applyAlignment="1">
      <alignment wrapText="1"/>
    </xf>
    <xf numFmtId="0" fontId="63" fillId="20" borderId="0" xfId="1" applyFill="1" applyAlignment="1">
      <alignment wrapText="1"/>
    </xf>
    <xf numFmtId="0" fontId="36" fillId="21" borderId="1" xfId="0" applyFont="1" applyFill="1" applyBorder="1" applyAlignment="1">
      <alignment horizontal="center" vertical="justify" textRotation="90" wrapText="1"/>
    </xf>
    <xf numFmtId="0" fontId="44" fillId="21" borderId="6" xfId="0" applyFont="1" applyFill="1" applyBorder="1" applyAlignment="1">
      <alignment horizontal="center" vertical="justify"/>
    </xf>
    <xf numFmtId="0" fontId="37" fillId="21" borderId="1" xfId="0" applyFont="1" applyFill="1" applyBorder="1" applyAlignment="1">
      <alignment horizontal="center" vertical="center"/>
    </xf>
    <xf numFmtId="164" fontId="37" fillId="21" borderId="6" xfId="0" applyNumberFormat="1" applyFont="1" applyFill="1" applyBorder="1" applyAlignment="1">
      <alignment horizontal="center" vertical="center"/>
    </xf>
    <xf numFmtId="0" fontId="36" fillId="21" borderId="7" xfId="0" applyFont="1" applyFill="1" applyBorder="1" applyAlignment="1">
      <alignment horizontal="center" vertical="center"/>
    </xf>
    <xf numFmtId="1" fontId="36" fillId="21" borderId="8" xfId="0" applyNumberFormat="1" applyFont="1" applyFill="1" applyBorder="1" applyAlignment="1">
      <alignment horizontal="center" vertical="center"/>
    </xf>
    <xf numFmtId="165" fontId="37" fillId="21" borderId="6" xfId="0" applyNumberFormat="1" applyFont="1" applyFill="1" applyBorder="1" applyAlignment="1">
      <alignment horizontal="center" vertical="center"/>
    </xf>
    <xf numFmtId="20" fontId="37" fillId="21" borderId="4" xfId="0" applyNumberFormat="1" applyFont="1" applyFill="1" applyBorder="1" applyAlignment="1">
      <alignment horizontal="center" vertical="center"/>
    </xf>
    <xf numFmtId="0" fontId="37" fillId="21" borderId="3" xfId="0" applyFont="1" applyFill="1" applyBorder="1" applyAlignment="1">
      <alignment horizontal="center" vertical="center"/>
    </xf>
    <xf numFmtId="1" fontId="2" fillId="21" borderId="1" xfId="0" applyNumberFormat="1" applyFont="1" applyFill="1" applyBorder="1" applyAlignment="1">
      <alignment horizontal="center" vertical="center"/>
    </xf>
    <xf numFmtId="1" fontId="35" fillId="21" borderId="0" xfId="0" applyNumberFormat="1" applyFont="1" applyFill="1" applyAlignment="1">
      <alignment horizontal="center" vertical="center"/>
    </xf>
    <xf numFmtId="0" fontId="28" fillId="21" borderId="0" xfId="0" applyFont="1" applyFill="1" applyAlignment="1">
      <alignment horizontal="center" vertical="center"/>
    </xf>
    <xf numFmtId="1" fontId="28" fillId="21" borderId="0" xfId="0" applyNumberFormat="1" applyFont="1" applyFill="1" applyAlignment="1">
      <alignment horizontal="center" vertical="center"/>
    </xf>
    <xf numFmtId="0" fontId="0" fillId="21" borderId="14" xfId="0" applyFill="1" applyBorder="1" applyAlignment="1">
      <alignment horizontal="center" vertical="center"/>
    </xf>
    <xf numFmtId="0" fontId="0" fillId="21" borderId="17" xfId="0" applyFill="1" applyBorder="1"/>
    <xf numFmtId="0" fontId="36" fillId="22" borderId="1" xfId="0" applyFont="1" applyFill="1" applyBorder="1" applyAlignment="1">
      <alignment horizontal="center" vertical="justify" textRotation="90" wrapText="1"/>
    </xf>
    <xf numFmtId="0" fontId="37" fillId="22" borderId="1" xfId="0" applyFont="1" applyFill="1" applyBorder="1" applyAlignment="1">
      <alignment horizontal="center" vertical="center"/>
    </xf>
    <xf numFmtId="164" fontId="37" fillId="22" borderId="6" xfId="0" applyNumberFormat="1" applyFont="1" applyFill="1" applyBorder="1" applyAlignment="1">
      <alignment horizontal="center" vertical="center"/>
    </xf>
    <xf numFmtId="0" fontId="36" fillId="22" borderId="4" xfId="0" applyFont="1" applyFill="1" applyBorder="1" applyAlignment="1">
      <alignment horizontal="center" vertical="center"/>
    </xf>
    <xf numFmtId="20" fontId="37" fillId="22" borderId="1" xfId="0" applyNumberFormat="1" applyFont="1" applyFill="1" applyBorder="1" applyAlignment="1">
      <alignment horizontal="center" vertical="center"/>
    </xf>
    <xf numFmtId="1" fontId="36" fillId="22" borderId="6" xfId="0" applyNumberFormat="1" applyFont="1" applyFill="1" applyBorder="1" applyAlignment="1">
      <alignment horizontal="center" vertical="center"/>
    </xf>
    <xf numFmtId="49" fontId="36" fillId="0" borderId="8" xfId="0" applyNumberFormat="1" applyFont="1" applyFill="1" applyBorder="1" applyAlignment="1">
      <alignment horizontal="center" vertical="center"/>
    </xf>
    <xf numFmtId="0" fontId="64" fillId="0" borderId="11" xfId="1" applyNumberFormat="1" applyFont="1" applyBorder="1" applyAlignment="1">
      <alignment horizontal="center" vertical="top"/>
    </xf>
    <xf numFmtId="0" fontId="64" fillId="0" borderId="2" xfId="1" applyNumberFormat="1" applyFont="1" applyBorder="1" applyAlignment="1">
      <alignment horizontal="center" vertical="top"/>
    </xf>
    <xf numFmtId="0" fontId="64" fillId="0" borderId="11" xfId="1" applyNumberFormat="1" applyFont="1" applyBorder="1" applyAlignment="1">
      <alignment horizontal="center" vertical="center" wrapText="1"/>
    </xf>
    <xf numFmtId="0" fontId="64" fillId="0" borderId="2" xfId="1" applyNumberFormat="1" applyFont="1" applyBorder="1" applyAlignment="1">
      <alignment horizontal="center" vertical="center" wrapText="1"/>
    </xf>
    <xf numFmtId="0" fontId="64" fillId="0" borderId="11" xfId="0" applyFont="1" applyBorder="1" applyAlignment="1">
      <alignment horizontal="center" vertical="center" wrapText="1"/>
    </xf>
    <xf numFmtId="0" fontId="64" fillId="0" borderId="2" xfId="0" applyFont="1" applyBorder="1" applyAlignment="1">
      <alignment horizontal="center" vertical="center" wrapText="1"/>
    </xf>
    <xf numFmtId="0" fontId="64" fillId="20" borderId="11" xfId="1" applyNumberFormat="1" applyFont="1" applyFill="1" applyBorder="1" applyAlignment="1">
      <alignment horizontal="center" vertical="center" wrapText="1"/>
    </xf>
    <xf numFmtId="0" fontId="64" fillId="20" borderId="2" xfId="1" applyNumberFormat="1" applyFont="1" applyFill="1" applyBorder="1" applyAlignment="1">
      <alignment horizontal="center" vertical="center" wrapText="1"/>
    </xf>
    <xf numFmtId="0" fontId="64" fillId="20" borderId="11" xfId="0" applyFont="1" applyFill="1" applyBorder="1" applyAlignment="1">
      <alignment horizontal="center" vertical="center" wrapText="1"/>
    </xf>
    <xf numFmtId="0" fontId="64" fillId="20" borderId="2" xfId="0" applyFont="1" applyFill="1" applyBorder="1" applyAlignment="1">
      <alignment horizontal="center" vertical="center" wrapText="1"/>
    </xf>
  </cellXfs>
  <cellStyles count="106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Normal" xfId="0" builtinId="0"/>
    <cellStyle name="Normal 2" xfId="1"/>
  </cellStyles>
  <dxfs count="6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37" Type="http://schemas.openxmlformats.org/officeDocument/2006/relationships/styles" Target="styles.xml"/><Relationship Id="rId38" Type="http://schemas.openxmlformats.org/officeDocument/2006/relationships/sharedStrings" Target="sharedStrings.xml"/><Relationship Id="rId3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1</xdr:row>
      <xdr:rowOff>0</xdr:rowOff>
    </xdr:from>
    <xdr:to>
      <xdr:col>7</xdr:col>
      <xdr:colOff>3365500</xdr:colOff>
      <xdr:row>2</xdr:row>
      <xdr:rowOff>25400</xdr:rowOff>
    </xdr:to>
    <xdr:pic>
      <xdr:nvPicPr>
        <xdr:cNvPr id="14808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0</xdr:colOff>
      <xdr:row>2</xdr:row>
      <xdr:rowOff>25400</xdr:rowOff>
    </xdr:to>
    <xdr:pic>
      <xdr:nvPicPr>
        <xdr:cNvPr id="14808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0</xdr:colOff>
      <xdr:row>2</xdr:row>
      <xdr:rowOff>25400</xdr:rowOff>
    </xdr:to>
    <xdr:pic>
      <xdr:nvPicPr>
        <xdr:cNvPr id="148083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1</xdr:row>
      <xdr:rowOff>0</xdr:rowOff>
    </xdr:from>
    <xdr:to>
      <xdr:col>7</xdr:col>
      <xdr:colOff>723900</xdr:colOff>
      <xdr:row>2</xdr:row>
      <xdr:rowOff>25400</xdr:rowOff>
    </xdr:to>
    <xdr:pic>
      <xdr:nvPicPr>
        <xdr:cNvPr id="148084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1</xdr:row>
      <xdr:rowOff>0</xdr:rowOff>
    </xdr:from>
    <xdr:to>
      <xdr:col>1</xdr:col>
      <xdr:colOff>3276600</xdr:colOff>
      <xdr:row>2</xdr:row>
      <xdr:rowOff>25400</xdr:rowOff>
    </xdr:to>
    <xdr:pic>
      <xdr:nvPicPr>
        <xdr:cNvPr id="14808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1</xdr:row>
      <xdr:rowOff>0</xdr:rowOff>
    </xdr:from>
    <xdr:to>
      <xdr:col>4</xdr:col>
      <xdr:colOff>3479800</xdr:colOff>
      <xdr:row>2</xdr:row>
      <xdr:rowOff>25400</xdr:rowOff>
    </xdr:to>
    <xdr:pic>
      <xdr:nvPicPr>
        <xdr:cNvPr id="14808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1</xdr:row>
      <xdr:rowOff>0</xdr:rowOff>
    </xdr:from>
    <xdr:to>
      <xdr:col>10</xdr:col>
      <xdr:colOff>3594100</xdr:colOff>
      <xdr:row>2</xdr:row>
      <xdr:rowOff>25400</xdr:rowOff>
    </xdr:to>
    <xdr:pic>
      <xdr:nvPicPr>
        <xdr:cNvPr id="14808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0</xdr:colOff>
      <xdr:row>2</xdr:row>
      <xdr:rowOff>25400</xdr:rowOff>
    </xdr:to>
    <xdr:pic>
      <xdr:nvPicPr>
        <xdr:cNvPr id="14808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5368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536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369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5369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5369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536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5369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369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1864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1864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18643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18644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1864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1864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1864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1864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1964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1965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1965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1965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196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196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1965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1965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06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067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067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067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067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067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067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068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168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16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169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169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169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16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169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169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27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27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271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271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271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271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271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272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372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373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373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373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373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373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373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37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473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473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4739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4740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474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474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474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474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57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57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575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575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575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575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575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57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677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677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6779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6780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678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678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678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678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779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77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779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779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779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779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779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780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880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880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8803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8804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880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880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880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880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2980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2981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981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2981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298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298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2981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2981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082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082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0827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0828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082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083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083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083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184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185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185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185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18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18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185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185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28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287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287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287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287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287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287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288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388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38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389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389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389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38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389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389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489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489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4899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4900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490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490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490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490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59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591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591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591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591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591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591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592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693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693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6939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6940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694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694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694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694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79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79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795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795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795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795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795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79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896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897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897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897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89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897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897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897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3998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3998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9987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39988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3998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399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3999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3999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100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100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1003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1004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100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100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100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100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202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202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2027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2028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202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203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203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203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864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865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865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865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865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865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865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865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96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967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967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967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967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967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967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968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5069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5069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0699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50700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5070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5070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5070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070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5172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5172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1723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51724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5172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5172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5172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172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5274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5274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2747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52748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5274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5275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52751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52752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607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607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6075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6076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6077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607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607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608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0</xdr:rowOff>
    </xdr:from>
    <xdr:to>
      <xdr:col>7</xdr:col>
      <xdr:colOff>3365500</xdr:colOff>
      <xdr:row>1</xdr:row>
      <xdr:rowOff>25400</xdr:rowOff>
    </xdr:to>
    <xdr:pic>
      <xdr:nvPicPr>
        <xdr:cNvPr id="147089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0</xdr:colOff>
      <xdr:row>1</xdr:row>
      <xdr:rowOff>25400</xdr:rowOff>
    </xdr:to>
    <xdr:pic>
      <xdr:nvPicPr>
        <xdr:cNvPr id="14709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202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7091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723900</xdr:colOff>
      <xdr:row>0</xdr:row>
      <xdr:rowOff>0</xdr:rowOff>
    </xdr:from>
    <xdr:to>
      <xdr:col>7</xdr:col>
      <xdr:colOff>723900</xdr:colOff>
      <xdr:row>1</xdr:row>
      <xdr:rowOff>25400</xdr:rowOff>
    </xdr:to>
    <xdr:pic>
      <xdr:nvPicPr>
        <xdr:cNvPr id="147092" name="Picture 14" descr="clip_image00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140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863600</xdr:colOff>
      <xdr:row>0</xdr:row>
      <xdr:rowOff>0</xdr:rowOff>
    </xdr:from>
    <xdr:to>
      <xdr:col>1</xdr:col>
      <xdr:colOff>3276600</xdr:colOff>
      <xdr:row>1</xdr:row>
      <xdr:rowOff>25400</xdr:rowOff>
    </xdr:to>
    <xdr:pic>
      <xdr:nvPicPr>
        <xdr:cNvPr id="14709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1066800</xdr:colOff>
      <xdr:row>0</xdr:row>
      <xdr:rowOff>0</xdr:rowOff>
    </xdr:from>
    <xdr:to>
      <xdr:col>4</xdr:col>
      <xdr:colOff>3479800</xdr:colOff>
      <xdr:row>1</xdr:row>
      <xdr:rowOff>25400</xdr:rowOff>
    </xdr:to>
    <xdr:pic>
      <xdr:nvPicPr>
        <xdr:cNvPr id="1470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71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1181100</xdr:colOff>
      <xdr:row>0</xdr:row>
      <xdr:rowOff>0</xdr:rowOff>
    </xdr:from>
    <xdr:to>
      <xdr:col>10</xdr:col>
      <xdr:colOff>3594100</xdr:colOff>
      <xdr:row>1</xdr:row>
      <xdr:rowOff>25400</xdr:rowOff>
    </xdr:to>
    <xdr:pic>
      <xdr:nvPicPr>
        <xdr:cNvPr id="147095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0"/>
          <a:ext cx="241300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</xdr:row>
      <xdr:rowOff>25400</xdr:rowOff>
    </xdr:to>
    <xdr:pic>
      <xdr:nvPicPr>
        <xdr:cNvPr id="14709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B38" sqref="B38"/>
    </sheetView>
  </sheetViews>
  <sheetFormatPr baseColWidth="10" defaultRowHeight="13" x14ac:dyDescent="0"/>
  <cols>
    <col min="1" max="1" width="12.5703125" style="212" customWidth="1"/>
    <col min="2" max="2" width="175.28515625" customWidth="1"/>
  </cols>
  <sheetData>
    <row r="1" spans="1:2">
      <c r="A1" s="216" t="s">
        <v>39</v>
      </c>
      <c r="B1" s="216" t="s">
        <v>40</v>
      </c>
    </row>
    <row r="3" spans="1:2">
      <c r="A3" s="212" t="s">
        <v>57</v>
      </c>
      <c r="B3" t="s">
        <v>41</v>
      </c>
    </row>
    <row r="5" spans="1:2">
      <c r="A5" s="212" t="s">
        <v>35</v>
      </c>
      <c r="B5" t="s">
        <v>58</v>
      </c>
    </row>
    <row r="7" spans="1:2">
      <c r="B7" t="s">
        <v>27</v>
      </c>
    </row>
    <row r="9" spans="1:2">
      <c r="B9" t="s">
        <v>28</v>
      </c>
    </row>
    <row r="10" spans="1:2">
      <c r="B10" t="s">
        <v>42</v>
      </c>
    </row>
    <row r="13" spans="1:2">
      <c r="A13" s="212" t="s">
        <v>36</v>
      </c>
      <c r="B13" t="s">
        <v>30</v>
      </c>
    </row>
    <row r="14" spans="1:2">
      <c r="A14" s="212" t="s">
        <v>37</v>
      </c>
      <c r="B14" s="213" t="s">
        <v>29</v>
      </c>
    </row>
    <row r="15" spans="1:2">
      <c r="A15" s="212" t="s">
        <v>38</v>
      </c>
    </row>
    <row r="16" spans="1:2">
      <c r="B16" s="214" t="s">
        <v>31</v>
      </c>
    </row>
    <row r="17" spans="2:2">
      <c r="B17" t="s">
        <v>33</v>
      </c>
    </row>
    <row r="18" spans="2:2">
      <c r="B18" t="s">
        <v>85</v>
      </c>
    </row>
    <row r="19" spans="2:2">
      <c r="B19" t="s">
        <v>32</v>
      </c>
    </row>
    <row r="21" spans="2:2" ht="26">
      <c r="B21" s="215" t="s">
        <v>86</v>
      </c>
    </row>
    <row r="23" spans="2:2">
      <c r="B23" s="214" t="s">
        <v>87</v>
      </c>
    </row>
    <row r="24" spans="2:2">
      <c r="B24" t="s">
        <v>88</v>
      </c>
    </row>
    <row r="25" spans="2:2">
      <c r="B25" t="s">
        <v>89</v>
      </c>
    </row>
    <row r="26" spans="2:2">
      <c r="B26" t="s">
        <v>90</v>
      </c>
    </row>
    <row r="27" spans="2:2" ht="26">
      <c r="B27" s="215" t="s">
        <v>34</v>
      </c>
    </row>
    <row r="30" spans="2:2">
      <c r="B30" s="217" t="s">
        <v>43</v>
      </c>
    </row>
    <row r="31" spans="2:2">
      <c r="B31" t="s">
        <v>112</v>
      </c>
    </row>
    <row r="32" spans="2:2">
      <c r="B32" t="s">
        <v>113</v>
      </c>
    </row>
    <row r="34" spans="2:2">
      <c r="B34" t="s">
        <v>114</v>
      </c>
    </row>
  </sheetData>
  <phoneticPr fontId="5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15" workbookViewId="0">
      <selection activeCell="H37" sqref="H37"/>
    </sheetView>
  </sheetViews>
  <sheetFormatPr baseColWidth="10" defaultRowHeight="17" x14ac:dyDescent="0"/>
  <cols>
    <col min="1" max="1" width="8.7109375" style="141" customWidth="1"/>
    <col min="2" max="2" width="50" style="142" customWidth="1"/>
    <col min="3" max="3" width="2.42578125" style="142" customWidth="1"/>
    <col min="4" max="4" width="8.7109375" style="141" customWidth="1"/>
    <col min="5" max="5" width="50" style="142" customWidth="1"/>
    <col min="6" max="6" width="3.5703125" style="142" customWidth="1"/>
    <col min="7" max="7" width="8.7109375" style="141" customWidth="1"/>
    <col min="8" max="8" width="50" style="142" customWidth="1"/>
    <col min="9" max="9" width="3.5703125" style="142" customWidth="1"/>
    <col min="10" max="10" width="8.42578125" style="142" customWidth="1"/>
    <col min="11" max="11" width="49.7109375" style="142" customWidth="1"/>
    <col min="12" max="12" width="2.7109375" style="142" customWidth="1"/>
    <col min="13" max="16384" width="10.7109375" style="142"/>
  </cols>
  <sheetData>
    <row r="1" spans="1:11" ht="87" hidden="1" customHeight="1">
      <c r="B1" s="197"/>
      <c r="E1" s="197"/>
      <c r="F1" s="197"/>
      <c r="G1" s="197"/>
      <c r="H1" s="197"/>
      <c r="I1" s="197"/>
      <c r="J1" s="197"/>
      <c r="K1" s="197"/>
    </row>
    <row r="2" spans="1:11" s="113" customFormat="1" ht="36" customHeight="1">
      <c r="A2" s="111"/>
      <c r="B2" s="112"/>
      <c r="D2" s="111"/>
      <c r="E2" s="112"/>
      <c r="G2" s="111"/>
      <c r="H2" s="112"/>
      <c r="J2" s="111"/>
      <c r="K2" s="112"/>
    </row>
    <row r="3" spans="1:11" s="113" customFormat="1" ht="22" customHeight="1">
      <c r="A3" s="111"/>
      <c r="D3" s="111"/>
      <c r="G3" s="111"/>
      <c r="J3" s="111"/>
    </row>
    <row r="4" spans="1:11" s="113" customFormat="1" ht="24.75" customHeight="1" thickBot="1">
      <c r="A4" s="111"/>
      <c r="B4" s="114" t="s">
        <v>45</v>
      </c>
      <c r="D4" s="111"/>
      <c r="E4" s="114" t="s">
        <v>45</v>
      </c>
      <c r="G4" s="111"/>
      <c r="H4" s="114" t="s">
        <v>45</v>
      </c>
      <c r="J4" s="111"/>
      <c r="K4" s="114" t="s">
        <v>45</v>
      </c>
    </row>
    <row r="5" spans="1:11" s="113" customFormat="1" ht="13" customHeight="1" thickTop="1">
      <c r="A5" s="111"/>
      <c r="B5" s="115"/>
      <c r="D5" s="111"/>
      <c r="E5" s="115"/>
      <c r="G5" s="111"/>
      <c r="H5" s="115"/>
      <c r="J5" s="111"/>
      <c r="K5" s="115"/>
    </row>
    <row r="6" spans="1:11" s="113" customFormat="1" ht="24.75" customHeight="1">
      <c r="B6" s="116" t="s">
        <v>72</v>
      </c>
      <c r="D6" s="111"/>
      <c r="E6" s="116" t="s">
        <v>73</v>
      </c>
      <c r="G6" s="111"/>
      <c r="H6" s="116" t="s">
        <v>74</v>
      </c>
      <c r="J6" s="111"/>
      <c r="K6" s="116" t="s">
        <v>75</v>
      </c>
    </row>
    <row r="7" spans="1:11" s="113" customFormat="1" ht="13" customHeight="1">
      <c r="A7" s="111"/>
      <c r="B7" s="117"/>
      <c r="D7" s="111"/>
      <c r="E7" s="117"/>
      <c r="G7" s="111"/>
      <c r="H7" s="117"/>
      <c r="J7" s="111"/>
      <c r="K7" s="117"/>
    </row>
    <row r="8" spans="1:11" s="113" customFormat="1" ht="24.75" customHeight="1">
      <c r="A8" s="111">
        <v>0.375</v>
      </c>
      <c r="B8" s="312">
        <v>1</v>
      </c>
      <c r="D8" s="111">
        <v>0.375</v>
      </c>
      <c r="E8" s="312">
        <v>11</v>
      </c>
      <c r="G8" s="111">
        <v>0.375</v>
      </c>
      <c r="H8" s="312">
        <v>21</v>
      </c>
      <c r="J8" s="111">
        <v>0.375</v>
      </c>
      <c r="K8" s="312">
        <v>31</v>
      </c>
    </row>
    <row r="9" spans="1:11" s="113" customFormat="1" ht="24.75" customHeight="1">
      <c r="A9" s="111"/>
      <c r="B9" s="313" t="str">
        <f>IFERROR(INDEX([0]!BASE,MATCH(11,NEGRIN,0),1),"-")</f>
        <v>-</v>
      </c>
      <c r="D9" s="111"/>
      <c r="E9" s="313" t="str">
        <f>IFERROR(INDEX([0]!BASE,MATCH(11,NEGRIN,0),1),"-")</f>
        <v>-</v>
      </c>
      <c r="G9" s="111"/>
      <c r="H9" s="313" t="str">
        <f>IFERROR(INDEX([0]!BASE,MATCH(11,NEGRIN,0),1),"-")</f>
        <v>-</v>
      </c>
      <c r="J9" s="111"/>
      <c r="K9" s="313" t="str">
        <f>IFERROR(INDEX([0]!BASE,MATCH(11,NEGRIN,0),1),"-")</f>
        <v>-</v>
      </c>
    </row>
    <row r="10" spans="1:11" s="113" customFormat="1" ht="24.75" customHeight="1">
      <c r="A10" s="111">
        <v>0.40625</v>
      </c>
      <c r="B10" s="312">
        <v>2</v>
      </c>
      <c r="D10" s="111">
        <v>0.40625</v>
      </c>
      <c r="E10" s="312">
        <v>12</v>
      </c>
      <c r="G10" s="111">
        <v>0.40625</v>
      </c>
      <c r="H10" s="312">
        <v>22</v>
      </c>
      <c r="J10" s="111">
        <v>0.40625</v>
      </c>
      <c r="K10" s="312">
        <v>32</v>
      </c>
    </row>
    <row r="11" spans="1:11" s="113" customFormat="1" ht="24.75" customHeight="1">
      <c r="A11" s="111"/>
      <c r="B11" s="313" t="str">
        <f>IFERROR(INDEX([0]!BASE,MATCH(11,NEGRIN,0),1),"-")</f>
        <v>-</v>
      </c>
      <c r="D11" s="111"/>
      <c r="E11" s="313" t="str">
        <f>IFERROR(INDEX([0]!BASE,MATCH(11,NEGRIN,0),1),"-")</f>
        <v>-</v>
      </c>
      <c r="G11" s="111"/>
      <c r="H11" s="313" t="str">
        <f>IFERROR(INDEX([0]!BASE,MATCH(11,NEGRIN,0),1),"-")</f>
        <v>-</v>
      </c>
      <c r="J11" s="111"/>
      <c r="K11" s="313" t="str">
        <f>IFERROR(INDEX([0]!BASE,MATCH(11,NEGRIN,0),1),"-")</f>
        <v>-</v>
      </c>
    </row>
    <row r="12" spans="1:11" s="113" customFormat="1" ht="24.75" customHeight="1">
      <c r="A12" s="118">
        <v>0.4375</v>
      </c>
      <c r="B12" s="312">
        <v>3</v>
      </c>
      <c r="D12" s="118">
        <v>0.4375</v>
      </c>
      <c r="E12" s="312">
        <v>13</v>
      </c>
      <c r="G12" s="118">
        <v>0.4375</v>
      </c>
      <c r="H12" s="312">
        <v>23</v>
      </c>
      <c r="J12" s="118">
        <v>0.4375</v>
      </c>
      <c r="K12" s="312">
        <v>33</v>
      </c>
    </row>
    <row r="13" spans="1:11" s="113" customFormat="1" ht="24.75" customHeight="1">
      <c r="A13" s="119"/>
      <c r="B13" s="313" t="str">
        <f>IFERROR(INDEX([0]!BASE,MATCH(11,NEGRIN,0),1),"-")</f>
        <v>-</v>
      </c>
      <c r="D13" s="119"/>
      <c r="E13" s="313" t="str">
        <f>IFERROR(INDEX([0]!BASE,MATCH(11,NEGRIN,0),1),"-")</f>
        <v>-</v>
      </c>
      <c r="G13" s="119"/>
      <c r="H13" s="313" t="str">
        <f>IFERROR(INDEX([0]!BASE,MATCH(11,NEGRIN,0),1),"-")</f>
        <v>-</v>
      </c>
      <c r="J13" s="119"/>
      <c r="K13" s="313" t="str">
        <f>IFERROR(INDEX([0]!BASE,MATCH(11,NEGRIN,0),1),"-")</f>
        <v>-</v>
      </c>
    </row>
    <row r="14" spans="1:11" s="113" customFormat="1" ht="24.75" customHeight="1">
      <c r="A14" s="120">
        <v>0.46875</v>
      </c>
      <c r="B14" s="143" t="s">
        <v>8</v>
      </c>
      <c r="D14" s="120">
        <v>0.46875</v>
      </c>
      <c r="E14" s="143" t="s">
        <v>8</v>
      </c>
      <c r="G14" s="120">
        <v>0.46875</v>
      </c>
      <c r="H14" s="143" t="s">
        <v>8</v>
      </c>
      <c r="K14" s="143" t="s">
        <v>8</v>
      </c>
    </row>
    <row r="15" spans="1:11" s="113" customFormat="1" ht="24.75" customHeight="1">
      <c r="A15" s="118">
        <v>0.47916666666666702</v>
      </c>
      <c r="B15" s="312">
        <v>4</v>
      </c>
      <c r="D15" s="118">
        <v>0.47916666666666702</v>
      </c>
      <c r="E15" s="312">
        <v>14</v>
      </c>
      <c r="G15" s="118">
        <v>0.47916666666666702</v>
      </c>
      <c r="H15" s="312">
        <v>24</v>
      </c>
      <c r="J15" s="200">
        <v>0.46875</v>
      </c>
      <c r="K15" s="312">
        <v>34</v>
      </c>
    </row>
    <row r="16" spans="1:11" s="113" customFormat="1" ht="24.75" customHeight="1">
      <c r="A16" s="111"/>
      <c r="B16" s="313" t="str">
        <f>IFERROR(INDEX([0]!BASE,MATCH(11,NEGRIN,0),1),"-")</f>
        <v>-</v>
      </c>
      <c r="D16" s="111"/>
      <c r="E16" s="313" t="str">
        <f>IFERROR(INDEX([0]!BASE,MATCH(11,NEGRIN,0),1),"-")</f>
        <v>-</v>
      </c>
      <c r="G16" s="111"/>
      <c r="H16" s="313" t="str">
        <f>IFERROR(INDEX([0]!BASE,MATCH(11,NEGRIN,0),1),"-")</f>
        <v>-</v>
      </c>
      <c r="J16" s="111"/>
      <c r="K16" s="313" t="str">
        <f>IFERROR(INDEX([0]!BASE,MATCH(11,NEGRIN,0),1),"-")</f>
        <v>-</v>
      </c>
    </row>
    <row r="17" spans="1:11" s="113" customFormat="1" ht="24.75" customHeight="1">
      <c r="A17" s="111">
        <v>0.51041666666666696</v>
      </c>
      <c r="B17" s="312">
        <v>5</v>
      </c>
      <c r="D17" s="111">
        <v>0.51041666666666696</v>
      </c>
      <c r="E17" s="312">
        <v>15</v>
      </c>
      <c r="G17" s="111">
        <v>0.51041666666666696</v>
      </c>
      <c r="H17" s="312">
        <v>25</v>
      </c>
      <c r="J17" s="201">
        <v>0.5</v>
      </c>
      <c r="K17" s="312">
        <v>35</v>
      </c>
    </row>
    <row r="18" spans="1:11" s="113" customFormat="1" ht="24.75" customHeight="1">
      <c r="A18" s="111"/>
      <c r="B18" s="313" t="str">
        <f>IFERROR(INDEX([0]!BASE,MATCH(11,NEGRIN,0),1),"-")</f>
        <v>-</v>
      </c>
      <c r="D18" s="111"/>
      <c r="E18" s="313" t="str">
        <f>IFERROR(INDEX([0]!BASE,MATCH(11,NEGRIN,0),1),"-")</f>
        <v>-</v>
      </c>
      <c r="G18" s="111"/>
      <c r="H18" s="313" t="str">
        <f>IFERROR(INDEX([0]!BASE,MATCH(11,NEGRIN,0),1),"-")</f>
        <v>-</v>
      </c>
      <c r="J18" s="111"/>
      <c r="K18" s="313" t="str">
        <f>IFERROR(INDEX([0]!BASE,MATCH(11,NEGRIN,0),1),"-")</f>
        <v>-</v>
      </c>
    </row>
    <row r="19" spans="1:11" s="123" customFormat="1" ht="24.75" customHeight="1">
      <c r="A19" s="111">
        <v>0.54166666666666663</v>
      </c>
      <c r="B19" s="144"/>
      <c r="C19" s="121"/>
      <c r="D19" s="111">
        <v>0.54166666666666663</v>
      </c>
      <c r="E19" s="144"/>
      <c r="F19" s="121"/>
      <c r="G19" s="121">
        <v>0.54166666666666663</v>
      </c>
      <c r="H19" s="145" t="s">
        <v>136</v>
      </c>
      <c r="I19" s="121"/>
      <c r="J19" s="121">
        <v>0.53125</v>
      </c>
      <c r="K19" s="122" t="s">
        <v>136</v>
      </c>
    </row>
    <row r="20" spans="1:11" s="113" customFormat="1" ht="45" customHeight="1" thickBot="1">
      <c r="A20" s="117"/>
      <c r="B20" s="144"/>
      <c r="D20" s="111"/>
      <c r="E20" s="144"/>
      <c r="G20" s="111"/>
      <c r="H20" s="124" t="s">
        <v>168</v>
      </c>
      <c r="J20" s="111"/>
      <c r="K20" s="124" t="s">
        <v>167</v>
      </c>
    </row>
    <row r="21" spans="1:11" s="113" customFormat="1" ht="7.5" customHeight="1" thickTop="1">
      <c r="A21" s="111"/>
      <c r="B21" s="144"/>
      <c r="D21" s="111"/>
      <c r="E21" s="144"/>
      <c r="G21" s="111"/>
      <c r="H21" s="144"/>
      <c r="J21" s="111"/>
      <c r="K21" s="117"/>
    </row>
    <row r="22" spans="1:11" s="113" customFormat="1" ht="24.75" customHeight="1">
      <c r="A22" s="125">
        <v>0.5625</v>
      </c>
      <c r="B22" s="147" t="s">
        <v>5</v>
      </c>
      <c r="D22" s="125">
        <v>0.5625</v>
      </c>
      <c r="E22" s="147" t="s">
        <v>5</v>
      </c>
      <c r="G22" s="125">
        <v>0.5625</v>
      </c>
      <c r="H22" s="147" t="s">
        <v>5</v>
      </c>
      <c r="J22" s="125">
        <v>0.5625</v>
      </c>
      <c r="K22" s="126" t="s">
        <v>5</v>
      </c>
    </row>
    <row r="23" spans="1:11" s="113" customFormat="1" ht="10.5" customHeight="1">
      <c r="A23" s="111"/>
      <c r="B23" s="144"/>
      <c r="D23" s="111"/>
      <c r="E23" s="144"/>
      <c r="G23" s="111"/>
      <c r="H23" s="144"/>
      <c r="J23" s="111"/>
      <c r="K23" s="117"/>
    </row>
    <row r="24" spans="1:11" s="113" customFormat="1" ht="24.75" customHeight="1">
      <c r="A24" s="118">
        <v>0.60416666666666663</v>
      </c>
      <c r="B24" s="312">
        <v>6</v>
      </c>
      <c r="D24" s="118">
        <v>0.61458333333333304</v>
      </c>
      <c r="E24" s="312">
        <v>16</v>
      </c>
      <c r="G24" s="118">
        <v>0.61458333333333304</v>
      </c>
      <c r="H24" s="312">
        <v>26</v>
      </c>
      <c r="J24" s="118">
        <v>0.60416666666666663</v>
      </c>
      <c r="K24" s="127" t="s">
        <v>11</v>
      </c>
    </row>
    <row r="25" spans="1:11" s="113" customFormat="1" ht="24.75" customHeight="1">
      <c r="A25" s="111"/>
      <c r="B25" s="313" t="str">
        <f>IFERROR(INDEX([0]!BASE,MATCH(11,NEGRIN,0),1),"-")</f>
        <v>-</v>
      </c>
      <c r="D25" s="111"/>
      <c r="E25" s="313" t="str">
        <f>IFERROR(INDEX([0]!BASE,MATCH(11,NEGRIN,0),1),"-")</f>
        <v>-</v>
      </c>
      <c r="G25" s="111"/>
      <c r="H25" s="313" t="str">
        <f>IFERROR(INDEX([0]!BASE,MATCH(11,NEGRIN,0),1),"-")</f>
        <v>-</v>
      </c>
      <c r="J25" s="111"/>
      <c r="K25" s="128" t="s">
        <v>137</v>
      </c>
    </row>
    <row r="26" spans="1:11" s="113" customFormat="1" ht="24.75" customHeight="1">
      <c r="A26" s="118">
        <v>0.63541666666666663</v>
      </c>
      <c r="B26" s="312">
        <v>7</v>
      </c>
      <c r="D26" s="118">
        <v>0.64583333333333304</v>
      </c>
      <c r="E26" s="312">
        <v>17</v>
      </c>
      <c r="G26" s="118">
        <v>0.64583333333333304</v>
      </c>
      <c r="H26" s="312">
        <v>27</v>
      </c>
      <c r="J26" s="129"/>
      <c r="K26" s="130" t="s">
        <v>138</v>
      </c>
    </row>
    <row r="27" spans="1:11" s="113" customFormat="1" ht="24.75" customHeight="1">
      <c r="A27" s="118"/>
      <c r="B27" s="313" t="str">
        <f>IFERROR(INDEX([0]!BASE,MATCH(11,NEGRIN,0),1),"-")</f>
        <v>-</v>
      </c>
      <c r="D27" s="118"/>
      <c r="E27" s="313" t="str">
        <f>IFERROR(INDEX([0]!BASE,MATCH(11,NEGRIN,0),1),"-")</f>
        <v>-</v>
      </c>
      <c r="G27" s="118"/>
      <c r="H27" s="313" t="str">
        <f>IFERROR(INDEX([0]!BASE,MATCH(11,NEGRIN,0),1),"-")</f>
        <v>-</v>
      </c>
      <c r="J27" s="129"/>
      <c r="K27" s="131" t="s">
        <v>139</v>
      </c>
    </row>
    <row r="28" spans="1:11" s="113" customFormat="1" ht="24.75" customHeight="1">
      <c r="A28" s="118">
        <v>0.66666666666666663</v>
      </c>
      <c r="B28" s="312">
        <v>8</v>
      </c>
      <c r="D28" s="118">
        <v>0.67708333333333304</v>
      </c>
      <c r="E28" s="312">
        <v>18</v>
      </c>
      <c r="G28" s="118">
        <v>0.67708333333333304</v>
      </c>
      <c r="H28" s="312">
        <v>28</v>
      </c>
      <c r="J28" s="129"/>
      <c r="K28" s="130" t="s">
        <v>140</v>
      </c>
    </row>
    <row r="29" spans="1:11" s="113" customFormat="1" ht="24.75" customHeight="1">
      <c r="A29" s="111"/>
      <c r="B29" s="313" t="str">
        <f>IFERROR(INDEX([0]!BASE,MATCH(11,NEGRIN,0),1),"-")</f>
        <v>-</v>
      </c>
      <c r="D29" s="111"/>
      <c r="E29" s="313" t="str">
        <f>IFERROR(INDEX([0]!BASE,MATCH(11,NEGRIN,0),1),"-")</f>
        <v>-</v>
      </c>
      <c r="G29" s="111"/>
      <c r="H29" s="313" t="str">
        <f>IFERROR(INDEX([0]!BASE,MATCH(11,NEGRIN,0),1),"-")</f>
        <v>-</v>
      </c>
      <c r="J29" s="111"/>
      <c r="K29" s="132" t="s">
        <v>141</v>
      </c>
    </row>
    <row r="30" spans="1:11" s="113" customFormat="1" ht="24.75" customHeight="1">
      <c r="A30" s="125">
        <v>0.69791666666666663</v>
      </c>
      <c r="B30" s="148" t="s">
        <v>8</v>
      </c>
      <c r="D30" s="125">
        <v>0.70833333333333304</v>
      </c>
      <c r="E30" s="148" t="s">
        <v>8</v>
      </c>
      <c r="G30" s="125">
        <v>0.70833333333333304</v>
      </c>
      <c r="H30" s="148" t="s">
        <v>8</v>
      </c>
      <c r="J30" s="125">
        <v>0.70833333333333304</v>
      </c>
      <c r="K30" s="133" t="s">
        <v>9</v>
      </c>
    </row>
    <row r="31" spans="1:11" s="113" customFormat="1" ht="24.75" customHeight="1">
      <c r="A31" s="118">
        <v>0.70833333333333337</v>
      </c>
      <c r="B31" s="312">
        <v>9</v>
      </c>
      <c r="D31" s="118">
        <v>0.71875</v>
      </c>
      <c r="E31" s="312">
        <v>19</v>
      </c>
      <c r="G31" s="118">
        <v>0.71875</v>
      </c>
      <c r="H31" s="312">
        <v>29</v>
      </c>
      <c r="J31" s="129"/>
      <c r="K31" s="134" t="s">
        <v>13</v>
      </c>
    </row>
    <row r="32" spans="1:11" s="113" customFormat="1" ht="24.75" customHeight="1">
      <c r="A32" s="118"/>
      <c r="B32" s="313" t="str">
        <f>IFERROR(INDEX([0]!BASE,MATCH(11,NEGRIN,0),1),"-")</f>
        <v>-</v>
      </c>
      <c r="D32" s="118"/>
      <c r="E32" s="313" t="str">
        <f>IFERROR(INDEX([0]!BASE,MATCH(11,NEGRIN,0),1),"-")</f>
        <v>-</v>
      </c>
      <c r="G32" s="118"/>
      <c r="H32" s="313" t="str">
        <f>IFERROR(INDEX([0]!BASE,MATCH(11,NEGRIN,0),1),"-")</f>
        <v>-</v>
      </c>
      <c r="J32" s="129"/>
      <c r="K32" s="135" t="s">
        <v>142</v>
      </c>
    </row>
    <row r="33" spans="1:11" s="113" customFormat="1" ht="24.75" customHeight="1">
      <c r="A33" s="118">
        <v>0.73958333333333337</v>
      </c>
      <c r="B33" s="312">
        <v>10</v>
      </c>
      <c r="D33" s="118">
        <v>0.75</v>
      </c>
      <c r="E33" s="312">
        <v>20</v>
      </c>
      <c r="G33" s="118">
        <v>0.75</v>
      </c>
      <c r="H33" s="312">
        <v>30</v>
      </c>
      <c r="J33" s="129"/>
      <c r="K33" s="131" t="s">
        <v>143</v>
      </c>
    </row>
    <row r="34" spans="1:11" s="113" customFormat="1" ht="24.75" customHeight="1">
      <c r="A34" s="111"/>
      <c r="B34" s="313" t="str">
        <f>IFERROR(INDEX([0]!BASE,MATCH(11,NEGRIN,0),1),"-")</f>
        <v>-</v>
      </c>
      <c r="D34" s="111"/>
      <c r="E34" s="313" t="str">
        <f>IFERROR(INDEX([0]!BASE,MATCH(11,NEGRIN,0),1),"-")</f>
        <v>-</v>
      </c>
      <c r="G34" s="111"/>
      <c r="H34" s="313" t="str">
        <f>IFERROR(INDEX([0]!BASE,MATCH(11,NEGRIN,0),1),"-")</f>
        <v>-</v>
      </c>
      <c r="J34" s="111"/>
      <c r="K34" s="130" t="s">
        <v>144</v>
      </c>
    </row>
    <row r="35" spans="1:11" s="113" customFormat="1" ht="24.75" customHeight="1">
      <c r="A35" s="121">
        <v>0.77083333333333337</v>
      </c>
      <c r="B35" s="122" t="s">
        <v>134</v>
      </c>
      <c r="D35" s="121">
        <v>0.78125</v>
      </c>
      <c r="E35" s="122" t="s">
        <v>136</v>
      </c>
      <c r="G35" s="121">
        <v>0.78125</v>
      </c>
      <c r="H35" s="122" t="s">
        <v>136</v>
      </c>
      <c r="K35" s="136"/>
    </row>
    <row r="36" spans="1:11" s="123" customFormat="1" ht="78" customHeight="1" thickBot="1">
      <c r="A36" s="137"/>
      <c r="B36" s="138" t="s">
        <v>135</v>
      </c>
      <c r="D36" s="137"/>
      <c r="E36" s="124" t="s">
        <v>166</v>
      </c>
      <c r="G36" s="137"/>
      <c r="H36" s="124" t="s">
        <v>169</v>
      </c>
      <c r="J36" s="140"/>
    </row>
    <row r="37" spans="1:11" s="113" customFormat="1" ht="12" customHeight="1" thickTop="1">
      <c r="A37" s="111"/>
      <c r="B37" s="116"/>
      <c r="D37" s="111"/>
      <c r="E37" s="116"/>
      <c r="G37" s="111"/>
      <c r="H37" s="116"/>
      <c r="K37" s="116"/>
    </row>
    <row r="38" spans="1:11" s="113" customFormat="1" ht="17" customHeight="1">
      <c r="A38" s="111"/>
      <c r="B38" s="116"/>
      <c r="D38" s="111"/>
    </row>
    <row r="39" spans="1:11">
      <c r="G39" s="142"/>
    </row>
  </sheetData>
  <mergeCells count="35">
    <mergeCell ref="B8:B9"/>
    <mergeCell ref="E8:E9"/>
    <mergeCell ref="H8:H9"/>
    <mergeCell ref="K8:K9"/>
    <mergeCell ref="B10:B11"/>
    <mergeCell ref="E10:E11"/>
    <mergeCell ref="H10:H11"/>
    <mergeCell ref="K10:K11"/>
    <mergeCell ref="B12:B13"/>
    <mergeCell ref="E12:E13"/>
    <mergeCell ref="H12:H13"/>
    <mergeCell ref="K12:K13"/>
    <mergeCell ref="B15:B16"/>
    <mergeCell ref="E15:E16"/>
    <mergeCell ref="H15:H16"/>
    <mergeCell ref="K15:K16"/>
    <mergeCell ref="B17:B18"/>
    <mergeCell ref="E17:E18"/>
    <mergeCell ref="H17:H18"/>
    <mergeCell ref="K17:K18"/>
    <mergeCell ref="B24:B25"/>
    <mergeCell ref="E24:E25"/>
    <mergeCell ref="H24:H25"/>
    <mergeCell ref="B26:B27"/>
    <mergeCell ref="E26:E27"/>
    <mergeCell ref="H26:H27"/>
    <mergeCell ref="B28:B29"/>
    <mergeCell ref="E28:E29"/>
    <mergeCell ref="H28:H29"/>
    <mergeCell ref="B31:B32"/>
    <mergeCell ref="E31:E32"/>
    <mergeCell ref="H31:H32"/>
    <mergeCell ref="B33:B34"/>
    <mergeCell ref="E33:E34"/>
    <mergeCell ref="H33:H34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45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U64"/>
  <sheetViews>
    <sheetView tabSelected="1" zoomScale="95" zoomScaleNormal="95" zoomScalePageLayoutView="95" workbookViewId="0">
      <pane xSplit="2" ySplit="2" topLeftCell="C13" activePane="bottomRight" state="frozenSplit"/>
      <selection activeCell="AA49" sqref="AA49"/>
      <selection pane="topRight" activeCell="S1" sqref="S1"/>
      <selection pane="bottomLeft" activeCell="A15" sqref="A15"/>
      <selection pane="bottomRight" activeCell="N44" sqref="N44"/>
    </sheetView>
  </sheetViews>
  <sheetFormatPr baseColWidth="10" defaultRowHeight="16" x14ac:dyDescent="0"/>
  <cols>
    <col min="1" max="1" width="5.5703125" customWidth="1"/>
    <col min="2" max="2" width="32.28515625" style="83" customWidth="1"/>
    <col min="3" max="15" width="7" customWidth="1"/>
    <col min="16" max="16" width="8.5703125" hidden="1" customWidth="1"/>
    <col min="17" max="18" width="7" customWidth="1"/>
    <col min="19" max="19" width="12.140625" customWidth="1"/>
    <col min="20" max="24" width="7" customWidth="1"/>
    <col min="25" max="25" width="8.140625" customWidth="1"/>
    <col min="26" max="34" width="7" hidden="1" customWidth="1"/>
    <col min="35" max="35" width="8.5703125" hidden="1" customWidth="1"/>
    <col min="36" max="36" width="7.7109375" hidden="1" customWidth="1"/>
    <col min="37" max="37" width="7" style="32" customWidth="1"/>
    <col min="38" max="38" width="7" customWidth="1"/>
    <col min="39" max="39" width="5.7109375" style="17" customWidth="1"/>
    <col min="40" max="40" width="25.42578125" style="17" customWidth="1"/>
    <col min="41" max="41" width="5" style="16" customWidth="1"/>
    <col min="42" max="42" width="5.28515625" style="17" customWidth="1"/>
    <col min="43" max="43" width="6.140625" style="17" customWidth="1"/>
  </cols>
  <sheetData>
    <row r="1" spans="1:43" s="13" customFormat="1" ht="15">
      <c r="A1" s="12"/>
      <c r="B1" s="84">
        <f ca="1">NOW()</f>
        <v>41181.74742777778</v>
      </c>
      <c r="C1" s="22">
        <v>1</v>
      </c>
      <c r="D1" s="22">
        <f t="shared" ref="D1:Y1" si="0">C1+1</f>
        <v>2</v>
      </c>
      <c r="E1" s="22">
        <f t="shared" si="0"/>
        <v>3</v>
      </c>
      <c r="F1" s="22">
        <f t="shared" si="0"/>
        <v>4</v>
      </c>
      <c r="G1" s="22">
        <f t="shared" si="0"/>
        <v>5</v>
      </c>
      <c r="H1" s="22">
        <f t="shared" si="0"/>
        <v>6</v>
      </c>
      <c r="I1" s="22">
        <f t="shared" si="0"/>
        <v>7</v>
      </c>
      <c r="J1" s="22">
        <f t="shared" si="0"/>
        <v>8</v>
      </c>
      <c r="K1" s="22">
        <f t="shared" si="0"/>
        <v>9</v>
      </c>
      <c r="L1" s="220">
        <f t="shared" si="0"/>
        <v>10</v>
      </c>
      <c r="M1" s="220">
        <f t="shared" si="0"/>
        <v>11</v>
      </c>
      <c r="N1" s="22">
        <f t="shared" si="0"/>
        <v>12</v>
      </c>
      <c r="O1" s="220">
        <f t="shared" si="0"/>
        <v>13</v>
      </c>
      <c r="P1" s="22">
        <f t="shared" si="0"/>
        <v>14</v>
      </c>
      <c r="Q1" s="220">
        <f t="shared" si="0"/>
        <v>15</v>
      </c>
      <c r="R1" s="225">
        <f t="shared" si="0"/>
        <v>16</v>
      </c>
      <c r="S1" s="22">
        <f t="shared" si="0"/>
        <v>17</v>
      </c>
      <c r="T1" s="220">
        <f t="shared" si="0"/>
        <v>18</v>
      </c>
      <c r="U1" s="22">
        <f t="shared" si="0"/>
        <v>19</v>
      </c>
      <c r="V1" s="220">
        <f t="shared" si="0"/>
        <v>20</v>
      </c>
      <c r="W1" s="220">
        <f t="shared" si="0"/>
        <v>21</v>
      </c>
      <c r="X1" s="22">
        <f t="shared" si="0"/>
        <v>22</v>
      </c>
      <c r="Y1" s="225">
        <f t="shared" si="0"/>
        <v>23</v>
      </c>
      <c r="Z1" s="22">
        <f>Y1+1</f>
        <v>24</v>
      </c>
      <c r="AA1" s="22">
        <f>Z1+1</f>
        <v>25</v>
      </c>
      <c r="AB1" s="22">
        <f t="shared" ref="AB1:AJ1" si="1">AA1+1</f>
        <v>26</v>
      </c>
      <c r="AC1" s="22">
        <f t="shared" si="1"/>
        <v>27</v>
      </c>
      <c r="AD1" s="22">
        <f t="shared" si="1"/>
        <v>28</v>
      </c>
      <c r="AE1" s="22">
        <f t="shared" si="1"/>
        <v>29</v>
      </c>
      <c r="AF1" s="22">
        <f t="shared" si="1"/>
        <v>30</v>
      </c>
      <c r="AG1" s="22">
        <f t="shared" si="1"/>
        <v>31</v>
      </c>
      <c r="AH1" s="22">
        <f t="shared" si="1"/>
        <v>32</v>
      </c>
      <c r="AI1" s="22">
        <f t="shared" si="1"/>
        <v>33</v>
      </c>
      <c r="AJ1" s="22">
        <f t="shared" si="1"/>
        <v>34</v>
      </c>
      <c r="AK1" s="22" t="s">
        <v>44</v>
      </c>
      <c r="AL1" s="22" t="s">
        <v>44</v>
      </c>
      <c r="AM1" s="12"/>
      <c r="AN1" s="12"/>
      <c r="AO1" s="15"/>
      <c r="AP1" s="12"/>
      <c r="AQ1" s="12"/>
    </row>
    <row r="2" spans="1:43" s="14" customFormat="1" ht="170" customHeight="1">
      <c r="A2" s="75" t="s">
        <v>2</v>
      </c>
      <c r="B2" s="85"/>
      <c r="C2" s="250" t="s">
        <v>124</v>
      </c>
      <c r="D2" s="250" t="s">
        <v>125</v>
      </c>
      <c r="E2" s="250" t="s">
        <v>126</v>
      </c>
      <c r="F2" s="250" t="s">
        <v>127</v>
      </c>
      <c r="G2" s="250" t="s">
        <v>128</v>
      </c>
      <c r="H2" s="250" t="s">
        <v>129</v>
      </c>
      <c r="I2" s="250" t="s">
        <v>130</v>
      </c>
      <c r="J2" s="250" t="s">
        <v>131</v>
      </c>
      <c r="K2" s="250" t="s">
        <v>132</v>
      </c>
      <c r="L2" s="305" t="s">
        <v>133</v>
      </c>
      <c r="M2" s="305" t="s">
        <v>59</v>
      </c>
      <c r="N2" s="250" t="s">
        <v>60</v>
      </c>
      <c r="O2" s="305" t="s">
        <v>61</v>
      </c>
      <c r="P2" s="290" t="s">
        <v>159</v>
      </c>
      <c r="Q2" s="305" t="s">
        <v>62</v>
      </c>
      <c r="R2" s="305" t="s">
        <v>63</v>
      </c>
      <c r="S2" s="250" t="s">
        <v>64</v>
      </c>
      <c r="T2" s="305" t="s">
        <v>65</v>
      </c>
      <c r="U2" s="250" t="s">
        <v>66</v>
      </c>
      <c r="V2" s="305" t="s">
        <v>67</v>
      </c>
      <c r="W2" s="305" t="s">
        <v>68</v>
      </c>
      <c r="X2" s="250" t="s">
        <v>69</v>
      </c>
      <c r="Y2" s="305" t="s">
        <v>70</v>
      </c>
      <c r="Z2" s="186" t="s">
        <v>46</v>
      </c>
      <c r="AA2" s="186" t="s">
        <v>47</v>
      </c>
      <c r="AB2" s="186" t="s">
        <v>52</v>
      </c>
      <c r="AC2" s="186" t="s">
        <v>53</v>
      </c>
      <c r="AD2" s="186" t="s">
        <v>54</v>
      </c>
      <c r="AE2" s="186" t="s">
        <v>55</v>
      </c>
      <c r="AF2" s="186" t="s">
        <v>56</v>
      </c>
      <c r="AG2" s="188" t="s">
        <v>48</v>
      </c>
      <c r="AH2" s="188" t="s">
        <v>49</v>
      </c>
      <c r="AI2" s="188" t="s">
        <v>50</v>
      </c>
      <c r="AJ2" s="188" t="s">
        <v>51</v>
      </c>
      <c r="AK2" s="187" t="s">
        <v>22</v>
      </c>
      <c r="AL2" s="187" t="s">
        <v>23</v>
      </c>
      <c r="AM2" s="34"/>
      <c r="AN2" s="35"/>
      <c r="AO2" s="36" t="s">
        <v>7</v>
      </c>
      <c r="AP2" s="37"/>
      <c r="AQ2" s="20"/>
    </row>
    <row r="3" spans="1:43" s="18" customFormat="1" ht="15" customHeight="1" thickBot="1">
      <c r="A3" s="76"/>
      <c r="B3" s="86"/>
      <c r="C3" s="203"/>
      <c r="D3" s="203"/>
      <c r="E3" s="203"/>
      <c r="F3" s="203"/>
      <c r="G3" s="77"/>
      <c r="H3" s="77"/>
      <c r="I3" s="77"/>
      <c r="J3" s="77"/>
      <c r="K3" s="77"/>
      <c r="L3" s="77"/>
      <c r="M3" s="77"/>
      <c r="N3" s="77"/>
      <c r="O3" s="203"/>
      <c r="P3" s="291"/>
      <c r="Q3" s="203"/>
      <c r="R3" s="77"/>
      <c r="S3" s="77"/>
      <c r="T3" s="77"/>
      <c r="U3" s="77"/>
      <c r="V3" s="77"/>
      <c r="W3" s="77"/>
      <c r="X3" s="77"/>
      <c r="Y3" s="203"/>
      <c r="Z3" s="77"/>
      <c r="AA3" s="77"/>
      <c r="AB3" s="77"/>
      <c r="AC3" s="77"/>
      <c r="AD3" s="77"/>
      <c r="AE3" s="77"/>
      <c r="AF3" s="77"/>
      <c r="AG3" s="203"/>
      <c r="AH3" s="203"/>
      <c r="AI3" s="203"/>
      <c r="AJ3" s="203"/>
      <c r="AK3" s="77"/>
      <c r="AL3" s="77"/>
      <c r="AM3" s="38"/>
      <c r="AN3" s="39"/>
      <c r="AO3" s="40"/>
      <c r="AP3" s="41"/>
      <c r="AQ3" s="21"/>
    </row>
    <row r="4" spans="1:43" s="23" customFormat="1" ht="17" customHeight="1" thickTop="1">
      <c r="A4" s="78"/>
      <c r="B4" s="87" t="s">
        <v>115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228">
        <v>41183</v>
      </c>
      <c r="N4" s="60"/>
      <c r="O4" s="68"/>
      <c r="P4" s="292"/>
      <c r="Q4" s="60"/>
      <c r="R4" s="229"/>
      <c r="S4" s="229"/>
      <c r="T4" s="229"/>
      <c r="U4" s="229"/>
      <c r="V4" s="229"/>
      <c r="W4" s="229"/>
      <c r="X4" s="60"/>
      <c r="Y4" s="60"/>
      <c r="Z4" s="205"/>
      <c r="AA4" s="206"/>
      <c r="AB4" s="205"/>
      <c r="AC4" s="205"/>
      <c r="AD4" s="205"/>
      <c r="AE4" s="205"/>
      <c r="AF4" s="205"/>
      <c r="AG4" s="69"/>
      <c r="AH4" s="68"/>
      <c r="AI4" s="68"/>
      <c r="AJ4" s="68"/>
      <c r="AK4" s="229"/>
      <c r="AL4" s="229"/>
      <c r="AM4" s="42"/>
      <c r="AN4" s="8" t="s">
        <v>6</v>
      </c>
      <c r="AO4" s="78"/>
      <c r="AP4" s="43"/>
      <c r="AQ4" s="24"/>
    </row>
    <row r="5" spans="1:43" s="23" customFormat="1" ht="17" customHeight="1" thickBot="1">
      <c r="A5" s="78"/>
      <c r="B5" s="88" t="s">
        <v>1</v>
      </c>
      <c r="C5" s="62"/>
      <c r="D5" s="62"/>
      <c r="E5" s="62"/>
      <c r="F5" s="62"/>
      <c r="G5" s="62"/>
      <c r="H5" s="62"/>
      <c r="I5" s="62"/>
      <c r="J5" s="62"/>
      <c r="K5" s="62"/>
      <c r="L5" s="62">
        <v>0.81597222222222221</v>
      </c>
      <c r="M5" s="62"/>
      <c r="N5" s="61"/>
      <c r="O5" s="62">
        <v>0.92708333333333337</v>
      </c>
      <c r="P5" s="293"/>
      <c r="Q5" s="62">
        <v>0.92708333333333337</v>
      </c>
      <c r="R5" s="62">
        <v>0.50347222222222221</v>
      </c>
      <c r="S5" s="62"/>
      <c r="T5" s="62">
        <v>0.48958333333333331</v>
      </c>
      <c r="U5" s="62"/>
      <c r="V5" s="62"/>
      <c r="W5" s="62">
        <v>0.5625</v>
      </c>
      <c r="X5" s="61"/>
      <c r="Y5" s="62">
        <v>0.76597222222222217</v>
      </c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230"/>
      <c r="AL5" s="230"/>
      <c r="AM5" s="42"/>
      <c r="AN5" s="7" t="s">
        <v>1</v>
      </c>
      <c r="AO5" s="78">
        <v>3</v>
      </c>
      <c r="AP5" s="43"/>
      <c r="AQ5" s="24"/>
    </row>
    <row r="6" spans="1:43" s="23" customFormat="1" ht="17" customHeight="1" thickTop="1">
      <c r="A6" s="78"/>
      <c r="B6" s="89" t="s">
        <v>116</v>
      </c>
      <c r="C6" s="60"/>
      <c r="D6" s="60"/>
      <c r="E6" s="69"/>
      <c r="F6" s="69">
        <v>0.50347222222222221</v>
      </c>
      <c r="G6" s="69"/>
      <c r="H6" s="69">
        <v>0.50347222222222221</v>
      </c>
      <c r="I6" s="60"/>
      <c r="J6" s="60"/>
      <c r="K6" s="60"/>
      <c r="L6" s="306"/>
      <c r="M6" s="306"/>
      <c r="N6" s="69">
        <v>0.47569444444444442</v>
      </c>
      <c r="O6" s="306"/>
      <c r="P6" s="306"/>
      <c r="Q6" s="306"/>
      <c r="R6" s="308"/>
      <c r="S6" s="60"/>
      <c r="T6" s="309"/>
      <c r="U6" s="60"/>
      <c r="V6" s="306"/>
      <c r="W6" s="306"/>
      <c r="X6" s="69"/>
      <c r="Y6" s="309"/>
      <c r="Z6" s="63"/>
      <c r="AA6" s="63"/>
      <c r="AB6" s="63"/>
      <c r="AC6" s="63"/>
      <c r="AD6" s="63"/>
      <c r="AE6" s="63"/>
      <c r="AF6" s="63"/>
      <c r="AG6" s="68"/>
      <c r="AH6" s="68"/>
      <c r="AI6" s="68"/>
      <c r="AJ6" s="68"/>
      <c r="AK6" s="229"/>
      <c r="AL6" s="229"/>
      <c r="AM6" s="42"/>
      <c r="AN6" s="6" t="s">
        <v>72</v>
      </c>
      <c r="AO6" s="78">
        <v>0</v>
      </c>
      <c r="AP6" s="43"/>
      <c r="AQ6" s="24"/>
    </row>
    <row r="7" spans="1:43" s="23" customFormat="1" ht="17" customHeight="1" thickBot="1">
      <c r="A7" s="78" t="s">
        <v>26</v>
      </c>
      <c r="B7" s="88" t="s">
        <v>1</v>
      </c>
      <c r="C7" s="219"/>
      <c r="D7" s="219">
        <v>0.80208333333333337</v>
      </c>
      <c r="E7" s="65"/>
      <c r="F7" s="65">
        <v>1</v>
      </c>
      <c r="G7" s="65"/>
      <c r="H7" s="65">
        <v>1</v>
      </c>
      <c r="I7" s="69">
        <v>0.81944444444444453</v>
      </c>
      <c r="J7" s="62"/>
      <c r="K7" s="62"/>
      <c r="L7" s="307"/>
      <c r="M7" s="307"/>
      <c r="N7" s="65">
        <v>1</v>
      </c>
      <c r="O7" s="307"/>
      <c r="P7" s="307"/>
      <c r="Q7" s="307"/>
      <c r="R7" s="307"/>
      <c r="S7" s="61"/>
      <c r="T7" s="310"/>
      <c r="U7" s="69">
        <v>0.79513888888888884</v>
      </c>
      <c r="V7" s="310"/>
      <c r="W7" s="310"/>
      <c r="X7" s="102">
        <v>0.77430555555555547</v>
      </c>
      <c r="Y7" s="310"/>
      <c r="Z7" s="23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42" t="s">
        <v>0</v>
      </c>
      <c r="AN7" s="7" t="s">
        <v>1</v>
      </c>
      <c r="AO7" s="78">
        <v>7</v>
      </c>
      <c r="AP7" s="43"/>
      <c r="AQ7" s="24"/>
    </row>
    <row r="8" spans="1:43" s="23" customFormat="1" ht="17" customHeight="1" thickTop="1">
      <c r="A8" s="78" t="s">
        <v>78</v>
      </c>
      <c r="B8" s="90" t="s">
        <v>117</v>
      </c>
      <c r="C8" s="64"/>
      <c r="D8" s="64">
        <v>4</v>
      </c>
      <c r="E8" s="69">
        <v>0.30208333333333331</v>
      </c>
      <c r="F8" s="64">
        <v>4</v>
      </c>
      <c r="G8" s="69">
        <v>0.5</v>
      </c>
      <c r="H8" s="64">
        <v>5</v>
      </c>
      <c r="I8" s="64">
        <v>4</v>
      </c>
      <c r="J8" s="64"/>
      <c r="K8" s="69">
        <v>0.38194444444444442</v>
      </c>
      <c r="L8" s="64">
        <v>4</v>
      </c>
      <c r="M8" s="64">
        <v>5</v>
      </c>
      <c r="N8" s="64">
        <v>4</v>
      </c>
      <c r="O8" s="64">
        <v>4</v>
      </c>
      <c r="P8" s="294"/>
      <c r="Q8" s="64">
        <v>5</v>
      </c>
      <c r="R8" s="64">
        <v>5</v>
      </c>
      <c r="S8" s="101"/>
      <c r="T8" s="64">
        <v>4</v>
      </c>
      <c r="U8" s="64">
        <v>4</v>
      </c>
      <c r="V8" s="64">
        <v>4</v>
      </c>
      <c r="W8" s="64">
        <v>4</v>
      </c>
      <c r="X8" s="64">
        <v>4</v>
      </c>
      <c r="Y8" s="64">
        <v>4</v>
      </c>
      <c r="Z8" s="64"/>
      <c r="AA8" s="69"/>
      <c r="AB8" s="205"/>
      <c r="AC8" s="205"/>
      <c r="AD8" s="205"/>
      <c r="AE8" s="205"/>
      <c r="AF8" s="205"/>
      <c r="AG8" s="11"/>
      <c r="AH8" s="232"/>
      <c r="AI8" s="232"/>
      <c r="AJ8" s="232"/>
      <c r="AK8" s="63"/>
      <c r="AL8" s="63"/>
      <c r="AM8" s="82"/>
      <c r="AN8" s="5" t="s">
        <v>73</v>
      </c>
      <c r="AO8" s="78">
        <v>23</v>
      </c>
      <c r="AP8" s="43"/>
      <c r="AQ8" s="24"/>
    </row>
    <row r="9" spans="1:43" s="23" customFormat="1" ht="17" customHeight="1" thickBot="1">
      <c r="A9" s="79" t="s">
        <v>78</v>
      </c>
      <c r="B9" s="88" t="s">
        <v>1</v>
      </c>
      <c r="C9" s="65"/>
      <c r="D9" s="65">
        <v>5</v>
      </c>
      <c r="E9" s="65">
        <v>5</v>
      </c>
      <c r="F9" s="65">
        <v>5</v>
      </c>
      <c r="G9" s="240">
        <v>4</v>
      </c>
      <c r="H9" s="65">
        <v>5</v>
      </c>
      <c r="I9" s="65">
        <v>5</v>
      </c>
      <c r="J9" s="62">
        <v>0.88541666666666663</v>
      </c>
      <c r="K9" s="65">
        <v>5</v>
      </c>
      <c r="L9" s="65">
        <v>5</v>
      </c>
      <c r="M9" s="65">
        <v>5</v>
      </c>
      <c r="N9" s="65">
        <v>5</v>
      </c>
      <c r="O9" s="65">
        <v>5</v>
      </c>
      <c r="P9" s="295"/>
      <c r="Q9" s="65">
        <v>5</v>
      </c>
      <c r="R9" s="65">
        <v>5</v>
      </c>
      <c r="S9" s="311" t="s">
        <v>170</v>
      </c>
      <c r="T9" s="65">
        <v>5</v>
      </c>
      <c r="U9" s="65">
        <v>5</v>
      </c>
      <c r="V9" s="65">
        <v>5</v>
      </c>
      <c r="W9" s="65">
        <v>5</v>
      </c>
      <c r="X9" s="65">
        <v>5</v>
      </c>
      <c r="Y9" s="65">
        <v>5</v>
      </c>
      <c r="Z9" s="65"/>
      <c r="AA9" s="61"/>
      <c r="AB9" s="233"/>
      <c r="AC9" s="233"/>
      <c r="AD9" s="233"/>
      <c r="AE9" s="233"/>
      <c r="AF9" s="233"/>
      <c r="AG9" s="65"/>
      <c r="AH9" s="62"/>
      <c r="AI9" s="62"/>
      <c r="AJ9" s="62"/>
      <c r="AK9" s="61"/>
      <c r="AL9" s="61"/>
      <c r="AM9" s="81">
        <v>8</v>
      </c>
      <c r="AN9" s="7" t="s">
        <v>1</v>
      </c>
      <c r="AO9" s="79">
        <v>27</v>
      </c>
      <c r="AP9" s="43"/>
      <c r="AQ9" s="24"/>
    </row>
    <row r="10" spans="1:43" s="23" customFormat="1" ht="17" customHeight="1" thickTop="1">
      <c r="A10" s="79" t="s">
        <v>78</v>
      </c>
      <c r="B10" s="91" t="s">
        <v>118</v>
      </c>
      <c r="C10" s="64"/>
      <c r="D10" s="64">
        <v>5</v>
      </c>
      <c r="E10" s="64">
        <v>4</v>
      </c>
      <c r="F10" s="64">
        <v>4</v>
      </c>
      <c r="G10" s="64">
        <v>4</v>
      </c>
      <c r="H10" s="69">
        <v>0.29166666666666669</v>
      </c>
      <c r="I10" s="64">
        <v>5</v>
      </c>
      <c r="J10" s="64">
        <v>5</v>
      </c>
      <c r="K10" s="64">
        <v>4</v>
      </c>
      <c r="L10" s="64">
        <v>4</v>
      </c>
      <c r="M10" s="101">
        <v>0.34722222222222227</v>
      </c>
      <c r="N10" s="64">
        <v>4</v>
      </c>
      <c r="O10" s="64">
        <v>4</v>
      </c>
      <c r="P10" s="294"/>
      <c r="Q10" s="64">
        <v>3</v>
      </c>
      <c r="R10" s="248">
        <v>2</v>
      </c>
      <c r="S10" s="248">
        <v>4</v>
      </c>
      <c r="T10" s="64">
        <v>4</v>
      </c>
      <c r="U10" s="64">
        <v>5</v>
      </c>
      <c r="V10" s="64">
        <v>2</v>
      </c>
      <c r="W10" s="64">
        <v>4</v>
      </c>
      <c r="X10" s="64">
        <v>4</v>
      </c>
      <c r="Y10" s="64">
        <v>5</v>
      </c>
      <c r="Z10" s="64"/>
      <c r="AA10" s="64"/>
      <c r="AB10" s="210"/>
      <c r="AC10" s="210"/>
      <c r="AD10" s="210"/>
      <c r="AE10" s="210"/>
      <c r="AF10" s="210"/>
      <c r="AG10" s="63"/>
      <c r="AH10" s="63"/>
      <c r="AI10" s="63"/>
      <c r="AJ10" s="63"/>
      <c r="AK10" s="63"/>
      <c r="AL10" s="63"/>
      <c r="AM10" s="81">
        <v>3</v>
      </c>
      <c r="AN10" s="4" t="s">
        <v>74</v>
      </c>
      <c r="AO10" s="79">
        <v>29</v>
      </c>
      <c r="AP10" s="43"/>
      <c r="AQ10" s="24"/>
    </row>
    <row r="11" spans="1:43" s="23" customFormat="1" ht="17" customHeight="1" thickBot="1">
      <c r="A11" s="79" t="s">
        <v>78</v>
      </c>
      <c r="B11" s="92" t="s">
        <v>1</v>
      </c>
      <c r="C11" s="65"/>
      <c r="D11" s="65">
        <v>5</v>
      </c>
      <c r="E11" s="65">
        <v>5</v>
      </c>
      <c r="F11" s="65">
        <v>5</v>
      </c>
      <c r="G11" s="65">
        <v>5</v>
      </c>
      <c r="H11" s="65"/>
      <c r="I11" s="65">
        <v>3</v>
      </c>
      <c r="J11" s="65">
        <v>5</v>
      </c>
      <c r="K11" s="65">
        <v>5</v>
      </c>
      <c r="L11" s="65">
        <v>5</v>
      </c>
      <c r="M11" s="65"/>
      <c r="N11" s="65">
        <v>5</v>
      </c>
      <c r="O11" s="65">
        <v>5</v>
      </c>
      <c r="P11" s="296" t="s">
        <v>71</v>
      </c>
      <c r="Q11" s="219">
        <v>0.72569444444444453</v>
      </c>
      <c r="R11" s="219">
        <v>0.53819444444444442</v>
      </c>
      <c r="S11" s="65">
        <v>5</v>
      </c>
      <c r="T11" s="65">
        <v>5</v>
      </c>
      <c r="U11" s="65">
        <v>5</v>
      </c>
      <c r="V11" s="65">
        <v>5</v>
      </c>
      <c r="W11" s="65">
        <v>5</v>
      </c>
      <c r="X11" s="65">
        <v>5</v>
      </c>
      <c r="Y11" s="65">
        <v>5</v>
      </c>
      <c r="Z11" s="65"/>
      <c r="AA11" s="65"/>
      <c r="AB11" s="211"/>
      <c r="AC11" s="211"/>
      <c r="AD11" s="211"/>
      <c r="AE11" s="211"/>
      <c r="AF11" s="211"/>
      <c r="AG11" s="61"/>
      <c r="AH11" s="61"/>
      <c r="AI11" s="234"/>
      <c r="AJ11" s="61"/>
      <c r="AK11" s="61"/>
      <c r="AL11" s="61"/>
      <c r="AM11" s="81">
        <v>8</v>
      </c>
      <c r="AN11" s="3" t="s">
        <v>1</v>
      </c>
      <c r="AO11" s="78">
        <v>26</v>
      </c>
      <c r="AP11" s="43"/>
      <c r="AQ11" s="24"/>
    </row>
    <row r="12" spans="1:43" s="23" customFormat="1" ht="17" customHeight="1" thickTop="1" thickBot="1">
      <c r="A12" s="78" t="s">
        <v>78</v>
      </c>
      <c r="B12" s="93" t="s">
        <v>119</v>
      </c>
      <c r="C12" s="64">
        <v>5</v>
      </c>
      <c r="D12" s="64">
        <v>4</v>
      </c>
      <c r="E12" s="64">
        <v>4</v>
      </c>
      <c r="F12" s="64">
        <v>4</v>
      </c>
      <c r="G12" s="64">
        <v>5</v>
      </c>
      <c r="H12" s="64"/>
      <c r="I12" s="219">
        <v>0.83680555555555547</v>
      </c>
      <c r="J12" s="64">
        <v>5</v>
      </c>
      <c r="K12" s="64">
        <v>5</v>
      </c>
      <c r="L12" s="64">
        <v>5</v>
      </c>
      <c r="M12" s="101"/>
      <c r="N12" s="64">
        <v>4</v>
      </c>
      <c r="O12" s="64">
        <v>5</v>
      </c>
      <c r="P12" s="294" t="s">
        <v>71</v>
      </c>
      <c r="Q12" s="64"/>
      <c r="R12" s="101"/>
      <c r="S12" s="64">
        <v>5</v>
      </c>
      <c r="T12" s="64">
        <v>4</v>
      </c>
      <c r="U12" s="70">
        <v>4</v>
      </c>
      <c r="V12" s="70"/>
      <c r="W12" s="70">
        <v>3</v>
      </c>
      <c r="X12" s="64">
        <v>5</v>
      </c>
      <c r="Y12" s="69">
        <v>0.48402777777777778</v>
      </c>
      <c r="Z12" s="64"/>
      <c r="AA12" s="64"/>
      <c r="AB12" s="63"/>
      <c r="AC12" s="63"/>
      <c r="AD12" s="63"/>
      <c r="AE12" s="63"/>
      <c r="AF12" s="63"/>
      <c r="AG12" s="63"/>
      <c r="AH12" s="63"/>
      <c r="AI12" s="207"/>
      <c r="AJ12" s="150"/>
      <c r="AK12" s="63"/>
      <c r="AL12" s="63"/>
      <c r="AM12" s="81">
        <v>3</v>
      </c>
      <c r="AN12" s="2" t="s">
        <v>75</v>
      </c>
      <c r="AO12" s="78">
        <v>16</v>
      </c>
      <c r="AP12" s="43"/>
      <c r="AQ12" s="24"/>
    </row>
    <row r="13" spans="1:43" s="23" customFormat="1" ht="17" customHeight="1" thickTop="1" thickBot="1">
      <c r="A13" s="79"/>
      <c r="B13" s="92" t="s">
        <v>1</v>
      </c>
      <c r="C13" s="221"/>
      <c r="D13" s="221"/>
      <c r="E13" s="219"/>
      <c r="F13" s="219">
        <v>0.84722222222222221</v>
      </c>
      <c r="G13" s="101"/>
      <c r="H13" s="101"/>
      <c r="I13" s="221"/>
      <c r="J13" s="227"/>
      <c r="K13" s="219">
        <v>0.72222222222222221</v>
      </c>
      <c r="L13" s="219">
        <v>0.72222222222222221</v>
      </c>
      <c r="M13" s="102"/>
      <c r="N13" s="102"/>
      <c r="O13" s="102">
        <v>0.84027777777777779</v>
      </c>
      <c r="P13" s="297" t="s">
        <v>71</v>
      </c>
      <c r="Q13" s="102"/>
      <c r="R13" s="73"/>
      <c r="S13" s="102"/>
      <c r="T13" s="235"/>
      <c r="U13" s="102">
        <v>0.72916666666666663</v>
      </c>
      <c r="V13" s="235"/>
      <c r="W13" s="235" t="s">
        <v>123</v>
      </c>
      <c r="X13" s="219">
        <v>0.80555555555555547</v>
      </c>
      <c r="Y13" s="235"/>
      <c r="Z13" s="61"/>
      <c r="AA13" s="62"/>
      <c r="AB13" s="62"/>
      <c r="AC13" s="62"/>
      <c r="AD13" s="62"/>
      <c r="AE13" s="62"/>
      <c r="AF13" s="62"/>
      <c r="AG13" s="61"/>
      <c r="AH13" s="61"/>
      <c r="AI13" s="208"/>
      <c r="AJ13" s="61"/>
      <c r="AK13" s="61"/>
      <c r="AL13" s="61"/>
      <c r="AM13" s="82"/>
      <c r="AN13" s="3" t="s">
        <v>1</v>
      </c>
      <c r="AO13" s="79"/>
      <c r="AP13" s="43"/>
      <c r="AQ13" s="24"/>
    </row>
    <row r="14" spans="1:43" s="23" customFormat="1" ht="17" customHeight="1" thickTop="1" thickBot="1">
      <c r="A14" s="79"/>
      <c r="B14" s="94" t="s">
        <v>120</v>
      </c>
      <c r="C14" s="218"/>
      <c r="D14" s="218">
        <v>0.2986111111111111</v>
      </c>
      <c r="E14" s="236">
        <v>41190</v>
      </c>
      <c r="F14" s="66"/>
      <c r="G14" s="236">
        <v>41190</v>
      </c>
      <c r="H14" s="66"/>
      <c r="I14" s="66"/>
      <c r="J14" s="66">
        <v>0.63194444444444442</v>
      </c>
      <c r="K14" s="66"/>
      <c r="L14" s="66"/>
      <c r="M14" s="67"/>
      <c r="N14" s="236">
        <v>41197</v>
      </c>
      <c r="O14" s="237"/>
      <c r="P14" s="298"/>
      <c r="Q14" s="67"/>
      <c r="R14" s="9"/>
      <c r="S14" s="236">
        <v>41190</v>
      </c>
      <c r="T14" s="66">
        <v>0.37847222222222227</v>
      </c>
      <c r="U14" s="238"/>
      <c r="V14" s="238"/>
      <c r="W14" s="66">
        <v>0.82986111111111116</v>
      </c>
      <c r="X14" s="71"/>
      <c r="Y14" s="72"/>
      <c r="Z14" s="107"/>
      <c r="AA14" s="63"/>
      <c r="AB14" s="63"/>
      <c r="AC14" s="63"/>
      <c r="AD14" s="63"/>
      <c r="AE14" s="63"/>
      <c r="AF14" s="63"/>
      <c r="AG14" s="10"/>
      <c r="AH14" s="204"/>
      <c r="AI14" s="239"/>
      <c r="AJ14" s="237"/>
      <c r="AK14" s="74"/>
      <c r="AL14" s="74"/>
      <c r="AM14" s="44"/>
      <c r="AN14" s="1" t="s">
        <v>10</v>
      </c>
      <c r="AO14" s="79"/>
      <c r="AP14" s="43"/>
      <c r="AQ14" s="24"/>
    </row>
    <row r="15" spans="1:43" s="26" customFormat="1" ht="17" customHeight="1" thickBot="1">
      <c r="A15" s="45"/>
      <c r="B15" s="226"/>
      <c r="C15" s="249">
        <v>5</v>
      </c>
      <c r="D15" s="80">
        <f>SUM(D8:D12)</f>
        <v>23</v>
      </c>
      <c r="E15" s="80">
        <f>SUM(E9:E12)</f>
        <v>18</v>
      </c>
      <c r="F15" s="80">
        <f>SUM(F7:F12)</f>
        <v>23</v>
      </c>
      <c r="G15" s="80">
        <f>SUM(G9:G12)</f>
        <v>18</v>
      </c>
      <c r="H15" s="80">
        <f>SUM(H7:H9)</f>
        <v>11</v>
      </c>
      <c r="I15" s="80">
        <f>SUM(I8:I11)</f>
        <v>17</v>
      </c>
      <c r="J15" s="80">
        <f>SUM(J10:J12)</f>
        <v>15</v>
      </c>
      <c r="K15" s="80">
        <f>SUM(K9:K12)</f>
        <v>19</v>
      </c>
      <c r="L15" s="80">
        <f>SUM(L8:L12)</f>
        <v>23</v>
      </c>
      <c r="M15" s="80">
        <f>SUM(M8:M9)</f>
        <v>10</v>
      </c>
      <c r="N15" s="80">
        <f>SUM(N7:N12)</f>
        <v>23</v>
      </c>
      <c r="O15" s="80">
        <f>SUM(O8:O12)</f>
        <v>23</v>
      </c>
      <c r="P15" s="299">
        <v>0</v>
      </c>
      <c r="Q15" s="80">
        <f>SUM(Q8:Q10)</f>
        <v>13</v>
      </c>
      <c r="R15" s="80">
        <f>SUM(R8:R10)</f>
        <v>12</v>
      </c>
      <c r="S15" s="80">
        <f>SUM(S10:S12)</f>
        <v>14</v>
      </c>
      <c r="T15" s="80">
        <f>SUM(T8:T12)</f>
        <v>22</v>
      </c>
      <c r="U15" s="80">
        <f>SUM(U8:U12)</f>
        <v>23</v>
      </c>
      <c r="V15" s="80">
        <f>SUM(V8:V11)</f>
        <v>16</v>
      </c>
      <c r="W15" s="80">
        <f>SUM(W8:W12)</f>
        <v>21</v>
      </c>
      <c r="X15" s="80">
        <f>SUM(X8:X12)</f>
        <v>23</v>
      </c>
      <c r="Y15" s="80">
        <f>SUM(Y8:Y11)</f>
        <v>19</v>
      </c>
      <c r="Z15" s="80">
        <f t="shared" ref="Z15:AF15" si="2">SUM(Z3:Z13)</f>
        <v>0</v>
      </c>
      <c r="AA15" s="80">
        <f t="shared" si="2"/>
        <v>0</v>
      </c>
      <c r="AB15" s="80">
        <f t="shared" si="2"/>
        <v>0</v>
      </c>
      <c r="AC15" s="80">
        <f t="shared" si="2"/>
        <v>0</v>
      </c>
      <c r="AD15" s="80">
        <f t="shared" si="2"/>
        <v>0</v>
      </c>
      <c r="AE15" s="80">
        <f t="shared" si="2"/>
        <v>0</v>
      </c>
      <c r="AF15" s="80">
        <f t="shared" si="2"/>
        <v>0</v>
      </c>
      <c r="AG15" s="80">
        <f>SUM(AG3:AG13)</f>
        <v>0</v>
      </c>
      <c r="AH15" s="80">
        <f>SUM(AH3:AH13)</f>
        <v>0</v>
      </c>
      <c r="AI15" s="80">
        <f>SUM(AI3:AI13)</f>
        <v>0</v>
      </c>
      <c r="AJ15" s="80">
        <f>SUM(AJ3:AJ13)</f>
        <v>0</v>
      </c>
      <c r="AK15" s="80">
        <v>14</v>
      </c>
      <c r="AL15" s="80">
        <v>13</v>
      </c>
      <c r="AM15" s="46">
        <f>SUM(C15:AL15)</f>
        <v>418</v>
      </c>
      <c r="AN15" s="42"/>
      <c r="AO15" s="47"/>
      <c r="AP15" s="48" t="s">
        <v>3</v>
      </c>
      <c r="AQ15" s="25" t="s">
        <v>4</v>
      </c>
    </row>
    <row r="16" spans="1:43" s="23" customFormat="1" ht="34" customHeight="1">
      <c r="A16" s="49">
        <f>AM16</f>
        <v>15</v>
      </c>
      <c r="B16" s="223" t="s">
        <v>79</v>
      </c>
      <c r="C16" s="108"/>
      <c r="D16" s="108">
        <v>33</v>
      </c>
      <c r="E16" s="108"/>
      <c r="F16" s="108">
        <v>20</v>
      </c>
      <c r="G16" s="108">
        <v>27</v>
      </c>
      <c r="H16" s="108">
        <v>10</v>
      </c>
      <c r="I16" s="108"/>
      <c r="J16" s="108">
        <v>21</v>
      </c>
      <c r="K16" s="108"/>
      <c r="L16" s="108">
        <v>32</v>
      </c>
      <c r="M16" s="108"/>
      <c r="N16" s="108">
        <v>34</v>
      </c>
      <c r="O16" s="108">
        <v>12</v>
      </c>
      <c r="P16" s="108"/>
      <c r="Q16" s="108">
        <v>25</v>
      </c>
      <c r="R16" s="108">
        <v>22</v>
      </c>
      <c r="S16" s="108">
        <v>26</v>
      </c>
      <c r="T16" s="108">
        <v>31</v>
      </c>
      <c r="U16" s="108"/>
      <c r="V16" s="108"/>
      <c r="W16" s="108"/>
      <c r="X16" s="100">
        <v>23</v>
      </c>
      <c r="Y16" s="108">
        <v>16</v>
      </c>
      <c r="Z16" s="108"/>
      <c r="AA16" s="108"/>
      <c r="AB16" s="108"/>
      <c r="AC16" s="108"/>
      <c r="AD16" s="108"/>
      <c r="AE16" s="108"/>
      <c r="AF16" s="108"/>
      <c r="AG16" s="50"/>
      <c r="AH16" s="100"/>
      <c r="AI16" s="50"/>
      <c r="AJ16" s="50"/>
      <c r="AK16" s="109">
        <v>13</v>
      </c>
      <c r="AL16" s="109"/>
      <c r="AM16" s="51">
        <f>COUNTA(C16:AL16)</f>
        <v>15</v>
      </c>
      <c r="AN16" s="223" t="s">
        <v>79</v>
      </c>
      <c r="AO16" s="52">
        <v>1</v>
      </c>
      <c r="AP16" s="43"/>
      <c r="AQ16" s="24"/>
    </row>
    <row r="17" spans="1:46" s="23" customFormat="1" ht="34" customHeight="1">
      <c r="A17" s="49">
        <f>AM17</f>
        <v>14</v>
      </c>
      <c r="B17" s="223" t="s">
        <v>80</v>
      </c>
      <c r="C17" s="108"/>
      <c r="D17" s="108">
        <v>32</v>
      </c>
      <c r="E17" s="108"/>
      <c r="F17" s="108"/>
      <c r="G17" s="108">
        <v>28</v>
      </c>
      <c r="H17" s="108"/>
      <c r="I17" s="108">
        <v>25</v>
      </c>
      <c r="J17" s="108"/>
      <c r="K17" s="108">
        <v>27</v>
      </c>
      <c r="L17" s="108">
        <v>15</v>
      </c>
      <c r="M17" s="108">
        <v>11</v>
      </c>
      <c r="N17" s="108">
        <v>33</v>
      </c>
      <c r="O17" s="108">
        <v>13</v>
      </c>
      <c r="P17" s="108"/>
      <c r="Q17" s="108">
        <v>24</v>
      </c>
      <c r="R17" s="108"/>
      <c r="S17" s="108"/>
      <c r="T17" s="108">
        <v>34</v>
      </c>
      <c r="U17" s="108">
        <v>12</v>
      </c>
      <c r="V17" s="108"/>
      <c r="W17" s="108">
        <v>16</v>
      </c>
      <c r="X17" s="108">
        <v>22</v>
      </c>
      <c r="Y17" s="108"/>
      <c r="Z17" s="108"/>
      <c r="AA17" s="108"/>
      <c r="AB17" s="108"/>
      <c r="AC17" s="108"/>
      <c r="AD17" s="108"/>
      <c r="AE17" s="108"/>
      <c r="AF17" s="108"/>
      <c r="AG17" s="50"/>
      <c r="AH17" s="100"/>
      <c r="AI17" s="50"/>
      <c r="AJ17" s="50"/>
      <c r="AK17" s="109">
        <v>14</v>
      </c>
      <c r="AL17" s="109"/>
      <c r="AM17" s="51">
        <f t="shared" ref="AM17:AM44" si="3">COUNTA(C17:AL17)</f>
        <v>14</v>
      </c>
      <c r="AN17" s="223" t="s">
        <v>80</v>
      </c>
      <c r="AO17" s="52">
        <f>AO16+1</f>
        <v>2</v>
      </c>
      <c r="AP17" s="53"/>
    </row>
    <row r="18" spans="1:46" s="23" customFormat="1" ht="34" customHeight="1">
      <c r="A18" s="49">
        <f>AM18</f>
        <v>14</v>
      </c>
      <c r="B18" s="223" t="s">
        <v>81</v>
      </c>
      <c r="C18" s="108"/>
      <c r="D18" s="108">
        <v>34</v>
      </c>
      <c r="E18" s="108">
        <v>18</v>
      </c>
      <c r="F18" s="108">
        <v>19</v>
      </c>
      <c r="G18" s="108"/>
      <c r="H18" s="108"/>
      <c r="I18" s="108">
        <v>21</v>
      </c>
      <c r="J18" s="108"/>
      <c r="K18" s="108">
        <v>28</v>
      </c>
      <c r="L18" s="108">
        <v>16</v>
      </c>
      <c r="M18" s="108"/>
      <c r="N18" s="108">
        <v>32</v>
      </c>
      <c r="O18" s="108">
        <v>14</v>
      </c>
      <c r="P18" s="108"/>
      <c r="Q18" s="108"/>
      <c r="R18" s="108"/>
      <c r="S18" s="108">
        <v>27</v>
      </c>
      <c r="T18" s="108"/>
      <c r="U18" s="108">
        <v>13</v>
      </c>
      <c r="V18" s="108"/>
      <c r="W18" s="108">
        <v>17</v>
      </c>
      <c r="X18" s="108">
        <v>24</v>
      </c>
      <c r="Y18" s="108">
        <v>22</v>
      </c>
      <c r="Z18" s="108"/>
      <c r="AA18" s="108"/>
      <c r="AB18" s="108"/>
      <c r="AC18" s="108"/>
      <c r="AD18" s="108"/>
      <c r="AE18" s="108"/>
      <c r="AF18" s="108"/>
      <c r="AG18" s="50"/>
      <c r="AH18" s="100"/>
      <c r="AI18" s="50"/>
      <c r="AJ18" s="50"/>
      <c r="AK18" s="109">
        <v>15</v>
      </c>
      <c r="AL18" s="109"/>
      <c r="AM18" s="51">
        <f t="shared" si="3"/>
        <v>14</v>
      </c>
      <c r="AN18" s="223" t="s">
        <v>81</v>
      </c>
      <c r="AO18" s="52">
        <f>AO17+1</f>
        <v>3</v>
      </c>
      <c r="AP18" s="43"/>
      <c r="AQ18" s="24"/>
    </row>
    <row r="19" spans="1:46" s="26" customFormat="1" ht="34" customHeight="1">
      <c r="A19" s="49">
        <f>AM19</f>
        <v>16</v>
      </c>
      <c r="B19" s="223" t="s">
        <v>82</v>
      </c>
      <c r="C19" s="108"/>
      <c r="D19" s="108"/>
      <c r="E19" s="108">
        <v>24</v>
      </c>
      <c r="F19" s="108">
        <v>18</v>
      </c>
      <c r="G19" s="108">
        <v>29</v>
      </c>
      <c r="H19" s="108"/>
      <c r="I19" s="108">
        <v>22</v>
      </c>
      <c r="J19" s="108">
        <v>26</v>
      </c>
      <c r="K19" s="108">
        <v>25</v>
      </c>
      <c r="L19" s="108">
        <v>17</v>
      </c>
      <c r="M19" s="108"/>
      <c r="N19" s="108">
        <v>12</v>
      </c>
      <c r="O19" s="108">
        <v>15</v>
      </c>
      <c r="P19" s="108"/>
      <c r="Q19" s="108">
        <v>21</v>
      </c>
      <c r="R19" s="108"/>
      <c r="S19" s="108"/>
      <c r="T19" s="108">
        <v>33</v>
      </c>
      <c r="U19" s="108">
        <v>14</v>
      </c>
      <c r="V19" s="108">
        <v>30</v>
      </c>
      <c r="W19" s="108"/>
      <c r="X19" s="108">
        <v>27</v>
      </c>
      <c r="Y19" s="108">
        <v>23</v>
      </c>
      <c r="Z19" s="108"/>
      <c r="AA19" s="108"/>
      <c r="AB19" s="108"/>
      <c r="AC19" s="108"/>
      <c r="AD19" s="108"/>
      <c r="AE19" s="108"/>
      <c r="AF19" s="108"/>
      <c r="AG19" s="50"/>
      <c r="AH19" s="100"/>
      <c r="AI19" s="50"/>
      <c r="AJ19" s="50"/>
      <c r="AK19" s="109">
        <v>16</v>
      </c>
      <c r="AL19" s="109"/>
      <c r="AM19" s="51">
        <f t="shared" si="3"/>
        <v>16</v>
      </c>
      <c r="AN19" s="223" t="s">
        <v>82</v>
      </c>
      <c r="AO19" s="52">
        <f t="shared" ref="AO19:AO44" si="4">AO18+1</f>
        <v>4</v>
      </c>
      <c r="AP19" s="43"/>
      <c r="AQ19" s="24"/>
    </row>
    <row r="20" spans="1:46" s="23" customFormat="1" ht="34" customHeight="1">
      <c r="A20" s="49">
        <f t="shared" ref="A20:A44" si="5">AM20</f>
        <v>15</v>
      </c>
      <c r="B20" s="223" t="s">
        <v>83</v>
      </c>
      <c r="C20" s="108"/>
      <c r="D20" s="108">
        <v>22</v>
      </c>
      <c r="E20" s="108">
        <v>25</v>
      </c>
      <c r="F20" s="108">
        <v>33</v>
      </c>
      <c r="G20" s="108"/>
      <c r="H20" s="108"/>
      <c r="I20" s="108">
        <v>23</v>
      </c>
      <c r="J20" s="108"/>
      <c r="K20" s="108">
        <v>26</v>
      </c>
      <c r="L20" s="108"/>
      <c r="M20" s="108"/>
      <c r="N20" s="108">
        <v>13</v>
      </c>
      <c r="O20" s="108">
        <v>16</v>
      </c>
      <c r="P20" s="108"/>
      <c r="Q20" s="108">
        <v>20</v>
      </c>
      <c r="R20" s="108"/>
      <c r="S20" s="108">
        <v>28</v>
      </c>
      <c r="T20" s="108">
        <v>32</v>
      </c>
      <c r="U20" s="108">
        <v>15</v>
      </c>
      <c r="V20" s="108"/>
      <c r="W20" s="108">
        <v>18</v>
      </c>
      <c r="X20" s="108">
        <v>29</v>
      </c>
      <c r="Y20" s="108">
        <v>24</v>
      </c>
      <c r="Z20" s="108"/>
      <c r="AA20" s="108"/>
      <c r="AB20" s="108"/>
      <c r="AC20" s="108"/>
      <c r="AD20" s="108"/>
      <c r="AE20" s="108"/>
      <c r="AF20" s="108"/>
      <c r="AG20" s="100"/>
      <c r="AH20" s="100"/>
      <c r="AI20" s="100"/>
      <c r="AJ20" s="100"/>
      <c r="AK20" s="109">
        <v>17</v>
      </c>
      <c r="AL20" s="109"/>
      <c r="AM20" s="51">
        <f t="shared" si="3"/>
        <v>15</v>
      </c>
      <c r="AN20" s="223" t="s">
        <v>83</v>
      </c>
      <c r="AO20" s="52">
        <f t="shared" si="4"/>
        <v>5</v>
      </c>
      <c r="AP20" s="53"/>
      <c r="AQ20" s="24"/>
      <c r="AR20" s="26"/>
      <c r="AS20" s="26"/>
      <c r="AT20" s="27"/>
    </row>
    <row r="21" spans="1:46" s="23" customFormat="1" ht="34" customHeight="1">
      <c r="A21" s="49">
        <f t="shared" si="5"/>
        <v>15</v>
      </c>
      <c r="B21" s="223" t="s">
        <v>84</v>
      </c>
      <c r="C21" s="108"/>
      <c r="D21" s="108">
        <v>26</v>
      </c>
      <c r="E21" s="108"/>
      <c r="F21" s="108">
        <v>34</v>
      </c>
      <c r="G21" s="151">
        <v>30</v>
      </c>
      <c r="H21" s="108">
        <v>12</v>
      </c>
      <c r="I21" s="108"/>
      <c r="J21" s="108">
        <v>24</v>
      </c>
      <c r="K21" s="108"/>
      <c r="L21" s="108">
        <v>14</v>
      </c>
      <c r="M21" s="108"/>
      <c r="N21" s="108"/>
      <c r="O21" s="108">
        <v>17</v>
      </c>
      <c r="P21" s="108"/>
      <c r="Q21" s="108"/>
      <c r="R21" s="108">
        <v>21</v>
      </c>
      <c r="S21" s="108">
        <v>29</v>
      </c>
      <c r="T21" s="108">
        <v>13</v>
      </c>
      <c r="U21" s="108">
        <v>16</v>
      </c>
      <c r="V21" s="108">
        <v>27</v>
      </c>
      <c r="W21" s="108">
        <v>19</v>
      </c>
      <c r="X21" s="108">
        <v>25</v>
      </c>
      <c r="Y21" s="108"/>
      <c r="Z21" s="108"/>
      <c r="AA21" s="108"/>
      <c r="AB21" s="108"/>
      <c r="AC21" s="108"/>
      <c r="AD21" s="108"/>
      <c r="AE21" s="108"/>
      <c r="AF21" s="108"/>
      <c r="AG21" s="50"/>
      <c r="AH21" s="100"/>
      <c r="AI21" s="50"/>
      <c r="AJ21" s="50"/>
      <c r="AK21" s="109">
        <v>18</v>
      </c>
      <c r="AL21" s="109"/>
      <c r="AM21" s="51">
        <f t="shared" si="3"/>
        <v>15</v>
      </c>
      <c r="AN21" s="223" t="s">
        <v>84</v>
      </c>
      <c r="AO21" s="52">
        <f t="shared" si="4"/>
        <v>6</v>
      </c>
      <c r="AP21" s="43"/>
      <c r="AQ21" s="24"/>
      <c r="AR21" s="26"/>
      <c r="AS21" s="26"/>
    </row>
    <row r="22" spans="1:46" s="192" customFormat="1" ht="34" customHeight="1">
      <c r="A22" s="189">
        <f t="shared" si="5"/>
        <v>16</v>
      </c>
      <c r="B22" s="223" t="s">
        <v>91</v>
      </c>
      <c r="C22" s="108">
        <v>33</v>
      </c>
      <c r="D22" s="108">
        <v>12</v>
      </c>
      <c r="E22" s="108">
        <v>34</v>
      </c>
      <c r="F22" s="108">
        <v>16</v>
      </c>
      <c r="G22" s="108"/>
      <c r="H22" s="108"/>
      <c r="I22" s="108">
        <v>24</v>
      </c>
      <c r="J22" s="108">
        <v>23</v>
      </c>
      <c r="K22" s="108">
        <v>17</v>
      </c>
      <c r="L22" s="108">
        <v>13</v>
      </c>
      <c r="M22" s="108"/>
      <c r="N22" s="108">
        <v>35</v>
      </c>
      <c r="O22" s="108">
        <v>32</v>
      </c>
      <c r="P22" s="108"/>
      <c r="Q22" s="108">
        <v>19</v>
      </c>
      <c r="R22" s="108"/>
      <c r="S22" s="108"/>
      <c r="T22" s="108"/>
      <c r="U22" s="108">
        <v>18</v>
      </c>
      <c r="V22" s="108">
        <v>28</v>
      </c>
      <c r="W22" s="108">
        <v>15</v>
      </c>
      <c r="X22" s="108"/>
      <c r="Y22" s="108">
        <v>25</v>
      </c>
      <c r="Z22" s="108"/>
      <c r="AA22" s="108"/>
      <c r="AB22" s="108"/>
      <c r="AC22" s="108"/>
      <c r="AD22" s="108"/>
      <c r="AE22" s="108"/>
      <c r="AF22" s="108"/>
      <c r="AG22" s="100"/>
      <c r="AH22" s="100"/>
      <c r="AI22" s="100"/>
      <c r="AJ22" s="100"/>
      <c r="AK22" s="108">
        <v>20</v>
      </c>
      <c r="AL22" s="108"/>
      <c r="AM22" s="51">
        <f t="shared" si="3"/>
        <v>16</v>
      </c>
      <c r="AN22" s="223" t="s">
        <v>91</v>
      </c>
      <c r="AO22" s="193">
        <f t="shared" si="4"/>
        <v>7</v>
      </c>
      <c r="AP22" s="191"/>
      <c r="AQ22" s="194"/>
      <c r="AR22" s="195"/>
      <c r="AS22" s="195"/>
      <c r="AT22" s="196"/>
    </row>
    <row r="23" spans="1:46" s="23" customFormat="1" ht="34" customHeight="1">
      <c r="A23" s="49">
        <f t="shared" si="5"/>
        <v>15</v>
      </c>
      <c r="B23" s="223" t="s">
        <v>92</v>
      </c>
      <c r="C23" s="108">
        <v>32</v>
      </c>
      <c r="D23" s="108">
        <v>14</v>
      </c>
      <c r="E23" s="108">
        <v>26</v>
      </c>
      <c r="F23" s="108">
        <v>15</v>
      </c>
      <c r="G23" s="151"/>
      <c r="H23" s="108">
        <v>13</v>
      </c>
      <c r="I23" s="108">
        <v>28</v>
      </c>
      <c r="J23" s="108"/>
      <c r="K23" s="108"/>
      <c r="L23" s="108"/>
      <c r="M23" s="108"/>
      <c r="N23" s="108">
        <v>22</v>
      </c>
      <c r="O23" s="108">
        <v>31</v>
      </c>
      <c r="P23" s="108"/>
      <c r="Q23" s="108">
        <v>18</v>
      </c>
      <c r="R23" s="108"/>
      <c r="S23" s="108"/>
      <c r="T23" s="108">
        <v>12</v>
      </c>
      <c r="U23" s="108">
        <v>17</v>
      </c>
      <c r="V23" s="108">
        <v>29</v>
      </c>
      <c r="W23" s="108">
        <v>20</v>
      </c>
      <c r="X23" s="108">
        <v>30</v>
      </c>
      <c r="Y23" s="108"/>
      <c r="Z23" s="108"/>
      <c r="AA23" s="108"/>
      <c r="AB23" s="108"/>
      <c r="AC23" s="108"/>
      <c r="AD23" s="108"/>
      <c r="AE23" s="108"/>
      <c r="AF23" s="108"/>
      <c r="AG23" s="50"/>
      <c r="AH23" s="100"/>
      <c r="AI23" s="50"/>
      <c r="AJ23" s="50"/>
      <c r="AK23" s="109">
        <v>19</v>
      </c>
      <c r="AL23" s="109"/>
      <c r="AM23" s="51">
        <f t="shared" si="3"/>
        <v>15</v>
      </c>
      <c r="AN23" s="223" t="s">
        <v>92</v>
      </c>
      <c r="AO23" s="52">
        <f t="shared" si="4"/>
        <v>8</v>
      </c>
      <c r="AP23" s="43"/>
      <c r="AQ23" s="24"/>
      <c r="AR23" s="26"/>
      <c r="AS23" s="26"/>
    </row>
    <row r="24" spans="1:46" s="192" customFormat="1" ht="34" hidden="1" customHeight="1">
      <c r="A24" s="189">
        <f t="shared" si="5"/>
        <v>0</v>
      </c>
      <c r="B24" s="224" t="s">
        <v>121</v>
      </c>
      <c r="C24" s="108"/>
      <c r="D24" s="108"/>
      <c r="E24" s="108"/>
      <c r="F24" s="108"/>
      <c r="G24" s="151"/>
      <c r="H24" s="108"/>
      <c r="I24" s="108"/>
      <c r="J24" s="108"/>
      <c r="K24" s="108"/>
      <c r="L24" s="108"/>
      <c r="M24" s="108"/>
      <c r="N24" s="108"/>
      <c r="O24" s="108"/>
      <c r="P24" s="108"/>
      <c r="Q24" s="108"/>
      <c r="R24" s="108"/>
      <c r="S24" s="108"/>
      <c r="T24" s="108"/>
      <c r="U24" s="108"/>
      <c r="V24" s="108"/>
      <c r="W24" s="108"/>
      <c r="X24" s="108"/>
      <c r="Y24" s="108"/>
      <c r="Z24" s="108"/>
      <c r="AA24" s="108"/>
      <c r="AB24" s="108"/>
      <c r="AC24" s="108"/>
      <c r="AD24" s="108"/>
      <c r="AE24" s="108"/>
      <c r="AF24" s="108"/>
      <c r="AG24" s="100"/>
      <c r="AH24" s="100"/>
      <c r="AI24" s="100"/>
      <c r="AJ24" s="100"/>
      <c r="AK24" s="108"/>
      <c r="AL24" s="108"/>
      <c r="AM24" s="51">
        <f t="shared" si="3"/>
        <v>0</v>
      </c>
      <c r="AN24" s="224" t="s">
        <v>121</v>
      </c>
      <c r="AO24" s="193">
        <f t="shared" si="4"/>
        <v>9</v>
      </c>
      <c r="AP24" s="191"/>
      <c r="AQ24" s="194"/>
      <c r="AR24" s="195"/>
      <c r="AS24" s="195"/>
    </row>
    <row r="25" spans="1:46" s="23" customFormat="1" ht="34" customHeight="1">
      <c r="A25" s="49">
        <f t="shared" si="5"/>
        <v>15</v>
      </c>
      <c r="B25" s="223" t="s">
        <v>93</v>
      </c>
      <c r="C25" s="108"/>
      <c r="D25" s="108">
        <v>13</v>
      </c>
      <c r="E25" s="108">
        <v>35</v>
      </c>
      <c r="F25" s="108">
        <v>17</v>
      </c>
      <c r="G25" s="108">
        <v>22</v>
      </c>
      <c r="H25" s="108">
        <v>14</v>
      </c>
      <c r="I25" s="108"/>
      <c r="J25" s="108"/>
      <c r="K25" s="108">
        <v>24</v>
      </c>
      <c r="L25" s="108">
        <v>19</v>
      </c>
      <c r="M25" s="108">
        <v>15</v>
      </c>
      <c r="N25" s="108">
        <v>23</v>
      </c>
      <c r="O25" s="108">
        <v>18</v>
      </c>
      <c r="P25" s="108"/>
      <c r="Q25" s="108"/>
      <c r="R25" s="108">
        <v>20</v>
      </c>
      <c r="S25" s="108"/>
      <c r="T25" s="108"/>
      <c r="U25" s="108"/>
      <c r="V25" s="108">
        <v>16</v>
      </c>
      <c r="W25" s="108">
        <v>27</v>
      </c>
      <c r="X25" s="108">
        <v>28</v>
      </c>
      <c r="Y25" s="108"/>
      <c r="Z25" s="108"/>
      <c r="AA25" s="108"/>
      <c r="AB25" s="108"/>
      <c r="AC25" s="108"/>
      <c r="AD25" s="108"/>
      <c r="AE25" s="108"/>
      <c r="AF25" s="108"/>
      <c r="AG25" s="50"/>
      <c r="AH25" s="100"/>
      <c r="AI25" s="50"/>
      <c r="AJ25" s="50"/>
      <c r="AK25" s="109">
        <v>26</v>
      </c>
      <c r="AL25" s="109"/>
      <c r="AM25" s="51">
        <f t="shared" si="3"/>
        <v>15</v>
      </c>
      <c r="AN25" s="223" t="s">
        <v>93</v>
      </c>
      <c r="AO25" s="52">
        <f>AO24+1</f>
        <v>10</v>
      </c>
      <c r="AP25" s="53"/>
    </row>
    <row r="26" spans="1:46" s="23" customFormat="1" ht="34" customHeight="1">
      <c r="A26" s="49">
        <f t="shared" si="5"/>
        <v>17</v>
      </c>
      <c r="B26" s="223" t="s">
        <v>94</v>
      </c>
      <c r="C26" s="108"/>
      <c r="D26" s="108">
        <v>35</v>
      </c>
      <c r="E26" s="108">
        <v>22</v>
      </c>
      <c r="F26" s="108">
        <v>10</v>
      </c>
      <c r="G26" s="151">
        <v>23</v>
      </c>
      <c r="H26" s="108"/>
      <c r="I26" s="108">
        <v>26</v>
      </c>
      <c r="J26" s="108">
        <v>25</v>
      </c>
      <c r="K26" s="108">
        <v>16</v>
      </c>
      <c r="L26" s="108">
        <v>18</v>
      </c>
      <c r="M26" s="108"/>
      <c r="N26" s="108">
        <v>24</v>
      </c>
      <c r="O26" s="108">
        <v>33</v>
      </c>
      <c r="P26" s="108"/>
      <c r="Q26" s="108">
        <v>17</v>
      </c>
      <c r="R26" s="108"/>
      <c r="S26" s="108"/>
      <c r="T26" s="108">
        <v>14</v>
      </c>
      <c r="U26" s="108">
        <v>19</v>
      </c>
      <c r="V26" s="108"/>
      <c r="W26" s="108">
        <v>28</v>
      </c>
      <c r="X26" s="108">
        <v>20</v>
      </c>
      <c r="Y26" s="108">
        <v>13</v>
      </c>
      <c r="Z26" s="108"/>
      <c r="AA26" s="108"/>
      <c r="AB26" s="108"/>
      <c r="AC26" s="108"/>
      <c r="AD26" s="108"/>
      <c r="AE26" s="108"/>
      <c r="AF26" s="108"/>
      <c r="AG26" s="50"/>
      <c r="AH26" s="100"/>
      <c r="AI26" s="50"/>
      <c r="AJ26" s="50"/>
      <c r="AK26" s="109">
        <v>27</v>
      </c>
      <c r="AL26" s="109"/>
      <c r="AM26" s="51">
        <f t="shared" si="3"/>
        <v>17</v>
      </c>
      <c r="AN26" s="223" t="s">
        <v>94</v>
      </c>
      <c r="AO26" s="52">
        <f t="shared" si="4"/>
        <v>11</v>
      </c>
      <c r="AP26" s="53"/>
    </row>
    <row r="27" spans="1:46" s="33" customFormat="1" ht="34" customHeight="1">
      <c r="A27" s="49">
        <f t="shared" si="5"/>
        <v>16</v>
      </c>
      <c r="B27" s="223" t="s">
        <v>95</v>
      </c>
      <c r="C27" s="108"/>
      <c r="D27" s="108">
        <v>25</v>
      </c>
      <c r="E27" s="108">
        <v>23</v>
      </c>
      <c r="F27" s="108"/>
      <c r="G27" s="151">
        <v>24</v>
      </c>
      <c r="H27" s="108"/>
      <c r="I27" s="108">
        <v>27</v>
      </c>
      <c r="J27" s="108"/>
      <c r="K27" s="108">
        <v>22</v>
      </c>
      <c r="L27" s="108">
        <v>12</v>
      </c>
      <c r="M27" s="108"/>
      <c r="N27" s="108">
        <v>15</v>
      </c>
      <c r="O27" s="108"/>
      <c r="P27" s="108"/>
      <c r="Q27" s="108"/>
      <c r="R27" s="108">
        <v>19</v>
      </c>
      <c r="S27" s="108">
        <v>30</v>
      </c>
      <c r="T27" s="108">
        <v>16</v>
      </c>
      <c r="U27" s="108">
        <v>20</v>
      </c>
      <c r="V27" s="108">
        <v>17</v>
      </c>
      <c r="W27" s="108">
        <v>29</v>
      </c>
      <c r="X27" s="108">
        <v>14</v>
      </c>
      <c r="Y27" s="108">
        <v>26</v>
      </c>
      <c r="Z27" s="108"/>
      <c r="AA27" s="108"/>
      <c r="AB27" s="108"/>
      <c r="AC27" s="108"/>
      <c r="AD27" s="108"/>
      <c r="AE27" s="108"/>
      <c r="AF27" s="108"/>
      <c r="AG27" s="50"/>
      <c r="AH27" s="100"/>
      <c r="AI27" s="50"/>
      <c r="AJ27" s="50"/>
      <c r="AK27" s="109">
        <v>28</v>
      </c>
      <c r="AL27" s="109"/>
      <c r="AM27" s="51">
        <f t="shared" si="3"/>
        <v>16</v>
      </c>
      <c r="AN27" s="223" t="s">
        <v>95</v>
      </c>
      <c r="AO27" s="54">
        <f t="shared" si="4"/>
        <v>12</v>
      </c>
      <c r="AP27" s="55"/>
    </row>
    <row r="28" spans="1:46" s="23" customFormat="1" ht="34" customHeight="1">
      <c r="A28" s="49">
        <f>AM28+L3</f>
        <v>17</v>
      </c>
      <c r="B28" s="223" t="s">
        <v>96</v>
      </c>
      <c r="C28" s="108">
        <v>31</v>
      </c>
      <c r="D28" s="108">
        <v>24</v>
      </c>
      <c r="E28" s="108"/>
      <c r="F28" s="108">
        <v>14</v>
      </c>
      <c r="G28" s="151">
        <v>19</v>
      </c>
      <c r="H28" s="108">
        <v>15</v>
      </c>
      <c r="I28" s="108"/>
      <c r="J28" s="108">
        <v>22</v>
      </c>
      <c r="K28" s="108"/>
      <c r="L28" s="108">
        <v>35</v>
      </c>
      <c r="M28" s="108">
        <v>13</v>
      </c>
      <c r="N28" s="108"/>
      <c r="O28" s="108">
        <v>20</v>
      </c>
      <c r="P28" s="108"/>
      <c r="Q28" s="108"/>
      <c r="R28" s="108">
        <v>17</v>
      </c>
      <c r="S28" s="108"/>
      <c r="T28" s="108">
        <v>18</v>
      </c>
      <c r="U28" s="108">
        <v>23</v>
      </c>
      <c r="V28" s="108">
        <v>25</v>
      </c>
      <c r="W28" s="108">
        <v>32</v>
      </c>
      <c r="X28" s="108">
        <v>26</v>
      </c>
      <c r="Y28" s="108">
        <v>27</v>
      </c>
      <c r="Z28" s="108"/>
      <c r="AA28" s="108"/>
      <c r="AB28" s="108"/>
      <c r="AC28" s="108"/>
      <c r="AD28" s="108"/>
      <c r="AE28" s="108"/>
      <c r="AF28" s="108"/>
      <c r="AG28" s="50"/>
      <c r="AH28" s="100"/>
      <c r="AI28" s="50"/>
      <c r="AJ28" s="50"/>
      <c r="AK28" s="109">
        <v>29</v>
      </c>
      <c r="AL28" s="109"/>
      <c r="AM28" s="51">
        <f t="shared" si="3"/>
        <v>17</v>
      </c>
      <c r="AN28" s="223" t="s">
        <v>96</v>
      </c>
      <c r="AO28" s="54">
        <f t="shared" si="4"/>
        <v>13</v>
      </c>
      <c r="AP28" s="53"/>
    </row>
    <row r="29" spans="1:46" s="30" customFormat="1" ht="34" customHeight="1">
      <c r="A29" s="49">
        <f t="shared" si="5"/>
        <v>16</v>
      </c>
      <c r="B29" s="223" t="s">
        <v>97</v>
      </c>
      <c r="C29" s="108"/>
      <c r="D29" s="108">
        <v>27</v>
      </c>
      <c r="E29" s="108"/>
      <c r="F29" s="108">
        <v>13</v>
      </c>
      <c r="G29" s="151">
        <v>20</v>
      </c>
      <c r="H29" s="108">
        <v>16</v>
      </c>
      <c r="I29" s="108"/>
      <c r="J29" s="108">
        <v>31</v>
      </c>
      <c r="K29" s="108">
        <v>23</v>
      </c>
      <c r="L29" s="108">
        <v>33</v>
      </c>
      <c r="M29" s="108">
        <v>17</v>
      </c>
      <c r="N29" s="108">
        <v>25</v>
      </c>
      <c r="O29" s="108"/>
      <c r="P29" s="108"/>
      <c r="Q29" s="108"/>
      <c r="R29" s="108">
        <v>18</v>
      </c>
      <c r="S29" s="108">
        <v>22</v>
      </c>
      <c r="T29" s="108">
        <v>19</v>
      </c>
      <c r="U29" s="108">
        <v>24</v>
      </c>
      <c r="V29" s="108">
        <v>26</v>
      </c>
      <c r="W29" s="108"/>
      <c r="X29" s="108"/>
      <c r="Y29" s="108">
        <v>28</v>
      </c>
      <c r="Z29" s="108"/>
      <c r="AA29" s="108"/>
      <c r="AB29" s="108"/>
      <c r="AC29" s="108"/>
      <c r="AD29" s="108"/>
      <c r="AE29" s="108"/>
      <c r="AF29" s="108"/>
      <c r="AG29" s="50"/>
      <c r="AH29" s="100"/>
      <c r="AI29" s="50"/>
      <c r="AJ29" s="50"/>
      <c r="AK29" s="109">
        <v>30</v>
      </c>
      <c r="AL29" s="109"/>
      <c r="AM29" s="51">
        <f t="shared" si="3"/>
        <v>16</v>
      </c>
      <c r="AN29" s="223" t="s">
        <v>97</v>
      </c>
      <c r="AO29" s="54">
        <f t="shared" si="4"/>
        <v>14</v>
      </c>
      <c r="AP29" s="43"/>
      <c r="AQ29" s="24"/>
    </row>
    <row r="30" spans="1:46" s="23" customFormat="1" ht="34" customHeight="1">
      <c r="A30" s="49">
        <f t="shared" si="5"/>
        <v>16</v>
      </c>
      <c r="B30" s="223" t="s">
        <v>98</v>
      </c>
      <c r="C30" s="108"/>
      <c r="D30" s="108"/>
      <c r="E30" s="108">
        <v>33</v>
      </c>
      <c r="F30" s="108">
        <v>12</v>
      </c>
      <c r="G30" s="108"/>
      <c r="H30" s="108"/>
      <c r="I30" s="108">
        <v>20</v>
      </c>
      <c r="J30" s="108">
        <v>32</v>
      </c>
      <c r="K30" s="108">
        <v>18</v>
      </c>
      <c r="L30" s="108">
        <v>34</v>
      </c>
      <c r="M30" s="108">
        <v>19</v>
      </c>
      <c r="N30" s="108">
        <v>16</v>
      </c>
      <c r="O30" s="108">
        <v>30</v>
      </c>
      <c r="P30" s="151"/>
      <c r="Q30" s="108"/>
      <c r="R30" s="108"/>
      <c r="S30" s="108">
        <v>23</v>
      </c>
      <c r="T30" s="108">
        <v>17</v>
      </c>
      <c r="U30" s="108">
        <v>21</v>
      </c>
      <c r="V30" s="108"/>
      <c r="W30" s="108">
        <v>31</v>
      </c>
      <c r="X30" s="108">
        <v>15</v>
      </c>
      <c r="Y30" s="108">
        <v>29</v>
      </c>
      <c r="Z30" s="108"/>
      <c r="AA30" s="108"/>
      <c r="AB30" s="108"/>
      <c r="AC30" s="108"/>
      <c r="AD30" s="108"/>
      <c r="AE30" s="108"/>
      <c r="AF30" s="108"/>
      <c r="AG30" s="50"/>
      <c r="AH30" s="100"/>
      <c r="AI30" s="50"/>
      <c r="AJ30" s="50"/>
      <c r="AK30" s="109">
        <v>25</v>
      </c>
      <c r="AL30" s="109"/>
      <c r="AM30" s="51">
        <f t="shared" si="3"/>
        <v>16</v>
      </c>
      <c r="AN30" s="223" t="s">
        <v>98</v>
      </c>
      <c r="AO30" s="54">
        <f t="shared" si="4"/>
        <v>15</v>
      </c>
      <c r="AP30" s="53"/>
    </row>
    <row r="31" spans="1:46" s="23" customFormat="1" ht="34" customHeight="1">
      <c r="A31" s="49">
        <f t="shared" si="5"/>
        <v>14</v>
      </c>
      <c r="B31" s="149" t="s">
        <v>99</v>
      </c>
      <c r="C31" s="108"/>
      <c r="D31" s="108"/>
      <c r="E31" s="108">
        <v>32</v>
      </c>
      <c r="F31" s="108">
        <v>22</v>
      </c>
      <c r="G31" s="108">
        <v>25</v>
      </c>
      <c r="H31" s="108"/>
      <c r="I31" s="108">
        <v>18</v>
      </c>
      <c r="J31" s="108">
        <v>30</v>
      </c>
      <c r="K31" s="108">
        <v>19</v>
      </c>
      <c r="L31" s="108">
        <v>31</v>
      </c>
      <c r="M31" s="108"/>
      <c r="N31" s="108">
        <v>26</v>
      </c>
      <c r="O31" s="108">
        <v>35</v>
      </c>
      <c r="P31" s="108"/>
      <c r="Q31" s="108"/>
      <c r="R31" s="108"/>
      <c r="S31" s="108"/>
      <c r="T31" s="108">
        <v>20</v>
      </c>
      <c r="U31" s="108"/>
      <c r="V31" s="108"/>
      <c r="W31" s="108">
        <v>33</v>
      </c>
      <c r="X31" s="108">
        <v>16</v>
      </c>
      <c r="Y31" s="108">
        <v>17</v>
      </c>
      <c r="Z31" s="108"/>
      <c r="AA31" s="108"/>
      <c r="AB31" s="108"/>
      <c r="AC31" s="108"/>
      <c r="AD31" s="108"/>
      <c r="AE31" s="108"/>
      <c r="AF31" s="108"/>
      <c r="AG31" s="50"/>
      <c r="AH31" s="100"/>
      <c r="AI31" s="50"/>
      <c r="AJ31" s="50"/>
      <c r="AK31" s="109"/>
      <c r="AL31" s="109">
        <v>12</v>
      </c>
      <c r="AM31" s="51">
        <f t="shared" si="3"/>
        <v>14</v>
      </c>
      <c r="AN31" s="149" t="s">
        <v>99</v>
      </c>
      <c r="AO31" s="54">
        <f t="shared" si="4"/>
        <v>16</v>
      </c>
      <c r="AP31" s="53"/>
    </row>
    <row r="32" spans="1:46" s="23" customFormat="1" ht="34" hidden="1" customHeight="1">
      <c r="A32" s="49">
        <f t="shared" si="5"/>
        <v>0</v>
      </c>
      <c r="B32" s="222" t="s">
        <v>122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51"/>
      <c r="Q32" s="108"/>
      <c r="R32" s="108"/>
      <c r="S32" s="108"/>
      <c r="T32" s="108"/>
      <c r="U32" s="108"/>
      <c r="V32" s="108"/>
      <c r="W32" s="108"/>
      <c r="X32" s="108"/>
      <c r="Y32" s="108"/>
      <c r="Z32" s="108"/>
      <c r="AA32" s="108"/>
      <c r="AB32" s="108"/>
      <c r="AC32" s="108"/>
      <c r="AD32" s="108"/>
      <c r="AE32" s="108"/>
      <c r="AF32" s="108"/>
      <c r="AG32" s="50"/>
      <c r="AH32" s="100"/>
      <c r="AI32" s="50"/>
      <c r="AJ32" s="50"/>
      <c r="AK32" s="109"/>
      <c r="AL32" s="109"/>
      <c r="AM32" s="51">
        <f t="shared" si="3"/>
        <v>0</v>
      </c>
      <c r="AN32" s="222" t="s">
        <v>122</v>
      </c>
      <c r="AO32" s="54">
        <f t="shared" si="4"/>
        <v>17</v>
      </c>
      <c r="AP32" s="53"/>
    </row>
    <row r="33" spans="1:47" s="192" customFormat="1" ht="34" customHeight="1">
      <c r="A33" s="189">
        <f t="shared" si="5"/>
        <v>17</v>
      </c>
      <c r="B33" s="149" t="s">
        <v>100</v>
      </c>
      <c r="C33" s="108"/>
      <c r="D33" s="108">
        <v>28</v>
      </c>
      <c r="E33" s="108">
        <v>30</v>
      </c>
      <c r="F33" s="108"/>
      <c r="G33" s="108">
        <v>26</v>
      </c>
      <c r="H33" s="108"/>
      <c r="I33" s="108">
        <v>19</v>
      </c>
      <c r="J33" s="108">
        <v>35</v>
      </c>
      <c r="K33" s="108">
        <v>20</v>
      </c>
      <c r="L33" s="108">
        <v>29</v>
      </c>
      <c r="M33" s="108"/>
      <c r="N33" s="108">
        <v>14</v>
      </c>
      <c r="O33" s="108">
        <v>34</v>
      </c>
      <c r="P33" s="108"/>
      <c r="Q33" s="108"/>
      <c r="R33" s="108">
        <v>16</v>
      </c>
      <c r="S33" s="108">
        <v>24</v>
      </c>
      <c r="T33" s="108">
        <v>15</v>
      </c>
      <c r="U33" s="108">
        <v>22</v>
      </c>
      <c r="V33" s="108">
        <v>18</v>
      </c>
      <c r="W33" s="108"/>
      <c r="X33" s="108">
        <v>17</v>
      </c>
      <c r="Y33" s="108">
        <v>12</v>
      </c>
      <c r="Z33" s="108"/>
      <c r="AA33" s="108"/>
      <c r="AB33" s="108"/>
      <c r="AC33" s="108"/>
      <c r="AD33" s="108"/>
      <c r="AE33" s="108"/>
      <c r="AF33" s="108"/>
      <c r="AG33" s="100"/>
      <c r="AH33" s="100"/>
      <c r="AI33" s="100"/>
      <c r="AJ33" s="100"/>
      <c r="AK33" s="108"/>
      <c r="AL33" s="108">
        <v>13</v>
      </c>
      <c r="AM33" s="51">
        <f t="shared" si="3"/>
        <v>17</v>
      </c>
      <c r="AN33" s="149" t="s">
        <v>100</v>
      </c>
      <c r="AO33" s="190">
        <f t="shared" si="4"/>
        <v>18</v>
      </c>
      <c r="AP33" s="191"/>
    </row>
    <row r="34" spans="1:47" s="23" customFormat="1" ht="34" customHeight="1">
      <c r="A34" s="49">
        <f t="shared" si="5"/>
        <v>16</v>
      </c>
      <c r="B34" s="149" t="s">
        <v>101</v>
      </c>
      <c r="C34" s="108">
        <v>35</v>
      </c>
      <c r="D34" s="108">
        <v>15</v>
      </c>
      <c r="E34" s="108">
        <v>19</v>
      </c>
      <c r="F34" s="108">
        <v>23</v>
      </c>
      <c r="G34" s="108">
        <v>18</v>
      </c>
      <c r="H34" s="108"/>
      <c r="I34" s="108"/>
      <c r="J34" s="108">
        <v>34</v>
      </c>
      <c r="K34" s="108"/>
      <c r="L34" s="108">
        <v>28</v>
      </c>
      <c r="M34" s="108"/>
      <c r="N34" s="108">
        <v>27</v>
      </c>
      <c r="O34" s="108">
        <v>29</v>
      </c>
      <c r="P34" s="108"/>
      <c r="Q34" s="108">
        <v>11</v>
      </c>
      <c r="R34" s="108"/>
      <c r="S34" s="108">
        <v>25</v>
      </c>
      <c r="T34" s="108">
        <v>22</v>
      </c>
      <c r="U34" s="108">
        <v>33</v>
      </c>
      <c r="V34" s="108"/>
      <c r="W34" s="108">
        <v>26</v>
      </c>
      <c r="X34" s="108"/>
      <c r="Y34" s="108">
        <v>30</v>
      </c>
      <c r="Z34" s="108"/>
      <c r="AA34" s="108"/>
      <c r="AB34" s="108"/>
      <c r="AC34" s="108"/>
      <c r="AD34" s="108"/>
      <c r="AE34" s="108"/>
      <c r="AF34" s="108"/>
      <c r="AG34" s="50"/>
      <c r="AH34" s="100"/>
      <c r="AI34" s="50"/>
      <c r="AJ34" s="50"/>
      <c r="AK34" s="109"/>
      <c r="AL34" s="109">
        <v>14</v>
      </c>
      <c r="AM34" s="51">
        <f t="shared" si="3"/>
        <v>16</v>
      </c>
      <c r="AN34" s="149" t="s">
        <v>101</v>
      </c>
      <c r="AO34" s="54">
        <f t="shared" si="4"/>
        <v>19</v>
      </c>
      <c r="AP34" s="43"/>
      <c r="AQ34" s="24"/>
    </row>
    <row r="35" spans="1:47" s="23" customFormat="1" ht="34" customHeight="1">
      <c r="A35" s="49">
        <f t="shared" si="5"/>
        <v>16</v>
      </c>
      <c r="B35" s="149" t="s">
        <v>102</v>
      </c>
      <c r="C35" s="108"/>
      <c r="D35" s="108">
        <v>23</v>
      </c>
      <c r="E35" s="108">
        <v>20</v>
      </c>
      <c r="F35" s="108">
        <v>24</v>
      </c>
      <c r="G35" s="108"/>
      <c r="H35" s="108">
        <v>17</v>
      </c>
      <c r="I35" s="108">
        <v>13</v>
      </c>
      <c r="J35" s="108"/>
      <c r="K35" s="108">
        <v>35</v>
      </c>
      <c r="L35" s="108">
        <v>22</v>
      </c>
      <c r="M35" s="108">
        <v>12</v>
      </c>
      <c r="N35" s="108">
        <v>29</v>
      </c>
      <c r="O35" s="108">
        <v>28</v>
      </c>
      <c r="P35" s="108"/>
      <c r="Q35" s="108"/>
      <c r="R35" s="108">
        <v>15</v>
      </c>
      <c r="S35" s="108"/>
      <c r="T35" s="108"/>
      <c r="U35" s="108">
        <v>34</v>
      </c>
      <c r="V35" s="108">
        <v>19</v>
      </c>
      <c r="W35" s="108">
        <v>30</v>
      </c>
      <c r="X35" s="108">
        <v>18</v>
      </c>
      <c r="Y35" s="108"/>
      <c r="Z35" s="108"/>
      <c r="AA35" s="108"/>
      <c r="AB35" s="108"/>
      <c r="AC35" s="108"/>
      <c r="AD35" s="108"/>
      <c r="AE35" s="108"/>
      <c r="AF35" s="108"/>
      <c r="AG35" s="50"/>
      <c r="AH35" s="100"/>
      <c r="AI35" s="50"/>
      <c r="AJ35" s="50"/>
      <c r="AK35" s="109"/>
      <c r="AL35" s="109">
        <v>16</v>
      </c>
      <c r="AM35" s="51">
        <f t="shared" si="3"/>
        <v>16</v>
      </c>
      <c r="AN35" s="149" t="s">
        <v>102</v>
      </c>
      <c r="AO35" s="54">
        <f t="shared" si="4"/>
        <v>20</v>
      </c>
      <c r="AP35" s="53"/>
    </row>
    <row r="36" spans="1:47" s="23" customFormat="1" ht="34" customHeight="1">
      <c r="A36" s="49">
        <f t="shared" si="5"/>
        <v>15</v>
      </c>
      <c r="B36" s="149" t="s">
        <v>103</v>
      </c>
      <c r="C36" s="108"/>
      <c r="D36" s="108">
        <v>18</v>
      </c>
      <c r="E36" s="108">
        <v>16</v>
      </c>
      <c r="F36" s="108">
        <v>31</v>
      </c>
      <c r="G36" s="108">
        <v>17</v>
      </c>
      <c r="H36" s="108"/>
      <c r="I36" s="108"/>
      <c r="J36" s="108">
        <v>33</v>
      </c>
      <c r="K36" s="108"/>
      <c r="L36" s="108">
        <v>30</v>
      </c>
      <c r="M36" s="110"/>
      <c r="N36" s="108">
        <v>20</v>
      </c>
      <c r="O36" s="108">
        <v>27</v>
      </c>
      <c r="P36" s="108"/>
      <c r="Q36" s="108">
        <v>12</v>
      </c>
      <c r="R36" s="108"/>
      <c r="S36" s="108">
        <v>34</v>
      </c>
      <c r="T36" s="108">
        <v>23</v>
      </c>
      <c r="U36" s="108">
        <v>25</v>
      </c>
      <c r="V36" s="108"/>
      <c r="W36" s="108">
        <v>22</v>
      </c>
      <c r="X36" s="108">
        <v>19</v>
      </c>
      <c r="Y36" s="108"/>
      <c r="Z36" s="108"/>
      <c r="AA36" s="108"/>
      <c r="AB36" s="108"/>
      <c r="AC36" s="108"/>
      <c r="AD36" s="108"/>
      <c r="AE36" s="108"/>
      <c r="AF36" s="108"/>
      <c r="AG36" s="50"/>
      <c r="AH36" s="100"/>
      <c r="AI36" s="50"/>
      <c r="AJ36" s="50"/>
      <c r="AK36" s="109"/>
      <c r="AL36" s="109">
        <v>15</v>
      </c>
      <c r="AM36" s="51">
        <f t="shared" si="3"/>
        <v>15</v>
      </c>
      <c r="AN36" s="149" t="s">
        <v>103</v>
      </c>
      <c r="AO36" s="54">
        <f t="shared" si="4"/>
        <v>21</v>
      </c>
      <c r="AP36" s="53"/>
    </row>
    <row r="37" spans="1:47" s="28" customFormat="1" ht="34" customHeight="1">
      <c r="A37" s="49">
        <f t="shared" si="5"/>
        <v>16</v>
      </c>
      <c r="B37" s="149" t="s">
        <v>104</v>
      </c>
      <c r="C37" s="108"/>
      <c r="D37" s="108">
        <v>16</v>
      </c>
      <c r="E37" s="108"/>
      <c r="F37" s="108">
        <v>32</v>
      </c>
      <c r="G37" s="108"/>
      <c r="H37" s="108">
        <v>19</v>
      </c>
      <c r="I37" s="108">
        <v>12</v>
      </c>
      <c r="J37" s="108">
        <v>29</v>
      </c>
      <c r="K37" s="108"/>
      <c r="L37" s="108">
        <v>27</v>
      </c>
      <c r="M37" s="108">
        <v>18</v>
      </c>
      <c r="N37" s="108">
        <v>28</v>
      </c>
      <c r="O37" s="108"/>
      <c r="P37" s="108"/>
      <c r="Q37" s="108"/>
      <c r="R37" s="108"/>
      <c r="S37" s="108">
        <v>33</v>
      </c>
      <c r="T37" s="108">
        <v>25</v>
      </c>
      <c r="U37" s="108">
        <v>26</v>
      </c>
      <c r="V37" s="108">
        <v>24</v>
      </c>
      <c r="W37" s="108">
        <v>23</v>
      </c>
      <c r="X37" s="50">
        <v>13</v>
      </c>
      <c r="Y37" s="108">
        <v>14</v>
      </c>
      <c r="Z37" s="108"/>
      <c r="AA37" s="108"/>
      <c r="AB37" s="108"/>
      <c r="AC37" s="108"/>
      <c r="AD37" s="108"/>
      <c r="AE37" s="108"/>
      <c r="AF37" s="108"/>
      <c r="AG37" s="50"/>
      <c r="AH37" s="100"/>
      <c r="AI37" s="50"/>
      <c r="AJ37" s="50"/>
      <c r="AK37" s="109"/>
      <c r="AL37" s="109">
        <v>17</v>
      </c>
      <c r="AM37" s="51">
        <f t="shared" si="3"/>
        <v>16</v>
      </c>
      <c r="AN37" s="149" t="s">
        <v>104</v>
      </c>
      <c r="AO37" s="54">
        <f t="shared" si="4"/>
        <v>22</v>
      </c>
      <c r="AP37" s="53"/>
    </row>
    <row r="38" spans="1:47" s="29" customFormat="1" ht="34" customHeight="1">
      <c r="A38" s="49">
        <f t="shared" si="5"/>
        <v>15</v>
      </c>
      <c r="B38" s="149" t="s">
        <v>105</v>
      </c>
      <c r="C38" s="108"/>
      <c r="D38" s="108"/>
      <c r="E38" s="108">
        <v>17</v>
      </c>
      <c r="F38" s="108">
        <v>25</v>
      </c>
      <c r="G38" s="151"/>
      <c r="H38" s="108">
        <v>18</v>
      </c>
      <c r="I38" s="108"/>
      <c r="J38" s="108"/>
      <c r="K38" s="108">
        <v>34</v>
      </c>
      <c r="L38" s="108">
        <v>23</v>
      </c>
      <c r="M38" s="108">
        <v>14</v>
      </c>
      <c r="N38" s="108">
        <v>30</v>
      </c>
      <c r="O38" s="108">
        <v>26</v>
      </c>
      <c r="P38" s="108"/>
      <c r="Q38" s="108"/>
      <c r="R38" s="108">
        <v>13</v>
      </c>
      <c r="S38" s="108"/>
      <c r="T38" s="108">
        <v>24</v>
      </c>
      <c r="U38" s="108">
        <v>27</v>
      </c>
      <c r="V38" s="108">
        <v>20</v>
      </c>
      <c r="W38" s="108"/>
      <c r="X38" s="108">
        <v>12</v>
      </c>
      <c r="Y38" s="108">
        <v>15</v>
      </c>
      <c r="Z38" s="108"/>
      <c r="AA38" s="108"/>
      <c r="AB38" s="108"/>
      <c r="AC38" s="108"/>
      <c r="AD38" s="108"/>
      <c r="AE38" s="108"/>
      <c r="AF38" s="108"/>
      <c r="AG38" s="50"/>
      <c r="AH38" s="100"/>
      <c r="AI38" s="50"/>
      <c r="AJ38" s="50"/>
      <c r="AK38" s="109"/>
      <c r="AL38" s="109">
        <v>19</v>
      </c>
      <c r="AM38" s="51">
        <f t="shared" si="3"/>
        <v>15</v>
      </c>
      <c r="AN38" s="149" t="s">
        <v>105</v>
      </c>
      <c r="AO38" s="54">
        <f t="shared" si="4"/>
        <v>23</v>
      </c>
      <c r="AP38" s="43"/>
      <c r="AQ38" s="24"/>
      <c r="AS38" s="97"/>
      <c r="AT38" s="98"/>
      <c r="AU38" s="98"/>
    </row>
    <row r="39" spans="1:47" s="29" customFormat="1" ht="34" customHeight="1">
      <c r="A39" s="49">
        <f t="shared" si="5"/>
        <v>16</v>
      </c>
      <c r="B39" s="149" t="s">
        <v>106</v>
      </c>
      <c r="C39" s="108">
        <v>34</v>
      </c>
      <c r="D39" s="108">
        <v>17</v>
      </c>
      <c r="E39" s="108"/>
      <c r="F39" s="108">
        <v>30</v>
      </c>
      <c r="G39" s="108">
        <v>31</v>
      </c>
      <c r="H39" s="108"/>
      <c r="I39" s="108"/>
      <c r="J39" s="108">
        <v>28</v>
      </c>
      <c r="K39" s="108">
        <v>33</v>
      </c>
      <c r="L39" s="108"/>
      <c r="M39" s="108">
        <v>20</v>
      </c>
      <c r="N39" s="108"/>
      <c r="O39" s="108">
        <v>19</v>
      </c>
      <c r="P39" s="108"/>
      <c r="Q39" s="108"/>
      <c r="R39" s="108"/>
      <c r="S39" s="108">
        <v>35</v>
      </c>
      <c r="T39" s="108">
        <v>26</v>
      </c>
      <c r="U39" s="108">
        <v>29</v>
      </c>
      <c r="V39" s="108">
        <v>14</v>
      </c>
      <c r="W39" s="108">
        <v>25</v>
      </c>
      <c r="X39" s="108">
        <v>32</v>
      </c>
      <c r="Y39" s="108">
        <v>18</v>
      </c>
      <c r="Z39" s="108"/>
      <c r="AA39" s="108"/>
      <c r="AB39" s="108"/>
      <c r="AC39" s="108"/>
      <c r="AD39" s="108"/>
      <c r="AE39" s="108"/>
      <c r="AF39" s="108"/>
      <c r="AG39" s="50"/>
      <c r="AH39" s="100"/>
      <c r="AI39" s="50"/>
      <c r="AJ39" s="50"/>
      <c r="AK39" s="109"/>
      <c r="AL39" s="109">
        <v>24</v>
      </c>
      <c r="AM39" s="51">
        <f t="shared" si="3"/>
        <v>16</v>
      </c>
      <c r="AN39" s="149" t="s">
        <v>106</v>
      </c>
      <c r="AO39" s="54">
        <f t="shared" si="4"/>
        <v>24</v>
      </c>
      <c r="AP39" s="43"/>
      <c r="AQ39" s="24"/>
      <c r="AS39" s="97"/>
      <c r="AT39" s="98"/>
      <c r="AU39" s="98"/>
    </row>
    <row r="40" spans="1:47" s="29" customFormat="1" ht="34" customHeight="1">
      <c r="A40" s="49">
        <f t="shared" si="5"/>
        <v>15</v>
      </c>
      <c r="B40" s="149" t="s">
        <v>107</v>
      </c>
      <c r="C40" s="108"/>
      <c r="D40" s="108">
        <v>30</v>
      </c>
      <c r="E40" s="108">
        <v>29</v>
      </c>
      <c r="F40" s="108">
        <v>26</v>
      </c>
      <c r="G40" s="108">
        <v>32</v>
      </c>
      <c r="H40" s="108"/>
      <c r="I40" s="108">
        <v>14</v>
      </c>
      <c r="J40" s="108">
        <v>27</v>
      </c>
      <c r="K40" s="108">
        <v>31</v>
      </c>
      <c r="L40" s="108">
        <v>20</v>
      </c>
      <c r="M40" s="108"/>
      <c r="N40" s="108">
        <v>19</v>
      </c>
      <c r="O40" s="108">
        <v>25</v>
      </c>
      <c r="P40" s="108"/>
      <c r="Q40" s="108">
        <v>13</v>
      </c>
      <c r="R40" s="108"/>
      <c r="S40" s="108"/>
      <c r="T40" s="108"/>
      <c r="U40" s="108"/>
      <c r="V40" s="108">
        <v>15</v>
      </c>
      <c r="W40" s="108">
        <v>24</v>
      </c>
      <c r="X40" s="100">
        <v>33</v>
      </c>
      <c r="Y40" s="108"/>
      <c r="Z40" s="108"/>
      <c r="AA40" s="108"/>
      <c r="AB40" s="108"/>
      <c r="AC40" s="108"/>
      <c r="AD40" s="108"/>
      <c r="AE40" s="108"/>
      <c r="AF40" s="108"/>
      <c r="AG40" s="108"/>
      <c r="AH40" s="108"/>
      <c r="AI40" s="108"/>
      <c r="AJ40" s="108"/>
      <c r="AK40" s="108"/>
      <c r="AL40" s="108">
        <v>18</v>
      </c>
      <c r="AM40" s="51">
        <f t="shared" si="3"/>
        <v>15</v>
      </c>
      <c r="AN40" s="149" t="s">
        <v>107</v>
      </c>
      <c r="AO40" s="54">
        <f t="shared" si="4"/>
        <v>25</v>
      </c>
      <c r="AP40" s="43"/>
      <c r="AQ40" s="24"/>
      <c r="AS40" s="97"/>
      <c r="AT40" s="98"/>
      <c r="AU40" s="98"/>
    </row>
    <row r="41" spans="1:47" s="29" customFormat="1" ht="34" customHeight="1">
      <c r="A41" s="49">
        <f t="shared" si="5"/>
        <v>17</v>
      </c>
      <c r="B41" s="149" t="s">
        <v>108</v>
      </c>
      <c r="C41" s="108"/>
      <c r="D41" s="108">
        <v>20</v>
      </c>
      <c r="E41" s="108"/>
      <c r="F41" s="108">
        <v>29</v>
      </c>
      <c r="G41" s="108">
        <v>33</v>
      </c>
      <c r="H41" s="108"/>
      <c r="I41" s="108">
        <v>16</v>
      </c>
      <c r="J41" s="108"/>
      <c r="K41" s="108"/>
      <c r="L41" s="108">
        <v>26</v>
      </c>
      <c r="M41" s="108"/>
      <c r="N41" s="108">
        <v>18</v>
      </c>
      <c r="O41" s="108">
        <v>24</v>
      </c>
      <c r="P41" s="108"/>
      <c r="Q41" s="108">
        <v>15</v>
      </c>
      <c r="R41" s="108">
        <v>14</v>
      </c>
      <c r="S41" s="108">
        <v>32</v>
      </c>
      <c r="T41" s="108">
        <v>27</v>
      </c>
      <c r="U41" s="108">
        <v>28</v>
      </c>
      <c r="V41" s="108">
        <v>13</v>
      </c>
      <c r="W41" s="108">
        <v>12</v>
      </c>
      <c r="X41" s="100">
        <v>31</v>
      </c>
      <c r="Y41" s="108">
        <v>19</v>
      </c>
      <c r="Z41" s="108"/>
      <c r="AA41" s="108"/>
      <c r="AB41" s="108"/>
      <c r="AC41" s="108"/>
      <c r="AD41" s="108"/>
      <c r="AE41" s="108"/>
      <c r="AF41" s="108"/>
      <c r="AG41" s="108"/>
      <c r="AH41" s="108"/>
      <c r="AI41" s="108"/>
      <c r="AJ41" s="108"/>
      <c r="AK41" s="108"/>
      <c r="AL41" s="108">
        <v>11</v>
      </c>
      <c r="AM41" s="51">
        <f t="shared" si="3"/>
        <v>17</v>
      </c>
      <c r="AN41" s="149" t="s">
        <v>108</v>
      </c>
      <c r="AO41" s="54">
        <f t="shared" si="4"/>
        <v>26</v>
      </c>
      <c r="AP41" s="43"/>
      <c r="AQ41" s="24"/>
      <c r="AS41" s="99"/>
      <c r="AT41" s="98"/>
      <c r="AU41" s="98"/>
    </row>
    <row r="42" spans="1:47" s="29" customFormat="1" ht="34" customHeight="1">
      <c r="A42" s="49">
        <f t="shared" si="5"/>
        <v>15</v>
      </c>
      <c r="B42" s="149" t="s">
        <v>109</v>
      </c>
      <c r="C42" s="108"/>
      <c r="D42" s="108">
        <v>29</v>
      </c>
      <c r="E42" s="108">
        <v>27</v>
      </c>
      <c r="F42" s="151"/>
      <c r="G42" s="108"/>
      <c r="H42" s="108">
        <v>20</v>
      </c>
      <c r="I42" s="108"/>
      <c r="J42" s="108"/>
      <c r="K42" s="108">
        <v>32</v>
      </c>
      <c r="L42" s="108">
        <v>24</v>
      </c>
      <c r="M42" s="108"/>
      <c r="N42" s="108">
        <v>17</v>
      </c>
      <c r="O42" s="108">
        <v>23</v>
      </c>
      <c r="P42" s="108"/>
      <c r="Q42" s="108">
        <v>14</v>
      </c>
      <c r="R42" s="108"/>
      <c r="S42" s="108">
        <v>31</v>
      </c>
      <c r="T42" s="108">
        <v>28</v>
      </c>
      <c r="U42" s="108">
        <v>30</v>
      </c>
      <c r="V42" s="108">
        <v>12</v>
      </c>
      <c r="W42" s="108">
        <v>13</v>
      </c>
      <c r="X42" s="100">
        <v>35</v>
      </c>
      <c r="Y42" s="151"/>
      <c r="Z42" s="108"/>
      <c r="AA42" s="108"/>
      <c r="AB42" s="108"/>
      <c r="AC42" s="108"/>
      <c r="AD42" s="108"/>
      <c r="AE42" s="108"/>
      <c r="AF42" s="108"/>
      <c r="AG42" s="108"/>
      <c r="AH42" s="108"/>
      <c r="AI42" s="108"/>
      <c r="AJ42" s="108"/>
      <c r="AK42" s="108"/>
      <c r="AL42" s="108">
        <v>21</v>
      </c>
      <c r="AM42" s="51">
        <f t="shared" si="3"/>
        <v>15</v>
      </c>
      <c r="AN42" s="149" t="s">
        <v>109</v>
      </c>
      <c r="AO42" s="54">
        <f t="shared" si="4"/>
        <v>27</v>
      </c>
      <c r="AP42" s="43"/>
      <c r="AQ42" s="24"/>
    </row>
    <row r="43" spans="1:47" s="29" customFormat="1" ht="34" customHeight="1">
      <c r="A43" s="49">
        <f t="shared" si="5"/>
        <v>14</v>
      </c>
      <c r="B43" s="149" t="s">
        <v>110</v>
      </c>
      <c r="C43" s="108"/>
      <c r="D43" s="108">
        <v>31</v>
      </c>
      <c r="E43" s="108">
        <v>28</v>
      </c>
      <c r="F43" s="108">
        <v>27</v>
      </c>
      <c r="G43" s="108">
        <v>34</v>
      </c>
      <c r="H43" s="108"/>
      <c r="I43" s="108">
        <v>15</v>
      </c>
      <c r="J43" s="108"/>
      <c r="K43" s="108">
        <v>30</v>
      </c>
      <c r="L43" s="108">
        <v>25</v>
      </c>
      <c r="M43" s="108"/>
      <c r="N43" s="108">
        <v>10</v>
      </c>
      <c r="O43" s="108"/>
      <c r="P43" s="108"/>
      <c r="Q43" s="108">
        <v>16</v>
      </c>
      <c r="R43" s="108">
        <v>11</v>
      </c>
      <c r="S43" s="108"/>
      <c r="T43" s="108">
        <v>29</v>
      </c>
      <c r="U43" s="108">
        <v>35</v>
      </c>
      <c r="V43" s="108"/>
      <c r="W43" s="108"/>
      <c r="X43" s="100"/>
      <c r="Y43" s="108">
        <v>20</v>
      </c>
      <c r="Z43" s="108"/>
      <c r="AA43" s="108"/>
      <c r="AB43" s="108"/>
      <c r="AC43" s="108"/>
      <c r="AD43" s="108"/>
      <c r="AE43" s="108"/>
      <c r="AF43" s="108"/>
      <c r="AG43" s="108"/>
      <c r="AH43" s="108"/>
      <c r="AI43" s="108"/>
      <c r="AJ43" s="108"/>
      <c r="AK43" s="108"/>
      <c r="AL43" s="108">
        <v>22</v>
      </c>
      <c r="AM43" s="51">
        <f t="shared" si="3"/>
        <v>14</v>
      </c>
      <c r="AN43" s="149" t="s">
        <v>110</v>
      </c>
      <c r="AO43" s="54">
        <f t="shared" si="4"/>
        <v>28</v>
      </c>
      <c r="AP43" s="43"/>
      <c r="AQ43" s="24"/>
    </row>
    <row r="44" spans="1:47" s="29" customFormat="1" ht="34" customHeight="1">
      <c r="A44" s="49">
        <f t="shared" si="5"/>
        <v>15</v>
      </c>
      <c r="B44" s="149" t="s">
        <v>111</v>
      </c>
      <c r="C44" s="108"/>
      <c r="D44" s="108">
        <v>19</v>
      </c>
      <c r="E44" s="108"/>
      <c r="F44" s="108">
        <v>28</v>
      </c>
      <c r="G44" s="108">
        <v>35</v>
      </c>
      <c r="H44" s="108">
        <v>11</v>
      </c>
      <c r="I44" s="108">
        <v>17</v>
      </c>
      <c r="J44" s="108"/>
      <c r="K44" s="108">
        <v>29</v>
      </c>
      <c r="L44" s="108"/>
      <c r="M44" s="151">
        <v>16</v>
      </c>
      <c r="N44" s="108"/>
      <c r="O44" s="108">
        <v>22</v>
      </c>
      <c r="P44" s="108"/>
      <c r="Q44" s="108"/>
      <c r="R44" s="108">
        <v>12</v>
      </c>
      <c r="S44" s="108"/>
      <c r="T44" s="108">
        <v>30</v>
      </c>
      <c r="U44" s="108">
        <v>32</v>
      </c>
      <c r="V44" s="108"/>
      <c r="W44" s="108">
        <v>14</v>
      </c>
      <c r="X44" s="100">
        <v>34</v>
      </c>
      <c r="Y44" s="108">
        <v>21</v>
      </c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  <c r="AL44" s="108">
        <v>23</v>
      </c>
      <c r="AM44" s="51">
        <f t="shared" si="3"/>
        <v>15</v>
      </c>
      <c r="AN44" s="149" t="s">
        <v>111</v>
      </c>
      <c r="AO44" s="54">
        <f t="shared" si="4"/>
        <v>29</v>
      </c>
      <c r="AP44" s="43"/>
      <c r="AQ44" s="24"/>
    </row>
    <row r="45" spans="1:47" s="29" customFormat="1" ht="18" customHeight="1">
      <c r="A45" s="49"/>
      <c r="B45" s="95"/>
      <c r="C45" s="103">
        <f>COUNTA(EXPERT1)</f>
        <v>5</v>
      </c>
      <c r="D45" s="103">
        <f>COUNTA(EXPERT2)</f>
        <v>23</v>
      </c>
      <c r="E45" s="103">
        <f>COUNTA(EXPERT3)</f>
        <v>18</v>
      </c>
      <c r="F45" s="103">
        <f>COUNTA(EXPERT4)</f>
        <v>23</v>
      </c>
      <c r="G45" s="103">
        <f>COUNTA(EXPERT5)</f>
        <v>18</v>
      </c>
      <c r="H45" s="103">
        <f>COUNTA(EXPERT6)</f>
        <v>11</v>
      </c>
      <c r="I45" s="103">
        <f>COUNTA(EXPERT7)</f>
        <v>17</v>
      </c>
      <c r="J45" s="103">
        <f>COUNTA(EXPERT8)</f>
        <v>15</v>
      </c>
      <c r="K45" s="103">
        <f>COUNTA(EXPERT9)</f>
        <v>19</v>
      </c>
      <c r="L45" s="103">
        <f>COUNTA(EXPERT10)</f>
        <v>23</v>
      </c>
      <c r="M45" s="103">
        <f>COUNTA(EXPERT11)</f>
        <v>10</v>
      </c>
      <c r="N45" s="103">
        <f>COUNTA(EXPERT12)</f>
        <v>23</v>
      </c>
      <c r="O45" s="103">
        <f>COUNTA(EXPERT13)</f>
        <v>23</v>
      </c>
      <c r="P45" s="300">
        <f>COUNTA(EXPERT14)</f>
        <v>0</v>
      </c>
      <c r="Q45" s="103">
        <f>COUNTA(EXPERT15)</f>
        <v>13</v>
      </c>
      <c r="R45" s="103">
        <f>COUNTA(EXPERT16)</f>
        <v>12</v>
      </c>
      <c r="S45" s="103">
        <f>COUNTA(EXPERT17)</f>
        <v>14</v>
      </c>
      <c r="T45" s="103">
        <f>COUNTA(EXPERT18)</f>
        <v>22</v>
      </c>
      <c r="U45" s="103">
        <f>COUNTA(EXPERT19)</f>
        <v>23</v>
      </c>
      <c r="V45" s="103">
        <f>COUNTA(EXPERT20)</f>
        <v>16</v>
      </c>
      <c r="W45" s="103">
        <f>COUNTA(EXPERT21)</f>
        <v>21</v>
      </c>
      <c r="X45" s="103">
        <f>COUNTA(EXPERT22)</f>
        <v>23</v>
      </c>
      <c r="Y45" s="103">
        <f>COUNTA(EXPERT23)</f>
        <v>19</v>
      </c>
      <c r="Z45" s="103">
        <f>COUNTA(EXPERT24)</f>
        <v>0</v>
      </c>
      <c r="AA45" s="103">
        <f>COUNTA(EXPERT25)</f>
        <v>0</v>
      </c>
      <c r="AB45" s="103">
        <f>COUNTA(EXPERT26)</f>
        <v>0</v>
      </c>
      <c r="AC45" s="103">
        <f>COUNTA(EXPERT27)</f>
        <v>0</v>
      </c>
      <c r="AD45" s="103">
        <f>COUNTA(EXPERT28)</f>
        <v>0</v>
      </c>
      <c r="AE45" s="103">
        <f>COUNTA(EXPERT29)</f>
        <v>0</v>
      </c>
      <c r="AF45" s="103">
        <f>COUNTA(EXPERT30)</f>
        <v>0</v>
      </c>
      <c r="AG45" s="103">
        <f>COUNTA(EXPERTPER1)</f>
        <v>0</v>
      </c>
      <c r="AH45" s="103">
        <f>COUNTA(EXPERTPER2)</f>
        <v>0</v>
      </c>
      <c r="AI45" s="103">
        <f>COUNTA(EXPERTPER3)</f>
        <v>0</v>
      </c>
      <c r="AJ45" s="103">
        <f>COUNTA(EXPERTPER4)</f>
        <v>0</v>
      </c>
      <c r="AK45" s="103">
        <f>COUNTA(TUTEUR1)</f>
        <v>14</v>
      </c>
      <c r="AL45" s="103">
        <f>COUNTA(TUTEUR2)</f>
        <v>13</v>
      </c>
      <c r="AM45" s="104">
        <f>SUM(C45:AL45)</f>
        <v>418</v>
      </c>
      <c r="AN45" s="43"/>
      <c r="AO45" s="57"/>
      <c r="AP45" s="53"/>
      <c r="AQ45" s="31"/>
    </row>
    <row r="46" spans="1:47" s="29" customFormat="1" ht="17" customHeight="1" thickBot="1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301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7"/>
      <c r="AP46" s="48"/>
      <c r="AQ46" s="31"/>
    </row>
    <row r="47" spans="1:47" s="14" customFormat="1" ht="34" customHeight="1" thickBot="1">
      <c r="A47" s="56"/>
      <c r="B47" s="105">
        <f>SUM(C47:AL47)</f>
        <v>0</v>
      </c>
      <c r="C47" s="58">
        <f t="shared" ref="C47:AL47" si="6">C45-C15</f>
        <v>0</v>
      </c>
      <c r="D47" s="58">
        <f t="shared" si="6"/>
        <v>0</v>
      </c>
      <c r="E47" s="58">
        <f t="shared" si="6"/>
        <v>0</v>
      </c>
      <c r="F47" s="58">
        <f t="shared" si="6"/>
        <v>0</v>
      </c>
      <c r="G47" s="58">
        <f t="shared" si="6"/>
        <v>0</v>
      </c>
      <c r="H47" s="58">
        <f t="shared" si="6"/>
        <v>0</v>
      </c>
      <c r="I47" s="58">
        <f t="shared" si="6"/>
        <v>0</v>
      </c>
      <c r="J47" s="58">
        <f t="shared" si="6"/>
        <v>0</v>
      </c>
      <c r="K47" s="58">
        <f t="shared" si="6"/>
        <v>0</v>
      </c>
      <c r="L47" s="209">
        <f t="shared" si="6"/>
        <v>0</v>
      </c>
      <c r="M47" s="209">
        <f t="shared" si="6"/>
        <v>0</v>
      </c>
      <c r="N47" s="58">
        <f t="shared" si="6"/>
        <v>0</v>
      </c>
      <c r="O47" s="58">
        <f t="shared" si="6"/>
        <v>0</v>
      </c>
      <c r="P47" s="302">
        <f t="shared" si="6"/>
        <v>0</v>
      </c>
      <c r="Q47" s="58">
        <f t="shared" si="6"/>
        <v>0</v>
      </c>
      <c r="R47" s="58">
        <f t="shared" si="6"/>
        <v>0</v>
      </c>
      <c r="S47" s="58">
        <f t="shared" si="6"/>
        <v>0</v>
      </c>
      <c r="T47" s="58">
        <f>T45-T15</f>
        <v>0</v>
      </c>
      <c r="U47" s="58">
        <f>U45-U15</f>
        <v>0</v>
      </c>
      <c r="V47" s="58">
        <f>V45-V15</f>
        <v>0</v>
      </c>
      <c r="W47" s="58">
        <f t="shared" si="6"/>
        <v>0</v>
      </c>
      <c r="X47" s="58">
        <f t="shared" si="6"/>
        <v>0</v>
      </c>
      <c r="Y47" s="58">
        <f t="shared" si="6"/>
        <v>0</v>
      </c>
      <c r="Z47" s="58">
        <f t="shared" si="6"/>
        <v>0</v>
      </c>
      <c r="AA47" s="58">
        <f t="shared" si="6"/>
        <v>0</v>
      </c>
      <c r="AB47" s="58">
        <f t="shared" si="6"/>
        <v>0</v>
      </c>
      <c r="AC47" s="58">
        <f t="shared" si="6"/>
        <v>0</v>
      </c>
      <c r="AD47" s="58">
        <f t="shared" si="6"/>
        <v>0</v>
      </c>
      <c r="AE47" s="58">
        <f t="shared" si="6"/>
        <v>0</v>
      </c>
      <c r="AF47" s="58">
        <f t="shared" si="6"/>
        <v>0</v>
      </c>
      <c r="AG47" s="58">
        <f t="shared" si="6"/>
        <v>0</v>
      </c>
      <c r="AH47" s="58">
        <f t="shared" si="6"/>
        <v>0</v>
      </c>
      <c r="AI47" s="58">
        <f t="shared" si="6"/>
        <v>0</v>
      </c>
      <c r="AJ47" s="58">
        <f t="shared" si="6"/>
        <v>0</v>
      </c>
      <c r="AK47" s="58">
        <f t="shared" si="6"/>
        <v>0</v>
      </c>
      <c r="AL47" s="58">
        <f t="shared" si="6"/>
        <v>0</v>
      </c>
      <c r="AM47" s="106"/>
      <c r="AN47" s="56"/>
      <c r="AO47" s="36"/>
      <c r="AP47" s="37"/>
      <c r="AQ47" s="20"/>
    </row>
    <row r="48" spans="1:47" s="14" customFormat="1" ht="170" customHeight="1" thickBot="1">
      <c r="A48" s="75" t="s">
        <v>2</v>
      </c>
      <c r="B48" s="85"/>
      <c r="C48" s="250" t="s">
        <v>124</v>
      </c>
      <c r="D48" s="250" t="s">
        <v>125</v>
      </c>
      <c r="E48" s="250" t="s">
        <v>126</v>
      </c>
      <c r="F48" s="250" t="s">
        <v>127</v>
      </c>
      <c r="G48" s="250" t="s">
        <v>128</v>
      </c>
      <c r="H48" s="250" t="s">
        <v>129</v>
      </c>
      <c r="I48" s="250" t="s">
        <v>130</v>
      </c>
      <c r="J48" s="250" t="s">
        <v>131</v>
      </c>
      <c r="K48" s="250" t="s">
        <v>132</v>
      </c>
      <c r="L48" s="305" t="s">
        <v>133</v>
      </c>
      <c r="M48" s="305" t="s">
        <v>59</v>
      </c>
      <c r="N48" s="250" t="s">
        <v>60</v>
      </c>
      <c r="O48" s="305" t="s">
        <v>61</v>
      </c>
      <c r="P48" s="290" t="s">
        <v>159</v>
      </c>
      <c r="Q48" s="305" t="s">
        <v>62</v>
      </c>
      <c r="R48" s="305" t="s">
        <v>63</v>
      </c>
      <c r="S48" s="250" t="s">
        <v>64</v>
      </c>
      <c r="T48" s="305" t="s">
        <v>65</v>
      </c>
      <c r="U48" s="250" t="s">
        <v>66</v>
      </c>
      <c r="V48" s="305" t="s">
        <v>67</v>
      </c>
      <c r="W48" s="305" t="s">
        <v>68</v>
      </c>
      <c r="X48" s="250" t="s">
        <v>69</v>
      </c>
      <c r="Y48" s="305" t="s">
        <v>70</v>
      </c>
      <c r="Z48" s="186" t="s">
        <v>46</v>
      </c>
      <c r="AA48" s="186" t="s">
        <v>47</v>
      </c>
      <c r="AB48" s="186" t="s">
        <v>52</v>
      </c>
      <c r="AC48" s="186" t="s">
        <v>53</v>
      </c>
      <c r="AD48" s="186" t="s">
        <v>54</v>
      </c>
      <c r="AE48" s="186" t="s">
        <v>55</v>
      </c>
      <c r="AF48" s="186" t="s">
        <v>56</v>
      </c>
      <c r="AG48" s="188" t="s">
        <v>48</v>
      </c>
      <c r="AH48" s="188" t="s">
        <v>49</v>
      </c>
      <c r="AI48" s="188" t="s">
        <v>50</v>
      </c>
      <c r="AJ48" s="188" t="s">
        <v>51</v>
      </c>
      <c r="AK48" s="187" t="s">
        <v>22</v>
      </c>
      <c r="AL48" s="187" t="s">
        <v>23</v>
      </c>
      <c r="AM48" s="34"/>
      <c r="AN48" s="35"/>
      <c r="AO48" s="36" t="s">
        <v>7</v>
      </c>
      <c r="AP48" s="37"/>
      <c r="AQ48" s="20"/>
    </row>
    <row r="49" spans="1:42" s="19" customFormat="1" ht="15">
      <c r="A49" s="53"/>
      <c r="B49" s="242" t="s">
        <v>77</v>
      </c>
      <c r="C49" s="243">
        <v>3</v>
      </c>
      <c r="D49" s="243">
        <v>12</v>
      </c>
      <c r="E49" s="243">
        <v>9</v>
      </c>
      <c r="F49" s="243">
        <v>12</v>
      </c>
      <c r="G49" s="243">
        <v>9</v>
      </c>
      <c r="H49" s="243">
        <v>6</v>
      </c>
      <c r="I49" s="243">
        <v>9</v>
      </c>
      <c r="J49" s="243">
        <v>8</v>
      </c>
      <c r="K49" s="243">
        <v>10</v>
      </c>
      <c r="L49" s="243">
        <v>12</v>
      </c>
      <c r="M49" s="243">
        <v>5</v>
      </c>
      <c r="N49" s="243">
        <v>12</v>
      </c>
      <c r="O49" s="243">
        <v>12</v>
      </c>
      <c r="P49" s="303">
        <v>0</v>
      </c>
      <c r="Q49" s="243">
        <v>7</v>
      </c>
      <c r="R49" s="243">
        <v>6</v>
      </c>
      <c r="S49" s="243">
        <v>7</v>
      </c>
      <c r="T49" s="243">
        <v>11</v>
      </c>
      <c r="U49" s="243">
        <v>12</v>
      </c>
      <c r="V49" s="243">
        <v>8</v>
      </c>
      <c r="W49" s="243">
        <v>11</v>
      </c>
      <c r="X49" s="243">
        <v>12</v>
      </c>
      <c r="Y49" s="243">
        <v>10</v>
      </c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>
        <v>7</v>
      </c>
      <c r="AL49" s="244">
        <v>7</v>
      </c>
      <c r="AM49" s="241">
        <f>SUM(C49:AL49)</f>
        <v>217</v>
      </c>
      <c r="AN49" s="53"/>
      <c r="AO49" s="59"/>
      <c r="AP49" s="53"/>
    </row>
    <row r="50" spans="1:42" thickBot="1">
      <c r="A50" s="53"/>
      <c r="B50" s="245" t="s">
        <v>76</v>
      </c>
      <c r="C50" s="246">
        <v>2</v>
      </c>
      <c r="D50" s="246">
        <v>11</v>
      </c>
      <c r="E50" s="246">
        <v>9</v>
      </c>
      <c r="F50" s="246">
        <v>11</v>
      </c>
      <c r="G50" s="246">
        <v>9</v>
      </c>
      <c r="H50" s="246">
        <v>5</v>
      </c>
      <c r="I50" s="246">
        <v>8</v>
      </c>
      <c r="J50" s="246">
        <v>7</v>
      </c>
      <c r="K50" s="246">
        <v>9</v>
      </c>
      <c r="L50" s="246">
        <v>11</v>
      </c>
      <c r="M50" s="246">
        <v>5</v>
      </c>
      <c r="N50" s="246">
        <v>11</v>
      </c>
      <c r="O50" s="246">
        <v>11</v>
      </c>
      <c r="P50" s="304">
        <v>0</v>
      </c>
      <c r="Q50" s="246">
        <v>6</v>
      </c>
      <c r="R50" s="246">
        <v>6</v>
      </c>
      <c r="S50" s="246">
        <v>7</v>
      </c>
      <c r="T50" s="246">
        <v>11</v>
      </c>
      <c r="U50" s="246">
        <v>11</v>
      </c>
      <c r="V50" s="246">
        <v>8</v>
      </c>
      <c r="W50" s="246">
        <v>10</v>
      </c>
      <c r="X50" s="246">
        <v>11</v>
      </c>
      <c r="Y50" s="246">
        <v>9</v>
      </c>
      <c r="Z50" s="246"/>
      <c r="AA50" s="246"/>
      <c r="AB50" s="246"/>
      <c r="AC50" s="246"/>
      <c r="AD50" s="246"/>
      <c r="AE50" s="246"/>
      <c r="AF50" s="246"/>
      <c r="AG50" s="246"/>
      <c r="AH50" s="246"/>
      <c r="AI50" s="246"/>
      <c r="AJ50" s="246"/>
      <c r="AK50" s="246">
        <v>7</v>
      </c>
      <c r="AL50" s="247">
        <v>6</v>
      </c>
      <c r="AM50" s="241">
        <f>SUM(C50:AL50)</f>
        <v>201</v>
      </c>
      <c r="AN50" s="53"/>
    </row>
    <row r="55" spans="1:42">
      <c r="B55" s="96"/>
      <c r="C55" s="17"/>
      <c r="D55" s="17"/>
      <c r="E55" s="17"/>
    </row>
    <row r="56" spans="1:42">
      <c r="C56" s="17"/>
      <c r="D56" s="17"/>
      <c r="E56" s="17"/>
    </row>
    <row r="57" spans="1:42">
      <c r="C57" s="17"/>
      <c r="D57" s="17"/>
      <c r="E57" s="17"/>
    </row>
    <row r="58" spans="1:42">
      <c r="C58" s="17"/>
      <c r="D58" s="17"/>
      <c r="E58" s="17"/>
    </row>
    <row r="59" spans="1:42">
      <c r="C59" s="17"/>
      <c r="D59" s="17"/>
      <c r="E59" s="17"/>
    </row>
    <row r="60" spans="1:42">
      <c r="C60" s="17"/>
      <c r="D60" s="17"/>
      <c r="E60" s="17"/>
    </row>
    <row r="61" spans="1:42">
      <c r="C61" s="17"/>
      <c r="D61" s="17"/>
      <c r="E61" s="17"/>
    </row>
    <row r="62" spans="1:42">
      <c r="C62" s="17"/>
      <c r="D62" s="17"/>
      <c r="E62" s="17"/>
    </row>
    <row r="63" spans="1:42">
      <c r="C63" s="17"/>
      <c r="D63" s="17"/>
      <c r="E63" s="17"/>
    </row>
    <row r="64" spans="1:42">
      <c r="C64" s="17"/>
      <c r="D64" s="17"/>
      <c r="E64" s="17"/>
    </row>
  </sheetData>
  <phoneticPr fontId="5" type="noConversion"/>
  <conditionalFormatting sqref="C31:AL31">
    <cfRule type="duplicateValues" dxfId="64" priority="222"/>
  </conditionalFormatting>
  <conditionalFormatting sqref="C32:AL32">
    <cfRule type="duplicateValues" dxfId="63" priority="224"/>
  </conditionalFormatting>
  <conditionalFormatting sqref="C33:AL33">
    <cfRule type="duplicateValues" dxfId="62" priority="226"/>
  </conditionalFormatting>
  <conditionalFormatting sqref="C34:AL34">
    <cfRule type="duplicateValues" dxfId="61" priority="228"/>
  </conditionalFormatting>
  <conditionalFormatting sqref="C35:AL35">
    <cfRule type="duplicateValues" dxfId="60" priority="230"/>
  </conditionalFormatting>
  <conditionalFormatting sqref="C36:AL36">
    <cfRule type="duplicateValues" dxfId="59" priority="232"/>
  </conditionalFormatting>
  <conditionalFormatting sqref="C37:AL37">
    <cfRule type="duplicateValues" dxfId="58" priority="234"/>
  </conditionalFormatting>
  <conditionalFormatting sqref="C38:AL38">
    <cfRule type="duplicateValues" dxfId="57" priority="236"/>
  </conditionalFormatting>
  <conditionalFormatting sqref="C39:AL39">
    <cfRule type="duplicateValues" dxfId="56" priority="238"/>
  </conditionalFormatting>
  <conditionalFormatting sqref="C40:AL40">
    <cfRule type="duplicateValues" dxfId="55" priority="240"/>
  </conditionalFormatting>
  <conditionalFormatting sqref="C41:AL41">
    <cfRule type="duplicateValues" dxfId="54" priority="242"/>
  </conditionalFormatting>
  <conditionalFormatting sqref="C42:AL42">
    <cfRule type="duplicateValues" dxfId="53" priority="244"/>
  </conditionalFormatting>
  <conditionalFormatting sqref="C43:AL43">
    <cfRule type="duplicateValues" dxfId="52" priority="246"/>
  </conditionalFormatting>
  <conditionalFormatting sqref="C44:AL44">
    <cfRule type="duplicateValues" dxfId="51" priority="248"/>
  </conditionalFormatting>
  <conditionalFormatting sqref="W16:W44">
    <cfRule type="duplicateValues" dxfId="50" priority="39"/>
  </conditionalFormatting>
  <conditionalFormatting sqref="AL16:AL44">
    <cfRule type="duplicateValues" dxfId="49" priority="282"/>
  </conditionalFormatting>
  <conditionalFormatting sqref="C16:AL16">
    <cfRule type="duplicateValues" dxfId="48" priority="4"/>
  </conditionalFormatting>
  <conditionalFormatting sqref="C17:AL17">
    <cfRule type="duplicateValues" dxfId="47" priority="5"/>
  </conditionalFormatting>
  <conditionalFormatting sqref="C18:AL18">
    <cfRule type="duplicateValues" dxfId="46" priority="6"/>
  </conditionalFormatting>
  <conditionalFormatting sqref="C19:AL19">
    <cfRule type="duplicateValues" dxfId="45" priority="7"/>
  </conditionalFormatting>
  <conditionalFormatting sqref="C20:AL20">
    <cfRule type="duplicateValues" dxfId="44" priority="8"/>
  </conditionalFormatting>
  <conditionalFormatting sqref="C21:AL21">
    <cfRule type="duplicateValues" dxfId="43" priority="9"/>
  </conditionalFormatting>
  <conditionalFormatting sqref="C22:AL22">
    <cfRule type="duplicateValues" dxfId="42" priority="10"/>
  </conditionalFormatting>
  <conditionalFormatting sqref="C23:AL23">
    <cfRule type="duplicateValues" dxfId="41" priority="11"/>
  </conditionalFormatting>
  <conditionalFormatting sqref="C24:AL24">
    <cfRule type="duplicateValues" dxfId="40" priority="12"/>
  </conditionalFormatting>
  <conditionalFormatting sqref="C25:AL25">
    <cfRule type="duplicateValues" dxfId="39" priority="13"/>
  </conditionalFormatting>
  <conditionalFormatting sqref="C26:AL26">
    <cfRule type="duplicateValues" dxfId="38" priority="14"/>
  </conditionalFormatting>
  <conditionalFormatting sqref="C27:AL27">
    <cfRule type="duplicateValues" dxfId="37" priority="15"/>
  </conditionalFormatting>
  <conditionalFormatting sqref="C28:AL28">
    <cfRule type="duplicateValues" dxfId="36" priority="16"/>
  </conditionalFormatting>
  <conditionalFormatting sqref="C29:AL29">
    <cfRule type="duplicateValues" dxfId="35" priority="17"/>
  </conditionalFormatting>
  <conditionalFormatting sqref="C30:AL30">
    <cfRule type="duplicateValues" dxfId="34" priority="18"/>
  </conditionalFormatting>
  <conditionalFormatting sqref="C16:C44">
    <cfRule type="duplicateValues" dxfId="33" priority="19"/>
  </conditionalFormatting>
  <conditionalFormatting sqref="D16:D44">
    <cfRule type="duplicateValues" dxfId="32" priority="20"/>
  </conditionalFormatting>
  <conditionalFormatting sqref="E16:E44">
    <cfRule type="duplicateValues" dxfId="31" priority="21"/>
  </conditionalFormatting>
  <conditionalFormatting sqref="F16:F44">
    <cfRule type="duplicateValues" dxfId="30" priority="22"/>
  </conditionalFormatting>
  <conditionalFormatting sqref="G16:G44">
    <cfRule type="duplicateValues" dxfId="29" priority="23"/>
  </conditionalFormatting>
  <conditionalFormatting sqref="H16:H44">
    <cfRule type="duplicateValues" dxfId="28" priority="24"/>
  </conditionalFormatting>
  <conditionalFormatting sqref="I16:I44">
    <cfRule type="duplicateValues" dxfId="27" priority="25"/>
  </conditionalFormatting>
  <conditionalFormatting sqref="J16:J44">
    <cfRule type="duplicateValues" dxfId="26" priority="26"/>
  </conditionalFormatting>
  <conditionalFormatting sqref="K16:K44">
    <cfRule type="duplicateValues" dxfId="25" priority="27"/>
  </conditionalFormatting>
  <conditionalFormatting sqref="L16:L44">
    <cfRule type="duplicateValues" dxfId="24" priority="28"/>
  </conditionalFormatting>
  <conditionalFormatting sqref="M16:M44">
    <cfRule type="duplicateValues" dxfId="23" priority="29"/>
  </conditionalFormatting>
  <conditionalFormatting sqref="N16:N44">
    <cfRule type="duplicateValues" dxfId="22" priority="30"/>
  </conditionalFormatting>
  <conditionalFormatting sqref="O16:O44">
    <cfRule type="duplicateValues" dxfId="21" priority="31"/>
  </conditionalFormatting>
  <conditionalFormatting sqref="P16:P44">
    <cfRule type="duplicateValues" dxfId="20" priority="32"/>
  </conditionalFormatting>
  <conditionalFormatting sqref="Q16:Q44">
    <cfRule type="duplicateValues" dxfId="19" priority="33"/>
  </conditionalFormatting>
  <conditionalFormatting sqref="R16:R44">
    <cfRule type="duplicateValues" dxfId="18" priority="34"/>
  </conditionalFormatting>
  <conditionalFormatting sqref="S16:S44">
    <cfRule type="duplicateValues" dxfId="17" priority="35"/>
  </conditionalFormatting>
  <conditionalFormatting sqref="X16:X44">
    <cfRule type="duplicateValues" dxfId="16" priority="40"/>
  </conditionalFormatting>
  <conditionalFormatting sqref="Y16:Y44">
    <cfRule type="duplicateValues" dxfId="15" priority="41"/>
  </conditionalFormatting>
  <conditionalFormatting sqref="Z16:Z44">
    <cfRule type="duplicateValues" dxfId="14" priority="42"/>
  </conditionalFormatting>
  <conditionalFormatting sqref="AG16:AG44">
    <cfRule type="duplicateValues" dxfId="13" priority="43"/>
  </conditionalFormatting>
  <conditionalFormatting sqref="AH16:AH44">
    <cfRule type="duplicateValues" dxfId="12" priority="44"/>
  </conditionalFormatting>
  <conditionalFormatting sqref="AI16:AI44">
    <cfRule type="duplicateValues" dxfId="11" priority="45"/>
  </conditionalFormatting>
  <conditionalFormatting sqref="AJ16:AJ44">
    <cfRule type="duplicateValues" dxfId="10" priority="46"/>
  </conditionalFormatting>
  <conditionalFormatting sqref="AK16:AK44">
    <cfRule type="duplicateValues" dxfId="9" priority="47"/>
  </conditionalFormatting>
  <conditionalFormatting sqref="AB16:AB44">
    <cfRule type="duplicateValues" dxfId="8" priority="48"/>
  </conditionalFormatting>
  <conditionalFormatting sqref="AC16:AC44">
    <cfRule type="duplicateValues" dxfId="7" priority="49"/>
  </conditionalFormatting>
  <conditionalFormatting sqref="AD16:AD44">
    <cfRule type="duplicateValues" dxfId="6" priority="50"/>
  </conditionalFormatting>
  <conditionalFormatting sqref="AE16:AE44">
    <cfRule type="duplicateValues" dxfId="5" priority="51"/>
  </conditionalFormatting>
  <conditionalFormatting sqref="AF16:AF44">
    <cfRule type="duplicateValues" dxfId="4" priority="52"/>
  </conditionalFormatting>
  <conditionalFormatting sqref="AA16:AA44">
    <cfRule type="duplicateValues" dxfId="3" priority="53"/>
  </conditionalFormatting>
  <conditionalFormatting sqref="T16:T44">
    <cfRule type="duplicateValues" dxfId="2" priority="1"/>
  </conditionalFormatting>
  <conditionalFormatting sqref="U16:U44">
    <cfRule type="duplicateValues" dxfId="1" priority="2"/>
  </conditionalFormatting>
  <conditionalFormatting sqref="V16:V44">
    <cfRule type="duplicateValues" dxfId="0" priority="3"/>
  </conditionalFormatting>
  <printOptions horizontalCentered="1" verticalCentered="1"/>
  <pageMargins left="0" right="0" top="0" bottom="0" header="0" footer="0"/>
  <pageSetup paperSize="9" scale="56" orientation="landscape" horizontalDpi="4294967292" verticalDpi="4294967292"/>
  <rowBreaks count="1" manualBreakCount="1">
    <brk id="32" min="18" max="36" man="1"/>
  </rowBreaks>
  <colBreaks count="1" manualBreakCount="1">
    <brk id="39" max="48" man="1"/>
  </colBreaks>
  <legacyDrawing r:id="rId1"/>
  <extLst>
    <ext xmlns:mx="http://schemas.microsoft.com/office/mac/excel/2008/main" uri="{64002731-A6B0-56B0-2670-7721B7C09600}">
      <mx:PLV Mode="0" OnePage="0" WScale="5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32" sqref="H32:H3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145</v>
      </c>
      <c r="D3" s="152"/>
      <c r="E3" s="155" t="s">
        <v>145</v>
      </c>
      <c r="G3" s="152"/>
      <c r="H3" s="155" t="s">
        <v>145</v>
      </c>
      <c r="J3" s="152"/>
      <c r="K3" s="155" t="s">
        <v>145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IFERROR(INDEX([0]!BASE,MATCH(1,EXPERT1,0),1),"-")</f>
        <v>-</v>
      </c>
      <c r="D7" s="152">
        <v>0.375</v>
      </c>
      <c r="E7" s="316" t="str">
        <f>IFERROR(INDEX([0]!BASE,MATCH(11,EXPERT1,0),1),"-")</f>
        <v>-</v>
      </c>
      <c r="G7" s="152">
        <v>0.375</v>
      </c>
      <c r="H7" s="314" t="str">
        <f>IFERROR(INDEX([0]!BASE,MATCH(21,EXPERT1,0),1),"-")</f>
        <v>-</v>
      </c>
      <c r="J7" s="152">
        <v>0.375</v>
      </c>
      <c r="K7" s="314" t="str">
        <f>IFERROR(INDEX([0]!BASE,MATCH(31,EXPERT1,0),1),"-")</f>
        <v>Biljana TUTOROV_x000D_Aunts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IFERROR(INDEX([0]!BASE,MATCH(2,EXPERT1,0),1),"-")</f>
        <v>-</v>
      </c>
      <c r="D9" s="152">
        <v>0.40625</v>
      </c>
      <c r="E9" s="316" t="str">
        <f>IFERROR(INDEX([0]!BASE,MATCH(12,EXPERT1,0),1),"-")</f>
        <v>-</v>
      </c>
      <c r="G9" s="152">
        <v>0.40625</v>
      </c>
      <c r="H9" s="314" t="str">
        <f>IFERROR(INDEX([0]!BASE,MATCH(22,EXPERT1,0),1),"-")</f>
        <v>-</v>
      </c>
      <c r="J9" s="152">
        <v>0.40625</v>
      </c>
      <c r="K9" s="314" t="str">
        <f>IFERROR(INDEX([0]!BASE,MATCH(32,EXPERT1,0),1),"-")</f>
        <v>Diana Chiawen LEE _x000D_The Boss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IFERROR(INDEX([0]!BASE,MATCH(3,EXPERT1,0),1),"-")</f>
        <v>-</v>
      </c>
      <c r="D11" s="159">
        <v>0.4375</v>
      </c>
      <c r="E11" s="316" t="str">
        <f>IFERROR(INDEX([0]!BASE,MATCH(13,EXPERT1,0),1),"-")</f>
        <v>-</v>
      </c>
      <c r="G11" s="159">
        <v>0.4375</v>
      </c>
      <c r="H11" s="314" t="str">
        <f>IFERROR(INDEX([0]!BASE,MATCH(23,EXPERT1,0),1),"-")</f>
        <v>-</v>
      </c>
      <c r="J11" s="159">
        <v>0.4375</v>
      </c>
      <c r="K11" s="314" t="str">
        <f>IFERROR(INDEX([0]!BASE,MATCH(33,EXPERT1,0),1),"-")</f>
        <v>Michael KROTKIEWSKI_x000D_Hamada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IFERROR(INDEX([0]!BASE,MATCH(4,EXPERT1,0),1),"-")</f>
        <v>-</v>
      </c>
      <c r="D14" s="159">
        <v>0.47916666666666702</v>
      </c>
      <c r="E14" s="314" t="str">
        <f>IFERROR(INDEX([0]!BASE,MATCH(14,EXPERT1,0),1),"-")</f>
        <v>-</v>
      </c>
      <c r="G14" s="159">
        <v>0.47916666666666702</v>
      </c>
      <c r="H14" s="314" t="str">
        <f>IFERROR(INDEX([0]!BASE,MATCH(24,EXPERT1,0),1),"-")</f>
        <v>-</v>
      </c>
      <c r="J14" s="159">
        <v>0.47916666666666702</v>
      </c>
      <c r="K14" s="314" t="str">
        <f>IFERROR(INDEX([0]!BASE,MATCH(34,EXPERT1,0),1),"-")</f>
        <v>David HURST_x000D_Degenerando Argentina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IFERROR(INDEX([0]!BASE,MATCH(5,EXPERT1,0),1),"-")</f>
        <v>-</v>
      </c>
      <c r="D16" s="152">
        <v>0.51041666666666696</v>
      </c>
      <c r="E16" s="314" t="str">
        <f>IFERROR(INDEX([0]!BASE,MATCH(15,EXPERT1,0),1),"-")</f>
        <v>-</v>
      </c>
      <c r="G16" s="152">
        <v>0.51041666666666696</v>
      </c>
      <c r="H16" s="314" t="str">
        <f>IFERROR(INDEX([0]!BASE,MATCH(25,EXPERT1,0),1),"-")</f>
        <v>-</v>
      </c>
      <c r="J16" s="152">
        <v>0.51041666666666696</v>
      </c>
      <c r="K16" s="314" t="str">
        <f>IFERROR(INDEX([0]!BASE,MATCH(35,EXPERT1,0),1),"-")</f>
        <v>Isabelle COUTURE_x000D_Finding Sally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IFERROR(INDEX([0]!BASE,MATCH(6,EXPERT1,0),1),"-")</f>
        <v>-</v>
      </c>
      <c r="D23" s="159">
        <v>0.61458333333333304</v>
      </c>
      <c r="E23" s="314" t="str">
        <f>IFERROR(INDEX([0]!BASE,MATCH(16,EXPERT1,0),1),"-")</f>
        <v>-</v>
      </c>
      <c r="G23" s="159">
        <v>0.61458333333333304</v>
      </c>
      <c r="H23" s="314" t="str">
        <f>IFERROR(INDEX([0]!BASE,MATCH(26,EXPERT1,0),1),"-")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IFERROR(INDEX([0]!BASE,MATCH(7,EXPERT1,0),1),"-")</f>
        <v>-</v>
      </c>
      <c r="D25" s="159">
        <v>0.64583333333333304</v>
      </c>
      <c r="E25" s="314" t="str">
        <f>IFERROR(INDEX([0]!BASE,MATCH(17,EXPERT1,0),1),"-")</f>
        <v>-</v>
      </c>
      <c r="G25" s="159">
        <v>0.64583333333333304</v>
      </c>
      <c r="H25" s="314" t="str">
        <f>IFERROR(INDEX([0]!BASE,MATCH(27,EXPERT1,0),1),"-")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IFERROR(INDEX([0]!BASE,MATCH(8,EXPERT1,0),1),"-")</f>
        <v>-</v>
      </c>
      <c r="D27" s="159">
        <v>0.67708333333333304</v>
      </c>
      <c r="E27" s="314" t="str">
        <f>IFERROR(INDEX([0]!BASE,MATCH(18,EXPERT1,0),1),"-")</f>
        <v>-</v>
      </c>
      <c r="G27" s="159">
        <v>0.67708333333333304</v>
      </c>
      <c r="H27" s="314" t="str">
        <f>IFERROR(INDEX([0]!BASE,MATCH(28,EXPERT1,0),1),"-")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IFERROR(INDEX([0]!BASE,MATCH(9,EXPERT1,0),1),"-")</f>
        <v>-</v>
      </c>
      <c r="D30" s="159">
        <v>0.71875</v>
      </c>
      <c r="E30" s="314" t="str">
        <f>IFERROR(INDEX([0]!BASE,MATCH(19,EXPERT1,0),1),"-")</f>
        <v>-</v>
      </c>
      <c r="G30" s="159">
        <v>0.71875</v>
      </c>
      <c r="H30" s="314" t="str">
        <f>IFERROR(INDEX([0]!BASE,MATCH(29,EXPERT1,0),1),"-")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IFERROR(INDEX([0]!BASE,MATCH(10,EXPERT1,0),1),"-")</f>
        <v>-</v>
      </c>
      <c r="D32" s="159">
        <v>0.75</v>
      </c>
      <c r="E32" s="314" t="str">
        <f>IFERROR(INDEX([0]!BASE,MATCH(20,EXPERT1,0),1),"-")</f>
        <v>-</v>
      </c>
      <c r="G32" s="159">
        <v>0.75</v>
      </c>
      <c r="H32" s="314" t="str">
        <f>IFERROR(INDEX([0]!BASE,MATCH(30,EXPERT1,0),1),"-")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25:B26"/>
    <mergeCell ref="B27:B28"/>
    <mergeCell ref="B30:B31"/>
    <mergeCell ref="B32:B33"/>
    <mergeCell ref="E7:E8"/>
    <mergeCell ref="E9:E10"/>
    <mergeCell ref="E11:E12"/>
    <mergeCell ref="E14:E15"/>
    <mergeCell ref="E16:E17"/>
    <mergeCell ref="E23:E24"/>
    <mergeCell ref="B7:B8"/>
    <mergeCell ref="B9:B10"/>
    <mergeCell ref="B11:B12"/>
    <mergeCell ref="B14:B15"/>
    <mergeCell ref="B16:B17"/>
    <mergeCell ref="B23:B24"/>
    <mergeCell ref="E25:E26"/>
    <mergeCell ref="E27:E28"/>
    <mergeCell ref="E30:E31"/>
    <mergeCell ref="E32:E33"/>
    <mergeCell ref="H7:H8"/>
    <mergeCell ref="H9:H10"/>
    <mergeCell ref="H11:H12"/>
    <mergeCell ref="H14:H15"/>
    <mergeCell ref="H16:H17"/>
    <mergeCell ref="H23:H24"/>
    <mergeCell ref="H25:H26"/>
    <mergeCell ref="H27:H28"/>
    <mergeCell ref="H30:H31"/>
    <mergeCell ref="H32:H33"/>
    <mergeCell ref="K7:K8"/>
    <mergeCell ref="K9:K10"/>
    <mergeCell ref="K11:K12"/>
    <mergeCell ref="K14:K15"/>
    <mergeCell ref="K16:K17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K19" sqref="K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146</v>
      </c>
      <c r="D3" s="152"/>
      <c r="E3" s="155" t="s">
        <v>146</v>
      </c>
      <c r="G3" s="152"/>
      <c r="H3" s="155" t="s">
        <v>146</v>
      </c>
      <c r="J3" s="152"/>
      <c r="K3" s="155" t="s">
        <v>146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IFERROR(INDEX([0]!BASE,MATCH(1,EXPERT2,0),1),"-")</f>
        <v>-</v>
      </c>
      <c r="D7" s="152">
        <v>0.375</v>
      </c>
      <c r="E7" s="316" t="str">
        <f>IFERROR(INDEX([0]!BASE,MATCH(11,EXPERT2,0),1),"-")</f>
        <v>-</v>
      </c>
      <c r="G7" s="152">
        <v>0.375</v>
      </c>
      <c r="H7" s="314" t="str">
        <f>IFERROR(INDEX([0]!BASE,MATCH(21,EXPERT2,0),1),"-")</f>
        <v>-</v>
      </c>
      <c r="J7" s="152">
        <v>0.375</v>
      </c>
      <c r="K7" s="314" t="str">
        <f>IFERROR(INDEX([0]!BASE,MATCH(31,EXPERT2,0),1),"-")</f>
        <v>Svetlana STRELNIKOVA_x000D_People, Gods &amp; Other Creatures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IFERROR(INDEX([0]!BASE,MATCH(2,EXPERT2,0),1),"-")</f>
        <v>-</v>
      </c>
      <c r="D9" s="152">
        <v>0.40625</v>
      </c>
      <c r="E9" s="316" t="str">
        <f>IFERROR(INDEX([0]!BASE,MATCH(12,EXPERT2,0),1),"-")</f>
        <v>Michael KROTKIEWSKI_x000D_Hamada</v>
      </c>
      <c r="G9" s="152">
        <v>0.40625</v>
      </c>
      <c r="H9" s="314" t="str">
        <f>IFERROR(INDEX([0]!BASE,MATCH(22,EXPERT2,0),1),"-")</f>
        <v>Bojan KANJERA_x000D_The Lost Dream Team</v>
      </c>
      <c r="J9" s="152">
        <v>0.40625</v>
      </c>
      <c r="K9" s="314" t="str">
        <f>IFERROR(INDEX([0]!BASE,MATCH(32,EXPERT2,0),1),"-")</f>
        <v>Louai HAFFAR_x000D_A Man On Fire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IFERROR(INDEX([0]!BASE,MATCH(3,EXPERT2,0),1),"-")</f>
        <v>-</v>
      </c>
      <c r="D11" s="159">
        <v>0.4375</v>
      </c>
      <c r="E11" s="316" t="str">
        <f>IFERROR(INDEX([0]!BASE,MATCH(13,EXPERT2,0),1),"-")</f>
        <v>Christie MOLIA_x000D_The Louvre Is Moving</v>
      </c>
      <c r="G11" s="159">
        <v>0.4375</v>
      </c>
      <c r="H11" s="314" t="str">
        <f>IFERROR(INDEX([0]!BASE,MATCH(23,EXPERT2,0),1),"-")</f>
        <v>Ivan ERHEL_x000D_Baghdad 3D</v>
      </c>
      <c r="J11" s="159">
        <v>0.4375</v>
      </c>
      <c r="K11" s="314" t="str">
        <f>IFERROR(INDEX([0]!BASE,MATCH(33,EXPERT2,0),1),"-")</f>
        <v>Rebecca DAY_x000D_Becoming Animal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IFERROR(INDEX([0]!BASE,MATCH(4,EXPERT2,0),1),"-")</f>
        <v>-</v>
      </c>
      <c r="D14" s="159">
        <v>0.47916666666666702</v>
      </c>
      <c r="E14" s="314" t="str">
        <f>IFERROR(INDEX([0]!BASE,MATCH(14,EXPERT2,0),1),"-")</f>
        <v>Diana Chiawen LEE _x000D_The Boss</v>
      </c>
      <c r="G14" s="159">
        <v>0.47916666666666702</v>
      </c>
      <c r="H14" s="314" t="str">
        <f>IFERROR(INDEX([0]!BASE,MATCH(24,EXPERT2,0),1),"-")</f>
        <v>Biljana TUTOROV_x000D_Aunts</v>
      </c>
      <c r="J14" s="159">
        <v>0.47916666666666702</v>
      </c>
      <c r="K14" s="314" t="str">
        <f>IFERROR(INDEX([0]!BASE,MATCH(34,EXPERT2,0),1),"-")</f>
        <v>Johnny HOLMVAG_x000D_Miracle In Moldova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IFERROR(INDEX([0]!BASE,MATCH(5,EXPERT2,0),1),"-")</f>
        <v>-</v>
      </c>
      <c r="D16" s="152">
        <v>0.51041666666666696</v>
      </c>
      <c r="E16" s="314" t="str">
        <f>IFERROR(INDEX([0]!BASE,MATCH(15,EXPERT2,0),1),"-")</f>
        <v>Isabelle COUTURE_x000D_Finding Sally</v>
      </c>
      <c r="G16" s="152">
        <v>0.51041666666666696</v>
      </c>
      <c r="H16" s="314" t="str">
        <f>IFERROR(INDEX([0]!BASE,MATCH(25,EXPERT2,0),1),"-")</f>
        <v>Natalya SARCH_x000D_The Waleed Ahmed Story</v>
      </c>
      <c r="J16" s="152">
        <v>0.51041666666666696</v>
      </c>
      <c r="K16" s="314" t="str">
        <f>IFERROR(INDEX([0]!BASE,MATCH(35,EXPERT2,0),1),"-")</f>
        <v>Reinel GARCIA PEREZ_x000D_The Rice Rush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IFERROR(INDEX([0]!BASE,MATCH(6,EXPERT2,0),1),"-")</f>
        <v>-</v>
      </c>
      <c r="D23" s="159">
        <v>0.61458333333333304</v>
      </c>
      <c r="E23" s="314" t="str">
        <f>IFERROR(INDEX([0]!BASE,MATCH(16,EXPERT2,0),1),"-")</f>
        <v>Anne Laure GUÉGAN_x000D_Family Portrait</v>
      </c>
      <c r="G23" s="159">
        <v>0.61458333333333304</v>
      </c>
      <c r="H23" s="314" t="str">
        <f>IFERROR(INDEX([0]!BASE,MATCH(26,EXPERT2,0),1),"-")</f>
        <v>Elsa KREMSER_x000D_Stary Dogs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IFERROR(INDEX([0]!BASE,MATCH(7,EXPERT2,0),1),"-")</f>
        <v>-</v>
      </c>
      <c r="D25" s="159">
        <v>0.64583333333333304</v>
      </c>
      <c r="E25" s="314" t="str">
        <f>IFERROR(INDEX([0]!BASE,MATCH(17,EXPERT2,0),1),"-")</f>
        <v>David HURST_x000D_Degenerando Argentina</v>
      </c>
      <c r="G25" s="159">
        <v>0.64583333333333304</v>
      </c>
      <c r="H25" s="314" t="str">
        <f>IFERROR(INDEX([0]!BASE,MATCH(27,EXPERT2,0),1),"-")</f>
        <v>Malgorzata WABINSKA_x000D_Diagnosis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IFERROR(INDEX([0]!BASE,MATCH(8,EXPERT2,0),1),"-")</f>
        <v>-</v>
      </c>
      <c r="D27" s="159">
        <v>0.67708333333333304</v>
      </c>
      <c r="E27" s="314" t="str">
        <f>IFERROR(INDEX([0]!BASE,MATCH(18,EXPERT2,0),1),"-")</f>
        <v>Suzy GILLETT_x000D_This Is Not Cricket</v>
      </c>
      <c r="G27" s="159">
        <v>0.67708333333333304</v>
      </c>
      <c r="H27" s="314" t="str">
        <f>IFERROR(INDEX([0]!BASE,MATCH(28,EXPERT2,0),1),"-")</f>
        <v>Lorenzo CIOFFI_x000D_Life Of Marzouk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IFERROR(INDEX([0]!BASE,MATCH(9,EXPERT2,0),1),"-")</f>
        <v>-</v>
      </c>
      <c r="D30" s="159">
        <v>0.71875</v>
      </c>
      <c r="E30" s="314" t="str">
        <f>IFERROR(INDEX([0]!BASE,MATCH(19,EXPERT2,0),1),"-")</f>
        <v>Santi VALLDEPEREZ_x000D_The Fisherman's Shadow</v>
      </c>
      <c r="G30" s="159">
        <v>0.71875</v>
      </c>
      <c r="H30" s="314" t="str">
        <f>IFERROR(INDEX([0]!BASE,MATCH(29,EXPERT2,0),1),"-")</f>
        <v>Laura ROMANO_x000D_AK Stories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IFERROR(INDEX([0]!BASE,MATCH(10,EXPERT2,0),1),"-")</f>
        <v>-</v>
      </c>
      <c r="D32" s="159">
        <v>0.75</v>
      </c>
      <c r="E32" s="314" t="str">
        <f>IFERROR(INDEX([0]!BASE,MATCH(20,EXPERT2,0),1),"-")</f>
        <v>Britta RINDELAUB_x000D_Our American Cousins</v>
      </c>
      <c r="G32" s="159">
        <v>0.75</v>
      </c>
      <c r="H32" s="314" t="str">
        <f>IFERROR(INDEX([0]!BASE,MATCH(30,EXPERT2,0),1),"-")</f>
        <v>Quentin LAURENT_x000D_The Choice of Jean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ageMargins left="0.28000000000000003" right="0.55000000000000004" top="0.35000000000000003" bottom="0.59" header="0.28000000000000003" footer="0.51"/>
  <pageSetup paperSize="10" scale="5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E17" workbookViewId="0">
      <selection activeCell="K19" sqref="K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14</v>
      </c>
      <c r="D3" s="152"/>
      <c r="E3" s="155" t="s">
        <v>14</v>
      </c>
      <c r="G3" s="152"/>
      <c r="H3" s="155" t="s">
        <v>14</v>
      </c>
      <c r="J3" s="152"/>
      <c r="K3" s="155" t="s">
        <v>14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IFERROR(INDEX([0]!BASE,MATCH(1,EXPERT3,0),1),"-")</f>
        <v>-</v>
      </c>
      <c r="D7" s="152">
        <v>0.375</v>
      </c>
      <c r="E7" s="316" t="str">
        <f>IFERROR(INDEX([0]!BASE,MATCH(11,EXPERT3,0),1),"-")</f>
        <v>-</v>
      </c>
      <c r="G7" s="152">
        <v>0.375</v>
      </c>
      <c r="H7" s="314" t="str">
        <f>IFERROR(INDEX([0]!BASE,MATCH(21,EXPERT3,0),1),"-")</f>
        <v>-</v>
      </c>
      <c r="J7" s="152">
        <v>0.375</v>
      </c>
      <c r="K7" s="314" t="str">
        <f>IFERROR(INDEX([0]!BASE,MATCH(31,EXPERT3,0),1),"-")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IFERROR(INDEX([0]!BASE,MATCH(2,EXPERT3,0),1),"-")</f>
        <v>-</v>
      </c>
      <c r="D9" s="152">
        <v>0.40625</v>
      </c>
      <c r="E9" s="316" t="str">
        <f>IFERROR(INDEX([0]!BASE,MATCH(12,EXPERT3,0),1),"-")</f>
        <v>-</v>
      </c>
      <c r="G9" s="152">
        <v>0.40625</v>
      </c>
      <c r="H9" s="314" t="str">
        <f>IFERROR(INDEX([0]!BASE,MATCH(22,EXPERT3,0),1),"-")</f>
        <v>Reinel GARCIA PEREZ_x000D_The Rice Rush</v>
      </c>
      <c r="J9" s="152">
        <v>0.40625</v>
      </c>
      <c r="K9" s="314" t="str">
        <f>IFERROR(INDEX([0]!BASE,MATCH(32,EXPERT3,0),1),"-")</f>
        <v>Lara ABOU SAIFAN_x000D_The Great Family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IFERROR(INDEX([0]!BASE,MATCH(3,EXPERT3,0),1),"-")</f>
        <v>-</v>
      </c>
      <c r="D11" s="159">
        <v>0.4375</v>
      </c>
      <c r="E11" s="316" t="str">
        <f>IFERROR(INDEX([0]!BASE,MATCH(13,EXPERT3,0),1),"-")</f>
        <v>-</v>
      </c>
      <c r="G11" s="159">
        <v>0.4375</v>
      </c>
      <c r="H11" s="314" t="str">
        <f>IFERROR(INDEX([0]!BASE,MATCH(23,EXPERT3,0),1),"-")</f>
        <v>Natalya SARCH_x000D_The Waleed Ahmed Story</v>
      </c>
      <c r="J11" s="159">
        <v>0.4375</v>
      </c>
      <c r="K11" s="314" t="str">
        <f>IFERROR(INDEX([0]!BASE,MATCH(33,EXPERT3,0),1),"-")</f>
        <v>John WALLACE_x000D_All The Numbers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IFERROR(INDEX([0]!BASE,MATCH(4,EXPERT3,0),1),"-")</f>
        <v>-</v>
      </c>
      <c r="D14" s="159">
        <v>0.47916666666666702</v>
      </c>
      <c r="E14" s="314" t="str">
        <f>IFERROR(INDEX([0]!BASE,MATCH(14,EXPERT3,0),1),"-")</f>
        <v>-</v>
      </c>
      <c r="G14" s="159">
        <v>0.47916666666666702</v>
      </c>
      <c r="H14" s="314" t="str">
        <f>IFERROR(INDEX([0]!BASE,MATCH(24,EXPERT3,0),1),"-")</f>
        <v>Agnes HORVATH-SZABO_x000D_Nine Months War</v>
      </c>
      <c r="J14" s="159">
        <v>0.47916666666666702</v>
      </c>
      <c r="K14" s="314" t="str">
        <f>IFERROR(INDEX([0]!BASE,MATCH(34,EXPERT3,0),1),"-")</f>
        <v>Michael KROTKIEWSKI_x000D_Hamada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IFERROR(INDEX([0]!BASE,MATCH(5,EXPERT3,0),1),"-")</f>
        <v>-</v>
      </c>
      <c r="D16" s="152">
        <v>0.51041666666666696</v>
      </c>
      <c r="E16" s="314" t="str">
        <f>IFERROR(INDEX([0]!BASE,MATCH(15,EXPERT3,0),1),"-")</f>
        <v>-</v>
      </c>
      <c r="G16" s="152">
        <v>0.51041666666666696</v>
      </c>
      <c r="H16" s="314" t="str">
        <f>IFERROR(INDEX([0]!BASE,MATCH(25,EXPERT3,0),1),"-")</f>
        <v>Bojan KANJERA_x000D_The Lost Dream Team</v>
      </c>
      <c r="J16" s="198">
        <v>0.5</v>
      </c>
      <c r="K16" s="314" t="str">
        <f>IFERROR(INDEX([0]!BASE,MATCH(35,EXPERT3,0),1),"-")</f>
        <v>Christie MOLIA_x000D_The Louvre Is Moving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IFERROR(INDEX([0]!BASE,MATCH(6,EXPERT3,0),1),"-")</f>
        <v>-</v>
      </c>
      <c r="D23" s="159">
        <v>0.61458333333333304</v>
      </c>
      <c r="E23" s="314" t="str">
        <f>IFERROR(INDEX([0]!BASE,MATCH(16,EXPERT3,0),1),"-")</f>
        <v>Suzy GILLETT_x000D_This Is Not Cricket</v>
      </c>
      <c r="G23" s="159">
        <v>0.61458333333333304</v>
      </c>
      <c r="H23" s="314" t="str">
        <f>IFERROR(INDEX([0]!BASE,MATCH(26,EXPERT3,0),1),"-")</f>
        <v>Diana Chiawen LEE _x000D_The Boss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IFERROR(INDEX([0]!BASE,MATCH(7,EXPERT3,0),1),"-")</f>
        <v>-</v>
      </c>
      <c r="D25" s="159">
        <v>0.64583333333333304</v>
      </c>
      <c r="E25" s="314" t="str">
        <f>IFERROR(INDEX([0]!BASE,MATCH(17,EXPERT3,0),1),"-")</f>
        <v>Margarida GRAMAXO_x000D_Principe</v>
      </c>
      <c r="G25" s="159">
        <v>0.64583333333333304</v>
      </c>
      <c r="H25" s="314" t="str">
        <f>IFERROR(INDEX([0]!BASE,MATCH(27,EXPERT3,0),1),"-")</f>
        <v>Laura ROMANO_x000D_AK Stories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IFERROR(INDEX([0]!BASE,MATCH(8,EXPERT3,0),1),"-")</f>
        <v>-</v>
      </c>
      <c r="D27" s="159">
        <v>0.67708333333333304</v>
      </c>
      <c r="E27" s="314" t="str">
        <f>IFERROR(INDEX([0]!BASE,MATCH(18,EXPERT3,0),1),"-")</f>
        <v>Johnny HOLMVAG_x000D_Miracle In Moldova</v>
      </c>
      <c r="G27" s="159">
        <v>0.67708333333333304</v>
      </c>
      <c r="H27" s="314" t="str">
        <f>IFERROR(INDEX([0]!BASE,MATCH(28,EXPERT3,0),1),"-")</f>
        <v>Svetlana STRELNIKOVA_x000D_People, Gods &amp; Other Creatures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IFERROR(INDEX([0]!BASE,MATCH(9,EXPERT3,0),1),"-")</f>
        <v>-</v>
      </c>
      <c r="D30" s="159">
        <v>0.71875</v>
      </c>
      <c r="E30" s="314" t="str">
        <f>IFERROR(INDEX([0]!BASE,MATCH(19,EXPERT3,0),1),"-")</f>
        <v>Isabelle COUTURE_x000D_Finding Sally</v>
      </c>
      <c r="G30" s="159">
        <v>0.71875</v>
      </c>
      <c r="H30" s="314" t="str">
        <f>IFERROR(INDEX([0]!BASE,MATCH(29,EXPERT3,0),1),"-")</f>
        <v>Quentin LAURENT_x000D_The Choice of Jean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IFERROR(INDEX([0]!BASE,MATCH(10,EXPERT3,0),1),"-")</f>
        <v>-</v>
      </c>
      <c r="D32" s="159">
        <v>0.75</v>
      </c>
      <c r="E32" s="314" t="str">
        <f>IFERROR(INDEX([0]!BASE,MATCH(20,EXPERT3,0),1),"-")</f>
        <v>Ivan ERHEL_x000D_Baghdad 3D</v>
      </c>
      <c r="G32" s="159">
        <v>0.75</v>
      </c>
      <c r="H32" s="314" t="str">
        <f>IFERROR(INDEX([0]!BASE,MATCH(30,EXPERT3,0),1),"-")</f>
        <v>Lorenzo CIOFFI_x000D_Life Of Marzouk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44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M19" sqref="M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147</v>
      </c>
      <c r="D3" s="152"/>
      <c r="E3" s="155" t="s">
        <v>147</v>
      </c>
      <c r="G3" s="152"/>
      <c r="H3" s="155" t="s">
        <v>147</v>
      </c>
      <c r="J3" s="152"/>
      <c r="K3" s="155" t="s">
        <v>147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IFERROR(INDEX([0]!BASE,MATCH(1,EXPERT4,0),1),"-")</f>
        <v>-</v>
      </c>
      <c r="D7" s="152">
        <v>0.375</v>
      </c>
      <c r="E7" s="316" t="str">
        <f>IFERROR(INDEX([0]!BASE,MATCH(11,EXPERT4,0),1),"-")</f>
        <v>-</v>
      </c>
      <c r="G7" s="152">
        <v>0.375</v>
      </c>
      <c r="H7" s="314" t="str">
        <f>IFERROR(INDEX([0]!BASE,MATCH(21,EXPERT4,0),1),"-")</f>
        <v>-</v>
      </c>
      <c r="J7" s="152">
        <v>0.375</v>
      </c>
      <c r="K7" s="314" t="str">
        <f>IFERROR(INDEX([0]!BASE,MATCH(31,EXPERT4,0),1),"-")</f>
        <v>Suzy GILLETT_x000D_This Is Not Cricket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IFERROR(INDEX([0]!BASE,MATCH(2,EXPERT4,0),1),"-")</f>
        <v>-</v>
      </c>
      <c r="D9" s="152">
        <v>0.40625</v>
      </c>
      <c r="E9" s="316" t="str">
        <f>IFERROR(INDEX([0]!BASE,MATCH(12,EXPERT4,0),1),"-")</f>
        <v>John WALLACE_x000D_All The Numbers</v>
      </c>
      <c r="G9" s="152">
        <v>0.40625</v>
      </c>
      <c r="H9" s="314" t="str">
        <f>IFERROR(INDEX([0]!BASE,MATCH(22,EXPERT4,0),1),"-")</f>
        <v>Lara ABOU SAIFAN_x000D_The Great Family</v>
      </c>
      <c r="J9" s="152">
        <v>0.40625</v>
      </c>
      <c r="K9" s="314" t="str">
        <f>IFERROR(INDEX([0]!BASE,MATCH(32,EXPERT4,0),1),"-")</f>
        <v>Anne Laure GUÉGAN_x000D_Family Portrait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IFERROR(INDEX([0]!BASE,MATCH(3,EXPERT4,0),1),"-")</f>
        <v>-</v>
      </c>
      <c r="D11" s="159">
        <v>0.4375</v>
      </c>
      <c r="E11" s="316" t="str">
        <f>IFERROR(INDEX([0]!BASE,MATCH(13,EXPERT4,0),1),"-")</f>
        <v>Malgorzata WABINSKA_x000D_Diagnosis</v>
      </c>
      <c r="G11" s="159">
        <v>0.4375</v>
      </c>
      <c r="H11" s="314" t="str">
        <f>IFERROR(INDEX([0]!BASE,MATCH(23,EXPERT4,0),1),"-")</f>
        <v>Isabelle COUTURE_x000D_Finding Sally</v>
      </c>
      <c r="J11" s="159">
        <v>0.4375</v>
      </c>
      <c r="K11" s="314" t="str">
        <f>IFERROR(INDEX([0]!BASE,MATCH(33,EXPERT4,0),1),"-")</f>
        <v>Bojan KANJERA_x000D_The Lost Dream Team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IFERROR(INDEX([0]!BASE,MATCH(4,EXPERT4,0),1),"-")</f>
        <v>-</v>
      </c>
      <c r="D14" s="159">
        <v>0.47916666666666702</v>
      </c>
      <c r="E14" s="314" t="str">
        <f>IFERROR(INDEX([0]!BASE,MATCH(14,EXPERT4,0),1),"-")</f>
        <v>Biljana TUTOROV_x000D_Aunts</v>
      </c>
      <c r="G14" s="159">
        <v>0.47916666666666702</v>
      </c>
      <c r="H14" s="314" t="str">
        <f>IFERROR(INDEX([0]!BASE,MATCH(24,EXPERT4,0),1),"-")</f>
        <v>Ivan ERHEL_x000D_Baghdad 3D</v>
      </c>
      <c r="J14" s="199">
        <v>0.46875</v>
      </c>
      <c r="K14" s="314" t="str">
        <f>IFERROR(INDEX([0]!BASE,MATCH(34,EXPERT4,0),1),"-")</f>
        <v>Elsa KREMSER_x000D_Stary Dogs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IFERROR(INDEX([0]!BASE,MATCH(5,EXPERT4,0),1),"-")</f>
        <v>-</v>
      </c>
      <c r="D16" s="152">
        <v>0.51041666666666696</v>
      </c>
      <c r="E16" s="314" t="str">
        <f>IFERROR(INDEX([0]!BASE,MATCH(15,EXPERT4,0),1),"-")</f>
        <v>Diana Chiawen LEE _x000D_The Boss</v>
      </c>
      <c r="G16" s="152">
        <v>0.51041666666666696</v>
      </c>
      <c r="H16" s="314" t="str">
        <f>IFERROR(INDEX([0]!BASE,MATCH(25,EXPERT4,0),1),"-")</f>
        <v>Margarida GRAMAXO_x000D_Principe</v>
      </c>
      <c r="J16" s="198">
        <v>0.5</v>
      </c>
      <c r="K16" s="314" t="str">
        <f>IFERROR(INDEX([0]!BASE,MATCH(35,EXPERT4,0),1),"-")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IFERROR(INDEX([0]!BASE,MATCH(6,EXPERT4,0),1),"-")</f>
        <v>-</v>
      </c>
      <c r="D23" s="159">
        <v>0.61458333333333304</v>
      </c>
      <c r="E23" s="314" t="str">
        <f>IFERROR(INDEX([0]!BASE,MATCH(16,EXPERT4,0),1),"-")</f>
        <v>Michael KROTKIEWSKI_x000D_Hamada</v>
      </c>
      <c r="G23" s="159">
        <v>0.61458333333333304</v>
      </c>
      <c r="H23" s="314" t="str">
        <f>IFERROR(INDEX([0]!BASE,MATCH(26,EXPERT4,0),1),"-")</f>
        <v>Quentin LAURENT_x000D_The Choice of Jean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IFERROR(INDEX([0]!BASE,MATCH(7,EXPERT4,0),1),"-")</f>
        <v>-</v>
      </c>
      <c r="D25" s="159">
        <v>0.64583333333333304</v>
      </c>
      <c r="E25" s="314" t="str">
        <f>IFERROR(INDEX([0]!BASE,MATCH(17,EXPERT4,0),1),"-")</f>
        <v>Christie MOLIA_x000D_The Louvre Is Moving</v>
      </c>
      <c r="G25" s="159">
        <v>0.64583333333333304</v>
      </c>
      <c r="H25" s="314" t="str">
        <f>IFERROR(INDEX([0]!BASE,MATCH(27,EXPERT4,0),1),"-")</f>
        <v>Svetlana STRELNIKOVA_x000D_People, Gods &amp; Other Creatures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IFERROR(INDEX([0]!BASE,MATCH(8,EXPERT4,0),1),"-")</f>
        <v>-</v>
      </c>
      <c r="D27" s="159">
        <v>0.67708333333333304</v>
      </c>
      <c r="E27" s="314" t="str">
        <f>IFERROR(INDEX([0]!BASE,MATCH(18,EXPERT4,0),1),"-")</f>
        <v>Agnes HORVATH-SZABO_x000D_Nine Months War</v>
      </c>
      <c r="G27" s="159">
        <v>0.67708333333333304</v>
      </c>
      <c r="H27" s="314" t="str">
        <f>IFERROR(INDEX([0]!BASE,MATCH(28,EXPERT4,0),1),"-")</f>
        <v>Santi VALLDEPEREZ_x000D_The Fisherman's Shadow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IFERROR(INDEX([0]!BASE,MATCH(9,EXPERT4,0),1),"-")</f>
        <v>-</v>
      </c>
      <c r="D30" s="159">
        <v>0.71875</v>
      </c>
      <c r="E30" s="314" t="str">
        <f>IFERROR(INDEX([0]!BASE,MATCH(19,EXPERT4,0),1),"-")</f>
        <v>Johnny HOLMVAG_x000D_Miracle In Moldova</v>
      </c>
      <c r="G30" s="159">
        <v>0.71875</v>
      </c>
      <c r="H30" s="314" t="str">
        <f>IFERROR(INDEX([0]!BASE,MATCH(29,EXPERT4,0),1),"-")</f>
        <v>Britta RINDELAUB_x000D_Our American Cousins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IFERROR(INDEX([0]!BASE,MATCH(10,EXPERT4,0),1),"-")</f>
        <v>Reinel GARCIA PEREZ_x000D_The Rice Rush</v>
      </c>
      <c r="D32" s="159">
        <v>0.75</v>
      </c>
      <c r="E32" s="314" t="str">
        <f>IFERROR(INDEX([0]!BASE,MATCH(20,EXPERT4,0),1),"-")</f>
        <v>Rebecca DAY_x000D_Becoming Animal</v>
      </c>
      <c r="G32" s="159">
        <v>0.75</v>
      </c>
      <c r="H32" s="314" t="str">
        <f>IFERROR(INDEX([0]!BASE,MATCH(30,EXPERT4,0),1),"-")</f>
        <v>David HURST_x000D_Degenerando Argentina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94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5" workbookViewId="0">
      <selection activeCell="K19" sqref="K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</v>
      </c>
      <c r="D3" s="152"/>
      <c r="E3" s="155" t="s">
        <v>15</v>
      </c>
      <c r="G3" s="152"/>
      <c r="H3" s="155" t="s">
        <v>15</v>
      </c>
      <c r="J3" s="152"/>
      <c r="K3" s="155" t="s">
        <v>15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IFERROR(INDEX([0]!BASE,MATCH(1,EXPERT5,0),1),"-")</f>
        <v>-</v>
      </c>
      <c r="D7" s="152">
        <v>0.375</v>
      </c>
      <c r="E7" s="316" t="str">
        <f>IFERROR(INDEX([0]!BASE,MATCH(11,EXPERT5,0),1),"-")</f>
        <v>-</v>
      </c>
      <c r="G7" s="152">
        <v>0.375</v>
      </c>
      <c r="H7" s="314" t="str">
        <f>IFERROR(INDEX([0]!BASE,MATCH(21,EXPERT5,0),1),"-")</f>
        <v>-</v>
      </c>
      <c r="J7" s="152">
        <v>0.375</v>
      </c>
      <c r="K7" s="314" t="str">
        <f>IFERROR(INDEX([0]!BASE,MATCH(31,EXPERT5,0),1),"-")</f>
        <v>David HURST_x000D_Degenerando Argentina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IFERROR(INDEX([0]!BASE,MATCH(2,EXPERT5,0),1),"-")</f>
        <v>-</v>
      </c>
      <c r="D9" s="152">
        <v>0.40625</v>
      </c>
      <c r="E9" s="316" t="str">
        <f>IFERROR(INDEX([0]!BASE,MATCH(12,EXPERT5,0),1),"-")</f>
        <v>-</v>
      </c>
      <c r="G9" s="152">
        <v>0.40625</v>
      </c>
      <c r="H9" s="314" t="str">
        <f>IFERROR(INDEX([0]!BASE,MATCH(22,EXPERT5,0),1),"-")</f>
        <v>Christie MOLIA_x000D_The Louvre Is Moving</v>
      </c>
      <c r="J9" s="152">
        <v>0.40625</v>
      </c>
      <c r="K9" s="314" t="str">
        <f>IFERROR(INDEX([0]!BASE,MATCH(32,EXPERT5,0),1),"-")</f>
        <v>Quentin LAURENT_x000D_The Choice of Jean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IFERROR(INDEX([0]!BASE,MATCH(3,EXPERT5,0),1),"-")</f>
        <v>-</v>
      </c>
      <c r="D11" s="159">
        <v>0.4375</v>
      </c>
      <c r="E11" s="316" t="str">
        <f>IFERROR(INDEX([0]!BASE,MATCH(13,EXPERT5,0),1),"-")</f>
        <v>-</v>
      </c>
      <c r="G11" s="159">
        <v>0.4375</v>
      </c>
      <c r="H11" s="314" t="str">
        <f>IFERROR(INDEX([0]!BASE,MATCH(23,EXPERT5,0),1),"-")</f>
        <v>Reinel GARCIA PEREZ_x000D_The Rice Rush</v>
      </c>
      <c r="J11" s="159">
        <v>0.4375</v>
      </c>
      <c r="K11" s="314" t="str">
        <f>IFERROR(INDEX([0]!BASE,MATCH(33,EXPERT5,0),1),"-")</f>
        <v>Britta RINDELAUB_x000D_Our American Cousins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IFERROR(INDEX([0]!BASE,MATCH(4,EXPERT5,0),1),"-")</f>
        <v>-</v>
      </c>
      <c r="D14" s="159">
        <v>0.47916666666666702</v>
      </c>
      <c r="E14" s="314" t="str">
        <f>IFERROR(INDEX([0]!BASE,MATCH(14,EXPERT5,0),1),"-")</f>
        <v>-</v>
      </c>
      <c r="G14" s="159">
        <v>0.47916666666666702</v>
      </c>
      <c r="H14" s="314" t="str">
        <f>IFERROR(INDEX([0]!BASE,MATCH(24,EXPERT5,0),1),"-")</f>
        <v>Natalya SARCH_x000D_The Waleed Ahmed Story</v>
      </c>
      <c r="J14" s="159">
        <v>0.47916666666666702</v>
      </c>
      <c r="K14" s="314" t="str">
        <f>IFERROR(INDEX([0]!BASE,MATCH(34,EXPERT5,0),1),"-")</f>
        <v>Svetlana STRELNIKOVA_x000D_People, Gods &amp; Other Creatures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IFERROR(INDEX([0]!BASE,MATCH(5,EXPERT5,0),1),"-")</f>
        <v>-</v>
      </c>
      <c r="D16" s="152">
        <v>0.51041666666666696</v>
      </c>
      <c r="E16" s="314" t="str">
        <f>IFERROR(INDEX([0]!BASE,MATCH(15,EXPERT5,0),1),"-")</f>
        <v>-</v>
      </c>
      <c r="G16" s="152">
        <v>0.51041666666666696</v>
      </c>
      <c r="H16" s="314" t="str">
        <f>IFERROR(INDEX([0]!BASE,MATCH(25,EXPERT5,0),1),"-")</f>
        <v>Lara ABOU SAIFAN_x000D_The Great Family</v>
      </c>
      <c r="J16" s="152">
        <v>0.51041666666666696</v>
      </c>
      <c r="K16" s="314" t="str">
        <f>IFERROR(INDEX([0]!BASE,MATCH(35,EXPERT5,0),1),"-")</f>
        <v>Santi VALLDEPEREZ_x000D_The Fisherman's Shadow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IFERROR(INDEX([0]!BASE,MATCH(6,EXPERT5,0),1),"-")</f>
        <v>-</v>
      </c>
      <c r="D23" s="159">
        <v>0.61458333333333304</v>
      </c>
      <c r="E23" s="314" t="str">
        <f>IFERROR(INDEX([0]!BASE,MATCH(16,EXPERT5,0),1),"-")</f>
        <v>-</v>
      </c>
      <c r="G23" s="159">
        <v>0.61458333333333304</v>
      </c>
      <c r="H23" s="314" t="str">
        <f>IFERROR(INDEX([0]!BASE,MATCH(26,EXPERT5,0),1),"-")</f>
        <v>Lorenzo CIOFFI_x000D_Life Of Marzouk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IFERROR(INDEX([0]!BASE,MATCH(7,EXPERT5,0),1),"-")</f>
        <v>-</v>
      </c>
      <c r="D25" s="159">
        <v>0.64583333333333304</v>
      </c>
      <c r="E25" s="314" t="str">
        <f>IFERROR(INDEX([0]!BASE,MATCH(17,EXPERT5,0),1),"-")</f>
        <v>Suzy GILLETT_x000D_This Is Not Cricket</v>
      </c>
      <c r="G25" s="159">
        <v>0.64583333333333304</v>
      </c>
      <c r="H25" s="314" t="str">
        <f>IFERROR(INDEX([0]!BASE,MATCH(27,EXPERT5,0),1),"-")</f>
        <v>Rebecca DAY_x000D_Becoming Animal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IFERROR(INDEX([0]!BASE,MATCH(8,EXPERT5,0),1),"-")</f>
        <v>-</v>
      </c>
      <c r="D27" s="159">
        <v>0.67708333333333304</v>
      </c>
      <c r="E27" s="314" t="str">
        <f>IFERROR(INDEX([0]!BASE,MATCH(18,EXPERT5,0),1),"-")</f>
        <v>Isabelle COUTURE_x000D_Finding Sally</v>
      </c>
      <c r="G27" s="159">
        <v>0.67708333333333304</v>
      </c>
      <c r="H27" s="314" t="str">
        <f>IFERROR(INDEX([0]!BASE,MATCH(28,EXPERT5,0),1),"-")</f>
        <v>Louai HAFFAR_x000D_A Man On Fire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IFERROR(INDEX([0]!BASE,MATCH(9,EXPERT5,0),1),"-")</f>
        <v>-</v>
      </c>
      <c r="D30" s="159">
        <v>0.71875</v>
      </c>
      <c r="E30" s="314" t="str">
        <f>IFERROR(INDEX([0]!BASE,MATCH(19,EXPERT5,0),1),"-")</f>
        <v>Biljana TUTOROV_x000D_Aunts</v>
      </c>
      <c r="G30" s="159">
        <v>0.71875</v>
      </c>
      <c r="H30" s="314" t="str">
        <f>IFERROR(INDEX([0]!BASE,MATCH(29,EXPERT5,0),1),"-")</f>
        <v>Agnes HORVATH-SZABO_x000D_Nine Months War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IFERROR(INDEX([0]!BASE,MATCH(10,EXPERT5,0),1),"-")</f>
        <v>-</v>
      </c>
      <c r="D32" s="159">
        <v>0.75</v>
      </c>
      <c r="E32" s="314" t="str">
        <f>IFERROR(INDEX([0]!BASE,MATCH(20,EXPERT5,0),1),"-")</f>
        <v>Malgorzata WABINSKA_x000D_Diagnosis</v>
      </c>
      <c r="G32" s="159">
        <v>0.75</v>
      </c>
      <c r="H32" s="314" t="str">
        <f>IFERROR(INDEX([0]!BASE,MATCH(30,EXPERT5,0),1),"-")</f>
        <v>Elsa KREMSER_x000D_Stary Dogs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2" sqref="B32:B3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152</v>
      </c>
      <c r="D3" s="152"/>
      <c r="E3" s="155" t="s">
        <v>152</v>
      </c>
      <c r="G3" s="152"/>
      <c r="H3" s="155" t="s">
        <v>152</v>
      </c>
      <c r="J3" s="152"/>
      <c r="K3" s="155" t="s">
        <v>152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IFERROR(INDEX([0]!BASE,MATCH(1,EXPERT6,0),1),"-")</f>
        <v>-</v>
      </c>
      <c r="D7" s="152">
        <v>0.375</v>
      </c>
      <c r="E7" s="316" t="str">
        <f>IFERROR(INDEX([0]!BASE,MATCH(11,EXPERT6,0),1),"-")</f>
        <v>Santi VALLDEPEREZ_x000D_The Fisherman's Shadow</v>
      </c>
      <c r="G7" s="152">
        <v>0.375</v>
      </c>
      <c r="H7" s="314" t="str">
        <f>IFERROR(INDEX([0]!BASE,MATCH(21,EXPERT6,0),1),"-")</f>
        <v>-</v>
      </c>
      <c r="J7" s="152">
        <v>0.375</v>
      </c>
      <c r="K7" s="314" t="str">
        <f>IFERROR(INDEX([0]!BASE,MATCH(31,EXPERT6,0),1),"-")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IFERROR(INDEX([0]!BASE,MATCH(2,EXPERT6,0),1),"-")</f>
        <v>-</v>
      </c>
      <c r="D9" s="152">
        <v>0.40625</v>
      </c>
      <c r="E9" s="316" t="str">
        <f>IFERROR(INDEX([0]!BASE,MATCH(12,EXPERT6,0),1),"-")</f>
        <v>Elsa KREMSER_x000D_Stary Dogs</v>
      </c>
      <c r="G9" s="152">
        <v>0.40625</v>
      </c>
      <c r="H9" s="314" t="str">
        <f>IFERROR(INDEX([0]!BASE,MATCH(22,EXPERT6,0),1),"-")</f>
        <v>-</v>
      </c>
      <c r="J9" s="152">
        <v>0.40625</v>
      </c>
      <c r="K9" s="314" t="str">
        <f>IFERROR(INDEX([0]!BASE,MATCH(32,EXPERT6,0),1),"-")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IFERROR(INDEX([0]!BASE,MATCH(3,EXPERT6,0),1),"-")</f>
        <v>-</v>
      </c>
      <c r="D11" s="159">
        <v>0.4375</v>
      </c>
      <c r="E11" s="316" t="str">
        <f>IFERROR(INDEX([0]!BASE,MATCH(13,EXPERT6,0),1),"-")</f>
        <v>Diana Chiawen LEE _x000D_The Boss</v>
      </c>
      <c r="G11" s="159">
        <v>0.4375</v>
      </c>
      <c r="H11" s="314" t="str">
        <f>IFERROR(INDEX([0]!BASE,MATCH(23,EXPERT6,0),1),"-")</f>
        <v>-</v>
      </c>
      <c r="J11" s="159">
        <v>0.4375</v>
      </c>
      <c r="K11" s="314" t="str">
        <f>IFERROR(INDEX([0]!BASE,MATCH(33,EXPERT6,0),1),"-")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IFERROR(INDEX([0]!BASE,MATCH(4,EXPERT6,0),1),"-")</f>
        <v>-</v>
      </c>
      <c r="D14" s="159">
        <v>0.47916666666666702</v>
      </c>
      <c r="E14" s="314" t="str">
        <f>IFERROR(INDEX([0]!BASE,MATCH(14,EXPERT6,0),1),"-")</f>
        <v>Christie MOLIA_x000D_The Louvre Is Moving</v>
      </c>
      <c r="G14" s="159">
        <v>0.47916666666666702</v>
      </c>
      <c r="H14" s="314" t="str">
        <f>IFERROR(INDEX([0]!BASE,MATCH(24,EXPERT6,0),1),"-")</f>
        <v>-</v>
      </c>
      <c r="J14" s="159">
        <v>0.47916666666666702</v>
      </c>
      <c r="K14" s="314" t="str">
        <f>IFERROR(INDEX([0]!BASE,MATCH(34,EXPERT6,0),1),"-")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IFERROR(INDEX([0]!BASE,MATCH(5,EXPERT6,0),1),"-")</f>
        <v>-</v>
      </c>
      <c r="D16" s="152">
        <v>0.51041666666666696</v>
      </c>
      <c r="E16" s="314" t="str">
        <f>IFERROR(INDEX([0]!BASE,MATCH(15,EXPERT6,0),1),"-")</f>
        <v>Biljana TUTOROV_x000D_Aunts</v>
      </c>
      <c r="G16" s="152">
        <v>0.51041666666666696</v>
      </c>
      <c r="H16" s="314" t="str">
        <f>IFERROR(INDEX([0]!BASE,MATCH(25,EXPERT6,0),1),"-")</f>
        <v>-</v>
      </c>
      <c r="J16" s="152">
        <v>0.51041666666666696</v>
      </c>
      <c r="K16" s="314" t="str">
        <f>IFERROR(INDEX([0]!BASE,MATCH(35,EXPERT6,0),1),"-")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IFERROR(INDEX([0]!BASE,MATCH(6,EXPERT6,0),1),"-")</f>
        <v>-</v>
      </c>
      <c r="D23" s="159">
        <v>0.61458333333333304</v>
      </c>
      <c r="E23" s="314" t="str">
        <f>IFERROR(INDEX([0]!BASE,MATCH(16,EXPERT6,0),1),"-")</f>
        <v>Malgorzata WABINSKA_x000D_Diagnosis</v>
      </c>
      <c r="G23" s="159">
        <v>0.61458333333333304</v>
      </c>
      <c r="H23" s="314" t="str">
        <f>IFERROR(INDEX([0]!BASE,MATCH(26,EXPERT6,0),1),"-")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IFERROR(INDEX([0]!BASE,MATCH(7,EXPERT6,0),1),"-")</f>
        <v>-</v>
      </c>
      <c r="D25" s="159">
        <v>0.64583333333333304</v>
      </c>
      <c r="E25" s="314" t="str">
        <f>IFERROR(INDEX([0]!BASE,MATCH(17,EXPERT6,0),1),"-")</f>
        <v>Ivan ERHEL_x000D_Baghdad 3D</v>
      </c>
      <c r="G25" s="159">
        <v>0.64583333333333304</v>
      </c>
      <c r="H25" s="314" t="str">
        <f>IFERROR(INDEX([0]!BASE,MATCH(27,EXPERT6,0),1),"-")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IFERROR(INDEX([0]!BASE,MATCH(8,EXPERT6,0),1),"-")</f>
        <v>-</v>
      </c>
      <c r="D27" s="159">
        <v>0.67708333333333304</v>
      </c>
      <c r="E27" s="314" t="str">
        <f>IFERROR(INDEX([0]!BASE,MATCH(18,EXPERT6,0),1),"-")</f>
        <v>Margarida GRAMAXO_x000D_Principe</v>
      </c>
      <c r="G27" s="159">
        <v>0.67708333333333304</v>
      </c>
      <c r="H27" s="314" t="str">
        <f>IFERROR(INDEX([0]!BASE,MATCH(28,EXPERT6,0),1),"-")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IFERROR(INDEX([0]!BASE,MATCH(9,EXPERT6,0),1),"-")</f>
        <v>-</v>
      </c>
      <c r="D30" s="159">
        <v>0.71875</v>
      </c>
      <c r="E30" s="314" t="str">
        <f>IFERROR(INDEX([0]!BASE,MATCH(19,EXPERT6,0),1),"-")</f>
        <v>Anne Laure GUÉGAN_x000D_Family Portrait</v>
      </c>
      <c r="G30" s="159">
        <v>0.71875</v>
      </c>
      <c r="H30" s="314" t="str">
        <f>IFERROR(INDEX([0]!BASE,MATCH(29,EXPERT6,0),1),"-")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IFERROR(INDEX([0]!BASE,MATCH(10,EXPERT6,0),1),"-")</f>
        <v>Rebecca DAY_x000D_Becoming Animal</v>
      </c>
      <c r="D32" s="159">
        <v>0.75</v>
      </c>
      <c r="E32" s="314" t="str">
        <f>IFERROR(INDEX([0]!BASE,MATCH(20,EXPERT6,0),1),"-")</f>
        <v>Laura ROMANO_x000D_AK Stories</v>
      </c>
      <c r="G32" s="159">
        <v>0.75</v>
      </c>
      <c r="H32" s="314" t="str">
        <f>IFERROR(INDEX([0]!BASE,MATCH(30,EXPERT6,0),1),"-")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153</v>
      </c>
      <c r="D3" s="152"/>
      <c r="E3" s="155" t="s">
        <v>153</v>
      </c>
      <c r="G3" s="152"/>
      <c r="H3" s="155" t="s">
        <v>153</v>
      </c>
      <c r="J3" s="152"/>
      <c r="K3" s="155" t="s">
        <v>153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IFERROR(INDEX([0]!BASE,MATCH(1,EXPERT7,0),1),"-")</f>
        <v>-</v>
      </c>
      <c r="D7" s="152">
        <v>0.375</v>
      </c>
      <c r="E7" s="316" t="str">
        <f>IFERROR(INDEX([0]!BASE,MATCH(11,EXPERT7,0),1),"-")</f>
        <v>-</v>
      </c>
      <c r="G7" s="152">
        <v>0.375</v>
      </c>
      <c r="H7" s="314" t="str">
        <f>IFERROR(INDEX([0]!BASE,MATCH(21,EXPERT7,0),1),"-")</f>
        <v>Johnny HOLMVAG_x000D_Miracle In Moldova</v>
      </c>
      <c r="J7" s="152">
        <v>0.375</v>
      </c>
      <c r="K7" s="314" t="str">
        <f>IFERROR(INDEX([0]!BASE,MATCH(31,EXPERT7,0),1),"-")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IFERROR(INDEX([0]!BASE,MATCH(2,EXPERT7,0),1),"-")</f>
        <v>-</v>
      </c>
      <c r="D9" s="152">
        <v>0.40625</v>
      </c>
      <c r="E9" s="316" t="str">
        <f>IFERROR(INDEX([0]!BASE,MATCH(12,EXPERT7,0),1),"-")</f>
        <v>Anne Laure GUÉGAN_x000D_Family Portrait</v>
      </c>
      <c r="G9" s="152">
        <v>0.40625</v>
      </c>
      <c r="H9" s="314" t="str">
        <f>IFERROR(INDEX([0]!BASE,MATCH(22,EXPERT7,0),1),"-")</f>
        <v>Agnes HORVATH-SZABO_x000D_Nine Months War</v>
      </c>
      <c r="J9" s="152">
        <v>0.40625</v>
      </c>
      <c r="K9" s="314" t="str">
        <f>IFERROR(INDEX([0]!BASE,MATCH(32,EXPERT7,0),1),"-")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IFERROR(INDEX([0]!BASE,MATCH(3,EXPERT7,0),1),"-")</f>
        <v>-</v>
      </c>
      <c r="D11" s="159">
        <v>0.4375</v>
      </c>
      <c r="E11" s="316" t="str">
        <f>IFERROR(INDEX([0]!BASE,MATCH(13,EXPERT7,0),1),"-")</f>
        <v>Ivan ERHEL_x000D_Baghdad 3D</v>
      </c>
      <c r="G11" s="159">
        <v>0.4375</v>
      </c>
      <c r="H11" s="314" t="str">
        <f>IFERROR(INDEX([0]!BASE,MATCH(23,EXPERT7,0),1),"-")</f>
        <v>Bojan KANJERA_x000D_The Lost Dream Team</v>
      </c>
      <c r="J11" s="159">
        <v>0.4375</v>
      </c>
      <c r="K11" s="314" t="str">
        <f>IFERROR(INDEX([0]!BASE,MATCH(33,EXPERT7,0),1),"-")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/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IFERROR(INDEX([0]!BASE,MATCH(4,EXPERT7,0),1),"-")</f>
        <v>-</v>
      </c>
      <c r="D14" s="159">
        <v>0.47916666666666702</v>
      </c>
      <c r="E14" s="314" t="str">
        <f>IFERROR(INDEX([0]!BASE,MATCH(14,EXPERT7,0),1),"-")</f>
        <v>Quentin LAURENT_x000D_The Choice of Jean</v>
      </c>
      <c r="G14" s="159">
        <v>0.47916666666666702</v>
      </c>
      <c r="H14" s="314" t="str">
        <f>IFERROR(INDEX([0]!BASE,MATCH(24,EXPERT7,0),1),"-")</f>
        <v>Michael KROTKIEWSKI_x000D_Hamada</v>
      </c>
      <c r="J14" s="202">
        <v>0.46875</v>
      </c>
      <c r="K14" s="314" t="str">
        <f>IFERROR(INDEX([0]!BASE,MATCH(34,EXPERT7,0),1),"-")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IFERROR(INDEX([0]!BASE,MATCH(5,EXPERT7,0),1),"-")</f>
        <v>-</v>
      </c>
      <c r="D16" s="152">
        <v>0.51041666666666696</v>
      </c>
      <c r="E16" s="314" t="str">
        <f>IFERROR(INDEX([0]!BASE,MATCH(15,EXPERT7,0),1),"-")</f>
        <v>Svetlana STRELNIKOVA_x000D_People, Gods &amp; Other Creatures</v>
      </c>
      <c r="G16" s="152">
        <v>0.51041666666666696</v>
      </c>
      <c r="H16" s="314" t="str">
        <f>IFERROR(INDEX([0]!BASE,MATCH(25,EXPERT7,0),1),"-")</f>
        <v>Louai HAFFAR_x000D_A Man On Fire</v>
      </c>
      <c r="J16" s="198">
        <v>0.5</v>
      </c>
      <c r="K16" s="314" t="str">
        <f>IFERROR(INDEX([0]!BASE,MATCH(35,EXPERT7,0),1),"-")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IFERROR(INDEX([0]!BASE,MATCH(6,EXPERT7,0),1),"-")</f>
        <v>-</v>
      </c>
      <c r="D23" s="159">
        <v>0.61458333333333304</v>
      </c>
      <c r="E23" s="314" t="str">
        <f>IFERROR(INDEX([0]!BASE,MATCH(16,EXPERT7,0),1),"-")</f>
        <v>Britta RINDELAUB_x000D_Our American Cousins</v>
      </c>
      <c r="G23" s="159">
        <v>0.61458333333333304</v>
      </c>
      <c r="H23" s="314" t="str">
        <f>IFERROR(INDEX([0]!BASE,MATCH(26,EXPERT7,0),1),"-")</f>
        <v>Reinel GARCIA PEREZ_x000D_The Rice Rush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IFERROR(INDEX([0]!BASE,MATCH(7,EXPERT7,0),1),"-")</f>
        <v>-</v>
      </c>
      <c r="D25" s="159">
        <v>0.64583333333333304</v>
      </c>
      <c r="E25" s="314" t="str">
        <f>IFERROR(INDEX([0]!BASE,MATCH(17,EXPERT7,0),1),"-")</f>
        <v>Santi VALLDEPEREZ_x000D_The Fisherman's Shadow</v>
      </c>
      <c r="G25" s="159">
        <v>0.64583333333333304</v>
      </c>
      <c r="H25" s="314" t="str">
        <f>IFERROR(INDEX([0]!BASE,MATCH(27,EXPERT7,0),1),"-")</f>
        <v>Natalya SARCH_x000D_The Waleed Ahmed Story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IFERROR(INDEX([0]!BASE,MATCH(8,EXPERT7,0),1),"-")</f>
        <v>-</v>
      </c>
      <c r="D27" s="159">
        <v>0.67708333333333304</v>
      </c>
      <c r="E27" s="314" t="str">
        <f>IFERROR(INDEX([0]!BASE,MATCH(18,EXPERT7,0),1),"-")</f>
        <v>Lara ABOU SAIFAN_x000D_The Great Family</v>
      </c>
      <c r="G27" s="159">
        <v>0.67708333333333304</v>
      </c>
      <c r="H27" s="314" t="str">
        <f>IFERROR(INDEX([0]!BASE,MATCH(28,EXPERT7,0),1),"-")</f>
        <v>Diana Chiawen LEE _x000D_The Boss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IFERROR(INDEX([0]!BASE,MATCH(9,EXPERT7,0),1),"-")</f>
        <v>-</v>
      </c>
      <c r="D30" s="159">
        <v>0.71875</v>
      </c>
      <c r="E30" s="314" t="str">
        <f>IFERROR(INDEX([0]!BASE,MATCH(19,EXPERT7,0),1),"-")</f>
        <v>Lorenzo CIOFFI_x000D_Life Of Marzouk</v>
      </c>
      <c r="G30" s="159">
        <v>0.71875</v>
      </c>
      <c r="H30" s="314" t="str">
        <f>IFERROR(INDEX([0]!BASE,MATCH(29,EXPERT7,0),1),"-")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IFERROR(INDEX([0]!BASE,MATCH(10,EXPERT7,0),1),"-")</f>
        <v>-</v>
      </c>
      <c r="D32" s="159">
        <v>0.75</v>
      </c>
      <c r="E32" s="314" t="str">
        <f>IFERROR(INDEX([0]!BASE,MATCH(20,EXPERT7,0),1),"-")</f>
        <v>John WALLACE_x000D_All The Numbers</v>
      </c>
      <c r="G32" s="159">
        <v>0.75</v>
      </c>
      <c r="H32" s="314" t="str">
        <f>IFERROR(INDEX([0]!BASE,MATCH(30,EXPERT7,0),1),"-")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5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154</v>
      </c>
      <c r="D3" s="152"/>
      <c r="E3" s="155" t="s">
        <v>154</v>
      </c>
      <c r="G3" s="152"/>
      <c r="H3" s="155" t="s">
        <v>154</v>
      </c>
      <c r="J3" s="152"/>
      <c r="K3" s="155" t="s">
        <v>154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IFERROR(INDEX([0]!BASE,MATCH(1,EXPERT8,0),1),"-")</f>
        <v>-</v>
      </c>
      <c r="D7" s="152">
        <v>0.375</v>
      </c>
      <c r="E7" s="316" t="str">
        <f>IFERROR(INDEX([0]!BASE,MATCH(11,EXPERT8,0),1),"-")</f>
        <v>-</v>
      </c>
      <c r="G7" s="152">
        <v>0.375</v>
      </c>
      <c r="H7" s="314" t="str">
        <f>IFERROR(INDEX([0]!BASE,MATCH(21,EXPERT8,0),1),"-")</f>
        <v>Rebecca DAY_x000D_Becoming Animal</v>
      </c>
      <c r="J7" s="152">
        <v>0.375</v>
      </c>
      <c r="K7" s="314" t="str">
        <f>IFERROR(INDEX([0]!BASE,MATCH(31,EXPERT8,0),1),"-")</f>
        <v>Malgorzata WABINSKA_x000D_Diagnosis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IFERROR(INDEX([0]!BASE,MATCH(2,EXPERT8,0),1),"-")</f>
        <v>-</v>
      </c>
      <c r="D9" s="152">
        <v>0.40625</v>
      </c>
      <c r="E9" s="316" t="str">
        <f>IFERROR(INDEX([0]!BASE,MATCH(12,EXPERT8,0),1),"-")</f>
        <v>-</v>
      </c>
      <c r="G9" s="152">
        <v>0.40625</v>
      </c>
      <c r="H9" s="314" t="str">
        <f>IFERROR(INDEX([0]!BASE,MATCH(22,EXPERT8,0),1),"-")</f>
        <v>Biljana TUTOROV_x000D_Aunts</v>
      </c>
      <c r="J9" s="152">
        <v>0.40625</v>
      </c>
      <c r="K9" s="314" t="str">
        <f>IFERROR(INDEX([0]!BASE,MATCH(32,EXPERT8,0),1),"-")</f>
        <v>John WALLACE_x000D_All The Numbers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IFERROR(INDEX([0]!BASE,MATCH(3,EXPERT8,0),1),"-")</f>
        <v>-</v>
      </c>
      <c r="D11" s="159">
        <v>0.4375</v>
      </c>
      <c r="E11" s="316" t="str">
        <f>IFERROR(INDEX([0]!BASE,MATCH(13,EXPERT8,0),1),"-")</f>
        <v>-</v>
      </c>
      <c r="G11" s="159">
        <v>0.4375</v>
      </c>
      <c r="H11" s="314" t="str">
        <f>IFERROR(INDEX([0]!BASE,MATCH(23,EXPERT8,0),1),"-")</f>
        <v>Michael KROTKIEWSKI_x000D_Hamada</v>
      </c>
      <c r="J11" s="159">
        <v>0.4375</v>
      </c>
      <c r="K11" s="314" t="str">
        <f>IFERROR(INDEX([0]!BASE,MATCH(33,EXPERT8,0),1),"-")</f>
        <v>Suzy GILLETT_x000D_This Is Not Cricket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IFERROR(INDEX([0]!BASE,MATCH(4,EXPERT8,0),1),"-")</f>
        <v>-</v>
      </c>
      <c r="D14" s="159">
        <v>0.47916666666666702</v>
      </c>
      <c r="E14" s="314" t="str">
        <f>IFERROR(INDEX([0]!BASE,MATCH(14,EXPERT8,0),1),"-")</f>
        <v>-</v>
      </c>
      <c r="G14" s="159">
        <v>0.47916666666666702</v>
      </c>
      <c r="H14" s="314" t="str">
        <f>IFERROR(INDEX([0]!BASE,MATCH(24,EXPERT8,0),1),"-")</f>
        <v>Elsa KREMSER_x000D_Stary Dogs</v>
      </c>
      <c r="J14" s="159">
        <v>0.47916666666666702</v>
      </c>
      <c r="K14" s="314" t="str">
        <f>IFERROR(INDEX([0]!BASE,MATCH(34,EXPERT8,0),1),"-")</f>
        <v>Isabelle COUTURE_x000D_Finding Sally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IFERROR(INDEX([0]!BASE,MATCH(5,EXPERT8,0),1),"-")</f>
        <v>-</v>
      </c>
      <c r="D16" s="152">
        <v>0.51041666666666696</v>
      </c>
      <c r="E16" s="314" t="str">
        <f>IFERROR(INDEX([0]!BASE,MATCH(15,EXPERT8,0),1),"-")</f>
        <v>-</v>
      </c>
      <c r="G16" s="152">
        <v>0.51041666666666696</v>
      </c>
      <c r="H16" s="314" t="str">
        <f>IFERROR(INDEX([0]!BASE,MATCH(25,EXPERT8,0),1),"-")</f>
        <v>Reinel GARCIA PEREZ_x000D_The Rice Rush</v>
      </c>
      <c r="J16" s="152">
        <v>0.51041666666666696</v>
      </c>
      <c r="K16" s="314" t="str">
        <f>IFERROR(INDEX([0]!BASE,MATCH(35,EXPERT8,0),1),"-")</f>
        <v>Lorenzo CIOFFI_x000D_Life Of Marzouk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IFERROR(INDEX([0]!BASE,MATCH(6,EXPERT8,0),1),"-")</f>
        <v>-</v>
      </c>
      <c r="D23" s="159">
        <v>0.61458333333333304</v>
      </c>
      <c r="E23" s="314" t="str">
        <f>IFERROR(INDEX([0]!BASE,MATCH(16,EXPERT8,0),1),"-")</f>
        <v>-</v>
      </c>
      <c r="G23" s="159">
        <v>0.61458333333333304</v>
      </c>
      <c r="H23" s="314" t="str">
        <f>IFERROR(INDEX([0]!BASE,MATCH(26,EXPERT8,0),1),"-")</f>
        <v>Agnes HORVATH-SZABO_x000D_Nine Months War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IFERROR(INDEX([0]!BASE,MATCH(7,EXPERT8,0),1),"-")</f>
        <v>-</v>
      </c>
      <c r="D25" s="159">
        <v>0.64583333333333304</v>
      </c>
      <c r="E25" s="314" t="str">
        <f>IFERROR(INDEX([0]!BASE,MATCH(17,EXPERT8,0),1),"-")</f>
        <v>-</v>
      </c>
      <c r="G25" s="159">
        <v>0.64583333333333304</v>
      </c>
      <c r="H25" s="314" t="str">
        <f>IFERROR(INDEX([0]!BASE,MATCH(27,EXPERT8,0),1),"-")</f>
        <v>Quentin LAURENT_x000D_The Choice of Jean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IFERROR(INDEX([0]!BASE,MATCH(8,EXPERT8,0),1),"-")</f>
        <v>-</v>
      </c>
      <c r="D27" s="159">
        <v>0.67708333333333304</v>
      </c>
      <c r="E27" s="314" t="str">
        <f>IFERROR(INDEX([0]!BASE,MATCH(18,EXPERT8,0),1),"-")</f>
        <v>-</v>
      </c>
      <c r="G27" s="159">
        <v>0.67708333333333304</v>
      </c>
      <c r="H27" s="314" t="str">
        <f>IFERROR(INDEX([0]!BASE,MATCH(28,EXPERT8,0),1),"-")</f>
        <v>David HURST_x000D_Degenerando Argentina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IFERROR(INDEX([0]!BASE,MATCH(9,EXPERT8,0),1),"-")</f>
        <v>-</v>
      </c>
      <c r="D30" s="159">
        <v>0.71875</v>
      </c>
      <c r="E30" s="314" t="str">
        <f>IFERROR(INDEX([0]!BASE,MATCH(19,EXPERT8,0),1),"-")</f>
        <v>-</v>
      </c>
      <c r="G30" s="159">
        <v>0.71875</v>
      </c>
      <c r="H30" s="314" t="str">
        <f>IFERROR(INDEX([0]!BASE,MATCH(29,EXPERT8,0),1),"-")</f>
        <v>Anne Laure GUÉGAN_x000D_Family Portrait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IFERROR(INDEX([0]!BASE,MATCH(10,EXPERT8,0),1),"-")</f>
        <v>-</v>
      </c>
      <c r="D32" s="159">
        <v>0.75</v>
      </c>
      <c r="E32" s="314" t="str">
        <f>IFERROR(INDEX([0]!BASE,MATCH(20,EXPERT8,0),1),"-")</f>
        <v>-</v>
      </c>
      <c r="G32" s="159">
        <v>0.75</v>
      </c>
      <c r="H32" s="314" t="str">
        <f>IFERROR(INDEX([0]!BASE,MATCH(30,EXPERT8,0),1),"-")</f>
        <v>Lara ABOU SAIFAN_x000D_The Great Family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62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C1" workbookViewId="0">
      <selection activeCell="E3" sqref="E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155</v>
      </c>
      <c r="D3" s="152"/>
      <c r="E3" s="155" t="s">
        <v>155</v>
      </c>
      <c r="G3" s="152"/>
      <c r="H3" s="155" t="s">
        <v>155</v>
      </c>
      <c r="J3" s="152"/>
      <c r="K3" s="155" t="s">
        <v>155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IFERROR(INDEX([0]!BASE,MATCH(1,EXPERT9,0),1),"-")</f>
        <v>-</v>
      </c>
      <c r="D7" s="152">
        <v>0.375</v>
      </c>
      <c r="E7" s="316" t="str">
        <f>IFERROR(INDEX([0]!BASE,MATCH(11,EXPERT9,0),1),"-")</f>
        <v>-</v>
      </c>
      <c r="G7" s="152">
        <v>0.375</v>
      </c>
      <c r="H7" s="314" t="str">
        <f>IFERROR(INDEX([0]!BASE,MATCH(21,EXPERT9,0),1),"-")</f>
        <v>-</v>
      </c>
      <c r="J7" s="152">
        <v>0.375</v>
      </c>
      <c r="K7" s="314" t="str">
        <f>IFERROR(INDEX([0]!BASE,MATCH(31,EXPERT9,0),1),"-")</f>
        <v>Quentin LAURENT_x000D_The Choice of Jean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IFERROR(INDEX([0]!BASE,MATCH(2,EXPERT9,0),1),"-")</f>
        <v>-</v>
      </c>
      <c r="D9" s="152">
        <v>0.40625</v>
      </c>
      <c r="E9" s="316" t="str">
        <f>IFERROR(INDEX([0]!BASE,MATCH(12,EXPERT9,0),1),"-")</f>
        <v>-</v>
      </c>
      <c r="G9" s="152">
        <v>0.40625</v>
      </c>
      <c r="H9" s="314" t="str">
        <f>IFERROR(INDEX([0]!BASE,MATCH(22,EXPERT9,0),1),"-")</f>
        <v>Natalya SARCH_x000D_The Waleed Ahmed Story</v>
      </c>
      <c r="J9" s="152">
        <v>0.40625</v>
      </c>
      <c r="K9" s="314" t="str">
        <f>IFERROR(INDEX([0]!BASE,MATCH(32,EXPERT9,0),1),"-")</f>
        <v>Laura ROMANO_x000D_AK Stories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IFERROR(INDEX([0]!BASE,MATCH(3,EXPERT9,0),1),"-")</f>
        <v>-</v>
      </c>
      <c r="D11" s="159">
        <v>0.4375</v>
      </c>
      <c r="E11" s="316" t="str">
        <f>IFERROR(INDEX([0]!BASE,MATCH(13,EXPERT9,0),1),"-")</f>
        <v>-</v>
      </c>
      <c r="G11" s="159">
        <v>0.4375</v>
      </c>
      <c r="H11" s="314" t="str">
        <f>IFERROR(INDEX([0]!BASE,MATCH(23,EXPERT9,0),1),"-")</f>
        <v>Malgorzata WABINSKA_x000D_Diagnosis</v>
      </c>
      <c r="J11" s="159">
        <v>0.4375</v>
      </c>
      <c r="K11" s="314" t="str">
        <f>IFERROR(INDEX([0]!BASE,MATCH(33,EXPERT9,0),1),"-")</f>
        <v>David HURST_x000D_Degenerando Argentina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IFERROR(INDEX([0]!BASE,MATCH(4,EXPERT9,0),1),"-")</f>
        <v>-</v>
      </c>
      <c r="D14" s="159">
        <v>0.47916666666666702</v>
      </c>
      <c r="E14" s="314" t="str">
        <f>IFERROR(INDEX([0]!BASE,MATCH(14,EXPERT9,0),1),"-")</f>
        <v>-</v>
      </c>
      <c r="G14" s="159">
        <v>0.47916666666666702</v>
      </c>
      <c r="H14" s="314" t="str">
        <f>IFERROR(INDEX([0]!BASE,MATCH(24,EXPERT9,0),1),"-")</f>
        <v>Christie MOLIA_x000D_The Louvre Is Moving</v>
      </c>
      <c r="J14" s="199">
        <v>0.46875</v>
      </c>
      <c r="K14" s="314" t="str">
        <f>IFERROR(INDEX([0]!BASE,MATCH(34,EXPERT9,0),1),"-")</f>
        <v>Margarida GRAMAXO_x000D_Principe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IFERROR(INDEX([0]!BASE,MATCH(5,EXPERT9,0),1),"-")</f>
        <v>-</v>
      </c>
      <c r="D16" s="152">
        <v>0.51041666666666696</v>
      </c>
      <c r="E16" s="314" t="str">
        <f>IFERROR(INDEX([0]!BASE,MATCH(15,EXPERT9,0),1),"-")</f>
        <v>-</v>
      </c>
      <c r="G16" s="152">
        <v>0.51041666666666696</v>
      </c>
      <c r="H16" s="314" t="str">
        <f>IFERROR(INDEX([0]!BASE,MATCH(25,EXPERT9,0),1),"-")</f>
        <v>Agnes HORVATH-SZABO_x000D_Nine Months War</v>
      </c>
      <c r="J16" s="198">
        <v>0.5</v>
      </c>
      <c r="K16" s="314" t="str">
        <f>IFERROR(INDEX([0]!BASE,MATCH(35,EXPERT9,0),1),"-")</f>
        <v>Ivan ERHEL_x000D_Baghdad 3D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IFERROR(INDEX([0]!BASE,MATCH(6,EXPERT9,0),1),"-")</f>
        <v>-</v>
      </c>
      <c r="D23" s="159">
        <v>0.61458333333333304</v>
      </c>
      <c r="E23" s="314" t="str">
        <f>IFERROR(INDEX([0]!BASE,MATCH(16,EXPERT9,0),1),"-")</f>
        <v>Reinel GARCIA PEREZ_x000D_The Rice Rush</v>
      </c>
      <c r="G23" s="159">
        <v>0.61458333333333304</v>
      </c>
      <c r="H23" s="314" t="str">
        <f>IFERROR(INDEX([0]!BASE,MATCH(26,EXPERT9,0),1),"-")</f>
        <v>Bojan KANJERA_x000D_The Lost Dream Team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IFERROR(INDEX([0]!BASE,MATCH(7,EXPERT9,0),1),"-")</f>
        <v>-</v>
      </c>
      <c r="D25" s="159">
        <v>0.64583333333333304</v>
      </c>
      <c r="E25" s="314" t="str">
        <f>IFERROR(INDEX([0]!BASE,MATCH(17,EXPERT9,0),1),"-")</f>
        <v>Michael KROTKIEWSKI_x000D_Hamada</v>
      </c>
      <c r="G25" s="159">
        <v>0.64583333333333304</v>
      </c>
      <c r="H25" s="314" t="str">
        <f>IFERROR(INDEX([0]!BASE,MATCH(27,EXPERT9,0),1),"-")</f>
        <v>Louai HAFFAR_x000D_A Man On Fire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IFERROR(INDEX([0]!BASE,MATCH(8,EXPERT9,0),1),"-")</f>
        <v>-</v>
      </c>
      <c r="D27" s="159">
        <v>0.67708333333333304</v>
      </c>
      <c r="E27" s="314" t="str">
        <f>IFERROR(INDEX([0]!BASE,MATCH(18,EXPERT9,0),1),"-")</f>
        <v>John WALLACE_x000D_All The Numbers</v>
      </c>
      <c r="G27" s="159">
        <v>0.67708333333333304</v>
      </c>
      <c r="H27" s="314" t="str">
        <f>IFERROR(INDEX([0]!BASE,MATCH(28,EXPERT9,0),1),"-")</f>
        <v>Johnny HOLMVAG_x000D_Miracle In Moldova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IFERROR(INDEX([0]!BASE,MATCH(9,EXPERT9,0),1),"-")</f>
        <v>-</v>
      </c>
      <c r="D30" s="159">
        <v>0.71875</v>
      </c>
      <c r="E30" s="314" t="str">
        <f>IFERROR(INDEX([0]!BASE,MATCH(19,EXPERT9,0),1),"-")</f>
        <v>Lara ABOU SAIFAN_x000D_The Great Family</v>
      </c>
      <c r="G30" s="159">
        <v>0.71875</v>
      </c>
      <c r="H30" s="314" t="str">
        <f>IFERROR(INDEX([0]!BASE,MATCH(29,EXPERT9,0),1),"-")</f>
        <v>Santi VALLDEPEREZ_x000D_The Fisherman's Shadow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IFERROR(INDEX([0]!BASE,MATCH(10,EXPERT9,0),1),"-")</f>
        <v>-</v>
      </c>
      <c r="D32" s="159">
        <v>0.75</v>
      </c>
      <c r="E32" s="314" t="str">
        <f>IFERROR(INDEX([0]!BASE,MATCH(20,EXPERT9,0),1),"-")</f>
        <v>Lorenzo CIOFFI_x000D_Life Of Marzouk</v>
      </c>
      <c r="G32" s="159">
        <v>0.75</v>
      </c>
      <c r="H32" s="314" t="str">
        <f>IFERROR(INDEX([0]!BASE,MATCH(30,EXPERT9,0),1),"-")</f>
        <v>Svetlana STRELNIKOVA_x000D_People, Gods &amp; Other Creatures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7559055118110237" right="0.55118110236220474" top="0.35433070866141736" bottom="0.59055118110236227" header="0.27559055118110237" footer="0.51181102362204722"/>
  <pageSetup paperSize="10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F5" workbookViewId="0">
      <selection activeCell="K9" sqref="K9:K10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156</v>
      </c>
      <c r="D3" s="152"/>
      <c r="E3" s="155" t="s">
        <v>156</v>
      </c>
      <c r="G3" s="152"/>
      <c r="H3" s="155" t="s">
        <v>156</v>
      </c>
      <c r="J3" s="152"/>
      <c r="K3" s="155" t="s">
        <v>156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IFERROR(INDEX([0]!BASE,MATCH(1,EXPERT10,0),1),"-")</f>
        <v>-</v>
      </c>
      <c r="D7" s="152">
        <v>0.375</v>
      </c>
      <c r="E7" s="316" t="str">
        <f>IFERROR(INDEX([0]!BASE,MATCH(11,EXPERT10,0),1),"-")</f>
        <v>-</v>
      </c>
      <c r="G7" s="152">
        <v>0.375</v>
      </c>
      <c r="H7" s="314" t="str">
        <f>IFERROR(INDEX([0]!BASE,MATCH(21,EXPERT10,0),1),"-")</f>
        <v>-</v>
      </c>
      <c r="J7" s="152">
        <v>0.375</v>
      </c>
      <c r="K7" s="314" t="str">
        <f>IFERROR(INDEX([0]!BASE,MATCH(31,EXPERT10,0),1),"-")</f>
        <v>Lara ABOU SAIFAN_x000D_The Great Family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IFERROR(INDEX([0]!BASE,MATCH(2,EXPERT10,0),1),"-")</f>
        <v>-</v>
      </c>
      <c r="D9" s="152">
        <v>0.40625</v>
      </c>
      <c r="E9" s="316" t="str">
        <f>IFERROR(INDEX([0]!BASE,MATCH(12,EXPERT10,0),1),"-")</f>
        <v>Natalya SARCH_x000D_The Waleed Ahmed Story</v>
      </c>
      <c r="G9" s="152">
        <v>0.40625</v>
      </c>
      <c r="H9" s="314" t="str">
        <f>IFERROR(INDEX([0]!BASE,MATCH(22,EXPERT10,0),1),"-")</f>
        <v>Ivan ERHEL_x000D_Baghdad 3D</v>
      </c>
      <c r="J9" s="152">
        <v>0.40625</v>
      </c>
      <c r="K9" s="314" t="str">
        <f>IFERROR(INDEX([0]!BASE,MATCH(32,EXPERT10,0),1),"-")</f>
        <v>Rebecca DAY_x000D_Becoming Animal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IFERROR(INDEX([0]!BASE,MATCH(3,EXPERT10,0),1),"-")</f>
        <v>-</v>
      </c>
      <c r="D11" s="159">
        <v>0.4375</v>
      </c>
      <c r="E11" s="316" t="str">
        <f>IFERROR(INDEX([0]!BASE,MATCH(13,EXPERT10,0),1),"-")</f>
        <v>Michael KROTKIEWSKI_x000D_Hamada</v>
      </c>
      <c r="G11" s="159">
        <v>0.4375</v>
      </c>
      <c r="H11" s="314" t="str">
        <f>IFERROR(INDEX([0]!BASE,MATCH(23,EXPERT10,0),1),"-")</f>
        <v>Margarida GRAMAXO_x000D_Principe</v>
      </c>
      <c r="J11" s="159">
        <v>0.4375</v>
      </c>
      <c r="K11" s="314" t="str">
        <f>IFERROR(INDEX([0]!BASE,MATCH(33,EXPERT10,0),1),"-")</f>
        <v>Malgorzata WABINSKA_x000D_Diagnosis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IFERROR(INDEX([0]!BASE,MATCH(4,EXPERT10,0),1),"-")</f>
        <v>-</v>
      </c>
      <c r="D14" s="159">
        <v>0.47916666666666702</v>
      </c>
      <c r="E14" s="314" t="str">
        <f>IFERROR(INDEX([0]!BASE,MATCH(14,EXPERT10,0),1),"-")</f>
        <v>Elsa KREMSER_x000D_Stary Dogs</v>
      </c>
      <c r="G14" s="159">
        <v>0.47916666666666702</v>
      </c>
      <c r="H14" s="314" t="str">
        <f>IFERROR(INDEX([0]!BASE,MATCH(24,EXPERT10,0),1),"-")</f>
        <v>Laura ROMANO_x000D_AK Stories</v>
      </c>
      <c r="J14" s="199">
        <v>0.46875</v>
      </c>
      <c r="K14" s="314" t="str">
        <f>IFERROR(INDEX([0]!BASE,MATCH(34,EXPERT10,0),1),"-")</f>
        <v>John WALLACE_x000D_All The Numbers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IFERROR(INDEX([0]!BASE,MATCH(5,EXPERT10,0),1),"-")</f>
        <v>-</v>
      </c>
      <c r="D16" s="152">
        <v>0.51041666666666696</v>
      </c>
      <c r="E16" s="314" t="str">
        <f>IFERROR(INDEX([0]!BASE,MATCH(15,EXPERT10,0),1),"-")</f>
        <v>Louai HAFFAR_x000D_A Man On Fire</v>
      </c>
      <c r="G16" s="152">
        <v>0.51041666666666696</v>
      </c>
      <c r="H16" s="314" t="str">
        <f>IFERROR(INDEX([0]!BASE,MATCH(25,EXPERT10,0),1),"-")</f>
        <v>Svetlana STRELNIKOVA_x000D_People, Gods &amp; Other Creatures</v>
      </c>
      <c r="J16" s="198">
        <v>0.5</v>
      </c>
      <c r="K16" s="314" t="str">
        <f>IFERROR(INDEX([0]!BASE,MATCH(35,EXPERT10,0),1),"-")</f>
        <v>Biljana TUTOROV_x000D_Aunts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IFERROR(INDEX([0]!BASE,MATCH(6,EXPERT10,0),1),"-")</f>
        <v>-</v>
      </c>
      <c r="D23" s="159">
        <v>0.61458333333333304</v>
      </c>
      <c r="E23" s="314" t="str">
        <f>IFERROR(INDEX([0]!BASE,MATCH(16,EXPERT10,0),1),"-")</f>
        <v>Johnny HOLMVAG_x000D_Miracle In Moldova</v>
      </c>
      <c r="G23" s="159">
        <v>0.61458333333333304</v>
      </c>
      <c r="H23" s="314" t="str">
        <f>IFERROR(INDEX([0]!BASE,MATCH(26,EXPERT10,0),1),"-")</f>
        <v>Britta RINDELAUB_x000D_Our American Cousins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IFERROR(INDEX([0]!BASE,MATCH(7,EXPERT10,0),1),"-")</f>
        <v>-</v>
      </c>
      <c r="D25" s="159">
        <v>0.64583333333333304</v>
      </c>
      <c r="E25" s="314" t="str">
        <f>IFERROR(INDEX([0]!BASE,MATCH(17,EXPERT10,0),1),"-")</f>
        <v>Agnes HORVATH-SZABO_x000D_Nine Months War</v>
      </c>
      <c r="G25" s="159">
        <v>0.64583333333333304</v>
      </c>
      <c r="H25" s="314" t="str">
        <f>IFERROR(INDEX([0]!BASE,MATCH(27,EXPERT10,0),1),"-")</f>
        <v>Anne Laure GUÉGAN_x000D_Family Portrait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IFERROR(INDEX([0]!BASE,MATCH(8,EXPERT10,0),1),"-")</f>
        <v>-</v>
      </c>
      <c r="D27" s="159">
        <v>0.67708333333333304</v>
      </c>
      <c r="E27" s="314" t="str">
        <f>IFERROR(INDEX([0]!BASE,MATCH(18,EXPERT10,0),1),"-")</f>
        <v>Reinel GARCIA PEREZ_x000D_The Rice Rush</v>
      </c>
      <c r="G27" s="159">
        <v>0.67708333333333304</v>
      </c>
      <c r="H27" s="314" t="str">
        <f>IFERROR(INDEX([0]!BASE,MATCH(28,EXPERT10,0),1),"-")</f>
        <v>Isabelle COUTURE_x000D_Finding Sally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IFERROR(INDEX([0]!BASE,MATCH(9,EXPERT10,0),1),"-")</f>
        <v>-</v>
      </c>
      <c r="D30" s="159">
        <v>0.71875</v>
      </c>
      <c r="E30" s="314" t="str">
        <f>IFERROR(INDEX([0]!BASE,MATCH(19,EXPERT10,0),1),"-")</f>
        <v>Christie MOLIA_x000D_The Louvre Is Moving</v>
      </c>
      <c r="G30" s="159">
        <v>0.71875</v>
      </c>
      <c r="H30" s="314" t="str">
        <f>IFERROR(INDEX([0]!BASE,MATCH(29,EXPERT10,0),1),"-")</f>
        <v>Lorenzo CIOFFI_x000D_Life Of Marzouk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IFERROR(INDEX([0]!BASE,MATCH(10,EXPERT10,0),1),"-")</f>
        <v>-</v>
      </c>
      <c r="D32" s="159">
        <v>0.75</v>
      </c>
      <c r="E32" s="314" t="str">
        <f>IFERROR(INDEX([0]!BASE,MATCH(20,EXPERT10,0),1),"-")</f>
        <v>Quentin LAURENT_x000D_The Choice of Jean</v>
      </c>
      <c r="G32" s="159">
        <v>0.75</v>
      </c>
      <c r="H32" s="314" t="str">
        <f>IFERROR(INDEX([0]!BASE,MATCH(30,EXPERT10,0),1),"-")</f>
        <v>Suzy GILLETT_x000D_This Is Not Cricket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94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14"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157</v>
      </c>
      <c r="D3" s="152"/>
      <c r="E3" s="155" t="s">
        <v>157</v>
      </c>
      <c r="G3" s="152"/>
      <c r="H3" s="155" t="s">
        <v>157</v>
      </c>
      <c r="J3" s="152"/>
      <c r="K3" s="155" t="s">
        <v>157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IFERROR(INDEX([0]!BASE,MATCH(1,EXPERT11,0),1),"-")</f>
        <v>-</v>
      </c>
      <c r="D7" s="152">
        <v>0.375</v>
      </c>
      <c r="E7" s="316" t="str">
        <f>IFERROR(INDEX([0]!BASE,MATCH(11,EXPERT11,0),1),"-")</f>
        <v>Louai HAFFAR_x000D_A Man On Fire</v>
      </c>
      <c r="G7" s="152">
        <v>0.375</v>
      </c>
      <c r="H7" s="314" t="str">
        <f>IFERROR(INDEX([0]!BASE,MATCH(21,EXPERT11,0),1),"-")</f>
        <v>-</v>
      </c>
      <c r="J7" s="152">
        <v>0.375</v>
      </c>
      <c r="K7" s="314" t="str">
        <f>IFERROR(INDEX([0]!BASE,MATCH(31,EXPERT11,0),1),"-")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IFERROR(INDEX([0]!BASE,MATCH(2,EXPERT11,0),1),"-")</f>
        <v>-</v>
      </c>
      <c r="D9" s="152">
        <v>0.40625</v>
      </c>
      <c r="E9" s="316" t="str">
        <f>IFERROR(INDEX([0]!BASE,MATCH(12,EXPERT11,0),1),"-")</f>
        <v>Ivan ERHEL_x000D_Baghdad 3D</v>
      </c>
      <c r="G9" s="152">
        <v>0.40625</v>
      </c>
      <c r="H9" s="314" t="str">
        <f>IFERROR(INDEX([0]!BASE,MATCH(22,EXPERT11,0),1),"-")</f>
        <v>-</v>
      </c>
      <c r="J9" s="152">
        <v>0.40625</v>
      </c>
      <c r="K9" s="314" t="str">
        <f>IFERROR(INDEX([0]!BASE,MATCH(32,EXPERT11,0),1),"-")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IFERROR(INDEX([0]!BASE,MATCH(3,EXPERT11,0),1),"-")</f>
        <v>-</v>
      </c>
      <c r="D11" s="159">
        <v>0.4375</v>
      </c>
      <c r="E11" s="316" t="str">
        <f>IFERROR(INDEX([0]!BASE,MATCH(13,EXPERT11,0),1),"-")</f>
        <v>Biljana TUTOROV_x000D_Aunts</v>
      </c>
      <c r="G11" s="159">
        <v>0.4375</v>
      </c>
      <c r="H11" s="314" t="str">
        <f>IFERROR(INDEX([0]!BASE,MATCH(23,EXPERT11,0),1),"-")</f>
        <v>-</v>
      </c>
      <c r="J11" s="159">
        <v>0.4375</v>
      </c>
      <c r="K11" s="314" t="str">
        <f>IFERROR(INDEX([0]!BASE,MATCH(33,EXPERT11,0),1),"-")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IFERROR(INDEX([0]!BASE,MATCH(4,EXPERT11,0),1),"-")</f>
        <v>-</v>
      </c>
      <c r="D14" s="159">
        <v>0.47916666666666702</v>
      </c>
      <c r="E14" s="314" t="str">
        <f>IFERROR(INDEX([0]!BASE,MATCH(14,EXPERT11,0),1),"-")</f>
        <v>Margarida GRAMAXO_x000D_Principe</v>
      </c>
      <c r="G14" s="159">
        <v>0.47916666666666702</v>
      </c>
      <c r="H14" s="314" t="str">
        <f>IFERROR(INDEX([0]!BASE,MATCH(24,EXPERT11,0),1),"-")</f>
        <v>-</v>
      </c>
      <c r="J14" s="199">
        <v>0.46875</v>
      </c>
      <c r="K14" s="314" t="str">
        <f>IFERROR(INDEX([0]!BASE,MATCH(34,EXPERT11,0),1),"-")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IFERROR(INDEX([0]!BASE,MATCH(5,EXPERT11,0),1),"-")</f>
        <v>-</v>
      </c>
      <c r="D16" s="152">
        <v>0.51041666666666696</v>
      </c>
      <c r="E16" s="314" t="str">
        <f>IFERROR(INDEX([0]!BASE,MATCH(15,EXPERT11,0),1),"-")</f>
        <v>Christie MOLIA_x000D_The Louvre Is Moving</v>
      </c>
      <c r="G16" s="152">
        <v>0.51041666666666696</v>
      </c>
      <c r="H16" s="314" t="str">
        <f>IFERROR(INDEX([0]!BASE,MATCH(25,EXPERT11,0),1),"-")</f>
        <v>-</v>
      </c>
      <c r="J16" s="198">
        <v>0.5</v>
      </c>
      <c r="K16" s="314" t="str">
        <f>IFERROR(INDEX([0]!BASE,MATCH(35,EXPERT11,0),1),"-")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98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IFERROR(INDEX([0]!BASE,MATCH(6,EXPERT11,0),1),"-")</f>
        <v>-</v>
      </c>
      <c r="D23" s="159">
        <v>0.61458333333333304</v>
      </c>
      <c r="E23" s="314" t="str">
        <f>IFERROR(INDEX([0]!BASE,MATCH(16,EXPERT11,0),1),"-")</f>
        <v>Santi VALLDEPEREZ_x000D_The Fisherman's Shadow</v>
      </c>
      <c r="G23" s="159">
        <v>0.61458333333333304</v>
      </c>
      <c r="H23" s="314" t="str">
        <f>IFERROR(INDEX([0]!BASE,MATCH(26,EXPERT11,0),1),"-")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IFERROR(INDEX([0]!BASE,MATCH(7,EXPERT11,0),1),"-")</f>
        <v>-</v>
      </c>
      <c r="D25" s="159">
        <v>0.64583333333333304</v>
      </c>
      <c r="E25" s="314" t="str">
        <f>IFERROR(INDEX([0]!BASE,MATCH(17,EXPERT11,0),1),"-")</f>
        <v>Malgorzata WABINSKA_x000D_Diagnosis</v>
      </c>
      <c r="G25" s="159">
        <v>0.64583333333333304</v>
      </c>
      <c r="H25" s="314" t="str">
        <f>IFERROR(INDEX([0]!BASE,MATCH(27,EXPERT11,0),1),"-")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IFERROR(INDEX([0]!BASE,MATCH(8,EXPERT11,0),1),"-")</f>
        <v>-</v>
      </c>
      <c r="D27" s="159">
        <v>0.67708333333333304</v>
      </c>
      <c r="E27" s="314" t="str">
        <f>IFERROR(INDEX([0]!BASE,MATCH(18,EXPERT11,0),1),"-")</f>
        <v>Anne Laure GUÉGAN_x000D_Family Portrait</v>
      </c>
      <c r="G27" s="159">
        <v>0.67708333333333304</v>
      </c>
      <c r="H27" s="314" t="str">
        <f>IFERROR(INDEX([0]!BASE,MATCH(28,EXPERT11,0),1),"-")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IFERROR(INDEX([0]!BASE,MATCH(9,EXPERT11,0),1),"-")</f>
        <v>-</v>
      </c>
      <c r="D30" s="159">
        <v>0.71875</v>
      </c>
      <c r="E30" s="314" t="str">
        <f>IFERROR(INDEX([0]!BASE,MATCH(19,EXPERT11,0),1),"-")</f>
        <v>John WALLACE_x000D_All The Numbers</v>
      </c>
      <c r="G30" s="159">
        <v>0.71875</v>
      </c>
      <c r="H30" s="314" t="str">
        <f>IFERROR(INDEX([0]!BASE,MATCH(29,EXPERT11,0),1),"-")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IFERROR(INDEX([0]!BASE,MATCH(10,EXPERT11,0),1),"-")</f>
        <v>-</v>
      </c>
      <c r="D32" s="159">
        <v>0.75</v>
      </c>
      <c r="E32" s="314" t="str">
        <f>IFERROR(INDEX([0]!BASE,MATCH(20,EXPERT11,0),1),"-")</f>
        <v>David HURST_x000D_Degenerando Argentina</v>
      </c>
      <c r="G32" s="159">
        <v>0.75</v>
      </c>
      <c r="H32" s="314" t="str">
        <f>IFERROR(INDEX([0]!BASE,MATCH(30,EXPERT11,0),1),"-")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5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158</v>
      </c>
      <c r="D3" s="152"/>
      <c r="E3" s="155" t="s">
        <v>158</v>
      </c>
      <c r="G3" s="152"/>
      <c r="H3" s="155" t="s">
        <v>158</v>
      </c>
      <c r="J3" s="152"/>
      <c r="K3" s="155" t="s">
        <v>158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IFERROR(INDEX([0]!BASE,MATCH(1,EXPERT12,0),1),"-")</f>
        <v>-</v>
      </c>
      <c r="D7" s="152">
        <v>0.375</v>
      </c>
      <c r="E7" s="316" t="str">
        <f>IFERROR(INDEX([0]!BASE,MATCH(11,EXPERT12,0),1),"-")</f>
        <v>-</v>
      </c>
      <c r="G7" s="152">
        <v>0.375</v>
      </c>
      <c r="H7" s="314" t="str">
        <f>IFERROR(INDEX([0]!BASE,MATCH(21,EXPERT12,0),1),"-")</f>
        <v>-</v>
      </c>
      <c r="J7" s="152">
        <v>0.375</v>
      </c>
      <c r="K7" s="314" t="str">
        <f>IFERROR(INDEX([0]!BASE,MATCH(31,EXPERT12,0),1),"-")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IFERROR(INDEX([0]!BASE,MATCH(2,EXPERT12,0),1),"-")</f>
        <v>-</v>
      </c>
      <c r="D9" s="152">
        <v>0.40625</v>
      </c>
      <c r="E9" s="316" t="str">
        <f>IFERROR(INDEX([0]!BASE,MATCH(12,EXPERT12,0),1),"-")</f>
        <v>Agnes HORVATH-SZABO_x000D_Nine Months War</v>
      </c>
      <c r="G9" s="152">
        <v>0.40625</v>
      </c>
      <c r="H9" s="314" t="str">
        <f>IFERROR(INDEX([0]!BASE,MATCH(22,EXPERT12,0),1),"-")</f>
        <v>Diana Chiawen LEE _x000D_The Boss</v>
      </c>
      <c r="J9" s="152">
        <v>0.40625</v>
      </c>
      <c r="K9" s="314" t="str">
        <f>IFERROR(INDEX([0]!BASE,MATCH(32,EXPERT12,0),1),"-")</f>
        <v>Johnny HOLMVAG_x000D_Miracle In Moldova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IFERROR(INDEX([0]!BASE,MATCH(3,EXPERT12,0),1),"-")</f>
        <v>-</v>
      </c>
      <c r="D11" s="159">
        <v>0.4375</v>
      </c>
      <c r="E11" s="316" t="str">
        <f>IFERROR(INDEX([0]!BASE,MATCH(13,EXPERT12,0),1),"-")</f>
        <v>Bojan KANJERA_x000D_The Lost Dream Team</v>
      </c>
      <c r="G11" s="159">
        <v>0.4375</v>
      </c>
      <c r="H11" s="314" t="str">
        <f>IFERROR(INDEX([0]!BASE,MATCH(23,EXPERT12,0),1),"-")</f>
        <v>Christie MOLIA_x000D_The Louvre Is Moving</v>
      </c>
      <c r="J11" s="159">
        <v>0.4375</v>
      </c>
      <c r="K11" s="314" t="str">
        <f>IFERROR(INDEX([0]!BASE,MATCH(33,EXPERT12,0),1),"-")</f>
        <v>Louai HAFFAR_x000D_A Man On Fire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IFERROR(INDEX([0]!BASE,MATCH(4,EXPERT12,0),1),"-")</f>
        <v>-</v>
      </c>
      <c r="D14" s="159">
        <v>0.47916666666666702</v>
      </c>
      <c r="E14" s="314" t="str">
        <f>IFERROR(INDEX([0]!BASE,MATCH(14,EXPERT12,0),1),"-")</f>
        <v>Lorenzo CIOFFI_x000D_Life Of Marzouk</v>
      </c>
      <c r="G14" s="159">
        <v>0.47916666666666702</v>
      </c>
      <c r="H14" s="314" t="str">
        <f>IFERROR(INDEX([0]!BASE,MATCH(24,EXPERT12,0),1),"-")</f>
        <v>Reinel GARCIA PEREZ_x000D_The Rice Rush</v>
      </c>
      <c r="J14" s="159">
        <v>0.47916666666666702</v>
      </c>
      <c r="K14" s="314" t="str">
        <f>IFERROR(INDEX([0]!BASE,MATCH(34,EXPERT12,0),1),"-")</f>
        <v>Rebecca DAY_x000D_Becoming Animal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IFERROR(INDEX([0]!BASE,MATCH(5,EXPERT12,0),1),"-")</f>
        <v>-</v>
      </c>
      <c r="D16" s="152">
        <v>0.51041666666666696</v>
      </c>
      <c r="E16" s="314" t="str">
        <f>IFERROR(INDEX([0]!BASE,MATCH(15,EXPERT12,0),1),"-")</f>
        <v>Natalya SARCH_x000D_The Waleed Ahmed Story</v>
      </c>
      <c r="G16" s="152">
        <v>0.51041666666666696</v>
      </c>
      <c r="H16" s="314" t="str">
        <f>IFERROR(INDEX([0]!BASE,MATCH(25,EXPERT12,0),1),"-")</f>
        <v>Malgorzata WABINSKA_x000D_Diagnosis</v>
      </c>
      <c r="J16" s="152">
        <v>0.51041666666666696</v>
      </c>
      <c r="K16" s="314" t="str">
        <f>IFERROR(INDEX([0]!BASE,MATCH(35,EXPERT12,0),1),"-")</f>
        <v>Michael KROTKIEWSKI_x000D_Hamada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IFERROR(INDEX([0]!BASE,MATCH(6,EXPERT12,0),1),"-")</f>
        <v>-</v>
      </c>
      <c r="D23" s="159">
        <v>0.61458333333333304</v>
      </c>
      <c r="E23" s="314" t="str">
        <f>IFERROR(INDEX([0]!BASE,MATCH(16,EXPERT12,0),1),"-")</f>
        <v>John WALLACE_x000D_All The Numbers</v>
      </c>
      <c r="G23" s="159">
        <v>0.61458333333333304</v>
      </c>
      <c r="H23" s="314" t="str">
        <f>IFERROR(INDEX([0]!BASE,MATCH(26,EXPERT12,0),1),"-")</f>
        <v>Lara ABOU SAIFAN_x000D_The Great Family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IFERROR(INDEX([0]!BASE,MATCH(7,EXPERT12,0),1),"-")</f>
        <v>-</v>
      </c>
      <c r="D25" s="159">
        <v>0.64583333333333304</v>
      </c>
      <c r="E25" s="314" t="str">
        <f>IFERROR(INDEX([0]!BASE,MATCH(17,EXPERT12,0),1),"-")</f>
        <v>Laura ROMANO_x000D_AK Stories</v>
      </c>
      <c r="G25" s="159">
        <v>0.64583333333333304</v>
      </c>
      <c r="H25" s="314" t="str">
        <f>IFERROR(INDEX([0]!BASE,MATCH(27,EXPERT12,0),1),"-")</f>
        <v>Isabelle COUTURE_x000D_Finding Sally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IFERROR(INDEX([0]!BASE,MATCH(8,EXPERT12,0),1),"-")</f>
        <v>-</v>
      </c>
      <c r="D27" s="159">
        <v>0.67708333333333304</v>
      </c>
      <c r="E27" s="314" t="str">
        <f>IFERROR(INDEX([0]!BASE,MATCH(18,EXPERT12,0),1),"-")</f>
        <v>Britta RINDELAUB_x000D_Our American Cousins</v>
      </c>
      <c r="G27" s="159">
        <v>0.67708333333333304</v>
      </c>
      <c r="H27" s="314" t="str">
        <f>IFERROR(INDEX([0]!BASE,MATCH(28,EXPERT12,0),1),"-")</f>
        <v>Anne Laure GUÉGAN_x000D_Family Portrait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IFERROR(INDEX([0]!BASE,MATCH(9,EXPERT12,0),1),"-")</f>
        <v>-</v>
      </c>
      <c r="D30" s="159">
        <v>0.71875</v>
      </c>
      <c r="E30" s="314" t="str">
        <f>IFERROR(INDEX([0]!BASE,MATCH(19,EXPERT12,0),1),"-")</f>
        <v>Quentin LAURENT_x000D_The Choice of Jean</v>
      </c>
      <c r="G30" s="159">
        <v>0.71875</v>
      </c>
      <c r="H30" s="314" t="str">
        <f>IFERROR(INDEX([0]!BASE,MATCH(29,EXPERT12,0),1),"-")</f>
        <v>Ivan ERHEL_x000D_Baghdad 3D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IFERROR(INDEX([0]!BASE,MATCH(10,EXPERT12,0),1),"-")</f>
        <v>Svetlana STRELNIKOVA_x000D_People, Gods &amp; Other Creatures</v>
      </c>
      <c r="D32" s="159">
        <v>0.75</v>
      </c>
      <c r="E32" s="314" t="str">
        <f>IFERROR(INDEX([0]!BASE,MATCH(20,EXPERT12,0),1),"-")</f>
        <v>Suzy GILLETT_x000D_This Is Not Cricket</v>
      </c>
      <c r="G32" s="159">
        <v>0.75</v>
      </c>
      <c r="H32" s="314" t="str">
        <f>IFERROR(INDEX([0]!BASE,MATCH(30,EXPERT12,0),1),"-")</f>
        <v>Margarida GRAMAXO_x000D_Principe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</v>
      </c>
      <c r="D3" s="152"/>
      <c r="E3" s="155" t="s">
        <v>16</v>
      </c>
      <c r="G3" s="152"/>
      <c r="H3" s="155" t="s">
        <v>16</v>
      </c>
      <c r="J3" s="152"/>
      <c r="K3" s="155" t="s">
        <v>16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IFERROR(INDEX([0]!BASE,MATCH(1,EXPERT13,0),1),"-")</f>
        <v>-</v>
      </c>
      <c r="D7" s="152">
        <v>0.375</v>
      </c>
      <c r="E7" s="316" t="str">
        <f>IFERROR(INDEX([0]!BASE,MATCH(11,EXPERT13,0),1),"-")</f>
        <v>-</v>
      </c>
      <c r="G7" s="152">
        <v>0.375</v>
      </c>
      <c r="H7" s="314" t="str">
        <f>IFERROR(INDEX([0]!BASE,MATCH(21,EXPERT13,0),1),"-")</f>
        <v>-</v>
      </c>
      <c r="J7" s="152">
        <v>0.375</v>
      </c>
      <c r="K7" s="314" t="str">
        <f>IFERROR(INDEX([0]!BASE,MATCH(31,EXPERT13,0),1),"-")</f>
        <v>Diana Chiawen LEE _x000D_The Boss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IFERROR(INDEX([0]!BASE,MATCH(2,EXPERT13,0),1),"-")</f>
        <v>-</v>
      </c>
      <c r="D9" s="152">
        <v>0.40625</v>
      </c>
      <c r="E9" s="316" t="str">
        <f>IFERROR(INDEX([0]!BASE,MATCH(12,EXPERT13,0),1),"-")</f>
        <v>Rebecca DAY_x000D_Becoming Animal</v>
      </c>
      <c r="G9" s="152">
        <v>0.40625</v>
      </c>
      <c r="H9" s="314" t="str">
        <f>IFERROR(INDEX([0]!BASE,MATCH(22,EXPERT13,0),1),"-")</f>
        <v>Santi VALLDEPEREZ_x000D_The Fisherman's Shadow</v>
      </c>
      <c r="J9" s="152">
        <v>0.40625</v>
      </c>
      <c r="K9" s="314" t="str">
        <f>IFERROR(INDEX([0]!BASE,MATCH(32,EXPERT13,0),1),"-")</f>
        <v>Michael KROTKIEWSKI_x000D_Hamada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IFERROR(INDEX([0]!BASE,MATCH(3,EXPERT13,0),1),"-")</f>
        <v>-</v>
      </c>
      <c r="D11" s="159">
        <v>0.4375</v>
      </c>
      <c r="E11" s="316" t="str">
        <f>IFERROR(INDEX([0]!BASE,MATCH(13,EXPERT13,0),1),"-")</f>
        <v>Louai HAFFAR_x000D_A Man On Fire</v>
      </c>
      <c r="G11" s="159">
        <v>0.4375</v>
      </c>
      <c r="H11" s="314" t="str">
        <f>IFERROR(INDEX([0]!BASE,MATCH(23,EXPERT13,0),1),"-")</f>
        <v>Laura ROMANO_x000D_AK Stories</v>
      </c>
      <c r="J11" s="159">
        <v>0.4375</v>
      </c>
      <c r="K11" s="314" t="str">
        <f>IFERROR(INDEX([0]!BASE,MATCH(33,EXPERT13,0),1),"-")</f>
        <v>Reinel GARCIA PEREZ_x000D_The Rice Rush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IFERROR(INDEX([0]!BASE,MATCH(4,EXPERT13,0),1),"-")</f>
        <v>-</v>
      </c>
      <c r="D14" s="159">
        <v>0.47916666666666702</v>
      </c>
      <c r="E14" s="314" t="str">
        <f>IFERROR(INDEX([0]!BASE,MATCH(14,EXPERT13,0),1),"-")</f>
        <v>Johnny HOLMVAG_x000D_Miracle In Moldova</v>
      </c>
      <c r="G14" s="159">
        <v>0.47916666666666702</v>
      </c>
      <c r="H14" s="314" t="str">
        <f>IFERROR(INDEX([0]!BASE,MATCH(24,EXPERT13,0),1),"-")</f>
        <v>Britta RINDELAUB_x000D_Our American Cousins</v>
      </c>
      <c r="J14" s="159">
        <v>0.47916666666666702</v>
      </c>
      <c r="K14" s="314" t="str">
        <f>IFERROR(INDEX([0]!BASE,MATCH(34,EXPERT13,0),1),"-")</f>
        <v>Lorenzo CIOFFI_x000D_Life Of Marzouk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IFERROR(INDEX([0]!BASE,MATCH(5,EXPERT13,0),1),"-")</f>
        <v>-</v>
      </c>
      <c r="D16" s="152">
        <v>0.51041666666666696</v>
      </c>
      <c r="E16" s="314" t="str">
        <f>IFERROR(INDEX([0]!BASE,MATCH(15,EXPERT13,0),1),"-")</f>
        <v>Agnes HORVATH-SZABO_x000D_Nine Months War</v>
      </c>
      <c r="G16" s="152">
        <v>0.51041666666666696</v>
      </c>
      <c r="H16" s="314" t="str">
        <f>IFERROR(INDEX([0]!BASE,MATCH(25,EXPERT13,0),1),"-")</f>
        <v>Quentin LAURENT_x000D_The Choice of Jean</v>
      </c>
      <c r="J16" s="152">
        <v>0.51041666666666696</v>
      </c>
      <c r="K16" s="314" t="str">
        <f>IFERROR(INDEX([0]!BASE,MATCH(35,EXPERT13,0),1),"-")</f>
        <v>Lara ABOU SAIFAN_x000D_The Great Family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IFERROR(INDEX([0]!BASE,MATCH(6,EXPERT13,0),1),"-")</f>
        <v>-</v>
      </c>
      <c r="D23" s="159">
        <v>0.61458333333333304</v>
      </c>
      <c r="E23" s="314" t="str">
        <f>IFERROR(INDEX([0]!BASE,MATCH(16,EXPERT13,0),1),"-")</f>
        <v>Bojan KANJERA_x000D_The Lost Dream Team</v>
      </c>
      <c r="G23" s="159">
        <v>0.61458333333333304</v>
      </c>
      <c r="H23" s="314" t="str">
        <f>IFERROR(INDEX([0]!BASE,MATCH(26,EXPERT13,0),1),"-")</f>
        <v>Margarida GRAMAXO_x000D_Principe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IFERROR(INDEX([0]!BASE,MATCH(7,EXPERT13,0),1),"-")</f>
        <v>-</v>
      </c>
      <c r="D25" s="159">
        <v>0.64583333333333304</v>
      </c>
      <c r="E25" s="314" t="str">
        <f>IFERROR(INDEX([0]!BASE,MATCH(17,EXPERT13,0),1),"-")</f>
        <v>Elsa KREMSER_x000D_Stary Dogs</v>
      </c>
      <c r="G25" s="159">
        <v>0.64583333333333304</v>
      </c>
      <c r="H25" s="314" t="str">
        <f>IFERROR(INDEX([0]!BASE,MATCH(27,EXPERT13,0),1),"-")</f>
        <v>Suzy GILLETT_x000D_This Is Not Cricket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IFERROR(INDEX([0]!BASE,MATCH(8,EXPERT13,0),1),"-")</f>
        <v>-</v>
      </c>
      <c r="D27" s="159">
        <v>0.67708333333333304</v>
      </c>
      <c r="E27" s="314" t="str">
        <f>IFERROR(INDEX([0]!BASE,MATCH(18,EXPERT13,0),1),"-")</f>
        <v>Christie MOLIA_x000D_The Louvre Is Moving</v>
      </c>
      <c r="G27" s="159">
        <v>0.67708333333333304</v>
      </c>
      <c r="H27" s="314" t="str">
        <f>IFERROR(INDEX([0]!BASE,MATCH(28,EXPERT13,0),1),"-")</f>
        <v>Ivan ERHEL_x000D_Baghdad 3D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IFERROR(INDEX([0]!BASE,MATCH(9,EXPERT13,0),1),"-")</f>
        <v>-</v>
      </c>
      <c r="D30" s="159">
        <v>0.71875</v>
      </c>
      <c r="E30" s="314" t="str">
        <f>IFERROR(INDEX([0]!BASE,MATCH(19,EXPERT13,0),1),"-")</f>
        <v>David HURST_x000D_Degenerando Argentina</v>
      </c>
      <c r="G30" s="159">
        <v>0.71875</v>
      </c>
      <c r="H30" s="314" t="str">
        <f>IFERROR(INDEX([0]!BASE,MATCH(29,EXPERT13,0),1),"-")</f>
        <v>Isabelle COUTURE_x000D_Finding Sally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IFERROR(INDEX([0]!BASE,MATCH(10,EXPERT13,0),1),"-")</f>
        <v>-</v>
      </c>
      <c r="D32" s="159">
        <v>0.75</v>
      </c>
      <c r="E32" s="314" t="str">
        <f>IFERROR(INDEX([0]!BASE,MATCH(20,EXPERT13,0),1),"-")</f>
        <v>Biljana TUTOROV_x000D_Aunts</v>
      </c>
      <c r="G32" s="159">
        <v>0.75</v>
      </c>
      <c r="H32" s="314" t="str">
        <f>IFERROR(INDEX([0]!BASE,MATCH(30,EXPERT13,0),1),"-")</f>
        <v>John WALLACE_x000D_All The Numbers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zoomScale="85" zoomScaleNormal="85" zoomScalePageLayoutView="85" workbookViewId="0">
      <selection activeCell="E11" sqref="E11:E12"/>
    </sheetView>
  </sheetViews>
  <sheetFormatPr baseColWidth="10" defaultRowHeight="17" x14ac:dyDescent="0"/>
  <cols>
    <col min="1" max="1" width="8.7109375" style="288" customWidth="1"/>
    <col min="2" max="2" width="50" style="289" customWidth="1"/>
    <col min="3" max="3" width="2.42578125" style="289" customWidth="1"/>
    <col min="4" max="4" width="8.7109375" style="288" customWidth="1"/>
    <col min="5" max="5" width="50" style="289" customWidth="1"/>
    <col min="6" max="6" width="3.5703125" style="289" customWidth="1"/>
    <col min="7" max="7" width="8.7109375" style="288" customWidth="1"/>
    <col min="8" max="8" width="50" style="289" customWidth="1"/>
    <col min="9" max="9" width="3.5703125" style="289" customWidth="1"/>
    <col min="10" max="10" width="8.42578125" style="289" customWidth="1"/>
    <col min="11" max="11" width="49.7109375" style="289" customWidth="1"/>
    <col min="12" max="12" width="2.7109375" style="289" customWidth="1"/>
    <col min="13" max="16384" width="10.7109375" style="289"/>
  </cols>
  <sheetData>
    <row r="1" spans="1:11" s="253" customFormat="1" ht="36" customHeight="1">
      <c r="A1" s="251"/>
      <c r="B1" s="252"/>
      <c r="D1" s="251"/>
      <c r="E1" s="252"/>
      <c r="G1" s="251"/>
      <c r="H1" s="252"/>
      <c r="J1" s="251"/>
      <c r="K1" s="252"/>
    </row>
    <row r="2" spans="1:11" s="253" customFormat="1" ht="22" customHeight="1">
      <c r="A2" s="251"/>
      <c r="D2" s="251"/>
      <c r="G2" s="251"/>
      <c r="J2" s="251"/>
    </row>
    <row r="3" spans="1:11" s="253" customFormat="1" ht="24.75" customHeight="1" thickBot="1">
      <c r="A3" s="251"/>
      <c r="B3" s="254" t="s">
        <v>78</v>
      </c>
      <c r="D3" s="251"/>
      <c r="E3" s="254" t="s">
        <v>78</v>
      </c>
      <c r="G3" s="251"/>
      <c r="H3" s="254" t="s">
        <v>78</v>
      </c>
      <c r="J3" s="251"/>
      <c r="K3" s="254" t="s">
        <v>78</v>
      </c>
    </row>
    <row r="4" spans="1:11" s="253" customFormat="1" ht="13" customHeight="1" thickTop="1">
      <c r="A4" s="251"/>
      <c r="B4" s="255"/>
      <c r="D4" s="251"/>
      <c r="E4" s="255"/>
      <c r="G4" s="251"/>
      <c r="H4" s="255"/>
      <c r="J4" s="251"/>
      <c r="K4" s="255"/>
    </row>
    <row r="5" spans="1:11" s="253" customFormat="1" ht="24.75" customHeight="1">
      <c r="B5" s="256" t="s">
        <v>72</v>
      </c>
      <c r="D5" s="251"/>
      <c r="E5" s="256" t="s">
        <v>73</v>
      </c>
      <c r="G5" s="251"/>
      <c r="H5" s="256" t="s">
        <v>74</v>
      </c>
      <c r="J5" s="251"/>
      <c r="K5" s="256" t="s">
        <v>75</v>
      </c>
    </row>
    <row r="6" spans="1:11" s="253" customFormat="1" ht="13" customHeight="1">
      <c r="A6" s="251"/>
      <c r="B6" s="257"/>
      <c r="D6" s="251"/>
      <c r="E6" s="257"/>
      <c r="G6" s="251"/>
      <c r="H6" s="257"/>
      <c r="J6" s="251"/>
      <c r="K6" s="257"/>
    </row>
    <row r="7" spans="1:11" s="253" customFormat="1" ht="24.75" customHeight="1">
      <c r="A7" s="251">
        <v>0.375</v>
      </c>
      <c r="B7" s="318" t="str">
        <f>IFERROR(INDEX([0]!BASE,MATCH(1,EXPERT14,0),1),"-")</f>
        <v>-</v>
      </c>
      <c r="D7" s="251">
        <v>0.375</v>
      </c>
      <c r="E7" s="320" t="str">
        <f>IFERROR(INDEX([0]!BASE,MATCH(11,EXPERT14,0),1),"-")</f>
        <v>-</v>
      </c>
      <c r="G7" s="251">
        <v>0.375</v>
      </c>
      <c r="H7" s="318" t="str">
        <f>IFERROR(INDEX([0]!BASE,MATCH(21,EXPERT14,0),1),"-")</f>
        <v>-</v>
      </c>
      <c r="J7" s="251">
        <v>0.375</v>
      </c>
      <c r="K7" s="318" t="str">
        <f>IFERROR(INDEX([0]!BASE,MATCH(31,EXPERT14,0),1),"-")</f>
        <v>-</v>
      </c>
    </row>
    <row r="8" spans="1:11" s="253" customFormat="1" ht="24.75" customHeight="1">
      <c r="A8" s="251"/>
      <c r="B8" s="319" t="str">
        <f>IFERROR(INDEX([0]!BASE,MATCH(11,NEGRIN,0),1),"-")</f>
        <v>-</v>
      </c>
      <c r="D8" s="251"/>
      <c r="E8" s="321" t="str">
        <f>IFERROR(INDEX([0]!BASE,MATCH(11,NEGRIN,0),1),"-")</f>
        <v>-</v>
      </c>
      <c r="G8" s="251"/>
      <c r="H8" s="319" t="str">
        <f>IFERROR(INDEX([0]!BASE,MATCH(11,NEGRIN,0),1),"-")</f>
        <v>-</v>
      </c>
      <c r="J8" s="251"/>
      <c r="K8" s="319" t="str">
        <f>IFERROR(INDEX([0]!BASE,MATCH(11,NEGRIN,0),1),"-")</f>
        <v>-</v>
      </c>
    </row>
    <row r="9" spans="1:11" s="253" customFormat="1" ht="24.75" customHeight="1">
      <c r="A9" s="251">
        <v>0.40625</v>
      </c>
      <c r="B9" s="318" t="str">
        <f>IFERROR(INDEX([0]!BASE,MATCH(2,EXPERT14,0),1),"-")</f>
        <v>-</v>
      </c>
      <c r="D9" s="251">
        <v>0.40625</v>
      </c>
      <c r="E9" s="320" t="str">
        <f>IFERROR(INDEX([0]!BASE,MATCH(12,EXPERT14,0),1),"-")</f>
        <v>-</v>
      </c>
      <c r="G9" s="251">
        <v>0.40625</v>
      </c>
      <c r="H9" s="318" t="str">
        <f>IFERROR(INDEX([0]!BASE,MATCH(22,EXPERT14,0),1),"-")</f>
        <v>-</v>
      </c>
      <c r="J9" s="251">
        <v>0.40625</v>
      </c>
      <c r="K9" s="318" t="str">
        <f>IFERROR(INDEX([0]!BASE,MATCH(32,EXPERT14,0),1),"-")</f>
        <v>-</v>
      </c>
    </row>
    <row r="10" spans="1:11" s="253" customFormat="1" ht="24.75" customHeight="1">
      <c r="A10" s="251"/>
      <c r="B10" s="319" t="str">
        <f>IFERROR(INDEX([0]!BASE,MATCH(11,NEGRIN,0),1),"-")</f>
        <v>-</v>
      </c>
      <c r="D10" s="251"/>
      <c r="E10" s="321" t="str">
        <f>IFERROR(INDEX([0]!BASE,MATCH(11,NEGRIN,0),1),"-")</f>
        <v>-</v>
      </c>
      <c r="G10" s="251"/>
      <c r="H10" s="319" t="str">
        <f>IFERROR(INDEX([0]!BASE,MATCH(11,NEGRIN,0),1),"-")</f>
        <v>-</v>
      </c>
      <c r="J10" s="251"/>
      <c r="K10" s="319" t="str">
        <f>IFERROR(INDEX([0]!BASE,MATCH(11,NEGRIN,0),1),"-")</f>
        <v>-</v>
      </c>
    </row>
    <row r="11" spans="1:11" s="253" customFormat="1" ht="24.75" customHeight="1">
      <c r="A11" s="258">
        <v>0.4375</v>
      </c>
      <c r="B11" s="318" t="str">
        <f>IFERROR(INDEX([0]!BASE,MATCH(3,EXPERT14,0),1),"-")</f>
        <v>-</v>
      </c>
      <c r="D11" s="258">
        <v>0.4375</v>
      </c>
      <c r="E11" s="320" t="str">
        <f>IFERROR(INDEX([0]!BASE,MATCH(13,EXPERT14,0),1),"-")</f>
        <v>-</v>
      </c>
      <c r="G11" s="258">
        <v>0.4375</v>
      </c>
      <c r="H11" s="318" t="str">
        <f>IFERROR(INDEX([0]!BASE,MATCH(23,EXPERT14,0),1),"-")</f>
        <v>-</v>
      </c>
      <c r="J11" s="258">
        <v>0.4375</v>
      </c>
      <c r="K11" s="318" t="str">
        <f>IFERROR(INDEX([0]!BASE,MATCH(33,EXPERT14,0),1),"-")</f>
        <v>-</v>
      </c>
    </row>
    <row r="12" spans="1:11" s="253" customFormat="1" ht="24.75" customHeight="1">
      <c r="A12" s="259"/>
      <c r="B12" s="319" t="str">
        <f>IFERROR(INDEX([0]!BASE,MATCH(11,NEGRIN,0),1),"-")</f>
        <v>-</v>
      </c>
      <c r="D12" s="259"/>
      <c r="E12" s="321" t="str">
        <f>IFERROR(INDEX([0]!BASE,MATCH(11,NEGRIN,0),1),"-")</f>
        <v>-</v>
      </c>
      <c r="G12" s="259"/>
      <c r="H12" s="319" t="str">
        <f>IFERROR(INDEX([0]!BASE,MATCH(11,NEGRIN,0),1),"-")</f>
        <v>-</v>
      </c>
      <c r="J12" s="259"/>
      <c r="K12" s="319" t="str">
        <f>IFERROR(INDEX([0]!BASE,MATCH(11,NEGRIN,0),1),"-")</f>
        <v>-</v>
      </c>
    </row>
    <row r="13" spans="1:11" s="253" customFormat="1" ht="24.75" customHeight="1">
      <c r="A13" s="260">
        <v>0.46875</v>
      </c>
      <c r="B13" s="261" t="s">
        <v>8</v>
      </c>
      <c r="D13" s="260">
        <v>0.46875</v>
      </c>
      <c r="E13" s="261" t="s">
        <v>8</v>
      </c>
      <c r="G13" s="260">
        <v>0.46875</v>
      </c>
      <c r="H13" s="261" t="s">
        <v>8</v>
      </c>
      <c r="K13" s="261" t="s">
        <v>8</v>
      </c>
    </row>
    <row r="14" spans="1:11" s="253" customFormat="1" ht="24.75" customHeight="1">
      <c r="A14" s="258">
        <v>0.47916666666666702</v>
      </c>
      <c r="B14" s="318" t="str">
        <f>IFERROR(INDEX([0]!BASE,MATCH(4,EXPERT14,0),1),"-")</f>
        <v>-</v>
      </c>
      <c r="D14" s="258">
        <v>0.47916666666666702</v>
      </c>
      <c r="E14" s="318" t="str">
        <f>IFERROR(INDEX([0]!BASE,MATCH(14,EXPERT14,0),1),"-")</f>
        <v>-</v>
      </c>
      <c r="G14" s="258">
        <v>0.47916666666666702</v>
      </c>
      <c r="H14" s="318" t="str">
        <f>IFERROR(INDEX([0]!BASE,MATCH(24,EXPERT14,0),1),"-")</f>
        <v>-</v>
      </c>
      <c r="J14" s="262">
        <v>0.46875</v>
      </c>
      <c r="K14" s="318" t="str">
        <f>IFERROR(INDEX([0]!BASE,MATCH(34,EXPERT14,0),1),"-")</f>
        <v>-</v>
      </c>
    </row>
    <row r="15" spans="1:11" s="253" customFormat="1" ht="24.75" customHeight="1">
      <c r="A15" s="251"/>
      <c r="B15" s="319" t="str">
        <f>IFERROR(INDEX([0]!BASE,MATCH(11,NEGRIN,0),1),"-")</f>
        <v>-</v>
      </c>
      <c r="D15" s="251"/>
      <c r="E15" s="319" t="str">
        <f>IFERROR(INDEX([0]!BASE,MATCH(11,NEGRIN,0),1),"-")</f>
        <v>-</v>
      </c>
      <c r="G15" s="251"/>
      <c r="H15" s="319" t="str">
        <f>IFERROR(INDEX([0]!BASE,MATCH(11,NEGRIN,0),1),"-")</f>
        <v>-</v>
      </c>
      <c r="J15" s="251"/>
      <c r="K15" s="319" t="str">
        <f>IFERROR(INDEX([0]!BASE,MATCH(11,NEGRIN,0),1),"-")</f>
        <v>-</v>
      </c>
    </row>
    <row r="16" spans="1:11" s="253" customFormat="1" ht="24.75" customHeight="1">
      <c r="A16" s="251">
        <v>0.51041666666666696</v>
      </c>
      <c r="B16" s="318" t="str">
        <f>IFERROR(INDEX([0]!BASE,MATCH(5,EXPERT14,0),1),"-")</f>
        <v>-</v>
      </c>
      <c r="D16" s="251">
        <v>0.51041666666666696</v>
      </c>
      <c r="E16" s="318" t="str">
        <f>IFERROR(INDEX([0]!BASE,MATCH(15,EXPERT14,0),1),"-")</f>
        <v>-</v>
      </c>
      <c r="G16" s="251">
        <v>0.51041666666666696</v>
      </c>
      <c r="H16" s="318" t="str">
        <f>IFERROR(INDEX([0]!BASE,MATCH(25,EXPERT14,0),1),"-")</f>
        <v>-</v>
      </c>
      <c r="J16" s="263">
        <v>0.5</v>
      </c>
      <c r="K16" s="318" t="str">
        <f>IFERROR(INDEX([0]!BASE,MATCH(35,EXPERT14,0),1),"-")</f>
        <v>-</v>
      </c>
    </row>
    <row r="17" spans="1:11" s="253" customFormat="1" ht="24.75" customHeight="1">
      <c r="A17" s="251"/>
      <c r="B17" s="319" t="str">
        <f>IFERROR(INDEX([0]!BASE,MATCH(11,NEGRIN,0),1),"-")</f>
        <v>-</v>
      </c>
      <c r="D17" s="251"/>
      <c r="E17" s="319" t="str">
        <f>IFERROR(INDEX([0]!BASE,MATCH(11,NEGRIN,0),1),"-")</f>
        <v>-</v>
      </c>
      <c r="G17" s="251"/>
      <c r="H17" s="319" t="str">
        <f>IFERROR(INDEX([0]!BASE,MATCH(11,NEGRIN,0),1),"-")</f>
        <v>-</v>
      </c>
      <c r="J17" s="251"/>
      <c r="K17" s="319" t="str">
        <f>IFERROR(INDEX([0]!BASE,MATCH(11,NEGRIN,0),1),"-")</f>
        <v>-</v>
      </c>
    </row>
    <row r="18" spans="1:11" s="268" customFormat="1" ht="24.75" customHeight="1">
      <c r="A18" s="251">
        <v>0.54166666666666663</v>
      </c>
      <c r="B18" s="264"/>
      <c r="C18" s="265"/>
      <c r="D18" s="251">
        <v>0.54166666666666663</v>
      </c>
      <c r="E18" s="264"/>
      <c r="F18" s="265"/>
      <c r="G18" s="265">
        <v>0.54166666666666663</v>
      </c>
      <c r="H18" s="266" t="s">
        <v>136</v>
      </c>
      <c r="I18" s="265"/>
      <c r="J18" s="265">
        <v>0.53125</v>
      </c>
      <c r="K18" s="267" t="s">
        <v>136</v>
      </c>
    </row>
    <row r="19" spans="1:11" s="253" customFormat="1" ht="45" customHeight="1" thickBot="1">
      <c r="A19" s="257"/>
      <c r="B19" s="264"/>
      <c r="D19" s="251"/>
      <c r="E19" s="264"/>
      <c r="G19" s="251"/>
      <c r="H19" s="269" t="s">
        <v>149</v>
      </c>
      <c r="J19" s="251"/>
      <c r="K19" s="270" t="s">
        <v>151</v>
      </c>
    </row>
    <row r="20" spans="1:11" s="253" customFormat="1" ht="7.5" customHeight="1" thickTop="1">
      <c r="A20" s="251"/>
      <c r="B20" s="264"/>
      <c r="D20" s="251"/>
      <c r="E20" s="264"/>
      <c r="G20" s="251"/>
      <c r="H20" s="264"/>
      <c r="J20" s="251"/>
      <c r="K20" s="257"/>
    </row>
    <row r="21" spans="1:11" s="253" customFormat="1" ht="24.75" customHeight="1">
      <c r="A21" s="271">
        <v>0.5625</v>
      </c>
      <c r="B21" s="272" t="s">
        <v>5</v>
      </c>
      <c r="D21" s="271">
        <v>0.5625</v>
      </c>
      <c r="E21" s="272" t="s">
        <v>5</v>
      </c>
      <c r="G21" s="271">
        <v>0.5625</v>
      </c>
      <c r="H21" s="272" t="s">
        <v>5</v>
      </c>
      <c r="J21" s="271">
        <v>0.5625</v>
      </c>
      <c r="K21" s="273" t="s">
        <v>5</v>
      </c>
    </row>
    <row r="22" spans="1:11" s="253" customFormat="1" ht="10.5" customHeight="1">
      <c r="A22" s="251"/>
      <c r="B22" s="264"/>
      <c r="D22" s="251"/>
      <c r="E22" s="264"/>
      <c r="G22" s="251"/>
      <c r="H22" s="264"/>
      <c r="J22" s="251"/>
      <c r="K22" s="257"/>
    </row>
    <row r="23" spans="1:11" s="253" customFormat="1" ht="24.75" customHeight="1">
      <c r="A23" s="258">
        <v>0.60416666666666663</v>
      </c>
      <c r="B23" s="318" t="str">
        <f>IFERROR(INDEX([0]!BASE,MATCH(6,EXPERT14,0),1),"-")</f>
        <v>-</v>
      </c>
      <c r="D23" s="258">
        <v>0.61458333333333304</v>
      </c>
      <c r="E23" s="318" t="str">
        <f>IFERROR(INDEX([0]!BASE,MATCH(16,EXPERT14,0),1),"-")</f>
        <v>-</v>
      </c>
      <c r="G23" s="258">
        <v>0.61458333333333304</v>
      </c>
      <c r="H23" s="318" t="str">
        <f>IFERROR(INDEX([0]!BASE,MATCH(26,EXPERT14,0),1),"-")</f>
        <v>-</v>
      </c>
      <c r="J23" s="258">
        <v>0.60416666666666663</v>
      </c>
      <c r="K23" s="274" t="s">
        <v>11</v>
      </c>
    </row>
    <row r="24" spans="1:11" s="253" customFormat="1" ht="24.75" customHeight="1">
      <c r="A24" s="251"/>
      <c r="B24" s="319" t="str">
        <f>IFERROR(INDEX([0]!BASE,MATCH(11,NEGRIN,0),1),"-")</f>
        <v>-</v>
      </c>
      <c r="D24" s="251"/>
      <c r="E24" s="319" t="str">
        <f>IFERROR(INDEX([0]!BASE,MATCH(11,NEGRIN,0),1),"-")</f>
        <v>-</v>
      </c>
      <c r="G24" s="251"/>
      <c r="H24" s="319" t="str">
        <f>IFERROR(INDEX([0]!BASE,MATCH(11,NEGRIN,0),1),"-")</f>
        <v>-</v>
      </c>
      <c r="J24" s="251"/>
      <c r="K24" s="275" t="s">
        <v>137</v>
      </c>
    </row>
    <row r="25" spans="1:11" s="253" customFormat="1" ht="24.75" customHeight="1">
      <c r="A25" s="258">
        <v>0.63541666666666663</v>
      </c>
      <c r="B25" s="318" t="str">
        <f>IFERROR(INDEX([0]!BASE,MATCH(7,EXPERT14,0),1),"-")</f>
        <v>-</v>
      </c>
      <c r="D25" s="258">
        <v>0.64583333333333304</v>
      </c>
      <c r="E25" s="318" t="str">
        <f>IFERROR(INDEX([0]!BASE,MATCH(17,EXPERT14,0),1),"-")</f>
        <v>-</v>
      </c>
      <c r="G25" s="258">
        <v>0.64583333333333304</v>
      </c>
      <c r="H25" s="318" t="str">
        <f>IFERROR(INDEX([0]!BASE,MATCH(27,EXPERT14,0),1),"-")</f>
        <v>-</v>
      </c>
      <c r="J25" s="276"/>
      <c r="K25" s="277" t="s">
        <v>138</v>
      </c>
    </row>
    <row r="26" spans="1:11" s="253" customFormat="1" ht="24.75" customHeight="1">
      <c r="A26" s="258"/>
      <c r="B26" s="319" t="str">
        <f>IFERROR(INDEX([0]!BASE,MATCH(11,NEGRIN,0),1),"-")</f>
        <v>-</v>
      </c>
      <c r="D26" s="258"/>
      <c r="E26" s="319" t="str">
        <f>IFERROR(INDEX([0]!BASE,MATCH(11,NEGRIN,0),1),"-")</f>
        <v>-</v>
      </c>
      <c r="G26" s="258"/>
      <c r="H26" s="319" t="str">
        <f>IFERROR(INDEX([0]!BASE,MATCH(11,NEGRIN,0),1),"-")</f>
        <v>-</v>
      </c>
      <c r="J26" s="276"/>
      <c r="K26" s="278" t="s">
        <v>139</v>
      </c>
    </row>
    <row r="27" spans="1:11" s="253" customFormat="1" ht="24.75" customHeight="1">
      <c r="A27" s="258">
        <v>0.66666666666666663</v>
      </c>
      <c r="B27" s="318" t="str">
        <f>IFERROR(INDEX([0]!BASE,MATCH(8,EXPERT14,0),1),"-")</f>
        <v>-</v>
      </c>
      <c r="D27" s="258">
        <v>0.67708333333333304</v>
      </c>
      <c r="E27" s="318" t="str">
        <f>IFERROR(INDEX([0]!BASE,MATCH(18,EXPERT14,0),1),"-")</f>
        <v>-</v>
      </c>
      <c r="G27" s="258">
        <v>0.67708333333333304</v>
      </c>
      <c r="H27" s="318" t="str">
        <f>IFERROR(INDEX([0]!BASE,MATCH(28,EXPERT14,0),1),"-")</f>
        <v>-</v>
      </c>
      <c r="J27" s="276"/>
      <c r="K27" s="277" t="s">
        <v>140</v>
      </c>
    </row>
    <row r="28" spans="1:11" s="253" customFormat="1" ht="24.75" customHeight="1">
      <c r="A28" s="251"/>
      <c r="B28" s="319" t="str">
        <f>IFERROR(INDEX([0]!BASE,MATCH(11,NEGRIN,0),1),"-")</f>
        <v>-</v>
      </c>
      <c r="D28" s="251"/>
      <c r="E28" s="319" t="str">
        <f>IFERROR(INDEX([0]!BASE,MATCH(11,NEGRIN,0),1),"-")</f>
        <v>-</v>
      </c>
      <c r="G28" s="251"/>
      <c r="H28" s="319" t="str">
        <f>IFERROR(INDEX([0]!BASE,MATCH(11,NEGRIN,0),1),"-")</f>
        <v>-</v>
      </c>
      <c r="J28" s="251"/>
      <c r="K28" s="279" t="s">
        <v>141</v>
      </c>
    </row>
    <row r="29" spans="1:11" s="253" customFormat="1" ht="24.75" customHeight="1">
      <c r="A29" s="271">
        <v>0.69791666666666663</v>
      </c>
      <c r="B29" s="280" t="s">
        <v>8</v>
      </c>
      <c r="D29" s="271">
        <v>0.70833333333333304</v>
      </c>
      <c r="E29" s="280" t="s">
        <v>8</v>
      </c>
      <c r="G29" s="271">
        <v>0.70833333333333304</v>
      </c>
      <c r="H29" s="280" t="s">
        <v>8</v>
      </c>
      <c r="J29" s="271">
        <v>0.70833333333333304</v>
      </c>
      <c r="K29" s="281" t="s">
        <v>9</v>
      </c>
    </row>
    <row r="30" spans="1:11" s="253" customFormat="1" ht="24.75" customHeight="1">
      <c r="A30" s="258">
        <v>0.70833333333333337</v>
      </c>
      <c r="B30" s="318" t="str">
        <f>IFERROR(INDEX([0]!BASE,MATCH(9,EXPERT14,0),1),"-")</f>
        <v>-</v>
      </c>
      <c r="D30" s="258">
        <v>0.71875</v>
      </c>
      <c r="E30" s="318" t="str">
        <f>IFERROR(INDEX([0]!BASE,MATCH(19,EXPERT14,0),1),"-")</f>
        <v>-</v>
      </c>
      <c r="G30" s="258">
        <v>0.71875</v>
      </c>
      <c r="H30" s="318" t="str">
        <f>IFERROR(INDEX([0]!BASE,MATCH(29,EXPERT14,0),1),"-")</f>
        <v>-</v>
      </c>
      <c r="J30" s="276"/>
      <c r="K30" s="282" t="s">
        <v>13</v>
      </c>
    </row>
    <row r="31" spans="1:11" s="253" customFormat="1" ht="24.75" customHeight="1">
      <c r="A31" s="258"/>
      <c r="B31" s="319" t="str">
        <f>IFERROR(INDEX([0]!BASE,MATCH(11,NEGRIN,0),1),"-")</f>
        <v>-</v>
      </c>
      <c r="D31" s="258"/>
      <c r="E31" s="319" t="str">
        <f>IFERROR(INDEX([0]!BASE,MATCH(11,NEGRIN,0),1),"-")</f>
        <v>-</v>
      </c>
      <c r="G31" s="258"/>
      <c r="H31" s="319" t="str">
        <f>IFERROR(INDEX([0]!BASE,MATCH(11,NEGRIN,0),1),"-")</f>
        <v>-</v>
      </c>
      <c r="J31" s="276"/>
      <c r="K31" s="283" t="s">
        <v>142</v>
      </c>
    </row>
    <row r="32" spans="1:11" s="253" customFormat="1" ht="24.75" customHeight="1">
      <c r="A32" s="258">
        <v>0.73958333333333337</v>
      </c>
      <c r="B32" s="318" t="str">
        <f>IFERROR(INDEX([0]!BASE,MATCH(10,EXPERT14,0),1),"-")</f>
        <v>-</v>
      </c>
      <c r="D32" s="258">
        <v>0.75</v>
      </c>
      <c r="E32" s="318" t="str">
        <f>IFERROR(INDEX([0]!BASE,MATCH(20,EXPERT14,0),1),"-")</f>
        <v>-</v>
      </c>
      <c r="G32" s="258">
        <v>0.75</v>
      </c>
      <c r="H32" s="318" t="str">
        <f>IFERROR(INDEX([0]!BASE,MATCH(30,EXPERT14,0),1),"-")</f>
        <v>-</v>
      </c>
      <c r="J32" s="276"/>
      <c r="K32" s="278" t="s">
        <v>143</v>
      </c>
    </row>
    <row r="33" spans="1:11" s="253" customFormat="1" ht="24.75" customHeight="1">
      <c r="A33" s="251"/>
      <c r="B33" s="319" t="str">
        <f>IFERROR(INDEX([0]!BASE,MATCH(11,NEGRIN,0),1),"-")</f>
        <v>-</v>
      </c>
      <c r="D33" s="251"/>
      <c r="E33" s="319" t="str">
        <f>IFERROR(INDEX([0]!BASE,MATCH(11,NEGRIN,0),1),"-")</f>
        <v>-</v>
      </c>
      <c r="G33" s="251"/>
      <c r="H33" s="319" t="str">
        <f>IFERROR(INDEX([0]!BASE,MATCH(11,NEGRIN,0),1),"-")</f>
        <v>-</v>
      </c>
      <c r="J33" s="251"/>
      <c r="K33" s="277" t="s">
        <v>144</v>
      </c>
    </row>
    <row r="34" spans="1:11" s="253" customFormat="1" ht="24.75" customHeight="1">
      <c r="A34" s="265">
        <v>0.77083333333333337</v>
      </c>
      <c r="B34" s="267" t="s">
        <v>134</v>
      </c>
      <c r="D34" s="265">
        <v>0.78125</v>
      </c>
      <c r="E34" s="267" t="s">
        <v>136</v>
      </c>
      <c r="G34" s="265">
        <v>0.78125</v>
      </c>
      <c r="H34" s="267" t="s">
        <v>136</v>
      </c>
      <c r="K34" s="284"/>
    </row>
    <row r="35" spans="1:11" s="268" customFormat="1" ht="69" customHeight="1">
      <c r="A35" s="285"/>
      <c r="B35" s="286" t="s">
        <v>135</v>
      </c>
      <c r="D35" s="285"/>
      <c r="E35" s="286" t="s">
        <v>148</v>
      </c>
      <c r="G35" s="285"/>
      <c r="H35" s="286" t="s">
        <v>150</v>
      </c>
      <c r="J35" s="287"/>
    </row>
    <row r="36" spans="1:11" s="253" customFormat="1" ht="12" customHeight="1">
      <c r="A36" s="251"/>
      <c r="B36" s="256"/>
      <c r="D36" s="251"/>
      <c r="E36" s="256"/>
      <c r="G36" s="251"/>
      <c r="H36" s="256"/>
      <c r="K36" s="256"/>
    </row>
    <row r="37" spans="1:11" s="253" customFormat="1" ht="24.75" customHeight="1">
      <c r="B37" s="256" t="s">
        <v>72</v>
      </c>
      <c r="D37" s="251"/>
      <c r="E37" s="256" t="s">
        <v>73</v>
      </c>
      <c r="G37" s="251"/>
      <c r="H37" s="256" t="s">
        <v>74</v>
      </c>
      <c r="J37" s="251"/>
      <c r="K37" s="256" t="s">
        <v>75</v>
      </c>
    </row>
    <row r="38" spans="1:11" s="253" customFormat="1" ht="17" customHeight="1">
      <c r="A38" s="251"/>
      <c r="B38" s="256"/>
      <c r="D38" s="251"/>
    </row>
    <row r="39" spans="1:11">
      <c r="G39" s="289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5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17</v>
      </c>
      <c r="D3" s="152"/>
      <c r="E3" s="155" t="s">
        <v>17</v>
      </c>
      <c r="G3" s="152"/>
      <c r="H3" s="155" t="s">
        <v>17</v>
      </c>
      <c r="J3" s="152"/>
      <c r="K3" s="155" t="s">
        <v>17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IFERROR(INDEX([0]!BASE,MATCH(1,EXPERT15,0),1),"-")</f>
        <v>-</v>
      </c>
      <c r="D7" s="152">
        <v>0.375</v>
      </c>
      <c r="E7" s="316" t="str">
        <f>IFERROR(INDEX([0]!BASE,MATCH(11,EXPERT15,0),1),"-")</f>
        <v>Isabelle COUTURE_x000D_Finding Sally</v>
      </c>
      <c r="G7" s="152">
        <v>0.375</v>
      </c>
      <c r="H7" s="314" t="str">
        <f>IFERROR(INDEX([0]!BASE,MATCH(21,EXPERT15,0),1),"-")</f>
        <v>Agnes HORVATH-SZABO_x000D_Nine Months War</v>
      </c>
      <c r="J7" s="152">
        <v>0.375</v>
      </c>
      <c r="K7" s="314" t="str">
        <f>IFERROR(INDEX([0]!BASE,MATCH(31,EXPERT15,0),1),"-")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IFERROR(INDEX([0]!BASE,MATCH(2,EXPERT15,0),1),"-")</f>
        <v>-</v>
      </c>
      <c r="D9" s="152">
        <v>0.40625</v>
      </c>
      <c r="E9" s="316" t="str">
        <f>IFERROR(INDEX([0]!BASE,MATCH(12,EXPERT15,0),1),"-")</f>
        <v>Suzy GILLETT_x000D_This Is Not Cricket</v>
      </c>
      <c r="G9" s="152">
        <v>0.40625</v>
      </c>
      <c r="H9" s="314" t="str">
        <f>IFERROR(INDEX([0]!BASE,MATCH(22,EXPERT15,0),1),"-")</f>
        <v>-</v>
      </c>
      <c r="J9" s="152">
        <v>0.40625</v>
      </c>
      <c r="K9" s="314" t="str">
        <f>IFERROR(INDEX([0]!BASE,MATCH(32,EXPERT15,0),1),"-")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IFERROR(INDEX([0]!BASE,MATCH(3,EXPERT15,0),1),"-")</f>
        <v>-</v>
      </c>
      <c r="D11" s="159">
        <v>0.4375</v>
      </c>
      <c r="E11" s="316" t="str">
        <f>IFERROR(INDEX([0]!BASE,MATCH(13,EXPERT15,0),1),"-")</f>
        <v>Quentin LAURENT_x000D_The Choice of Jean</v>
      </c>
      <c r="G11" s="159">
        <v>0.4375</v>
      </c>
      <c r="H11" s="314" t="str">
        <f>IFERROR(INDEX([0]!BASE,MATCH(23,EXPERT15,0),1),"-")</f>
        <v>-</v>
      </c>
      <c r="J11" s="159">
        <v>0.4375</v>
      </c>
      <c r="K11" s="314" t="str">
        <f>IFERROR(INDEX([0]!BASE,MATCH(33,EXPERT15,0),1),"-")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IFERROR(INDEX([0]!BASE,MATCH(4,EXPERT15,0),1),"-")</f>
        <v>-</v>
      </c>
      <c r="D14" s="159">
        <v>0.47916666666666702</v>
      </c>
      <c r="E14" s="314" t="str">
        <f>IFERROR(INDEX([0]!BASE,MATCH(14,EXPERT15,0),1),"-")</f>
        <v>Laura ROMANO_x000D_AK Stories</v>
      </c>
      <c r="G14" s="159">
        <v>0.47916666666666702</v>
      </c>
      <c r="H14" s="314" t="str">
        <f>IFERROR(INDEX([0]!BASE,MATCH(24,EXPERT15,0),1),"-")</f>
        <v>Louai HAFFAR_x000D_A Man On Fire</v>
      </c>
      <c r="J14" s="159">
        <v>0.47916666666666702</v>
      </c>
      <c r="K14" s="314" t="str">
        <f>IFERROR(INDEX([0]!BASE,MATCH(34,EXPERT15,0),1),"-")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IFERROR(INDEX([0]!BASE,MATCH(5,EXPERT15,0),1),"-")</f>
        <v>-</v>
      </c>
      <c r="D16" s="152">
        <v>0.51041666666666696</v>
      </c>
      <c r="E16" s="314" t="str">
        <f>IFERROR(INDEX([0]!BASE,MATCH(15,EXPERT15,0),1),"-")</f>
        <v>Britta RINDELAUB_x000D_Our American Cousins</v>
      </c>
      <c r="G16" s="152">
        <v>0.51041666666666696</v>
      </c>
      <c r="H16" s="314" t="str">
        <f>IFERROR(INDEX([0]!BASE,MATCH(25,EXPERT15,0),1),"-")</f>
        <v>Rebecca DAY_x000D_Becoming Animal</v>
      </c>
      <c r="J16" s="152">
        <v>0.51041666666666696</v>
      </c>
      <c r="K16" s="314" t="str">
        <f>IFERROR(INDEX([0]!BASE,MATCH(35,EXPERT15,0),1),"-")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IFERROR(INDEX([0]!BASE,MATCH(6,EXPERT15,0),1),"-")</f>
        <v>-</v>
      </c>
      <c r="D23" s="159">
        <v>0.61458333333333304</v>
      </c>
      <c r="E23" s="314" t="str">
        <f>IFERROR(INDEX([0]!BASE,MATCH(16,EXPERT15,0),1),"-")</f>
        <v>Svetlana STRELNIKOVA_x000D_People, Gods &amp; Other Creatures</v>
      </c>
      <c r="G23" s="159">
        <v>0.61458333333333304</v>
      </c>
      <c r="H23" s="314" t="str">
        <f>IFERROR(INDEX([0]!BASE,MATCH(26,EXPERT15,0),1),"-")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IFERROR(INDEX([0]!BASE,MATCH(7,EXPERT15,0),1),"-")</f>
        <v>-</v>
      </c>
      <c r="D25" s="159">
        <v>0.64583333333333304</v>
      </c>
      <c r="E25" s="314" t="str">
        <f>IFERROR(INDEX([0]!BASE,MATCH(17,EXPERT15,0),1),"-")</f>
        <v>Reinel GARCIA PEREZ_x000D_The Rice Rush</v>
      </c>
      <c r="G25" s="159">
        <v>0.64583333333333304</v>
      </c>
      <c r="H25" s="314" t="str">
        <f>IFERROR(INDEX([0]!BASE,MATCH(27,EXPERT15,0),1),"-")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IFERROR(INDEX([0]!BASE,MATCH(8,EXPERT15,0),1),"-")</f>
        <v>-</v>
      </c>
      <c r="D27" s="159">
        <v>0.67708333333333304</v>
      </c>
      <c r="E27" s="314" t="str">
        <f>IFERROR(INDEX([0]!BASE,MATCH(18,EXPERT15,0),1),"-")</f>
        <v>Diana Chiawen LEE _x000D_The Boss</v>
      </c>
      <c r="G27" s="159">
        <v>0.67708333333333304</v>
      </c>
      <c r="H27" s="314" t="str">
        <f>IFERROR(INDEX([0]!BASE,MATCH(28,EXPERT15,0),1),"-")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IFERROR(INDEX([0]!BASE,MATCH(9,EXPERT15,0),1),"-")</f>
        <v>-</v>
      </c>
      <c r="D30" s="159">
        <v>0.71875</v>
      </c>
      <c r="E30" s="314" t="str">
        <f>IFERROR(INDEX([0]!BASE,MATCH(19,EXPERT15,0),1),"-")</f>
        <v>Michael KROTKIEWSKI_x000D_Hamada</v>
      </c>
      <c r="G30" s="159">
        <v>0.71875</v>
      </c>
      <c r="H30" s="314" t="str">
        <f>IFERROR(INDEX([0]!BASE,MATCH(29,EXPERT15,0),1),"-")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IFERROR(INDEX([0]!BASE,MATCH(10,EXPERT15,0),1),"-")</f>
        <v>-</v>
      </c>
      <c r="D32" s="159">
        <v>0.75</v>
      </c>
      <c r="E32" s="314" t="str">
        <f>IFERROR(INDEX([0]!BASE,MATCH(20,EXPERT15,0),1),"-")</f>
        <v>Bojan KANJERA_x000D_The Lost Dream Team</v>
      </c>
      <c r="G32" s="159">
        <v>0.75</v>
      </c>
      <c r="H32" s="314" t="str">
        <f>IFERROR(INDEX([0]!BASE,MATCH(30,EXPERT15,0),1),"-")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18</v>
      </c>
      <c r="D3" s="152"/>
      <c r="E3" s="155" t="s">
        <v>18</v>
      </c>
      <c r="G3" s="152"/>
      <c r="H3" s="155" t="s">
        <v>18</v>
      </c>
      <c r="J3" s="152"/>
      <c r="K3" s="155" t="s">
        <v>18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IFERROR(INDEX([0]!BASE,MATCH(1,EXPERT16,0),1),"-")</f>
        <v>-</v>
      </c>
      <c r="D7" s="152">
        <v>0.375</v>
      </c>
      <c r="E7" s="316" t="str">
        <f>IFERROR(INDEX([0]!BASE,MATCH(11,EXPERT16,0),1),"-")</f>
        <v>Svetlana STRELNIKOVA_x000D_People, Gods &amp; Other Creatures</v>
      </c>
      <c r="G7" s="152">
        <v>0.375</v>
      </c>
      <c r="H7" s="314" t="str">
        <f>IFERROR(INDEX([0]!BASE,MATCH(21,EXPERT16,0),1),"-")</f>
        <v>Elsa KREMSER_x000D_Stary Dogs</v>
      </c>
      <c r="J7" s="152">
        <v>0.375</v>
      </c>
      <c r="K7" s="314" t="str">
        <f>IFERROR(INDEX([0]!BASE,MATCH(31,EXPERT16,0),1),"-")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IFERROR(INDEX([0]!BASE,MATCH(2,EXPERT16,0),1),"-")</f>
        <v>-</v>
      </c>
      <c r="D9" s="152">
        <v>0.40625</v>
      </c>
      <c r="E9" s="316" t="str">
        <f>IFERROR(INDEX([0]!BASE,MATCH(12,EXPERT16,0),1),"-")</f>
        <v>Santi VALLDEPEREZ_x000D_The Fisherman's Shadow</v>
      </c>
      <c r="G9" s="152">
        <v>0.40625</v>
      </c>
      <c r="H9" s="314" t="str">
        <f>IFERROR(INDEX([0]!BASE,MATCH(22,EXPERT16,0),1),"-")</f>
        <v>Rebecca DAY_x000D_Becoming Animal</v>
      </c>
      <c r="J9" s="152">
        <v>0.40625</v>
      </c>
      <c r="K9" s="314" t="str">
        <f>IFERROR(INDEX([0]!BASE,MATCH(32,EXPERT16,0),1),"-")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IFERROR(INDEX([0]!BASE,MATCH(3,EXPERT16,0),1),"-")</f>
        <v>-</v>
      </c>
      <c r="D11" s="159">
        <v>0.4375</v>
      </c>
      <c r="E11" s="316" t="str">
        <f>IFERROR(INDEX([0]!BASE,MATCH(13,EXPERT16,0),1),"-")</f>
        <v>Margarida GRAMAXO_x000D_Principe</v>
      </c>
      <c r="G11" s="159">
        <v>0.4375</v>
      </c>
      <c r="H11" s="314" t="str">
        <f>IFERROR(INDEX([0]!BASE,MATCH(23,EXPERT16,0),1),"-")</f>
        <v>-</v>
      </c>
      <c r="J11" s="159">
        <v>0.4375</v>
      </c>
      <c r="K11" s="314" t="str">
        <f>IFERROR(INDEX([0]!BASE,MATCH(33,EXPERT16,0),1),"-")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IFERROR(INDEX([0]!BASE,MATCH(4,EXPERT16,0),1),"-")</f>
        <v>-</v>
      </c>
      <c r="D14" s="159">
        <v>0.47916666666666702</v>
      </c>
      <c r="E14" s="314" t="str">
        <f>IFERROR(INDEX([0]!BASE,MATCH(14,EXPERT16,0),1),"-")</f>
        <v>Britta RINDELAUB_x000D_Our American Cousins</v>
      </c>
      <c r="G14" s="159">
        <v>0.47916666666666702</v>
      </c>
      <c r="H14" s="314" t="str">
        <f>IFERROR(INDEX([0]!BASE,MATCH(24,EXPERT16,0),1),"-")</f>
        <v>-</v>
      </c>
      <c r="J14" s="159">
        <v>0.47916666666666702</v>
      </c>
      <c r="K14" s="314" t="str">
        <f>IFERROR(INDEX([0]!BASE,MATCH(34,EXPERT16,0),1),"-")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IFERROR(INDEX([0]!BASE,MATCH(5,EXPERT16,0),1),"-")</f>
        <v>-</v>
      </c>
      <c r="D16" s="152">
        <v>0.51041666666666696</v>
      </c>
      <c r="E16" s="314" t="str">
        <f>IFERROR(INDEX([0]!BASE,MATCH(15,EXPERT16,0),1),"-")</f>
        <v>Ivan ERHEL_x000D_Baghdad 3D</v>
      </c>
      <c r="G16" s="152">
        <v>0.51041666666666696</v>
      </c>
      <c r="H16" s="314" t="str">
        <f>IFERROR(INDEX([0]!BASE,MATCH(25,EXPERT16,0),1),"-")</f>
        <v>-</v>
      </c>
      <c r="J16" s="152">
        <v>0.51041666666666696</v>
      </c>
      <c r="K16" s="314" t="str">
        <f>IFERROR(INDEX([0]!BASE,MATCH(35,EXPERT16,0),1),"-")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IFERROR(INDEX([0]!BASE,MATCH(6,EXPERT16,0),1),"-")</f>
        <v>-</v>
      </c>
      <c r="D23" s="159">
        <v>0.61458333333333304</v>
      </c>
      <c r="E23" s="314" t="str">
        <f>IFERROR(INDEX([0]!BASE,MATCH(16,EXPERT16,0),1),"-")</f>
        <v>Lorenzo CIOFFI_x000D_Life Of Marzouk</v>
      </c>
      <c r="G23" s="159">
        <v>0.61458333333333304</v>
      </c>
      <c r="H23" s="314" t="str">
        <f>IFERROR(INDEX([0]!BASE,MATCH(26,EXPERT16,0),1),"-")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IFERROR(INDEX([0]!BASE,MATCH(7,EXPERT16,0),1),"-")</f>
        <v>-</v>
      </c>
      <c r="D25" s="159">
        <v>0.64583333333333304</v>
      </c>
      <c r="E25" s="314" t="str">
        <f>IFERROR(INDEX([0]!BASE,MATCH(17,EXPERT16,0),1),"-")</f>
        <v>Biljana TUTOROV_x000D_Aunts</v>
      </c>
      <c r="G25" s="159">
        <v>0.64583333333333304</v>
      </c>
      <c r="H25" s="314" t="str">
        <f>IFERROR(INDEX([0]!BASE,MATCH(27,EXPERT16,0),1),"-")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IFERROR(INDEX([0]!BASE,MATCH(8,EXPERT16,0),1),"-")</f>
        <v>-</v>
      </c>
      <c r="D27" s="159">
        <v>0.67708333333333304</v>
      </c>
      <c r="E27" s="314" t="str">
        <f>IFERROR(INDEX([0]!BASE,MATCH(18,EXPERT16,0),1),"-")</f>
        <v>Malgorzata WABINSKA_x000D_Diagnosis</v>
      </c>
      <c r="G27" s="159">
        <v>0.67708333333333304</v>
      </c>
      <c r="H27" s="314" t="str">
        <f>IFERROR(INDEX([0]!BASE,MATCH(28,EXPERT16,0),1),"-")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IFERROR(INDEX([0]!BASE,MATCH(9,EXPERT16,0),1),"-")</f>
        <v>-</v>
      </c>
      <c r="D30" s="159">
        <v>0.71875</v>
      </c>
      <c r="E30" s="314" t="str">
        <f>IFERROR(INDEX([0]!BASE,MATCH(19,EXPERT16,0),1),"-")</f>
        <v>Natalya SARCH_x000D_The Waleed Ahmed Story</v>
      </c>
      <c r="G30" s="159">
        <v>0.71875</v>
      </c>
      <c r="H30" s="314" t="str">
        <f>IFERROR(INDEX([0]!BASE,MATCH(29,EXPERT16,0),1),"-")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IFERROR(INDEX([0]!BASE,MATCH(10,EXPERT16,0),1),"-")</f>
        <v>-</v>
      </c>
      <c r="D32" s="159">
        <v>0.75</v>
      </c>
      <c r="E32" s="314" t="str">
        <f>IFERROR(INDEX([0]!BASE,MATCH(20,EXPERT16,0),1),"-")</f>
        <v>Christie MOLIA_x000D_The Louvre Is Moving</v>
      </c>
      <c r="G32" s="159">
        <v>0.75</v>
      </c>
      <c r="H32" s="314" t="str">
        <f>IFERROR(INDEX([0]!BASE,MATCH(30,EXPERT16,0),1),"-")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44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160</v>
      </c>
      <c r="D3" s="152"/>
      <c r="E3" s="155" t="s">
        <v>160</v>
      </c>
      <c r="G3" s="152"/>
      <c r="H3" s="155" t="s">
        <v>160</v>
      </c>
      <c r="J3" s="152"/>
      <c r="K3" s="155" t="s">
        <v>160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IFERROR(INDEX([0]!BASE,MATCH(1,EXPERT17,0),1),"-")</f>
        <v>-</v>
      </c>
      <c r="D7" s="152">
        <v>0.375</v>
      </c>
      <c r="E7" s="316" t="str">
        <f>IFERROR(INDEX([0]!BASE,MATCH(11,EXPERT17,0),1),"-")</f>
        <v>-</v>
      </c>
      <c r="G7" s="152">
        <v>0.375</v>
      </c>
      <c r="H7" s="314" t="str">
        <f>IFERROR(INDEX([0]!BASE,MATCH(21,EXPERT17,0),1),"-")</f>
        <v>-</v>
      </c>
      <c r="J7" s="152">
        <v>0.375</v>
      </c>
      <c r="K7" s="314" t="str">
        <f>IFERROR(INDEX([0]!BASE,MATCH(31,EXPERT17,0),1),"-")</f>
        <v>Laura ROMANO_x000D_AK Stories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IFERROR(INDEX([0]!BASE,MATCH(2,EXPERT17,0),1),"-")</f>
        <v>-</v>
      </c>
      <c r="D9" s="152">
        <v>0.40625</v>
      </c>
      <c r="E9" s="316" t="str">
        <f>IFERROR(INDEX([0]!BASE,MATCH(12,EXPERT17,0),1),"-")</f>
        <v>-</v>
      </c>
      <c r="G9" s="152">
        <v>0.40625</v>
      </c>
      <c r="H9" s="314" t="str">
        <f>IFERROR(INDEX([0]!BASE,MATCH(22,EXPERT17,0),1),"-")</f>
        <v>Malgorzata WABINSKA_x000D_Diagnosis</v>
      </c>
      <c r="J9" s="152">
        <v>0.40625</v>
      </c>
      <c r="K9" s="314" t="str">
        <f>IFERROR(INDEX([0]!BASE,MATCH(32,EXPERT17,0),1),"-")</f>
        <v>Britta RINDELAUB_x000D_Our American Cousins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IFERROR(INDEX([0]!BASE,MATCH(3,EXPERT17,0),1),"-")</f>
        <v>-</v>
      </c>
      <c r="D11" s="159">
        <v>0.4375</v>
      </c>
      <c r="E11" s="316" t="str">
        <f>IFERROR(INDEX([0]!BASE,MATCH(13,EXPERT17,0),1),"-")</f>
        <v>-</v>
      </c>
      <c r="G11" s="159">
        <v>0.4375</v>
      </c>
      <c r="H11" s="314" t="str">
        <f>IFERROR(INDEX([0]!BASE,MATCH(23,EXPERT17,0),1),"-")</f>
        <v>John WALLACE_x000D_All The Numbers</v>
      </c>
      <c r="J11" s="159">
        <v>0.4375</v>
      </c>
      <c r="K11" s="314" t="str">
        <f>IFERROR(INDEX([0]!BASE,MATCH(33,EXPERT17,0),1),"-")</f>
        <v>Anne Laure GUÉGAN_x000D_Family Portrait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IFERROR(INDEX([0]!BASE,MATCH(4,EXPERT17,0),1),"-")</f>
        <v>-</v>
      </c>
      <c r="D14" s="159">
        <v>0.47916666666666702</v>
      </c>
      <c r="E14" s="314" t="str">
        <f>IFERROR(INDEX([0]!BASE,MATCH(14,EXPERT17,0),1),"-")</f>
        <v>-</v>
      </c>
      <c r="G14" s="159">
        <v>0.47916666666666702</v>
      </c>
      <c r="H14" s="314" t="str">
        <f>IFERROR(INDEX([0]!BASE,MATCH(24,EXPERT17,0),1),"-")</f>
        <v>Lorenzo CIOFFI_x000D_Life Of Marzouk</v>
      </c>
      <c r="J14" s="199">
        <v>0.46875</v>
      </c>
      <c r="K14" s="314" t="str">
        <f>IFERROR(INDEX([0]!BASE,MATCH(34,EXPERT17,0),1),"-")</f>
        <v>Suzy GILLETT_x000D_This Is Not Cricket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IFERROR(INDEX([0]!BASE,MATCH(5,EXPERT17,0),1),"-")</f>
        <v>-</v>
      </c>
      <c r="D16" s="152">
        <v>0.51041666666666696</v>
      </c>
      <c r="E16" s="314" t="str">
        <f>IFERROR(INDEX([0]!BASE,MATCH(15,EXPERT17,0),1),"-")</f>
        <v>-</v>
      </c>
      <c r="G16" s="152">
        <v>0.51041666666666696</v>
      </c>
      <c r="H16" s="314" t="str">
        <f>IFERROR(INDEX([0]!BASE,MATCH(25,EXPERT17,0),1),"-")</f>
        <v>Isabelle COUTURE_x000D_Finding Sally</v>
      </c>
      <c r="J16" s="198">
        <v>0.5</v>
      </c>
      <c r="K16" s="314" t="str">
        <f>IFERROR(INDEX([0]!BASE,MATCH(35,EXPERT17,0),1),"-")</f>
        <v>David HURST_x000D_Degenerando Argentina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IFERROR(INDEX([0]!BASE,MATCH(6,EXPERT17,0),1),"-")</f>
        <v>-</v>
      </c>
      <c r="D23" s="159">
        <v>0.61458333333333304</v>
      </c>
      <c r="E23" s="314" t="str">
        <f>IFERROR(INDEX([0]!BASE,MATCH(16,EXPERT17,0),1),"-")</f>
        <v>-</v>
      </c>
      <c r="G23" s="159">
        <v>0.61458333333333304</v>
      </c>
      <c r="H23" s="314" t="str">
        <f>IFERROR(INDEX([0]!BASE,MATCH(26,EXPERT17,0),1),"-")</f>
        <v>Rebecca DAY_x000D_Becoming Animal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IFERROR(INDEX([0]!BASE,MATCH(7,EXPERT17,0),1),"-")</f>
        <v>-</v>
      </c>
      <c r="D25" s="159">
        <v>0.64583333333333304</v>
      </c>
      <c r="E25" s="314" t="str">
        <f>IFERROR(INDEX([0]!BASE,MATCH(17,EXPERT17,0),1),"-")</f>
        <v>-</v>
      </c>
      <c r="G25" s="159">
        <v>0.64583333333333304</v>
      </c>
      <c r="H25" s="314" t="str">
        <f>IFERROR(INDEX([0]!BASE,MATCH(27,EXPERT17,0),1),"-")</f>
        <v>Johnny HOLMVAG_x000D_Miracle In Moldova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IFERROR(INDEX([0]!BASE,MATCH(8,EXPERT17,0),1),"-")</f>
        <v>-</v>
      </c>
      <c r="D27" s="159">
        <v>0.67708333333333304</v>
      </c>
      <c r="E27" s="314" t="str">
        <f>IFERROR(INDEX([0]!BASE,MATCH(18,EXPERT17,0),1),"-")</f>
        <v>-</v>
      </c>
      <c r="G27" s="159">
        <v>0.67708333333333304</v>
      </c>
      <c r="H27" s="314" t="str">
        <f>IFERROR(INDEX([0]!BASE,MATCH(28,EXPERT17,0),1),"-")</f>
        <v>Bojan KANJERA_x000D_The Lost Dream Team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IFERROR(INDEX([0]!BASE,MATCH(9,EXPERT17,0),1),"-")</f>
        <v>-</v>
      </c>
      <c r="D30" s="159">
        <v>0.71875</v>
      </c>
      <c r="E30" s="314" t="str">
        <f>IFERROR(INDEX([0]!BASE,MATCH(19,EXPERT17,0),1),"-")</f>
        <v>-</v>
      </c>
      <c r="G30" s="159">
        <v>0.71875</v>
      </c>
      <c r="H30" s="314" t="str">
        <f>IFERROR(INDEX([0]!BASE,MATCH(29,EXPERT17,0),1),"-")</f>
        <v>Elsa KREMSER_x000D_Stary Dogs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IFERROR(INDEX([0]!BASE,MATCH(10,EXPERT17,0),1),"-")</f>
        <v>-</v>
      </c>
      <c r="D32" s="159">
        <v>0.75</v>
      </c>
      <c r="E32" s="314" t="str">
        <f>IFERROR(INDEX([0]!BASE,MATCH(20,EXPERT17,0),1),"-")</f>
        <v>-</v>
      </c>
      <c r="G32" s="159">
        <v>0.75</v>
      </c>
      <c r="H32" s="314" t="str">
        <f>IFERROR(INDEX([0]!BASE,MATCH(30,EXPERT17,0),1),"-")</f>
        <v>Natalya SARCH_x000D_The Waleed Ahmed Story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44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4"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19</v>
      </c>
      <c r="D3" s="152"/>
      <c r="E3" s="155" t="s">
        <v>19</v>
      </c>
      <c r="G3" s="152"/>
      <c r="H3" s="155" t="s">
        <v>19</v>
      </c>
      <c r="J3" s="152"/>
      <c r="K3" s="155" t="s">
        <v>19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IFERROR(INDEX([0]!BASE,MATCH(1,EXPERT18,0),1),"-")</f>
        <v>-</v>
      </c>
      <c r="D7" s="152">
        <v>0.375</v>
      </c>
      <c r="E7" s="316" t="str">
        <f>IFERROR(INDEX([0]!BASE,MATCH(11,EXPERT18,0),1),"-")</f>
        <v>-</v>
      </c>
      <c r="G7" s="152">
        <v>0.375</v>
      </c>
      <c r="H7" s="314" t="str">
        <f>IFERROR(INDEX([0]!BASE,MATCH(21,EXPERT18,0),1),"-")</f>
        <v>-</v>
      </c>
      <c r="J7" s="152">
        <v>0.375</v>
      </c>
      <c r="K7" s="314" t="str">
        <f>IFERROR(INDEX([0]!BASE,MATCH(31,EXPERT18,0),1),"-")</f>
        <v>Rebecca DAY_x000D_Becoming Animal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IFERROR(INDEX([0]!BASE,MATCH(2,EXPERT18,0),1),"-")</f>
        <v>-</v>
      </c>
      <c r="D9" s="152">
        <v>0.40625</v>
      </c>
      <c r="E9" s="316" t="str">
        <f>IFERROR(INDEX([0]!BASE,MATCH(12,EXPERT18,0),1),"-")</f>
        <v>Diana Chiawen LEE _x000D_The Boss</v>
      </c>
      <c r="G9" s="152">
        <v>0.40625</v>
      </c>
      <c r="H9" s="314" t="str">
        <f>IFERROR(INDEX([0]!BASE,MATCH(22,EXPERT18,0),1),"-")</f>
        <v>Isabelle COUTURE_x000D_Finding Sally</v>
      </c>
      <c r="J9" s="152">
        <v>0.40625</v>
      </c>
      <c r="K9" s="314" t="str">
        <f>IFERROR(INDEX([0]!BASE,MATCH(32,EXPERT18,0),1),"-")</f>
        <v>Bojan KANJERA_x000D_The Lost Dream Team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IFERROR(INDEX([0]!BASE,MATCH(3,EXPERT18,0),1),"-")</f>
        <v>-</v>
      </c>
      <c r="D11" s="159">
        <v>0.4375</v>
      </c>
      <c r="E11" s="316" t="str">
        <f>IFERROR(INDEX([0]!BASE,MATCH(13,EXPERT18,0),1),"-")</f>
        <v>Elsa KREMSER_x000D_Stary Dogs</v>
      </c>
      <c r="G11" s="159">
        <v>0.4375</v>
      </c>
      <c r="H11" s="314" t="str">
        <f>IFERROR(INDEX([0]!BASE,MATCH(23,EXPERT18,0),1),"-")</f>
        <v>Suzy GILLETT_x000D_This Is Not Cricket</v>
      </c>
      <c r="J11" s="159">
        <v>0.4375</v>
      </c>
      <c r="K11" s="314" t="str">
        <f>IFERROR(INDEX([0]!BASE,MATCH(33,EXPERT18,0),1),"-")</f>
        <v>Agnes HORVATH-SZABO_x000D_Nine Months War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IFERROR(INDEX([0]!BASE,MATCH(4,EXPERT18,0),1),"-")</f>
        <v>-</v>
      </c>
      <c r="D14" s="159">
        <v>0.47916666666666702</v>
      </c>
      <c r="E14" s="314" t="str">
        <f>IFERROR(INDEX([0]!BASE,MATCH(14,EXPERT18,0),1),"-")</f>
        <v>Reinel GARCIA PEREZ_x000D_The Rice Rush</v>
      </c>
      <c r="G14" s="159">
        <v>0.47916666666666702</v>
      </c>
      <c r="H14" s="314" t="str">
        <f>IFERROR(INDEX([0]!BASE,MATCH(24,EXPERT18,0),1),"-")</f>
        <v>Margarida GRAMAXO_x000D_Principe</v>
      </c>
      <c r="J14" s="199">
        <v>0.46875</v>
      </c>
      <c r="K14" s="314" t="str">
        <f>IFERROR(INDEX([0]!BASE,MATCH(34,EXPERT18,0),1),"-")</f>
        <v>Louai HAFFAR_x000D_A Man On Fire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98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IFERROR(INDEX([0]!BASE,MATCH(5,EXPERT18,0),1),"-")</f>
        <v>-</v>
      </c>
      <c r="D16" s="152">
        <v>0.51041666666666696</v>
      </c>
      <c r="E16" s="314" t="str">
        <f>IFERROR(INDEX([0]!BASE,MATCH(15,EXPERT18,0),1),"-")</f>
        <v>Lorenzo CIOFFI_x000D_Life Of Marzouk</v>
      </c>
      <c r="G16" s="152">
        <v>0.51041666666666696</v>
      </c>
      <c r="H16" s="314" t="str">
        <f>IFERROR(INDEX([0]!BASE,MATCH(25,EXPERT18,0),1),"-")</f>
        <v>Anne Laure GUÉGAN_x000D_Family Portrait</v>
      </c>
      <c r="J16" s="198">
        <v>0.5</v>
      </c>
      <c r="K16" s="314" t="str">
        <f>IFERROR(INDEX([0]!BASE,MATCH(35,EXPERT18,0),1),"-")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98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98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IFERROR(INDEX([0]!BASE,MATCH(6,EXPERT18,0),1),"-")</f>
        <v>-</v>
      </c>
      <c r="D23" s="159">
        <v>0.61458333333333304</v>
      </c>
      <c r="E23" s="314" t="str">
        <f>IFERROR(INDEX([0]!BASE,MATCH(16,EXPERT18,0),1),"-")</f>
        <v>Natalya SARCH_x000D_The Waleed Ahmed Story</v>
      </c>
      <c r="G23" s="159">
        <v>0.61458333333333304</v>
      </c>
      <c r="H23" s="314" t="str">
        <f>IFERROR(INDEX([0]!BASE,MATCH(26,EXPERT18,0),1),"-")</f>
        <v>David HURST_x000D_Degenerando Argentina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IFERROR(INDEX([0]!BASE,MATCH(7,EXPERT18,0),1),"-")</f>
        <v>-</v>
      </c>
      <c r="D25" s="159">
        <v>0.64583333333333304</v>
      </c>
      <c r="E25" s="314" t="str">
        <f>IFERROR(INDEX([0]!BASE,MATCH(17,EXPERT18,0),1),"-")</f>
        <v>John WALLACE_x000D_All The Numbers</v>
      </c>
      <c r="G25" s="159">
        <v>0.64583333333333304</v>
      </c>
      <c r="H25" s="314" t="str">
        <f>IFERROR(INDEX([0]!BASE,MATCH(27,EXPERT18,0),1),"-")</f>
        <v>Britta RINDELAUB_x000D_Our American Cousins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IFERROR(INDEX([0]!BASE,MATCH(8,EXPERT18,0),1),"-")</f>
        <v>-</v>
      </c>
      <c r="D27" s="159">
        <v>0.67708333333333304</v>
      </c>
      <c r="E27" s="314" t="str">
        <f>IFERROR(INDEX([0]!BASE,MATCH(18,EXPERT18,0),1),"-")</f>
        <v>Biljana TUTOROV_x000D_Aunts</v>
      </c>
      <c r="G27" s="159">
        <v>0.67708333333333304</v>
      </c>
      <c r="H27" s="314" t="str">
        <f>IFERROR(INDEX([0]!BASE,MATCH(28,EXPERT18,0),1),"-")</f>
        <v>Laura ROMANO_x000D_AK Stories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IFERROR(INDEX([0]!BASE,MATCH(9,EXPERT18,0),1),"-")</f>
        <v>-</v>
      </c>
      <c r="D30" s="159">
        <v>0.71875</v>
      </c>
      <c r="E30" s="314" t="str">
        <f>IFERROR(INDEX([0]!BASE,MATCH(19,EXPERT18,0),1),"-")</f>
        <v>Malgorzata WABINSKA_x000D_Diagnosis</v>
      </c>
      <c r="G30" s="159">
        <v>0.71875</v>
      </c>
      <c r="H30" s="314" t="str">
        <f>IFERROR(INDEX([0]!BASE,MATCH(29,EXPERT18,0),1),"-")</f>
        <v>Svetlana STRELNIKOVA_x000D_People, Gods &amp; Other Creatures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IFERROR(INDEX([0]!BASE,MATCH(10,EXPERT18,0),1),"-")</f>
        <v>-</v>
      </c>
      <c r="D32" s="159">
        <v>0.75</v>
      </c>
      <c r="E32" s="314" t="str">
        <f>IFERROR(INDEX([0]!BASE,MATCH(20,EXPERT18,0),1),"-")</f>
        <v>Lara ABOU SAIFAN_x000D_The Great Family</v>
      </c>
      <c r="G32" s="159">
        <v>0.75</v>
      </c>
      <c r="H32" s="314" t="str">
        <f>IFERROR(INDEX([0]!BASE,MATCH(30,EXPERT18,0),1),"-")</f>
        <v>Santi VALLDEPEREZ_x000D_The Fisherman's Shadow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161</v>
      </c>
      <c r="D3" s="152"/>
      <c r="E3" s="155" t="s">
        <v>161</v>
      </c>
      <c r="G3" s="152"/>
      <c r="H3" s="155" t="s">
        <v>161</v>
      </c>
      <c r="J3" s="152"/>
      <c r="K3" s="155" t="s">
        <v>161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IFERROR(INDEX([0]!BASE,MATCH(1,EXPERT19,0),1),"-")</f>
        <v>-</v>
      </c>
      <c r="D7" s="152">
        <v>0.375</v>
      </c>
      <c r="E7" s="316" t="str">
        <f>IFERROR(INDEX([0]!BASE,MATCH(11,EXPERT19,0),1),"-")</f>
        <v>-</v>
      </c>
      <c r="G7" s="152">
        <v>0.375</v>
      </c>
      <c r="H7" s="314" t="str">
        <f>IFERROR(INDEX([0]!BASE,MATCH(21,EXPERT19,0),1),"-")</f>
        <v>John WALLACE_x000D_All The Numbers</v>
      </c>
      <c r="J7" s="152">
        <v>0.375</v>
      </c>
      <c r="K7" s="314" t="str">
        <f>IFERROR(INDEX([0]!BASE,MATCH(31,EXPERT19,0),1),"-")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IFERROR(INDEX([0]!BASE,MATCH(2,EXPERT19,0),1),"-")</f>
        <v>-</v>
      </c>
      <c r="D9" s="152">
        <v>0.40625</v>
      </c>
      <c r="E9" s="316" t="str">
        <f>IFERROR(INDEX([0]!BASE,MATCH(12,EXPERT19,0),1),"-")</f>
        <v>Louai HAFFAR_x000D_A Man On Fire</v>
      </c>
      <c r="G9" s="152">
        <v>0.40625</v>
      </c>
      <c r="H9" s="314" t="str">
        <f>IFERROR(INDEX([0]!BASE,MATCH(22,EXPERT19,0),1),"-")</f>
        <v>Lorenzo CIOFFI_x000D_Life Of Marzouk</v>
      </c>
      <c r="J9" s="152">
        <v>0.40625</v>
      </c>
      <c r="K9" s="314" t="str">
        <f>IFERROR(INDEX([0]!BASE,MATCH(32,EXPERT19,0),1),"-")</f>
        <v>Santi VALLDEPEREZ_x000D_The Fisherman's Shadow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IFERROR(INDEX([0]!BASE,MATCH(3,EXPERT19,0),1),"-")</f>
        <v>-</v>
      </c>
      <c r="D11" s="159">
        <v>0.4375</v>
      </c>
      <c r="E11" s="316" t="str">
        <f>IFERROR(INDEX([0]!BASE,MATCH(13,EXPERT19,0),1),"-")</f>
        <v>Johnny HOLMVAG_x000D_Miracle In Moldova</v>
      </c>
      <c r="G11" s="159">
        <v>0.4375</v>
      </c>
      <c r="H11" s="314" t="str">
        <f>IFERROR(INDEX([0]!BASE,MATCH(23,EXPERT19,0),1),"-")</f>
        <v>Biljana TUTOROV_x000D_Aunts</v>
      </c>
      <c r="J11" s="159">
        <v>0.4375</v>
      </c>
      <c r="K11" s="314" t="str">
        <f>IFERROR(INDEX([0]!BASE,MATCH(33,EXPERT19,0),1),"-")</f>
        <v>Isabelle COUTURE_x000D_Finding Sally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IFERROR(INDEX([0]!BASE,MATCH(4,EXPERT19,0),1),"-")</f>
        <v>-</v>
      </c>
      <c r="D14" s="159">
        <v>0.47916666666666702</v>
      </c>
      <c r="E14" s="314" t="str">
        <f>IFERROR(INDEX([0]!BASE,MATCH(14,EXPERT19,0),1),"-")</f>
        <v>Agnes HORVATH-SZABO_x000D_Nine Months War</v>
      </c>
      <c r="G14" s="159">
        <v>0.47916666666666702</v>
      </c>
      <c r="H14" s="314" t="str">
        <f>IFERROR(INDEX([0]!BASE,MATCH(24,EXPERT19,0),1),"-")</f>
        <v>Malgorzata WABINSKA_x000D_Diagnosis</v>
      </c>
      <c r="J14" s="159">
        <v>0.47916666666666702</v>
      </c>
      <c r="K14" s="314" t="str">
        <f>IFERROR(INDEX([0]!BASE,MATCH(34,EXPERT19,0),1),"-")</f>
        <v>Ivan ERHEL_x000D_Baghdad 3D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IFERROR(INDEX([0]!BASE,MATCH(5,EXPERT19,0),1),"-")</f>
        <v>-</v>
      </c>
      <c r="D16" s="152">
        <v>0.51041666666666696</v>
      </c>
      <c r="E16" s="314" t="str">
        <f>IFERROR(INDEX([0]!BASE,MATCH(15,EXPERT19,0),1),"-")</f>
        <v>Bojan KANJERA_x000D_The Lost Dream Team</v>
      </c>
      <c r="G16" s="152">
        <v>0.51041666666666696</v>
      </c>
      <c r="H16" s="314" t="str">
        <f>IFERROR(INDEX([0]!BASE,MATCH(25,EXPERT19,0),1),"-")</f>
        <v>Suzy GILLETT_x000D_This Is Not Cricket</v>
      </c>
      <c r="J16" s="152">
        <v>0.51041666666666696</v>
      </c>
      <c r="K16" s="314" t="str">
        <f>IFERROR(INDEX([0]!BASE,MATCH(35,EXPERT19,0),1),"-")</f>
        <v>Svetlana STRELNIKOVA_x000D_People, Gods &amp; Other Creatures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IFERROR(INDEX([0]!BASE,MATCH(6,EXPERT19,0),1),"-")</f>
        <v>-</v>
      </c>
      <c r="D23" s="159">
        <v>0.61458333333333304</v>
      </c>
      <c r="E23" s="314" t="str">
        <f>IFERROR(INDEX([0]!BASE,MATCH(16,EXPERT19,0),1),"-")</f>
        <v>Elsa KREMSER_x000D_Stary Dogs</v>
      </c>
      <c r="G23" s="159">
        <v>0.61458333333333304</v>
      </c>
      <c r="H23" s="314" t="str">
        <f>IFERROR(INDEX([0]!BASE,MATCH(26,EXPERT19,0),1),"-")</f>
        <v>Anne Laure GUÉGAN_x000D_Family Portrait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IFERROR(INDEX([0]!BASE,MATCH(7,EXPERT19,0),1),"-")</f>
        <v>-</v>
      </c>
      <c r="D25" s="159">
        <v>0.64583333333333304</v>
      </c>
      <c r="E25" s="314" t="str">
        <f>IFERROR(INDEX([0]!BASE,MATCH(17,EXPERT19,0),1),"-")</f>
        <v>Diana Chiawen LEE _x000D_The Boss</v>
      </c>
      <c r="G25" s="159">
        <v>0.64583333333333304</v>
      </c>
      <c r="H25" s="314" t="str">
        <f>IFERROR(INDEX([0]!BASE,MATCH(27,EXPERT19,0),1),"-")</f>
        <v>Margarida GRAMAXO_x000D_Principe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IFERROR(INDEX([0]!BASE,MATCH(8,EXPERT19,0),1),"-")</f>
        <v>-</v>
      </c>
      <c r="D27" s="159">
        <v>0.67708333333333304</v>
      </c>
      <c r="E27" s="314" t="str">
        <f>IFERROR(INDEX([0]!BASE,MATCH(18,EXPERT19,0),1),"-")</f>
        <v>Michael KROTKIEWSKI_x000D_Hamada</v>
      </c>
      <c r="G27" s="159">
        <v>0.67708333333333304</v>
      </c>
      <c r="H27" s="314" t="str">
        <f>IFERROR(INDEX([0]!BASE,MATCH(28,EXPERT19,0),1),"-")</f>
        <v>Britta RINDELAUB_x000D_Our American Cousins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IFERROR(INDEX([0]!BASE,MATCH(9,EXPERT19,0),1),"-")</f>
        <v>-</v>
      </c>
      <c r="D30" s="159">
        <v>0.71875</v>
      </c>
      <c r="E30" s="314" t="str">
        <f>IFERROR(INDEX([0]!BASE,MATCH(19,EXPERT19,0),1),"-")</f>
        <v>Reinel GARCIA PEREZ_x000D_The Rice Rush</v>
      </c>
      <c r="G30" s="159">
        <v>0.71875</v>
      </c>
      <c r="H30" s="314" t="str">
        <f>IFERROR(INDEX([0]!BASE,MATCH(29,EXPERT19,0),1),"-")</f>
        <v>David HURST_x000D_Degenerando Argentina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IFERROR(INDEX([0]!BASE,MATCH(10,EXPERT19,0),1),"-")</f>
        <v>-</v>
      </c>
      <c r="D32" s="159">
        <v>0.75</v>
      </c>
      <c r="E32" s="314" t="str">
        <f>IFERROR(INDEX([0]!BASE,MATCH(20,EXPERT19,0),1),"-")</f>
        <v>Natalya SARCH_x000D_The Waleed Ahmed Story</v>
      </c>
      <c r="G32" s="159">
        <v>0.75</v>
      </c>
      <c r="H32" s="314" t="str">
        <f>IFERROR(INDEX([0]!BASE,MATCH(30,EXPERT19,0),1),"-")</f>
        <v>Laura ROMANO_x000D_AK Stories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162</v>
      </c>
      <c r="D3" s="152"/>
      <c r="E3" s="155" t="s">
        <v>162</v>
      </c>
      <c r="G3" s="152"/>
      <c r="H3" s="155" t="s">
        <v>162</v>
      </c>
      <c r="J3" s="152"/>
      <c r="K3" s="155" t="s">
        <v>162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IFERROR(INDEX([0]!BASE,MATCH(1,EXPERT20,0),1),"-")</f>
        <v>-</v>
      </c>
      <c r="D7" s="152">
        <v>0.375</v>
      </c>
      <c r="E7" s="316" t="str">
        <f>IFERROR(INDEX([0]!BASE,MATCH(11,EXPERT20,0),1),"-")</f>
        <v>-</v>
      </c>
      <c r="G7" s="152">
        <v>0.375</v>
      </c>
      <c r="H7" s="314" t="str">
        <f>IFERROR(INDEX([0]!BASE,MATCH(21,EXPERT20,0),1),"-")</f>
        <v>-</v>
      </c>
      <c r="J7" s="152">
        <v>0.375</v>
      </c>
      <c r="K7" s="314" t="str">
        <f>IFERROR(INDEX([0]!BASE,MATCH(31,EXPERT20,0),1),"-")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IFERROR(INDEX([0]!BASE,MATCH(2,EXPERT20,0),1),"-")</f>
        <v>-</v>
      </c>
      <c r="D9" s="152">
        <v>0.40625</v>
      </c>
      <c r="E9" s="316" t="str">
        <f>IFERROR(INDEX([0]!BASE,MATCH(12,EXPERT20,0),1),"-")</f>
        <v>Laura ROMANO_x000D_AK Stories</v>
      </c>
      <c r="G9" s="152">
        <v>0.40625</v>
      </c>
      <c r="H9" s="314" t="str">
        <f>IFERROR(INDEX([0]!BASE,MATCH(22,EXPERT20,0),1),"-")</f>
        <v>-</v>
      </c>
      <c r="J9" s="152">
        <v>0.40625</v>
      </c>
      <c r="K9" s="314" t="str">
        <f>IFERROR(INDEX([0]!BASE,MATCH(32,EXPERT20,0),1),"-")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IFERROR(INDEX([0]!BASE,MATCH(3,EXPERT20,0),1),"-")</f>
        <v>-</v>
      </c>
      <c r="D11" s="159">
        <v>0.4375</v>
      </c>
      <c r="E11" s="316" t="str">
        <f>IFERROR(INDEX([0]!BASE,MATCH(13,EXPERT20,0),1),"-")</f>
        <v>Britta RINDELAUB_x000D_Our American Cousins</v>
      </c>
      <c r="G11" s="159">
        <v>0.4375</v>
      </c>
      <c r="H11" s="314" t="str">
        <f>IFERROR(INDEX([0]!BASE,MATCH(23,EXPERT20,0),1),"-")</f>
        <v>-</v>
      </c>
      <c r="J11" s="159">
        <v>0.4375</v>
      </c>
      <c r="K11" s="314" t="str">
        <f>IFERROR(INDEX([0]!BASE,MATCH(33,EXPERT20,0),1),"-")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IFERROR(INDEX([0]!BASE,MATCH(4,EXPERT20,0),1),"-")</f>
        <v>-</v>
      </c>
      <c r="D14" s="159">
        <v>0.47916666666666702</v>
      </c>
      <c r="E14" s="314" t="str">
        <f>IFERROR(INDEX([0]!BASE,MATCH(14,EXPERT20,0),1),"-")</f>
        <v>David HURST_x000D_Degenerando Argentina</v>
      </c>
      <c r="G14" s="159">
        <v>0.47916666666666702</v>
      </c>
      <c r="H14" s="314" t="str">
        <f>IFERROR(INDEX([0]!BASE,MATCH(24,EXPERT20,0),1),"-")</f>
        <v>Anne Laure GUÉGAN_x000D_Family Portrait</v>
      </c>
      <c r="J14" s="159">
        <v>0.47916666666666702</v>
      </c>
      <c r="K14" s="314" t="str">
        <f>IFERROR(INDEX([0]!BASE,MATCH(34,EXPERT20,0),1),"-")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IFERROR(INDEX([0]!BASE,MATCH(5,EXPERT20,0),1),"-")</f>
        <v>-</v>
      </c>
      <c r="D16" s="152">
        <v>0.51041666666666696</v>
      </c>
      <c r="E16" s="314" t="str">
        <f>IFERROR(INDEX([0]!BASE,MATCH(15,EXPERT20,0),1),"-")</f>
        <v>Quentin LAURENT_x000D_The Choice of Jean</v>
      </c>
      <c r="G16" s="152">
        <v>0.51041666666666696</v>
      </c>
      <c r="H16" s="314" t="str">
        <f>IFERROR(INDEX([0]!BASE,MATCH(25,EXPERT20,0),1),"-")</f>
        <v>Biljana TUTOROV_x000D_Aunts</v>
      </c>
      <c r="J16" s="152">
        <v>0.51041666666666696</v>
      </c>
      <c r="K16" s="314" t="str">
        <f>IFERROR(INDEX([0]!BASE,MATCH(35,EXPERT20,0),1),"-")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IFERROR(INDEX([0]!BASE,MATCH(6,EXPERT20,0),1),"-")</f>
        <v>-</v>
      </c>
      <c r="D23" s="159">
        <v>0.61458333333333304</v>
      </c>
      <c r="E23" s="314" t="str">
        <f>IFERROR(INDEX([0]!BASE,MATCH(16,EXPERT20,0),1),"-")</f>
        <v>Christie MOLIA_x000D_The Louvre Is Moving</v>
      </c>
      <c r="G23" s="159">
        <v>0.61458333333333304</v>
      </c>
      <c r="H23" s="314" t="str">
        <f>IFERROR(INDEX([0]!BASE,MATCH(26,EXPERT20,0),1),"-")</f>
        <v>Malgorzata WABINSKA_x000D_Diagnosis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IFERROR(INDEX([0]!BASE,MATCH(7,EXPERT20,0),1),"-")</f>
        <v>-</v>
      </c>
      <c r="D25" s="159">
        <v>0.64583333333333304</v>
      </c>
      <c r="E25" s="314" t="str">
        <f>IFERROR(INDEX([0]!BASE,MATCH(17,EXPERT20,0),1),"-")</f>
        <v>Natalya SARCH_x000D_The Waleed Ahmed Story</v>
      </c>
      <c r="G25" s="159">
        <v>0.64583333333333304</v>
      </c>
      <c r="H25" s="314" t="str">
        <f>IFERROR(INDEX([0]!BASE,MATCH(27,EXPERT20,0),1),"-")</f>
        <v>Elsa KREMSER_x000D_Stary Dogs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IFERROR(INDEX([0]!BASE,MATCH(8,EXPERT20,0),1),"-")</f>
        <v>-</v>
      </c>
      <c r="D27" s="159">
        <v>0.67708333333333304</v>
      </c>
      <c r="E27" s="314" t="str">
        <f>IFERROR(INDEX([0]!BASE,MATCH(18,EXPERT20,0),1),"-")</f>
        <v>Lorenzo CIOFFI_x000D_Life Of Marzouk</v>
      </c>
      <c r="G27" s="159">
        <v>0.67708333333333304</v>
      </c>
      <c r="H27" s="314" t="str">
        <f>IFERROR(INDEX([0]!BASE,MATCH(28,EXPERT20,0),1),"-")</f>
        <v>Michael KROTKIEWSKI_x000D_Hamada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IFERROR(INDEX([0]!BASE,MATCH(9,EXPERT20,0),1),"-")</f>
        <v>-</v>
      </c>
      <c r="D30" s="159">
        <v>0.71875</v>
      </c>
      <c r="E30" s="314" t="str">
        <f>IFERROR(INDEX([0]!BASE,MATCH(19,EXPERT20,0),1),"-")</f>
        <v>Ivan ERHEL_x000D_Baghdad 3D</v>
      </c>
      <c r="G30" s="159">
        <v>0.71875</v>
      </c>
      <c r="H30" s="314" t="str">
        <f>IFERROR(INDEX([0]!BASE,MATCH(29,EXPERT20,0),1),"-")</f>
        <v>Diana Chiawen LEE _x000D_The Boss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IFERROR(INDEX([0]!BASE,MATCH(10,EXPERT20,0),1),"-")</f>
        <v>-</v>
      </c>
      <c r="D32" s="159">
        <v>0.75</v>
      </c>
      <c r="E32" s="314" t="str">
        <f>IFERROR(INDEX([0]!BASE,MATCH(20,EXPERT20,0),1),"-")</f>
        <v>Margarida GRAMAXO_x000D_Principe</v>
      </c>
      <c r="G32" s="159">
        <v>0.75</v>
      </c>
      <c r="H32" s="314" t="str">
        <f>IFERROR(INDEX([0]!BASE,MATCH(30,EXPERT20,0),1),"-")</f>
        <v>Agnes HORVATH-SZABO_x000D_Nine Months War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E3" workbookViewId="0">
      <selection activeCell="H9" sqref="H9:H10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163</v>
      </c>
      <c r="D3" s="152"/>
      <c r="E3" s="155" t="s">
        <v>163</v>
      </c>
      <c r="G3" s="152"/>
      <c r="H3" s="155" t="s">
        <v>163</v>
      </c>
      <c r="J3" s="152"/>
      <c r="K3" s="155" t="s">
        <v>163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IFERROR(INDEX([0]!BASE,MATCH(1,EXPERT21,0),1),"-")</f>
        <v>-</v>
      </c>
      <c r="D7" s="152">
        <v>0.375</v>
      </c>
      <c r="E7" s="316" t="str">
        <f>IFERROR(INDEX([0]!BASE,MATCH(11,EXPERT21,0),1),"-")</f>
        <v>-</v>
      </c>
      <c r="G7" s="152">
        <v>0.375</v>
      </c>
      <c r="H7" s="314" t="str">
        <f>IFERROR(INDEX([0]!BASE,MATCH(21,EXPERT21,0),1),"-")</f>
        <v>-</v>
      </c>
      <c r="J7" s="152">
        <v>0.375</v>
      </c>
      <c r="K7" s="314" t="str">
        <f>IFERROR(INDEX([0]!BASE,MATCH(31,EXPERT21,0),1),"-")</f>
        <v>John WALLACE_x000D_All The Numbers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IFERROR(INDEX([0]!BASE,MATCH(2,EXPERT21,0),1),"-")</f>
        <v>-</v>
      </c>
      <c r="D9" s="152">
        <v>0.40625</v>
      </c>
      <c r="E9" s="316" t="str">
        <f>IFERROR(INDEX([0]!BASE,MATCH(12,EXPERT21,0),1),"-")</f>
        <v>Britta RINDELAUB_x000D_Our American Cousins</v>
      </c>
      <c r="G9" s="152">
        <v>0.40625</v>
      </c>
      <c r="H9" s="314" t="str">
        <f>IFERROR(INDEX([0]!BASE,MATCH(22,EXPERT21,0),1),"-")</f>
        <v>Suzy GILLETT_x000D_This Is Not Cricket</v>
      </c>
      <c r="J9" s="152">
        <v>0.40625</v>
      </c>
      <c r="K9" s="314" t="str">
        <f>IFERROR(INDEX([0]!BASE,MATCH(32,EXPERT21,0),1),"-")</f>
        <v>Biljana TUTOROV_x000D_Aunts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IFERROR(INDEX([0]!BASE,MATCH(3,EXPERT21,0),1),"-")</f>
        <v>-</v>
      </c>
      <c r="D11" s="159">
        <v>0.4375</v>
      </c>
      <c r="E11" s="316" t="str">
        <f>IFERROR(INDEX([0]!BASE,MATCH(13,EXPERT21,0),1),"-")</f>
        <v>Laura ROMANO_x000D_AK Stories</v>
      </c>
      <c r="G11" s="159">
        <v>0.4375</v>
      </c>
      <c r="H11" s="314" t="str">
        <f>IFERROR(INDEX([0]!BASE,MATCH(23,EXPERT21,0),1),"-")</f>
        <v>Anne Laure GUÉGAN_x000D_Family Portrait</v>
      </c>
      <c r="J11" s="159">
        <v>0.4375</v>
      </c>
      <c r="K11" s="314" t="str">
        <f>IFERROR(INDEX([0]!BASE,MATCH(33,EXPERT21,0),1),"-")</f>
        <v>Lara ABOU SAIFAN_x000D_The Great Family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IFERROR(INDEX([0]!BASE,MATCH(4,EXPERT21,0),1),"-")</f>
        <v>-</v>
      </c>
      <c r="D14" s="159">
        <v>0.47916666666666702</v>
      </c>
      <c r="E14" s="314" t="str">
        <f>IFERROR(INDEX([0]!BASE,MATCH(14,EXPERT21,0),1),"-")</f>
        <v>Santi VALLDEPEREZ_x000D_The Fisherman's Shadow</v>
      </c>
      <c r="G14" s="159">
        <v>0.47916666666666702</v>
      </c>
      <c r="H14" s="314" t="str">
        <f>IFERROR(INDEX([0]!BASE,MATCH(24,EXPERT21,0),1),"-")</f>
        <v>Quentin LAURENT_x000D_The Choice of Jean</v>
      </c>
      <c r="J14" s="159">
        <v>0.47916666666666702</v>
      </c>
      <c r="K14" s="314" t="str">
        <f>IFERROR(INDEX([0]!BASE,MATCH(34,EXPERT21,0),1),"-")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IFERROR(INDEX([0]!BASE,MATCH(5,EXPERT21,0),1),"-")</f>
        <v>-</v>
      </c>
      <c r="D16" s="152">
        <v>0.51041666666666696</v>
      </c>
      <c r="E16" s="314" t="str">
        <f>IFERROR(INDEX([0]!BASE,MATCH(15,EXPERT21,0),1),"-")</f>
        <v>Michael KROTKIEWSKI_x000D_Hamada</v>
      </c>
      <c r="G16" s="152">
        <v>0.51041666666666696</v>
      </c>
      <c r="H16" s="314" t="str">
        <f>IFERROR(INDEX([0]!BASE,MATCH(25,EXPERT21,0),1),"-")</f>
        <v>David HURST_x000D_Degenerando Argentina</v>
      </c>
      <c r="J16" s="152">
        <v>0.51041666666666696</v>
      </c>
      <c r="K16" s="314" t="str">
        <f>IFERROR(INDEX([0]!BASE,MATCH(35,EXPERT21,0),1),"-")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IFERROR(INDEX([0]!BASE,MATCH(6,EXPERT21,0),1),"-")</f>
        <v>-</v>
      </c>
      <c r="D23" s="159">
        <v>0.61458333333333304</v>
      </c>
      <c r="E23" s="314" t="str">
        <f>IFERROR(INDEX([0]!BASE,MATCH(16,EXPERT21,0),1),"-")</f>
        <v>Louai HAFFAR_x000D_A Man On Fire</v>
      </c>
      <c r="G23" s="159">
        <v>0.61458333333333304</v>
      </c>
      <c r="H23" s="314" t="str">
        <f>IFERROR(INDEX([0]!BASE,MATCH(26,EXPERT21,0),1),"-")</f>
        <v>Isabelle COUTURE_x000D_Finding Sally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IFERROR(INDEX([0]!BASE,MATCH(7,EXPERT21,0),1),"-")</f>
        <v>-</v>
      </c>
      <c r="D25" s="159">
        <v>0.64583333333333304</v>
      </c>
      <c r="E25" s="314" t="str">
        <f>IFERROR(INDEX([0]!BASE,MATCH(17,EXPERT21,0),1),"-")</f>
        <v>Johnny HOLMVAG_x000D_Miracle In Moldova</v>
      </c>
      <c r="G25" s="159">
        <v>0.64583333333333304</v>
      </c>
      <c r="H25" s="314" t="str">
        <f>IFERROR(INDEX([0]!BASE,MATCH(27,EXPERT21,0),1),"-")</f>
        <v>Christie MOLIA_x000D_The Louvre Is Moving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IFERROR(INDEX([0]!BASE,MATCH(8,EXPERT21,0),1),"-")</f>
        <v>-</v>
      </c>
      <c r="D27" s="159">
        <v>0.67708333333333304</v>
      </c>
      <c r="E27" s="314" t="str">
        <f>IFERROR(INDEX([0]!BASE,MATCH(18,EXPERT21,0),1),"-")</f>
        <v>Bojan KANJERA_x000D_The Lost Dream Team</v>
      </c>
      <c r="G27" s="159">
        <v>0.67708333333333304</v>
      </c>
      <c r="H27" s="314" t="str">
        <f>IFERROR(INDEX([0]!BASE,MATCH(28,EXPERT21,0),1),"-")</f>
        <v>Reinel GARCIA PEREZ_x000D_The Rice Rush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IFERROR(INDEX([0]!BASE,MATCH(9,EXPERT21,0),1),"-")</f>
        <v>-</v>
      </c>
      <c r="D30" s="159">
        <v>0.71875</v>
      </c>
      <c r="E30" s="314" t="str">
        <f>IFERROR(INDEX([0]!BASE,MATCH(19,EXPERT21,0),1),"-")</f>
        <v>Elsa KREMSER_x000D_Stary Dogs</v>
      </c>
      <c r="G30" s="159">
        <v>0.71875</v>
      </c>
      <c r="H30" s="314" t="str">
        <f>IFERROR(INDEX([0]!BASE,MATCH(29,EXPERT21,0),1),"-")</f>
        <v>Natalya SARCH_x000D_The Waleed Ahmed Story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IFERROR(INDEX([0]!BASE,MATCH(10,EXPERT21,0),1),"-")</f>
        <v>-</v>
      </c>
      <c r="D32" s="159">
        <v>0.75</v>
      </c>
      <c r="E32" s="314" t="str">
        <f>IFERROR(INDEX([0]!BASE,MATCH(20,EXPERT21,0),1),"-")</f>
        <v>Diana Chiawen LEE _x000D_The Boss</v>
      </c>
      <c r="G32" s="159">
        <v>0.75</v>
      </c>
      <c r="H32" s="314" t="str">
        <f>IFERROR(INDEX([0]!BASE,MATCH(30,EXPERT21,0),1),"-")</f>
        <v>Ivan ERHEL_x000D_Baghdad 3D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164</v>
      </c>
      <c r="D3" s="152"/>
      <c r="E3" s="155" t="s">
        <v>164</v>
      </c>
      <c r="G3" s="152"/>
      <c r="H3" s="155" t="s">
        <v>164</v>
      </c>
      <c r="J3" s="152"/>
      <c r="K3" s="155" t="s">
        <v>164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IFERROR(INDEX([0]!BASE,MATCH(1,EXPERT22,0),1),"-")</f>
        <v>-</v>
      </c>
      <c r="D7" s="152">
        <v>0.375</v>
      </c>
      <c r="E7" s="316" t="str">
        <f>IFERROR(INDEX([0]!BASE,MATCH(11,EXPERT22,0),1),"-")</f>
        <v>-</v>
      </c>
      <c r="G7" s="152">
        <v>0.375</v>
      </c>
      <c r="H7" s="314" t="str">
        <f>IFERROR(INDEX([0]!BASE,MATCH(21,EXPERT22,0),1),"-")</f>
        <v>-</v>
      </c>
      <c r="J7" s="152">
        <v>0.375</v>
      </c>
      <c r="K7" s="314" t="str">
        <f>IFERROR(INDEX([0]!BASE,MATCH(31,EXPERT22,0),1),"-")</f>
        <v>Britta RINDELAUB_x000D_Our American Cousins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IFERROR(INDEX([0]!BASE,MATCH(2,EXPERT22,0),1),"-")</f>
        <v>-</v>
      </c>
      <c r="D9" s="152">
        <v>0.40625</v>
      </c>
      <c r="E9" s="316" t="str">
        <f>IFERROR(INDEX([0]!BASE,MATCH(12,EXPERT22,0),1),"-")</f>
        <v>Margarida GRAMAXO_x000D_Principe</v>
      </c>
      <c r="G9" s="152">
        <v>0.40625</v>
      </c>
      <c r="H9" s="314" t="str">
        <f>IFERROR(INDEX([0]!BASE,MATCH(22,EXPERT22,0),1),"-")</f>
        <v>Louai HAFFAR_x000D_A Man On Fire</v>
      </c>
      <c r="J9" s="152">
        <v>0.40625</v>
      </c>
      <c r="K9" s="314" t="str">
        <f>IFERROR(INDEX([0]!BASE,MATCH(32,EXPERT22,0),1),"-")</f>
        <v>David HURST_x000D_Degenerando Argentina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IFERROR(INDEX([0]!BASE,MATCH(3,EXPERT22,0),1),"-")</f>
        <v>-</v>
      </c>
      <c r="D11" s="159">
        <v>0.4375</v>
      </c>
      <c r="E11" s="316" t="str">
        <f>IFERROR(INDEX([0]!BASE,MATCH(13,EXPERT22,0),1),"-")</f>
        <v>Anne Laure GUÉGAN_x000D_Family Portrait</v>
      </c>
      <c r="G11" s="159">
        <v>0.4375</v>
      </c>
      <c r="H11" s="314" t="str">
        <f>IFERROR(INDEX([0]!BASE,MATCH(23,EXPERT22,0),1),"-")</f>
        <v>Rebecca DAY_x000D_Becoming Animal</v>
      </c>
      <c r="J11" s="159">
        <v>0.4375</v>
      </c>
      <c r="K11" s="314" t="str">
        <f>IFERROR(INDEX([0]!BASE,MATCH(33,EXPERT22,0),1),"-")</f>
        <v>Quentin LAURENT_x000D_The Choice of Jean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IFERROR(INDEX([0]!BASE,MATCH(4,EXPERT22,0),1),"-")</f>
        <v>-</v>
      </c>
      <c r="D14" s="159">
        <v>0.47916666666666702</v>
      </c>
      <c r="E14" s="314" t="str">
        <f>IFERROR(INDEX([0]!BASE,MATCH(14,EXPERT22,0),1),"-")</f>
        <v>Natalya SARCH_x000D_The Waleed Ahmed Story</v>
      </c>
      <c r="G14" s="159">
        <v>0.47916666666666702</v>
      </c>
      <c r="H14" s="314" t="str">
        <f>IFERROR(INDEX([0]!BASE,MATCH(24,EXPERT22,0),1),"-")</f>
        <v>Johnny HOLMVAG_x000D_Miracle In Moldova</v>
      </c>
      <c r="J14" s="159">
        <v>0.47916666666666702</v>
      </c>
      <c r="K14" s="314" t="str">
        <f>IFERROR(INDEX([0]!BASE,MATCH(34,EXPERT22,0),1),"-")</f>
        <v>Santi VALLDEPEREZ_x000D_The Fisherman's Shadow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IFERROR(INDEX([0]!BASE,MATCH(5,EXPERT22,0),1),"-")</f>
        <v>-</v>
      </c>
      <c r="D16" s="152">
        <v>0.51041666666666696</v>
      </c>
      <c r="E16" s="314" t="str">
        <f>IFERROR(INDEX([0]!BASE,MATCH(15,EXPERT22,0),1),"-")</f>
        <v>John WALLACE_x000D_All The Numbers</v>
      </c>
      <c r="G16" s="152">
        <v>0.51041666666666696</v>
      </c>
      <c r="H16" s="314" t="str">
        <f>IFERROR(INDEX([0]!BASE,MATCH(25,EXPERT22,0),1),"-")</f>
        <v>Elsa KREMSER_x000D_Stary Dogs</v>
      </c>
      <c r="J16" s="152">
        <v>0.51041666666666696</v>
      </c>
      <c r="K16" s="314" t="str">
        <f>IFERROR(INDEX([0]!BASE,MATCH(35,EXPERT22,0),1),"-")</f>
        <v>Laura ROMANO_x000D_AK Stories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IFERROR(INDEX([0]!BASE,MATCH(6,EXPERT22,0),1),"-")</f>
        <v>-</v>
      </c>
      <c r="D23" s="159">
        <v>0.61458333333333304</v>
      </c>
      <c r="E23" s="314" t="str">
        <f>IFERROR(INDEX([0]!BASE,MATCH(16,EXPERT22,0),1),"-")</f>
        <v>Lara ABOU SAIFAN_x000D_The Great Family</v>
      </c>
      <c r="G23" s="159">
        <v>0.61458333333333304</v>
      </c>
      <c r="H23" s="314" t="str">
        <f>IFERROR(INDEX([0]!BASE,MATCH(26,EXPERT22,0),1),"-")</f>
        <v>Biljana TUTOROV_x000D_Aunts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IFERROR(INDEX([0]!BASE,MATCH(7,EXPERT22,0),1),"-")</f>
        <v>-</v>
      </c>
      <c r="D25" s="159">
        <v>0.64583333333333304</v>
      </c>
      <c r="E25" s="314" t="str">
        <f>IFERROR(INDEX([0]!BASE,MATCH(17,EXPERT22,0),1),"-")</f>
        <v>Lorenzo CIOFFI_x000D_Life Of Marzouk</v>
      </c>
      <c r="G25" s="159">
        <v>0.64583333333333304</v>
      </c>
      <c r="H25" s="314" t="str">
        <f>IFERROR(INDEX([0]!BASE,MATCH(27,EXPERT22,0),1),"-")</f>
        <v>Agnes HORVATH-SZABO_x000D_Nine Months War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IFERROR(INDEX([0]!BASE,MATCH(8,EXPERT22,0),1),"-")</f>
        <v>-</v>
      </c>
      <c r="D27" s="159">
        <v>0.67708333333333304</v>
      </c>
      <c r="E27" s="314" t="str">
        <f>IFERROR(INDEX([0]!BASE,MATCH(18,EXPERT22,0),1),"-")</f>
        <v>Ivan ERHEL_x000D_Baghdad 3D</v>
      </c>
      <c r="G27" s="159">
        <v>0.67708333333333304</v>
      </c>
      <c r="H27" s="314" t="str">
        <f>IFERROR(INDEX([0]!BASE,MATCH(28,EXPERT22,0),1),"-")</f>
        <v>Christie MOLIA_x000D_The Louvre Is Moving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IFERROR(INDEX([0]!BASE,MATCH(9,EXPERT22,0),1),"-")</f>
        <v>-</v>
      </c>
      <c r="D30" s="159">
        <v>0.71875</v>
      </c>
      <c r="E30" s="314" t="str">
        <f>IFERROR(INDEX([0]!BASE,MATCH(19,EXPERT22,0),1),"-")</f>
        <v>Suzy GILLETT_x000D_This Is Not Cricket</v>
      </c>
      <c r="G30" s="159">
        <v>0.71875</v>
      </c>
      <c r="H30" s="314" t="str">
        <f>IFERROR(INDEX([0]!BASE,MATCH(29,EXPERT22,0),1),"-")</f>
        <v>Bojan KANJERA_x000D_The Lost Dream Team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IFERROR(INDEX([0]!BASE,MATCH(10,EXPERT22,0),1),"-")</f>
        <v>-</v>
      </c>
      <c r="D32" s="159">
        <v>0.75</v>
      </c>
      <c r="E32" s="314" t="str">
        <f>IFERROR(INDEX([0]!BASE,MATCH(20,EXPERT22,0),1),"-")</f>
        <v>Reinel GARCIA PEREZ_x000D_The Rice Rush</v>
      </c>
      <c r="G32" s="159">
        <v>0.75</v>
      </c>
      <c r="H32" s="314" t="str">
        <f>IFERROR(INDEX([0]!BASE,MATCH(30,EXPERT22,0),1),"-")</f>
        <v>Diana Chiawen LEE _x000D_The Boss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B3" sqref="B3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165</v>
      </c>
      <c r="D3" s="152"/>
      <c r="E3" s="155" t="s">
        <v>165</v>
      </c>
      <c r="G3" s="152"/>
      <c r="H3" s="155" t="s">
        <v>165</v>
      </c>
      <c r="J3" s="152"/>
      <c r="K3" s="155" t="s">
        <v>165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IFERROR(INDEX([0]!BASE,MATCH(1,EXPERT23,0),1),"-")</f>
        <v>-</v>
      </c>
      <c r="D7" s="152">
        <v>0.375</v>
      </c>
      <c r="E7" s="316" t="str">
        <f>IFERROR(INDEX([0]!BASE,MATCH(11,EXPERT23,0),1),"-")</f>
        <v>-</v>
      </c>
      <c r="G7" s="152">
        <v>0.375</v>
      </c>
      <c r="H7" s="314" t="str">
        <f>IFERROR(INDEX([0]!BASE,MATCH(21,EXPERT23,0),1),"-")</f>
        <v>Santi VALLDEPEREZ_x000D_The Fisherman's Shadow</v>
      </c>
      <c r="J7" s="152">
        <v>0.375</v>
      </c>
      <c r="K7" s="314" t="str">
        <f>IFERROR(INDEX([0]!BASE,MATCH(31,EXPERT23,0),1),"-")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IFERROR(INDEX([0]!BASE,MATCH(2,EXPERT23,0),1),"-")</f>
        <v>-</v>
      </c>
      <c r="D9" s="152">
        <v>0.40625</v>
      </c>
      <c r="E9" s="316" t="str">
        <f>IFERROR(INDEX([0]!BASE,MATCH(12,EXPERT23,0),1),"-")</f>
        <v>Lorenzo CIOFFI_x000D_Life Of Marzouk</v>
      </c>
      <c r="G9" s="152">
        <v>0.40625</v>
      </c>
      <c r="H9" s="314" t="str">
        <f>IFERROR(INDEX([0]!BASE,MATCH(22,EXPERT23,0),1),"-")</f>
        <v>Johnny HOLMVAG_x000D_Miracle In Moldova</v>
      </c>
      <c r="J9" s="152">
        <v>0.40625</v>
      </c>
      <c r="K9" s="314" t="str">
        <f>IFERROR(INDEX([0]!BASE,MATCH(32,EXPERT23,0),1),"-")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IFERROR(INDEX([0]!BASE,MATCH(3,EXPERT23,0),1),"-")</f>
        <v>-</v>
      </c>
      <c r="D11" s="159">
        <v>0.4375</v>
      </c>
      <c r="E11" s="316" t="str">
        <f>IFERROR(INDEX([0]!BASE,MATCH(13,EXPERT23,0),1),"-")</f>
        <v>Reinel GARCIA PEREZ_x000D_The Rice Rush</v>
      </c>
      <c r="G11" s="159">
        <v>0.4375</v>
      </c>
      <c r="H11" s="314" t="str">
        <f>IFERROR(INDEX([0]!BASE,MATCH(23,EXPERT23,0),1),"-")</f>
        <v>Agnes HORVATH-SZABO_x000D_Nine Months War</v>
      </c>
      <c r="J11" s="159">
        <v>0.4375</v>
      </c>
      <c r="K11" s="314" t="str">
        <f>IFERROR(INDEX([0]!BASE,MATCH(33,EXPERT23,0),1),"-")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IFERROR(INDEX([0]!BASE,MATCH(4,EXPERT23,0),1),"-")</f>
        <v>-</v>
      </c>
      <c r="D14" s="159">
        <v>0.47916666666666702</v>
      </c>
      <c r="E14" s="314" t="str">
        <f>IFERROR(INDEX([0]!BASE,MATCH(14,EXPERT23,0),1),"-")</f>
        <v>Anne Laure GUÉGAN_x000D_Family Portrait</v>
      </c>
      <c r="G14" s="159">
        <v>0.47916666666666702</v>
      </c>
      <c r="H14" s="314" t="str">
        <f>IFERROR(INDEX([0]!BASE,MATCH(24,EXPERT23,0),1),"-")</f>
        <v>Bojan KANJERA_x000D_The Lost Dream Team</v>
      </c>
      <c r="J14" s="159">
        <v>0.47916666666666702</v>
      </c>
      <c r="K14" s="314" t="str">
        <f>IFERROR(INDEX([0]!BASE,MATCH(34,EXPERT23,0),1),"-")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IFERROR(INDEX([0]!BASE,MATCH(5,EXPERT23,0),1),"-")</f>
        <v>-</v>
      </c>
      <c r="D16" s="152">
        <v>0.51041666666666696</v>
      </c>
      <c r="E16" s="314" t="str">
        <f>IFERROR(INDEX([0]!BASE,MATCH(15,EXPERT23,0),1),"-")</f>
        <v>Margarida GRAMAXO_x000D_Principe</v>
      </c>
      <c r="G16" s="152">
        <v>0.51041666666666696</v>
      </c>
      <c r="H16" s="314" t="str">
        <f>IFERROR(INDEX([0]!BASE,MATCH(25,EXPERT23,0),1),"-")</f>
        <v>Michael KROTKIEWSKI_x000D_Hamada</v>
      </c>
      <c r="J16" s="152">
        <v>0.51041666666666696</v>
      </c>
      <c r="K16" s="314" t="str">
        <f>IFERROR(INDEX([0]!BASE,MATCH(35,EXPERT23,0),1),"-")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IFERROR(INDEX([0]!BASE,MATCH(6,EXPERT23,0),1),"-")</f>
        <v>-</v>
      </c>
      <c r="D23" s="159">
        <v>0.61458333333333304</v>
      </c>
      <c r="E23" s="314" t="str">
        <f>IFERROR(INDEX([0]!BASE,MATCH(16,EXPERT23,0),1),"-")</f>
        <v>Rebecca DAY_x000D_Becoming Animal</v>
      </c>
      <c r="G23" s="159">
        <v>0.61458333333333304</v>
      </c>
      <c r="H23" s="314" t="str">
        <f>IFERROR(INDEX([0]!BASE,MATCH(26,EXPERT23,0),1),"-")</f>
        <v>Natalya SARCH_x000D_The Waleed Ahmed Story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IFERROR(INDEX([0]!BASE,MATCH(7,EXPERT23,0),1),"-")</f>
        <v>-</v>
      </c>
      <c r="D25" s="159">
        <v>0.64583333333333304</v>
      </c>
      <c r="E25" s="314" t="str">
        <f>IFERROR(INDEX([0]!BASE,MATCH(17,EXPERT23,0),1),"-")</f>
        <v>Lara ABOU SAIFAN_x000D_The Great Family</v>
      </c>
      <c r="G25" s="159">
        <v>0.64583333333333304</v>
      </c>
      <c r="H25" s="314" t="str">
        <f>IFERROR(INDEX([0]!BASE,MATCH(27,EXPERT23,0),1),"-")</f>
        <v>Biljana TUTOROV_x000D_Aunts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IFERROR(INDEX([0]!BASE,MATCH(8,EXPERT23,0),1),"-")</f>
        <v>-</v>
      </c>
      <c r="D27" s="159">
        <v>0.67708333333333304</v>
      </c>
      <c r="E27" s="314" t="str">
        <f>IFERROR(INDEX([0]!BASE,MATCH(18,EXPERT23,0),1),"-")</f>
        <v>David HURST_x000D_Degenerando Argentina</v>
      </c>
      <c r="G27" s="159">
        <v>0.67708333333333304</v>
      </c>
      <c r="H27" s="314" t="str">
        <f>IFERROR(INDEX([0]!BASE,MATCH(28,EXPERT23,0),1),"-")</f>
        <v>Malgorzata WABINSKA_x000D_Diagnosis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IFERROR(INDEX([0]!BASE,MATCH(9,EXPERT23,0),1),"-")</f>
        <v>-</v>
      </c>
      <c r="D30" s="159">
        <v>0.71875</v>
      </c>
      <c r="E30" s="314" t="str">
        <f>IFERROR(INDEX([0]!BASE,MATCH(19,EXPERT23,0),1),"-")</f>
        <v>Britta RINDELAUB_x000D_Our American Cousins</v>
      </c>
      <c r="G30" s="159">
        <v>0.71875</v>
      </c>
      <c r="H30" s="314" t="str">
        <f>IFERROR(INDEX([0]!BASE,MATCH(29,EXPERT23,0),1),"-")</f>
        <v>John WALLACE_x000D_All The Numbers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IFERROR(INDEX([0]!BASE,MATCH(10,EXPERT23,0),1),"-")</f>
        <v>-</v>
      </c>
      <c r="D32" s="159">
        <v>0.75</v>
      </c>
      <c r="E32" s="314" t="str">
        <f>IFERROR(INDEX([0]!BASE,MATCH(20,EXPERT23,0),1),"-")</f>
        <v>Svetlana STRELNIKOVA_x000D_People, Gods &amp; Other Creatures</v>
      </c>
      <c r="G32" s="159">
        <v>0.75</v>
      </c>
      <c r="H32" s="314" t="str">
        <f>IFERROR(INDEX([0]!BASE,MATCH(30,EXPERT23,0),1),"-")</f>
        <v>Isabelle COUTURE_x000D_Finding Sally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verticalCentered="1"/>
  <pageMargins left="0.28000000000000003" right="0.55000000000000004" top="0.35000000000000003" bottom="0.59" header="0.28000000000000003" footer="0.51"/>
  <pageSetup paperSize="10" scale="94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B1" workbookViewId="0">
      <selection activeCell="D1" sqref="D1:E35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20</v>
      </c>
      <c r="D3" s="152"/>
      <c r="E3" s="155" t="s">
        <v>20</v>
      </c>
      <c r="G3" s="152"/>
      <c r="H3" s="155" t="s">
        <v>20</v>
      </c>
      <c r="J3" s="152"/>
      <c r="K3" s="155" t="s">
        <v>20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IFERROR(INDEX([0]!BASE,MATCH(1,EXPERT24,0),1),"-")</f>
        <v>-</v>
      </c>
      <c r="D7" s="152">
        <v>0.375</v>
      </c>
      <c r="E7" s="316" t="str">
        <f>IFERROR(INDEX([0]!BASE,MATCH(11,EXPERT24,0),1),"-")</f>
        <v>-</v>
      </c>
      <c r="G7" s="152">
        <v>0.375</v>
      </c>
      <c r="H7" s="314" t="str">
        <f>IFERROR(INDEX([0]!BASE,MATCH(21,EXPERT24,0),1),"-")</f>
        <v>-</v>
      </c>
      <c r="J7" s="152">
        <v>0.375</v>
      </c>
      <c r="K7" s="314" t="str">
        <f>IFERROR(INDEX([0]!BASE,MATCH(31,EXPERT24,0),1),"-")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IFERROR(INDEX([0]!BASE,MATCH(2,EXPERT24,0),1),"-")</f>
        <v>-</v>
      </c>
      <c r="D9" s="152">
        <v>0.40625</v>
      </c>
      <c r="E9" s="316" t="str">
        <f>IFERROR(INDEX([0]!BASE,MATCH(12,EXPERT24,0),1),"-")</f>
        <v>-</v>
      </c>
      <c r="G9" s="152">
        <v>0.40625</v>
      </c>
      <c r="H9" s="314" t="str">
        <f>IFERROR(INDEX([0]!BASE,MATCH(22,EXPERT24,0),1),"-")</f>
        <v>-</v>
      </c>
      <c r="J9" s="152">
        <v>0.40625</v>
      </c>
      <c r="K9" s="314" t="str">
        <f>IFERROR(INDEX([0]!BASE,MATCH(32,EXPERT24,0),1),"-")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IFERROR(INDEX([0]!BASE,MATCH(3,EXPERT24,0),1),"-")</f>
        <v>-</v>
      </c>
      <c r="D11" s="159">
        <v>0.4375</v>
      </c>
      <c r="E11" s="316" t="str">
        <f>IFERROR(INDEX([0]!BASE,MATCH(13,EXPERT24,0),1),"-")</f>
        <v>-</v>
      </c>
      <c r="G11" s="159">
        <v>0.4375</v>
      </c>
      <c r="H11" s="314" t="str">
        <f>IFERROR(INDEX([0]!BASE,MATCH(23,EXPERT24,0),1),"-")</f>
        <v>-</v>
      </c>
      <c r="J11" s="159">
        <v>0.4375</v>
      </c>
      <c r="K11" s="314" t="str">
        <f>IFERROR(INDEX([0]!BASE,MATCH(33,EXPERT24,0),1),"-")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IFERROR(INDEX([0]!BASE,MATCH(4,EXPERT24,0),1),"-")</f>
        <v>-</v>
      </c>
      <c r="D14" s="159">
        <v>0.47916666666666702</v>
      </c>
      <c r="E14" s="314" t="str">
        <f>IFERROR(INDEX([0]!BASE,MATCH(14,EXPERT24,0),1),"-")</f>
        <v>-</v>
      </c>
      <c r="G14" s="159">
        <v>0.47916666666666702</v>
      </c>
      <c r="H14" s="314" t="str">
        <f>IFERROR(INDEX([0]!BASE,MATCH(24,EXPERT24,0),1),"-")</f>
        <v>-</v>
      </c>
      <c r="J14" s="159">
        <v>0.47916666666666702</v>
      </c>
      <c r="K14" s="314" t="str">
        <f>IFERROR(INDEX([0]!BASE,MATCH(34,EXPERT24,0),1),"-")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IFERROR(INDEX([0]!BASE,MATCH(5,EXPERT24,0),1),"-")</f>
        <v>-</v>
      </c>
      <c r="D16" s="152">
        <v>0.51041666666666696</v>
      </c>
      <c r="E16" s="314" t="str">
        <f>IFERROR(INDEX([0]!BASE,MATCH(15,EXPERT24,0),1),"-")</f>
        <v>-</v>
      </c>
      <c r="G16" s="152">
        <v>0.51041666666666696</v>
      </c>
      <c r="H16" s="314" t="str">
        <f>IFERROR(INDEX([0]!BASE,MATCH(25,EXPERT24,0),1),"-")</f>
        <v>-</v>
      </c>
      <c r="J16" s="152">
        <v>0.51041666666666696</v>
      </c>
      <c r="K16" s="314" t="str">
        <f>IFERROR(INDEX([0]!BASE,MATCH(35,EXPERT24,0),1),"-")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IFERROR(INDEX([0]!BASE,MATCH(6,EXPERT24,0),1),"-")</f>
        <v>-</v>
      </c>
      <c r="D23" s="159">
        <v>0.61458333333333304</v>
      </c>
      <c r="E23" s="314" t="str">
        <f>IFERROR(INDEX([0]!BASE,MATCH(16,EXPERT24,0),1),"-")</f>
        <v>-</v>
      </c>
      <c r="G23" s="159">
        <v>0.61458333333333304</v>
      </c>
      <c r="H23" s="314" t="str">
        <f>IFERROR(INDEX([0]!BASE,MATCH(26,EXPERT24,0),1),"-")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IFERROR(INDEX([0]!BASE,MATCH(7,EXPERT24,0),1),"-")</f>
        <v>-</v>
      </c>
      <c r="D25" s="159">
        <v>0.64583333333333304</v>
      </c>
      <c r="E25" s="314" t="str">
        <f>IFERROR(INDEX([0]!BASE,MATCH(17,EXPERT24,0),1),"-")</f>
        <v>-</v>
      </c>
      <c r="G25" s="159">
        <v>0.64583333333333304</v>
      </c>
      <c r="H25" s="314" t="str">
        <f>IFERROR(INDEX([0]!BASE,MATCH(27,EXPERT24,0),1),"-")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IFERROR(INDEX([0]!BASE,MATCH(8,EXPERT24,0),1),"-")</f>
        <v>-</v>
      </c>
      <c r="D27" s="159">
        <v>0.67708333333333304</v>
      </c>
      <c r="E27" s="314" t="str">
        <f>IFERROR(INDEX([0]!BASE,MATCH(18,EXPERT24,0),1),"-")</f>
        <v>-</v>
      </c>
      <c r="G27" s="159">
        <v>0.67708333333333304</v>
      </c>
      <c r="H27" s="314" t="str">
        <f>IFERROR(INDEX([0]!BASE,MATCH(28,EXPERT24,0),1),"-")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IFERROR(INDEX([0]!BASE,MATCH(9,EXPERT24,0),1),"-")</f>
        <v>-</v>
      </c>
      <c r="D30" s="159">
        <v>0.71875</v>
      </c>
      <c r="E30" s="314" t="str">
        <f>IFERROR(INDEX([0]!BASE,MATCH(19,EXPERT24,0),1),"-")</f>
        <v>-</v>
      </c>
      <c r="G30" s="159">
        <v>0.71875</v>
      </c>
      <c r="H30" s="314" t="str">
        <f>IFERROR(INDEX([0]!BASE,MATCH(29,EXPERT24,0),1),"-")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IFERROR(INDEX([0]!BASE,MATCH(10,EXPERT24,0),1),"-")</f>
        <v>-</v>
      </c>
      <c r="D32" s="159">
        <v>0.75</v>
      </c>
      <c r="E32" s="314" t="str">
        <f>IFERROR(INDEX([0]!BASE,MATCH(20,EXPERT24,0),1),"-")</f>
        <v>-</v>
      </c>
      <c r="G32" s="159">
        <v>0.75</v>
      </c>
      <c r="H32" s="314" t="str">
        <f>IFERROR(INDEX([0]!BASE,MATCH(30,EXPERT24,0),1),"-")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5" workbookViewId="0">
      <selection activeCell="E9" sqref="E9:E10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21</v>
      </c>
      <c r="D3" s="152"/>
      <c r="E3" s="155" t="s">
        <v>21</v>
      </c>
      <c r="G3" s="152"/>
      <c r="H3" s="155" t="s">
        <v>21</v>
      </c>
      <c r="J3" s="152"/>
      <c r="K3" s="155" t="s">
        <v>21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IFERROR(INDEX([0]!BASE,MATCH(1,EXPERT25,0),1),"-")</f>
        <v>-</v>
      </c>
      <c r="D7" s="152">
        <v>0.375</v>
      </c>
      <c r="E7" s="316" t="str">
        <f>IFERROR(INDEX([0]!BASE,MATCH(11,EXPERT25,0),1),"-")</f>
        <v>-</v>
      </c>
      <c r="G7" s="152">
        <v>0.375</v>
      </c>
      <c r="H7" s="314" t="str">
        <f>IFERROR(INDEX([0]!BASE,MATCH(21,EXPERT25,0),1),"-")</f>
        <v>-</v>
      </c>
      <c r="J7" s="152">
        <v>0.375</v>
      </c>
      <c r="K7" s="314" t="str">
        <f>IFERROR(INDEX([0]!BASE,MATCH(31,EXPERT25,0),1),"-")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IFERROR(INDEX([0]!BASE,MATCH(2,EXPERT25,0),1),"-")</f>
        <v>-</v>
      </c>
      <c r="D9" s="152">
        <v>0.40625</v>
      </c>
      <c r="E9" s="316" t="str">
        <f>IFERROR(INDEX([0]!BASE,MATCH(12,EXPERT25,0),1),"-")</f>
        <v>-</v>
      </c>
      <c r="G9" s="152">
        <v>0.40625</v>
      </c>
      <c r="H9" s="314" t="str">
        <f>IFERROR(INDEX([0]!BASE,MATCH(22,EXPERT25,0),1),"-")</f>
        <v>-</v>
      </c>
      <c r="J9" s="152">
        <v>0.40625</v>
      </c>
      <c r="K9" s="314" t="str">
        <f>IFERROR(INDEX([0]!BASE,MATCH(32,EXPERT25,0),1),"-")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IFERROR(INDEX([0]!BASE,MATCH(3,EXPERT25,0),1),"-")</f>
        <v>-</v>
      </c>
      <c r="D11" s="159">
        <v>0.4375</v>
      </c>
      <c r="E11" s="316" t="str">
        <f>IFERROR(INDEX([0]!BASE,MATCH(13,EXPERT25,0),1),"-")</f>
        <v>-</v>
      </c>
      <c r="G11" s="159">
        <v>0.4375</v>
      </c>
      <c r="H11" s="314" t="str">
        <f>IFERROR(INDEX([0]!BASE,MATCH(23,EXPERT25,0),1),"-")</f>
        <v>-</v>
      </c>
      <c r="J11" s="159">
        <v>0.4375</v>
      </c>
      <c r="K11" s="314" t="str">
        <f>IFERROR(INDEX([0]!BASE,MATCH(33,EXPERT25,0),1),"-")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IFERROR(INDEX([0]!BASE,MATCH(4,EXPERT25,0),1),"-")</f>
        <v>-</v>
      </c>
      <c r="D14" s="159">
        <v>0.47916666666666702</v>
      </c>
      <c r="E14" s="314" t="str">
        <f>IFERROR(INDEX([0]!BASE,MATCH(14,EXPERT25,0),1),"-")</f>
        <v>-</v>
      </c>
      <c r="G14" s="159">
        <v>0.47916666666666702</v>
      </c>
      <c r="H14" s="314" t="str">
        <f>IFERROR(INDEX([0]!BASE,MATCH(24,EXPERT25,0),1),"-")</f>
        <v>-</v>
      </c>
      <c r="J14" s="159">
        <v>0.47916666666666702</v>
      </c>
      <c r="K14" s="314" t="str">
        <f>IFERROR(INDEX([0]!BASE,MATCH(34,EXPERT25,0),1),"-")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IFERROR(INDEX([0]!BASE,MATCH(5,EXPERT25,0),1),"-")</f>
        <v>-</v>
      </c>
      <c r="D16" s="152">
        <v>0.51041666666666696</v>
      </c>
      <c r="E16" s="314" t="str">
        <f>IFERROR(INDEX([0]!BASE,MATCH(15,EXPERT25,0),1),"-")</f>
        <v>-</v>
      </c>
      <c r="G16" s="152">
        <v>0.51041666666666696</v>
      </c>
      <c r="H16" s="314" t="str">
        <f>IFERROR(INDEX([0]!BASE,MATCH(25,EXPERT25,0),1),"-")</f>
        <v>-</v>
      </c>
      <c r="J16" s="152">
        <v>0.51041666666666696</v>
      </c>
      <c r="K16" s="314" t="str">
        <f>IFERROR(INDEX([0]!BASE,MATCH(35,EXPERT25,0),1),"-")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IFERROR(INDEX([0]!BASE,MATCH(6,EXPERT25,0),1),"-")</f>
        <v>-</v>
      </c>
      <c r="D23" s="159">
        <v>0.61458333333333304</v>
      </c>
      <c r="E23" s="314" t="str">
        <f>IFERROR(INDEX([0]!BASE,MATCH(16,EXPERT25,0),1),"-")</f>
        <v>-</v>
      </c>
      <c r="G23" s="159">
        <v>0.61458333333333304</v>
      </c>
      <c r="H23" s="314" t="str">
        <f>IFERROR(INDEX([0]!BASE,MATCH(26,EXPERT25,0),1),"-")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IFERROR(INDEX([0]!BASE,MATCH(7,EXPERT25,0),1),"-")</f>
        <v>-</v>
      </c>
      <c r="D25" s="159">
        <v>0.64583333333333304</v>
      </c>
      <c r="E25" s="314" t="str">
        <f>IFERROR(INDEX([0]!BASE,MATCH(17,EXPERT25,0),1),"-")</f>
        <v>-</v>
      </c>
      <c r="G25" s="159">
        <v>0.64583333333333304</v>
      </c>
      <c r="H25" s="314" t="str">
        <f>IFERROR(INDEX([0]!BASE,MATCH(27,EXPERT25,0),1),"-")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IFERROR(INDEX([0]!BASE,MATCH(8,EXPERT25,0),1),"-")</f>
        <v>-</v>
      </c>
      <c r="D27" s="159">
        <v>0.67708333333333304</v>
      </c>
      <c r="E27" s="314" t="str">
        <f>IFERROR(INDEX([0]!BASE,MATCH(18,EXPERT25,0),1),"-")</f>
        <v>-</v>
      </c>
      <c r="G27" s="159">
        <v>0.67708333333333304</v>
      </c>
      <c r="H27" s="314" t="str">
        <f>IFERROR(INDEX([0]!BASE,MATCH(28,EXPERT25,0),1),"-")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IFERROR(INDEX([0]!BASE,MATCH(9,EXPERT25,0),1),"-")</f>
        <v>-</v>
      </c>
      <c r="D30" s="159">
        <v>0.71875</v>
      </c>
      <c r="E30" s="314" t="str">
        <f>IFERROR(INDEX([0]!BASE,MATCH(19,EXPERT25,0),1),"-")</f>
        <v>-</v>
      </c>
      <c r="G30" s="159">
        <v>0.71875</v>
      </c>
      <c r="H30" s="314" t="str">
        <f>IFERROR(INDEX([0]!BASE,MATCH(29,EXPERT25,0),1),"-")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IFERROR(INDEX([0]!BASE,MATCH(10,EXPERT25,0),1),"-")</f>
        <v>-</v>
      </c>
      <c r="D32" s="159">
        <v>0.75</v>
      </c>
      <c r="E32" s="314" t="str">
        <f>IFERROR(INDEX([0]!BASE,MATCH(20,EXPERT25,0),1),"-")</f>
        <v>-</v>
      </c>
      <c r="G32" s="159">
        <v>0.75</v>
      </c>
      <c r="H32" s="314" t="str">
        <f>IFERROR(INDEX([0]!BASE,MATCH(30,EXPERT25,0),1),"-")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5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A9" workbookViewId="0">
      <selection activeCell="B7" sqref="B7:B8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>
        <v>26</v>
      </c>
      <c r="D3" s="152"/>
      <c r="E3" s="155">
        <v>26</v>
      </c>
      <c r="G3" s="152"/>
      <c r="H3" s="155">
        <v>26</v>
      </c>
      <c r="J3" s="152"/>
      <c r="K3" s="155">
        <v>26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IFERROR(INDEX([0]!BASE,MATCH(1,EXPERT26,0),1),"-")</f>
        <v>-</v>
      </c>
      <c r="D7" s="152">
        <v>0.375</v>
      </c>
      <c r="E7" s="316" t="str">
        <f>IFERROR(INDEX([0]!BASE,MATCH(11,EXPERT26,0),1),"-")</f>
        <v>-</v>
      </c>
      <c r="G7" s="152">
        <v>0.375</v>
      </c>
      <c r="H7" s="314" t="str">
        <f>IFERROR(INDEX([0]!BASE,MATCH(21,EXPERT26,0),1),"-")</f>
        <v>-</v>
      </c>
      <c r="J7" s="152">
        <v>0.375</v>
      </c>
      <c r="K7" s="314" t="str">
        <f>IFERROR(INDEX([0]!BASE,MATCH(31,EXPERT26,0),1),"-")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IFERROR(INDEX([0]!BASE,MATCH(2,EXPERT26,0),1),"-")</f>
        <v>-</v>
      </c>
      <c r="D9" s="152">
        <v>0.40625</v>
      </c>
      <c r="E9" s="316" t="str">
        <f>IFERROR(INDEX([0]!BASE,MATCH(12,EXPERT26,0),1),"-")</f>
        <v>-</v>
      </c>
      <c r="G9" s="152">
        <v>0.40625</v>
      </c>
      <c r="H9" s="314" t="str">
        <f>IFERROR(INDEX([0]!BASE,MATCH(22,EXPERT26,0),1),"-")</f>
        <v>-</v>
      </c>
      <c r="J9" s="152">
        <v>0.40625</v>
      </c>
      <c r="K9" s="314" t="str">
        <f>IFERROR(INDEX([0]!BASE,MATCH(32,EXPERT26,0),1),"-")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IFERROR(INDEX([0]!BASE,MATCH(3,EXPERT26,0),1),"-")</f>
        <v>-</v>
      </c>
      <c r="D11" s="159">
        <v>0.4375</v>
      </c>
      <c r="E11" s="316" t="str">
        <f>IFERROR(INDEX([0]!BASE,MATCH(13,EXPERT26,0),1),"-")</f>
        <v>-</v>
      </c>
      <c r="G11" s="159">
        <v>0.4375</v>
      </c>
      <c r="H11" s="314" t="str">
        <f>IFERROR(INDEX([0]!BASE,MATCH(23,EXPERT26,0),1),"-")</f>
        <v>-</v>
      </c>
      <c r="J11" s="159">
        <v>0.4375</v>
      </c>
      <c r="K11" s="314" t="str">
        <f>IFERROR(INDEX([0]!BASE,MATCH(33,EXPERT26,0),1),"-")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IFERROR(INDEX([0]!BASE,MATCH(4,EXPERT26,0),1),"-")</f>
        <v>-</v>
      </c>
      <c r="D14" s="159">
        <v>0.47916666666666702</v>
      </c>
      <c r="E14" s="314" t="str">
        <f>IFERROR(INDEX([0]!BASE,MATCH(14,EXPERT26,0),1),"-")</f>
        <v>-</v>
      </c>
      <c r="G14" s="159">
        <v>0.47916666666666702</v>
      </c>
      <c r="H14" s="314" t="str">
        <f>IFERROR(INDEX([0]!BASE,MATCH(24,EXPERT26,0),1),"-")</f>
        <v>-</v>
      </c>
      <c r="J14" s="159">
        <v>0.47916666666666702</v>
      </c>
      <c r="K14" s="314" t="str">
        <f>IFERROR(INDEX([0]!BASE,MATCH(34,EXPERT26,0),1),"-")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IFERROR(INDEX([0]!BASE,MATCH(5,EXPERT26,0),1),"-")</f>
        <v>-</v>
      </c>
      <c r="D16" s="152">
        <v>0.51041666666666696</v>
      </c>
      <c r="E16" s="314" t="str">
        <f>IFERROR(INDEX([0]!BASE,MATCH(15,EXPERT26,0),1),"-")</f>
        <v>-</v>
      </c>
      <c r="G16" s="152">
        <v>0.51041666666666696</v>
      </c>
      <c r="H16" s="314" t="str">
        <f>IFERROR(INDEX([0]!BASE,MATCH(25,EXPERT26,0),1),"-")</f>
        <v>-</v>
      </c>
      <c r="J16" s="152">
        <v>0.51041666666666696</v>
      </c>
      <c r="K16" s="314" t="str">
        <f>IFERROR(INDEX([0]!BASE,MATCH(35,EXPERT26,0),1),"-")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IFERROR(INDEX([0]!BASE,MATCH(6,EXPERT26,0),1),"-")</f>
        <v>-</v>
      </c>
      <c r="D23" s="159">
        <v>0.61458333333333304</v>
      </c>
      <c r="E23" s="314" t="str">
        <f>IFERROR(INDEX([0]!BASE,MATCH(16,EXPERT26,0),1),"-")</f>
        <v>-</v>
      </c>
      <c r="G23" s="159">
        <v>0.61458333333333304</v>
      </c>
      <c r="H23" s="314" t="str">
        <f>IFERROR(INDEX([0]!BASE,MATCH(26,EXPERT26,0),1),"-")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IFERROR(INDEX([0]!BASE,MATCH(7,EXPERT26,0),1),"-")</f>
        <v>-</v>
      </c>
      <c r="D25" s="159">
        <v>0.64583333333333304</v>
      </c>
      <c r="E25" s="314" t="str">
        <f>IFERROR(INDEX([0]!BASE,MATCH(17,EXPERT26,0),1),"-")</f>
        <v>-</v>
      </c>
      <c r="G25" s="159">
        <v>0.64583333333333304</v>
      </c>
      <c r="H25" s="314" t="str">
        <f>IFERROR(INDEX([0]!BASE,MATCH(27,EXPERT26,0),1),"-")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IFERROR(INDEX([0]!BASE,MATCH(8,EXPERT26,0),1),"-")</f>
        <v>-</v>
      </c>
      <c r="D27" s="159">
        <v>0.67708333333333304</v>
      </c>
      <c r="E27" s="314" t="str">
        <f>IFERROR(INDEX([0]!BASE,MATCH(18,EXPERT26,0),1),"-")</f>
        <v>-</v>
      </c>
      <c r="G27" s="159">
        <v>0.67708333333333304</v>
      </c>
      <c r="H27" s="314" t="str">
        <f>IFERROR(INDEX([0]!BASE,MATCH(28,EXPERT26,0),1),"-")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IFERROR(INDEX([0]!BASE,MATCH(9,EXPERT26,0),1),"-")</f>
        <v>-</v>
      </c>
      <c r="D30" s="159">
        <v>0.71875</v>
      </c>
      <c r="E30" s="314" t="str">
        <f>IFERROR(INDEX([0]!BASE,MATCH(19,EXPERT26,0),1),"-")</f>
        <v>-</v>
      </c>
      <c r="G30" s="159">
        <v>0.71875</v>
      </c>
      <c r="H30" s="314" t="str">
        <f>IFERROR(INDEX([0]!BASE,MATCH(29,EXPERT26,0),1),"-")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IFERROR(INDEX([0]!BASE,MATCH(10,EXPERT26,0),1),"-")</f>
        <v>-</v>
      </c>
      <c r="D32" s="159">
        <v>0.75</v>
      </c>
      <c r="E32" s="314" t="str">
        <f>IFERROR(INDEX([0]!BASE,MATCH(20,EXPERT26,0),1),"-")</f>
        <v>-</v>
      </c>
      <c r="G32" s="159">
        <v>0.75</v>
      </c>
      <c r="H32" s="314" t="str">
        <f>IFERROR(INDEX([0]!BASE,MATCH(30,EXPERT26,0),1),"-")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19" sqref="H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>
        <v>27</v>
      </c>
      <c r="D3" s="152"/>
      <c r="E3" s="155">
        <v>27</v>
      </c>
      <c r="G3" s="152"/>
      <c r="H3" s="155">
        <v>27</v>
      </c>
      <c r="J3" s="152"/>
      <c r="K3" s="155">
        <v>27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IFERROR(INDEX([0]!BASE,MATCH(1,EXPERT27,0),1),"-")</f>
        <v>-</v>
      </c>
      <c r="D7" s="152">
        <v>0.375</v>
      </c>
      <c r="E7" s="316" t="str">
        <f>IFERROR(INDEX([0]!BASE,MATCH(11,EXPERT27,0),1),"-")</f>
        <v>-</v>
      </c>
      <c r="G7" s="152">
        <v>0.375</v>
      </c>
      <c r="H7" s="314" t="str">
        <f>IFERROR(INDEX([0]!BASE,MATCH(21,EXPERT27,0),1),"-")</f>
        <v>-</v>
      </c>
      <c r="J7" s="152">
        <v>0.375</v>
      </c>
      <c r="K7" s="314" t="str">
        <f>IFERROR(INDEX([0]!BASE,MATCH(31,EXPERT27,0),1),"-")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IFERROR(INDEX([0]!BASE,MATCH(2,EXPERT27,0),1),"-")</f>
        <v>-</v>
      </c>
      <c r="D9" s="152">
        <v>0.40625</v>
      </c>
      <c r="E9" s="316" t="str">
        <f>IFERROR(INDEX([0]!BASE,MATCH(12,EXPERT27,0),1),"-")</f>
        <v>-</v>
      </c>
      <c r="G9" s="152">
        <v>0.40625</v>
      </c>
      <c r="H9" s="314" t="str">
        <f>IFERROR(INDEX([0]!BASE,MATCH(22,EXPERT27,0),1),"-")</f>
        <v>-</v>
      </c>
      <c r="J9" s="152">
        <v>0.40625</v>
      </c>
      <c r="K9" s="314" t="str">
        <f>IFERROR(INDEX([0]!BASE,MATCH(32,EXPERT27,0),1),"-")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IFERROR(INDEX([0]!BASE,MATCH(3,EXPERT27,0),1),"-")</f>
        <v>-</v>
      </c>
      <c r="D11" s="159">
        <v>0.4375</v>
      </c>
      <c r="E11" s="316" t="str">
        <f>IFERROR(INDEX([0]!BASE,MATCH(13,EXPERT27,0),1),"-")</f>
        <v>-</v>
      </c>
      <c r="G11" s="159">
        <v>0.4375</v>
      </c>
      <c r="H11" s="314" t="str">
        <f>IFERROR(INDEX([0]!BASE,MATCH(23,EXPERT27,0),1),"-")</f>
        <v>-</v>
      </c>
      <c r="J11" s="159">
        <v>0.4375</v>
      </c>
      <c r="K11" s="314" t="str">
        <f>IFERROR(INDEX([0]!BASE,MATCH(33,EXPERT27,0),1),"-")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IFERROR(INDEX([0]!BASE,MATCH(4,EXPERT27,0),1),"-")</f>
        <v>-</v>
      </c>
      <c r="D14" s="159">
        <v>0.47916666666666702</v>
      </c>
      <c r="E14" s="314" t="str">
        <f>IFERROR(INDEX([0]!BASE,MATCH(14,EXPERT27,0),1),"-")</f>
        <v>-</v>
      </c>
      <c r="G14" s="159">
        <v>0.47916666666666702</v>
      </c>
      <c r="H14" s="314" t="str">
        <f>IFERROR(INDEX([0]!BASE,MATCH(24,EXPERT27,0),1),"-")</f>
        <v>-</v>
      </c>
      <c r="J14" s="159">
        <v>0.47916666666666702</v>
      </c>
      <c r="K14" s="314" t="str">
        <f>IFERROR(INDEX([0]!BASE,MATCH(34,EXPERT27,0),1),"-")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IFERROR(INDEX([0]!BASE,MATCH(5,EXPERT27,0),1),"-")</f>
        <v>-</v>
      </c>
      <c r="D16" s="152">
        <v>0.51041666666666696</v>
      </c>
      <c r="E16" s="314" t="str">
        <f>IFERROR(INDEX([0]!BASE,MATCH(15,EXPERT27,0),1),"-")</f>
        <v>-</v>
      </c>
      <c r="G16" s="152">
        <v>0.51041666666666696</v>
      </c>
      <c r="H16" s="314" t="str">
        <f>IFERROR(INDEX([0]!BASE,MATCH(25,EXPERT27,0),1),"-")</f>
        <v>-</v>
      </c>
      <c r="J16" s="152">
        <v>0.51041666666666696</v>
      </c>
      <c r="K16" s="314" t="str">
        <f>IFERROR(INDEX([0]!BASE,MATCH(35,EXPERT27,0),1),"-")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IFERROR(INDEX([0]!BASE,MATCH(6,EXPERT27,0),1),"-")</f>
        <v>-</v>
      </c>
      <c r="D23" s="159">
        <v>0.61458333333333304</v>
      </c>
      <c r="E23" s="314" t="str">
        <f>IFERROR(INDEX([0]!BASE,MATCH(16,EXPERT27,0),1),"-")</f>
        <v>-</v>
      </c>
      <c r="G23" s="159">
        <v>0.61458333333333304</v>
      </c>
      <c r="H23" s="314" t="str">
        <f>IFERROR(INDEX([0]!BASE,MATCH(26,EXPERT27,0),1),"-")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IFERROR(INDEX([0]!BASE,MATCH(7,EXPERT27,0),1),"-")</f>
        <v>-</v>
      </c>
      <c r="D25" s="159">
        <v>0.64583333333333304</v>
      </c>
      <c r="E25" s="314" t="str">
        <f>IFERROR(INDEX([0]!BASE,MATCH(17,EXPERT27,0),1),"-")</f>
        <v>-</v>
      </c>
      <c r="G25" s="159">
        <v>0.64583333333333304</v>
      </c>
      <c r="H25" s="314" t="str">
        <f>IFERROR(INDEX([0]!BASE,MATCH(27,EXPERT27,0),1),"-")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IFERROR(INDEX([0]!BASE,MATCH(8,EXPERT27,0),1),"-")</f>
        <v>-</v>
      </c>
      <c r="D27" s="159">
        <v>0.67708333333333304</v>
      </c>
      <c r="E27" s="314" t="str">
        <f>IFERROR(INDEX([0]!BASE,MATCH(18,EXPERT27,0),1),"-")</f>
        <v>-</v>
      </c>
      <c r="G27" s="159">
        <v>0.67708333333333304</v>
      </c>
      <c r="H27" s="314" t="str">
        <f>IFERROR(INDEX([0]!BASE,MATCH(28,EXPERT27,0),1),"-")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IFERROR(INDEX([0]!BASE,MATCH(9,EXPERT27,0),1),"-")</f>
        <v>-</v>
      </c>
      <c r="D30" s="159">
        <v>0.71875</v>
      </c>
      <c r="E30" s="314" t="str">
        <f>IFERROR(INDEX([0]!BASE,MATCH(19,EXPERT27,0),1),"-")</f>
        <v>-</v>
      </c>
      <c r="G30" s="159">
        <v>0.71875</v>
      </c>
      <c r="H30" s="314" t="str">
        <f>IFERROR(INDEX([0]!BASE,MATCH(29,EXPERT27,0),1),"-")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IFERROR(INDEX([0]!BASE,MATCH(10,EXPERT27,0),1),"-")</f>
        <v>-</v>
      </c>
      <c r="D32" s="159">
        <v>0.75</v>
      </c>
      <c r="E32" s="314" t="str">
        <f>IFERROR(INDEX([0]!BASE,MATCH(20,EXPERT27,0),1),"-")</f>
        <v>-</v>
      </c>
      <c r="G32" s="159">
        <v>0.75</v>
      </c>
      <c r="H32" s="314" t="str">
        <f>IFERROR(INDEX([0]!BASE,MATCH(30,EXPERT27,0),1),"-")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19" sqref="H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>
        <v>28</v>
      </c>
      <c r="D3" s="152"/>
      <c r="E3" s="155">
        <v>28</v>
      </c>
      <c r="G3" s="152"/>
      <c r="H3" s="155">
        <v>28</v>
      </c>
      <c r="J3" s="152"/>
      <c r="K3" s="155">
        <v>28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IFERROR(INDEX([0]!BASE,MATCH(1,EXPERT28,0),1),"-")</f>
        <v>-</v>
      </c>
      <c r="D7" s="152">
        <v>0.375</v>
      </c>
      <c r="E7" s="316" t="str">
        <f>IFERROR(INDEX([0]!BASE,MATCH(11,EXPERT28,0),1),"-")</f>
        <v>-</v>
      </c>
      <c r="G7" s="152">
        <v>0.375</v>
      </c>
      <c r="H7" s="314" t="str">
        <f>IFERROR(INDEX([0]!BASE,MATCH(21,EXPERT28,0),1),"-")</f>
        <v>-</v>
      </c>
      <c r="J7" s="152">
        <v>0.375</v>
      </c>
      <c r="K7" s="314" t="str">
        <f>IFERROR(INDEX([0]!BASE,MATCH(31,EXPERT28,0),1),"-")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IFERROR(INDEX([0]!BASE,MATCH(2,EXPERT28,0),1),"-")</f>
        <v>-</v>
      </c>
      <c r="D9" s="152">
        <v>0.40625</v>
      </c>
      <c r="E9" s="316" t="str">
        <f>IFERROR(INDEX([0]!BASE,MATCH(12,EXPERT28,0),1),"-")</f>
        <v>-</v>
      </c>
      <c r="G9" s="152">
        <v>0.40625</v>
      </c>
      <c r="H9" s="314" t="str">
        <f>IFERROR(INDEX([0]!BASE,MATCH(22,EXPERT28,0),1),"-")</f>
        <v>-</v>
      </c>
      <c r="J9" s="152">
        <v>0.40625</v>
      </c>
      <c r="K9" s="314" t="str">
        <f>IFERROR(INDEX([0]!BASE,MATCH(32,EXPERT28,0),1),"-")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IFERROR(INDEX([0]!BASE,MATCH(3,EXPERT28,0),1),"-")</f>
        <v>-</v>
      </c>
      <c r="D11" s="159">
        <v>0.4375</v>
      </c>
      <c r="E11" s="316" t="str">
        <f>IFERROR(INDEX([0]!BASE,MATCH(13,EXPERT28,0),1),"-")</f>
        <v>-</v>
      </c>
      <c r="G11" s="159">
        <v>0.4375</v>
      </c>
      <c r="H11" s="314" t="str">
        <f>IFERROR(INDEX([0]!BASE,MATCH(23,EXPERT28,0),1),"-")</f>
        <v>-</v>
      </c>
      <c r="J11" s="159">
        <v>0.4375</v>
      </c>
      <c r="K11" s="314" t="str">
        <f>IFERROR(INDEX([0]!BASE,MATCH(33,EXPERT28,0),1),"-")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IFERROR(INDEX([0]!BASE,MATCH(4,EXPERT28,0),1),"-")</f>
        <v>-</v>
      </c>
      <c r="D14" s="159">
        <v>0.47916666666666702</v>
      </c>
      <c r="E14" s="314" t="str">
        <f>IFERROR(INDEX([0]!BASE,MATCH(14,EXPERT28,0),1),"-")</f>
        <v>-</v>
      </c>
      <c r="G14" s="159">
        <v>0.47916666666666702</v>
      </c>
      <c r="H14" s="314" t="str">
        <f>IFERROR(INDEX([0]!BASE,MATCH(24,EXPERT28,0),1),"-")</f>
        <v>-</v>
      </c>
      <c r="J14" s="159">
        <v>0.47916666666666702</v>
      </c>
      <c r="K14" s="314" t="str">
        <f>IFERROR(INDEX([0]!BASE,MATCH(34,EXPERT28,0),1),"-")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IFERROR(INDEX([0]!BASE,MATCH(5,EXPERT28,0),1),"-")</f>
        <v>-</v>
      </c>
      <c r="D16" s="152">
        <v>0.51041666666666696</v>
      </c>
      <c r="E16" s="314" t="str">
        <f>IFERROR(INDEX([0]!BASE,MATCH(15,EXPERT28,0),1),"-")</f>
        <v>-</v>
      </c>
      <c r="G16" s="152">
        <v>0.51041666666666696</v>
      </c>
      <c r="H16" s="314" t="str">
        <f>IFERROR(INDEX([0]!BASE,MATCH(25,EXPERT28,0),1),"-")</f>
        <v>-</v>
      </c>
      <c r="J16" s="152">
        <v>0.51041666666666696</v>
      </c>
      <c r="K16" s="314" t="str">
        <f>IFERROR(INDEX([0]!BASE,MATCH(35,EXPERT28,0),1),"-")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IFERROR(INDEX([0]!BASE,MATCH(6,EXPERT28,0),1),"-")</f>
        <v>-</v>
      </c>
      <c r="D23" s="159">
        <v>0.61458333333333304</v>
      </c>
      <c r="E23" s="314" t="str">
        <f>IFERROR(INDEX([0]!BASE,MATCH(16,EXPERT28,0),1),"-")</f>
        <v>-</v>
      </c>
      <c r="G23" s="159">
        <v>0.61458333333333304</v>
      </c>
      <c r="H23" s="314" t="str">
        <f>IFERROR(INDEX([0]!BASE,MATCH(26,EXPERT28,0),1),"-")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IFERROR(INDEX([0]!BASE,MATCH(7,EXPERT28,0),1),"-")</f>
        <v>-</v>
      </c>
      <c r="D25" s="159">
        <v>0.64583333333333304</v>
      </c>
      <c r="E25" s="314" t="str">
        <f>IFERROR(INDEX([0]!BASE,MATCH(17,EXPERT28,0),1),"-")</f>
        <v>-</v>
      </c>
      <c r="G25" s="159">
        <v>0.64583333333333304</v>
      </c>
      <c r="H25" s="314" t="str">
        <f>IFERROR(INDEX([0]!BASE,MATCH(27,EXPERT28,0),1),"-")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IFERROR(INDEX([0]!BASE,MATCH(8,EXPERT28,0),1),"-")</f>
        <v>-</v>
      </c>
      <c r="D27" s="159">
        <v>0.67708333333333304</v>
      </c>
      <c r="E27" s="314" t="str">
        <f>IFERROR(INDEX([0]!BASE,MATCH(18,EXPERT28,0),1),"-")</f>
        <v>-</v>
      </c>
      <c r="G27" s="159">
        <v>0.67708333333333304</v>
      </c>
      <c r="H27" s="314" t="str">
        <f>IFERROR(INDEX([0]!BASE,MATCH(28,EXPERT28,0),1),"-")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IFERROR(INDEX([0]!BASE,MATCH(9,EXPERT28,0),1),"-")</f>
        <v>-</v>
      </c>
      <c r="D30" s="159">
        <v>0.71875</v>
      </c>
      <c r="E30" s="314" t="str">
        <f>IFERROR(INDEX([0]!BASE,MATCH(19,EXPERT28,0),1),"-")</f>
        <v>-</v>
      </c>
      <c r="G30" s="159">
        <v>0.71875</v>
      </c>
      <c r="H30" s="314" t="str">
        <f>IFERROR(INDEX([0]!BASE,MATCH(29,EXPERT28,0),1),"-")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IFERROR(INDEX([0]!BASE,MATCH(10,EXPERT28,0),1),"-")</f>
        <v>-</v>
      </c>
      <c r="D32" s="159">
        <v>0.75</v>
      </c>
      <c r="E32" s="314" t="str">
        <f>IFERROR(INDEX([0]!BASE,MATCH(20,EXPERT28,0),1),"-")</f>
        <v>-</v>
      </c>
      <c r="G32" s="159">
        <v>0.75</v>
      </c>
      <c r="H32" s="314" t="str">
        <f>IFERROR(INDEX([0]!BASE,MATCH(30,EXPERT28,0),1),"-")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19" sqref="H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>
        <v>29</v>
      </c>
      <c r="D3" s="152"/>
      <c r="E3" s="155">
        <v>29</v>
      </c>
      <c r="G3" s="152"/>
      <c r="H3" s="155">
        <v>29</v>
      </c>
      <c r="J3" s="152"/>
      <c r="K3" s="155">
        <v>29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IFERROR(INDEX([0]!BASE,MATCH(1,EXPERT29,0),1),"-")</f>
        <v>-</v>
      </c>
      <c r="D7" s="152">
        <v>0.375</v>
      </c>
      <c r="E7" s="316" t="str">
        <f>IFERROR(INDEX([0]!BASE,MATCH(11,EXPERT29,0),1),"-")</f>
        <v>-</v>
      </c>
      <c r="G7" s="152">
        <v>0.375</v>
      </c>
      <c r="H7" s="314" t="str">
        <f>IFERROR(INDEX([0]!BASE,MATCH(21,EXPERT29,0),1),"-")</f>
        <v>-</v>
      </c>
      <c r="J7" s="152">
        <v>0.375</v>
      </c>
      <c r="K7" s="314" t="str">
        <f>IFERROR(INDEX([0]!BASE,MATCH(31,EXPERT29,0),1),"-")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IFERROR(INDEX([0]!BASE,MATCH(2,EXPERT29,0),1),"-")</f>
        <v>-</v>
      </c>
      <c r="D9" s="152">
        <v>0.40625</v>
      </c>
      <c r="E9" s="316" t="str">
        <f>IFERROR(INDEX([0]!BASE,MATCH(12,EXPERT29,0),1),"-")</f>
        <v>-</v>
      </c>
      <c r="G9" s="152">
        <v>0.40625</v>
      </c>
      <c r="H9" s="314" t="str">
        <f>IFERROR(INDEX([0]!BASE,MATCH(22,EXPERT29,0),1),"-")</f>
        <v>-</v>
      </c>
      <c r="J9" s="152">
        <v>0.40625</v>
      </c>
      <c r="K9" s="314" t="str">
        <f>IFERROR(INDEX([0]!BASE,MATCH(32,EXPERT29,0),1),"-")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IFERROR(INDEX([0]!BASE,MATCH(3,EXPERT29,0),1),"-")</f>
        <v>-</v>
      </c>
      <c r="D11" s="159">
        <v>0.4375</v>
      </c>
      <c r="E11" s="316" t="str">
        <f>IFERROR(INDEX([0]!BASE,MATCH(13,EXPERT29,0),1),"-")</f>
        <v>-</v>
      </c>
      <c r="G11" s="159">
        <v>0.4375</v>
      </c>
      <c r="H11" s="314" t="str">
        <f>IFERROR(INDEX([0]!BASE,MATCH(23,EXPERT29,0),1),"-")</f>
        <v>-</v>
      </c>
      <c r="J11" s="159">
        <v>0.4375</v>
      </c>
      <c r="K11" s="314" t="str">
        <f>IFERROR(INDEX([0]!BASE,MATCH(33,EXPERT29,0),1),"-")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IFERROR(INDEX([0]!BASE,MATCH(4,EXPERT29,0),1),"-")</f>
        <v>-</v>
      </c>
      <c r="D14" s="159">
        <v>0.47916666666666702</v>
      </c>
      <c r="E14" s="314" t="str">
        <f>IFERROR(INDEX([0]!BASE,MATCH(14,EXPERT29,0),1),"-")</f>
        <v>-</v>
      </c>
      <c r="G14" s="159">
        <v>0.47916666666666702</v>
      </c>
      <c r="H14" s="314" t="str">
        <f>IFERROR(INDEX([0]!BASE,MATCH(24,EXPERT29,0),1),"-")</f>
        <v>-</v>
      </c>
      <c r="J14" s="159">
        <v>0.47916666666666702</v>
      </c>
      <c r="K14" s="314" t="str">
        <f>IFERROR(INDEX([0]!BASE,MATCH(34,EXPERT29,0),1),"-")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IFERROR(INDEX([0]!BASE,MATCH(5,EXPERT29,0),1),"-")</f>
        <v>-</v>
      </c>
      <c r="D16" s="152">
        <v>0.51041666666666696</v>
      </c>
      <c r="E16" s="314" t="str">
        <f>IFERROR(INDEX([0]!BASE,MATCH(15,EXPERT29,0),1),"-")</f>
        <v>-</v>
      </c>
      <c r="G16" s="152">
        <v>0.51041666666666696</v>
      </c>
      <c r="H16" s="314" t="str">
        <f>IFERROR(INDEX([0]!BASE,MATCH(25,EXPERT29,0),1),"-")</f>
        <v>-</v>
      </c>
      <c r="J16" s="152">
        <v>0.51041666666666696</v>
      </c>
      <c r="K16" s="314" t="str">
        <f>IFERROR(INDEX([0]!BASE,MATCH(35,EXPERT29,0),1),"-")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IFERROR(INDEX([0]!BASE,MATCH(6,EXPERT29,0),1),"-")</f>
        <v>-</v>
      </c>
      <c r="D23" s="159">
        <v>0.61458333333333304</v>
      </c>
      <c r="E23" s="314" t="str">
        <f>IFERROR(INDEX([0]!BASE,MATCH(16,EXPERT29,0),1),"-")</f>
        <v>-</v>
      </c>
      <c r="G23" s="159">
        <v>0.61458333333333304</v>
      </c>
      <c r="H23" s="314" t="str">
        <f>IFERROR(INDEX([0]!BASE,MATCH(26,EXPERT29,0),1),"-")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IFERROR(INDEX([0]!BASE,MATCH(7,EXPERT29,0),1),"-")</f>
        <v>-</v>
      </c>
      <c r="D25" s="159">
        <v>0.64583333333333304</v>
      </c>
      <c r="E25" s="314" t="str">
        <f>IFERROR(INDEX([0]!BASE,MATCH(17,EXPERT29,0),1),"-")</f>
        <v>-</v>
      </c>
      <c r="G25" s="159">
        <v>0.64583333333333304</v>
      </c>
      <c r="H25" s="314" t="str">
        <f>IFERROR(INDEX([0]!BASE,MATCH(27,EXPERT29,0),1),"-")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IFERROR(INDEX([0]!BASE,MATCH(8,EXPERT29,0),1),"-")</f>
        <v>-</v>
      </c>
      <c r="D27" s="159">
        <v>0.67708333333333304</v>
      </c>
      <c r="E27" s="314" t="str">
        <f>IFERROR(INDEX([0]!BASE,MATCH(18,EXPERT29,0),1),"-")</f>
        <v>-</v>
      </c>
      <c r="G27" s="159">
        <v>0.67708333333333304</v>
      </c>
      <c r="H27" s="314" t="str">
        <f>IFERROR(INDEX([0]!BASE,MATCH(28,EXPERT29,0),1),"-")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IFERROR(INDEX([0]!BASE,MATCH(9,EXPERT29,0),1),"-")</f>
        <v>-</v>
      </c>
      <c r="D30" s="159">
        <v>0.71875</v>
      </c>
      <c r="E30" s="314" t="str">
        <f>IFERROR(INDEX([0]!BASE,MATCH(19,EXPERT29,0),1),"-")</f>
        <v>-</v>
      </c>
      <c r="G30" s="159">
        <v>0.71875</v>
      </c>
      <c r="H30" s="314" t="str">
        <f>IFERROR(INDEX([0]!BASE,MATCH(29,EXPERT29,0),1),"-")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IFERROR(INDEX([0]!BASE,MATCH(10,EXPERT29,0),1),"-")</f>
        <v>-</v>
      </c>
      <c r="D32" s="159">
        <v>0.75</v>
      </c>
      <c r="E32" s="314" t="str">
        <f>IFERROR(INDEX([0]!BASE,MATCH(20,EXPERT29,0),1),"-")</f>
        <v>-</v>
      </c>
      <c r="G32" s="159">
        <v>0.75</v>
      </c>
      <c r="H32" s="314" t="str">
        <f>IFERROR(INDEX([0]!BASE,MATCH(30,EXPERT29,0),1),"-")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19" sqref="H19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>
        <v>30</v>
      </c>
      <c r="D3" s="152"/>
      <c r="E3" s="155">
        <v>30</v>
      </c>
      <c r="G3" s="152"/>
      <c r="H3" s="155">
        <v>30</v>
      </c>
      <c r="J3" s="152"/>
      <c r="K3" s="155">
        <v>30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IFERROR(INDEX([0]!BASE,MATCH(1,EXPERT30,0),1),"-")</f>
        <v>-</v>
      </c>
      <c r="D7" s="152">
        <v>0.375</v>
      </c>
      <c r="E7" s="316" t="str">
        <f>IFERROR(INDEX([0]!BASE,MATCH(11,EXPERT30,0),1),"-")</f>
        <v>-</v>
      </c>
      <c r="G7" s="152">
        <v>0.375</v>
      </c>
      <c r="H7" s="314" t="str">
        <f>IFERROR(INDEX([0]!BASE,MATCH(21,EXPERT30,0),1),"-")</f>
        <v>-</v>
      </c>
      <c r="J7" s="152">
        <v>0.375</v>
      </c>
      <c r="K7" s="314" t="str">
        <f>IFERROR(INDEX([0]!BASE,MATCH(31,EXPERT30,0),1),"-")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IFERROR(INDEX([0]!BASE,MATCH(2,EXPERT30,0),1),"-")</f>
        <v>-</v>
      </c>
      <c r="D9" s="152">
        <v>0.40625</v>
      </c>
      <c r="E9" s="316" t="str">
        <f>IFERROR(INDEX([0]!BASE,MATCH(12,EXPERT30,0),1),"-")</f>
        <v>-</v>
      </c>
      <c r="G9" s="152">
        <v>0.40625</v>
      </c>
      <c r="H9" s="314" t="str">
        <f>IFERROR(INDEX([0]!BASE,MATCH(22,EXPERT30,0),1),"-")</f>
        <v>-</v>
      </c>
      <c r="J9" s="152">
        <v>0.40625</v>
      </c>
      <c r="K9" s="314" t="str">
        <f>IFERROR(INDEX([0]!BASE,MATCH(32,EXPERT30,0),1),"-")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IFERROR(INDEX([0]!BASE,MATCH(3,EXPERT30,0),1),"-")</f>
        <v>-</v>
      </c>
      <c r="D11" s="159">
        <v>0.4375</v>
      </c>
      <c r="E11" s="316" t="str">
        <f>IFERROR(INDEX([0]!BASE,MATCH(13,EXPERT30,0),1),"-")</f>
        <v>-</v>
      </c>
      <c r="G11" s="159">
        <v>0.4375</v>
      </c>
      <c r="H11" s="314" t="str">
        <f>IFERROR(INDEX([0]!BASE,MATCH(23,EXPERT30,0),1),"-")</f>
        <v>-</v>
      </c>
      <c r="J11" s="159">
        <v>0.4375</v>
      </c>
      <c r="K11" s="314" t="str">
        <f>IFERROR(INDEX([0]!BASE,MATCH(33,EXPERT30,0),1),"-")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J13" s="161">
        <v>0.46875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IFERROR(INDEX([0]!BASE,MATCH(4,EXPERT30,0),1),"-")</f>
        <v>-</v>
      </c>
      <c r="D14" s="159">
        <v>0.47916666666666702</v>
      </c>
      <c r="E14" s="314" t="str">
        <f>IFERROR(INDEX([0]!BASE,MATCH(14,EXPERT30,0),1),"-")</f>
        <v>-</v>
      </c>
      <c r="G14" s="159">
        <v>0.47916666666666702</v>
      </c>
      <c r="H14" s="314" t="str">
        <f>IFERROR(INDEX([0]!BASE,MATCH(24,EXPERT30,0),1),"-")</f>
        <v>-</v>
      </c>
      <c r="J14" s="159">
        <v>0.47916666666666702</v>
      </c>
      <c r="K14" s="314" t="str">
        <f>IFERROR(INDEX([0]!BASE,MATCH(34,EXPERT30,0),1),"-")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IFERROR(INDEX([0]!BASE,MATCH(5,EXPERT30,0),1),"-")</f>
        <v>-</v>
      </c>
      <c r="D16" s="152">
        <v>0.51041666666666696</v>
      </c>
      <c r="E16" s="314" t="str">
        <f>IFERROR(INDEX([0]!BASE,MATCH(15,EXPERT30,0),1),"-")</f>
        <v>-</v>
      </c>
      <c r="G16" s="152">
        <v>0.51041666666666696</v>
      </c>
      <c r="H16" s="314" t="str">
        <f>IFERROR(INDEX([0]!BASE,MATCH(25,EXPERT30,0),1),"-")</f>
        <v>-</v>
      </c>
      <c r="J16" s="152">
        <v>0.51041666666666696</v>
      </c>
      <c r="K16" s="314" t="str">
        <f>IFERROR(INDEX([0]!BASE,MATCH(35,EXPERT30,0),1),"-")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0.54166666666666663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IFERROR(INDEX([0]!BASE,MATCH(6,EXPERT30,0),1),"-")</f>
        <v>-</v>
      </c>
      <c r="D23" s="159">
        <v>0.61458333333333304</v>
      </c>
      <c r="E23" s="314" t="str">
        <f>IFERROR(INDEX([0]!BASE,MATCH(16,EXPERT30,0),1),"-")</f>
        <v>-</v>
      </c>
      <c r="G23" s="159">
        <v>0.61458333333333304</v>
      </c>
      <c r="H23" s="314" t="str">
        <f>IFERROR(INDEX([0]!BASE,MATCH(26,EXPERT30,0),1),"-")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12</v>
      </c>
    </row>
    <row r="25" spans="1:11" s="154" customFormat="1" ht="24.75" customHeight="1">
      <c r="A25" s="159">
        <v>0.63541666666666663</v>
      </c>
      <c r="B25" s="314" t="str">
        <f>IFERROR(INDEX([0]!BASE,MATCH(7,EXPERT30,0),1),"-")</f>
        <v>-</v>
      </c>
      <c r="D25" s="159">
        <v>0.64583333333333304</v>
      </c>
      <c r="E25" s="314" t="str">
        <f>IFERROR(INDEX([0]!BASE,MATCH(17,EXPERT30,0),1),"-")</f>
        <v>-</v>
      </c>
      <c r="G25" s="159">
        <v>0.64583333333333304</v>
      </c>
      <c r="H25" s="314" t="str">
        <f>IFERROR(INDEX([0]!BASE,MATCH(27,EXPERT30,0),1),"-")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IFERROR(INDEX([0]!BASE,MATCH(8,EXPERT30,0),1),"-")</f>
        <v>-</v>
      </c>
      <c r="D27" s="159">
        <v>0.67708333333333304</v>
      </c>
      <c r="E27" s="314" t="str">
        <f>IFERROR(INDEX([0]!BASE,MATCH(18,EXPERT30,0),1),"-")</f>
        <v>-</v>
      </c>
      <c r="G27" s="159">
        <v>0.67708333333333304</v>
      </c>
      <c r="H27" s="314" t="str">
        <f>IFERROR(INDEX([0]!BASE,MATCH(28,EXPERT30,0),1),"-")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IFERROR(INDEX([0]!BASE,MATCH(9,EXPERT30,0),1),"-")</f>
        <v>-</v>
      </c>
      <c r="D30" s="159">
        <v>0.71875</v>
      </c>
      <c r="E30" s="314" t="str">
        <f>IFERROR(INDEX([0]!BASE,MATCH(19,EXPERT30,0),1),"-")</f>
        <v>-</v>
      </c>
      <c r="G30" s="159">
        <v>0.71875</v>
      </c>
      <c r="H30" s="314" t="str">
        <f>IFERROR(INDEX([0]!BASE,MATCH(29,EXPERT30,0),1),"-")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IFERROR(INDEX([0]!BASE,MATCH(10,EXPERT30,0),1),"-")</f>
        <v>-</v>
      </c>
      <c r="D32" s="159">
        <v>0.75</v>
      </c>
      <c r="E32" s="314" t="str">
        <f>IFERROR(INDEX([0]!BASE,MATCH(20,EXPERT30,0),1),"-")</f>
        <v>-</v>
      </c>
      <c r="G32" s="159">
        <v>0.75</v>
      </c>
      <c r="H32" s="314" t="str">
        <f>IFERROR(INDEX([0]!BASE,MATCH(30,EXPERT30,0),1),"-")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30:B31"/>
    <mergeCell ref="E30:E31"/>
    <mergeCell ref="H30:H31"/>
    <mergeCell ref="B32:B33"/>
    <mergeCell ref="E32:E33"/>
    <mergeCell ref="H32:H33"/>
    <mergeCell ref="B25:B26"/>
    <mergeCell ref="E25:E26"/>
    <mergeCell ref="H25:H26"/>
    <mergeCell ref="B27:B28"/>
    <mergeCell ref="E27:E28"/>
    <mergeCell ref="H27:H28"/>
    <mergeCell ref="B16:B17"/>
    <mergeCell ref="E16:E17"/>
    <mergeCell ref="H16:H17"/>
    <mergeCell ref="K16:K17"/>
    <mergeCell ref="B23:B24"/>
    <mergeCell ref="E23:E24"/>
    <mergeCell ref="H23:H24"/>
    <mergeCell ref="B11:B12"/>
    <mergeCell ref="E11:E12"/>
    <mergeCell ref="H11:H12"/>
    <mergeCell ref="K11:K12"/>
    <mergeCell ref="B14:B15"/>
    <mergeCell ref="E14:E15"/>
    <mergeCell ref="H14:H15"/>
    <mergeCell ref="K14:K15"/>
    <mergeCell ref="B7:B8"/>
    <mergeCell ref="E7:E8"/>
    <mergeCell ref="H7:H8"/>
    <mergeCell ref="K7:K8"/>
    <mergeCell ref="B9:B10"/>
    <mergeCell ref="E9:E10"/>
    <mergeCell ref="H9:H10"/>
    <mergeCell ref="K9:K10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topLeftCell="E1" workbookViewId="0">
      <selection activeCell="K24" sqref="K24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24</v>
      </c>
      <c r="D3" s="152"/>
      <c r="E3" s="155" t="s">
        <v>24</v>
      </c>
      <c r="G3" s="152"/>
      <c r="H3" s="155" t="s">
        <v>24</v>
      </c>
      <c r="J3" s="152"/>
      <c r="K3" s="155" t="s">
        <v>24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IFERROR(INDEX([0]!BASE,MATCH(1,TUTEUR1,0),1),"-")</f>
        <v>-</v>
      </c>
      <c r="D7" s="152">
        <v>0.375</v>
      </c>
      <c r="E7" s="316" t="str">
        <f>IFERROR(INDEX([0]!BASE,MATCH(11,TUTEUR1,0),1),"-")</f>
        <v>-</v>
      </c>
      <c r="G7" s="152">
        <v>0.375</v>
      </c>
      <c r="H7" s="314" t="str">
        <f>IFERROR(INDEX([0]!BASE,MATCH(21,TUTEUR1,0),1),"-")</f>
        <v>-</v>
      </c>
      <c r="J7" s="152">
        <v>0.375</v>
      </c>
      <c r="K7" s="314" t="str">
        <f>IFERROR(INDEX([0]!BASE,MATCH(31,TUTEUR1,0),1),"-")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IFERROR(INDEX([0]!BASE,MATCH(2,TUTEUR1,0),1),"-")</f>
        <v>-</v>
      </c>
      <c r="D9" s="152">
        <v>0.40625</v>
      </c>
      <c r="E9" s="316" t="str">
        <f>IFERROR(INDEX([0]!BASE,MATCH(12,TUTEUR1,0),1),"-")</f>
        <v>-</v>
      </c>
      <c r="G9" s="152">
        <v>0.40625</v>
      </c>
      <c r="H9" s="314" t="str">
        <f>IFERROR(INDEX([0]!BASE,MATCH(22,TUTEUR1,0),1),"-")</f>
        <v>-</v>
      </c>
      <c r="J9" s="152">
        <v>0.40625</v>
      </c>
      <c r="K9" s="314" t="str">
        <f>IFERROR(INDEX([0]!BASE,MATCH(32,TUTEUR1,0),1),"-")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IFERROR(INDEX([0]!BASE,MATCH(3,TUTEUR1,0),1),"-")</f>
        <v>-</v>
      </c>
      <c r="D11" s="159">
        <v>0.4375</v>
      </c>
      <c r="E11" s="316" t="str">
        <f>IFERROR(INDEX([0]!BASE,MATCH(13,TUTEUR1,0),1),"-")</f>
        <v>Rebecca DAY_x000D_Becoming Animal</v>
      </c>
      <c r="G11" s="159">
        <v>0.4375</v>
      </c>
      <c r="H11" s="314" t="str">
        <f>IFERROR(INDEX([0]!BASE,MATCH(23,TUTEUR1,0),1),"-")</f>
        <v>-</v>
      </c>
      <c r="J11" s="159">
        <v>0.4375</v>
      </c>
      <c r="K11" s="314" t="str">
        <f>IFERROR(INDEX([0]!BASE,MATCH(33,TUTEUR1,0),1),"-")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IFERROR(INDEX([0]!BASE,MATCH(4,TUTEUR1,0),1),"-")</f>
        <v>-</v>
      </c>
      <c r="D14" s="159">
        <v>0.47916666666666702</v>
      </c>
      <c r="E14" s="314" t="str">
        <f>IFERROR(INDEX([0]!BASE,MATCH(14,TUTEUR1,0),1),"-")</f>
        <v>Louai HAFFAR_x000D_A Man On Fire</v>
      </c>
      <c r="G14" s="159">
        <v>0.47916666666666702</v>
      </c>
      <c r="H14" s="314" t="str">
        <f>IFERROR(INDEX([0]!BASE,MATCH(24,TUTEUR1,0),1),"-")</f>
        <v>-</v>
      </c>
      <c r="J14" s="161">
        <v>0.46875</v>
      </c>
      <c r="K14" s="314" t="str">
        <f>IFERROR(INDEX([0]!BASE,MATCH(34,TUTEUR1,0),1),"-")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IFERROR(INDEX([0]!BASE,MATCH(5,TUTEUR1,0),1),"-")</f>
        <v>-</v>
      </c>
      <c r="D16" s="152">
        <v>0.51041666666666696</v>
      </c>
      <c r="E16" s="314" t="str">
        <f>IFERROR(INDEX([0]!BASE,MATCH(15,TUTEUR1,0),1),"-")</f>
        <v>Johnny HOLMVAG_x000D_Miracle In Moldova</v>
      </c>
      <c r="G16" s="152">
        <v>0.51041666666666696</v>
      </c>
      <c r="H16" s="314" t="str">
        <f>IFERROR(INDEX([0]!BASE,MATCH(25,TUTEUR1,0),1),"-")</f>
        <v>John WALLACE_x000D_All The Numbers</v>
      </c>
      <c r="J16" s="152">
        <v>0.5</v>
      </c>
      <c r="K16" s="314" t="str">
        <f>IFERROR(INDEX([0]!BASE,MATCH(35,TUTEUR1,0),1),"-")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IFERROR(INDEX([0]!BASE,MATCH(6,TUTEUR1,0),1),"-")</f>
        <v>-</v>
      </c>
      <c r="D23" s="159">
        <v>0.61458333333333304</v>
      </c>
      <c r="E23" s="314" t="str">
        <f>IFERROR(INDEX([0]!BASE,MATCH(16,TUTEUR1,0),1),"-")</f>
        <v>Agnes HORVATH-SZABO_x000D_Nine Months War</v>
      </c>
      <c r="G23" s="159">
        <v>0.61458333333333304</v>
      </c>
      <c r="H23" s="314" t="str">
        <f>IFERROR(INDEX([0]!BASE,MATCH(26,TUTEUR1,0),1),"-")</f>
        <v>Christie MOLIA_x000D_The Louvre Is Moving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IFERROR(INDEX([0]!BASE,MATCH(7,TUTEUR1,0),1),"-")</f>
        <v>-</v>
      </c>
      <c r="D25" s="159">
        <v>0.64583333333333304</v>
      </c>
      <c r="E25" s="314" t="str">
        <f>IFERROR(INDEX([0]!BASE,MATCH(17,TUTEUR1,0),1),"-")</f>
        <v>Bojan KANJERA_x000D_The Lost Dream Team</v>
      </c>
      <c r="G25" s="159">
        <v>0.64583333333333304</v>
      </c>
      <c r="H25" s="314" t="str">
        <f>IFERROR(INDEX([0]!BASE,MATCH(27,TUTEUR1,0),1),"-")</f>
        <v>Reinel GARCIA PEREZ_x000D_The Rice Rush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IFERROR(INDEX([0]!BASE,MATCH(8,TUTEUR1,0),1),"-")</f>
        <v>-</v>
      </c>
      <c r="D27" s="159">
        <v>0.67708333333333304</v>
      </c>
      <c r="E27" s="314" t="str">
        <f>IFERROR(INDEX([0]!BASE,MATCH(18,TUTEUR1,0),1),"-")</f>
        <v>Elsa KREMSER_x000D_Stary Dogs</v>
      </c>
      <c r="G27" s="159">
        <v>0.67708333333333304</v>
      </c>
      <c r="H27" s="314" t="str">
        <f>IFERROR(INDEX([0]!BASE,MATCH(28,TUTEUR1,0),1),"-")</f>
        <v>Natalya SARCH_x000D_The Waleed Ahmed Story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IFERROR(INDEX([0]!BASE,MATCH(9,TUTEUR1,0),1),"-")</f>
        <v>-</v>
      </c>
      <c r="D30" s="159">
        <v>0.71875</v>
      </c>
      <c r="E30" s="314" t="str">
        <f>IFERROR(INDEX([0]!BASE,MATCH(19,TUTEUR1,0),1),"-")</f>
        <v>Diana Chiawen LEE _x000D_The Boss</v>
      </c>
      <c r="G30" s="159">
        <v>0.71875</v>
      </c>
      <c r="H30" s="314" t="str">
        <f>IFERROR(INDEX([0]!BASE,MATCH(29,TUTEUR1,0),1),"-")</f>
        <v>Biljana TUTOROV_x000D_Aunts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IFERROR(INDEX([0]!BASE,MATCH(10,TUTEUR1,0),1),"-")</f>
        <v>-</v>
      </c>
      <c r="D32" s="159">
        <v>0.75</v>
      </c>
      <c r="E32" s="314" t="str">
        <f>IFERROR(INDEX([0]!BASE,MATCH(20,TUTEUR1,0),1),"-")</f>
        <v>Michael KROTKIEWSKI_x000D_Hamada</v>
      </c>
      <c r="G32" s="159">
        <v>0.75</v>
      </c>
      <c r="H32" s="314" t="str">
        <f>IFERROR(INDEX([0]!BASE,MATCH(30,TUTEUR1,0),1),"-")</f>
        <v>Malgorzata WABINSKA_x000D_Diagnosis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44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K39"/>
  <sheetViews>
    <sheetView workbookViewId="0">
      <selection activeCell="H14" sqref="H14:H15"/>
    </sheetView>
  </sheetViews>
  <sheetFormatPr baseColWidth="10" defaultRowHeight="17" x14ac:dyDescent="0"/>
  <cols>
    <col min="1" max="1" width="8.7109375" style="184" customWidth="1"/>
    <col min="2" max="2" width="50" style="185" customWidth="1"/>
    <col min="3" max="3" width="2.42578125" style="185" customWidth="1"/>
    <col min="4" max="4" width="8.7109375" style="184" customWidth="1"/>
    <col min="5" max="5" width="50" style="185" customWidth="1"/>
    <col min="6" max="6" width="3.5703125" style="185" customWidth="1"/>
    <col min="7" max="7" width="8.7109375" style="184" customWidth="1"/>
    <col min="8" max="8" width="50" style="185" customWidth="1"/>
    <col min="9" max="9" width="3.5703125" style="185" customWidth="1"/>
    <col min="10" max="10" width="8.42578125" style="185" customWidth="1"/>
    <col min="11" max="11" width="49.7109375" style="185" customWidth="1"/>
    <col min="12" max="12" width="2.7109375" style="185" customWidth="1"/>
    <col min="13" max="16384" width="10.7109375" style="185"/>
  </cols>
  <sheetData>
    <row r="1" spans="1:11" s="154" customFormat="1" ht="36" customHeight="1">
      <c r="A1" s="152"/>
      <c r="B1" s="153"/>
      <c r="D1" s="152"/>
      <c r="E1" s="153"/>
      <c r="G1" s="152"/>
      <c r="H1" s="153"/>
      <c r="J1" s="152"/>
      <c r="K1" s="153"/>
    </row>
    <row r="2" spans="1:11" s="154" customFormat="1" ht="22" customHeight="1">
      <c r="A2" s="152"/>
      <c r="D2" s="152"/>
      <c r="G2" s="152"/>
      <c r="J2" s="152"/>
    </row>
    <row r="3" spans="1:11" s="154" customFormat="1" ht="24.75" customHeight="1" thickBot="1">
      <c r="A3" s="152"/>
      <c r="B3" s="155" t="s">
        <v>25</v>
      </c>
      <c r="D3" s="152"/>
      <c r="E3" s="155" t="s">
        <v>25</v>
      </c>
      <c r="G3" s="152"/>
      <c r="H3" s="155" t="s">
        <v>25</v>
      </c>
      <c r="J3" s="152"/>
      <c r="K3" s="155" t="s">
        <v>25</v>
      </c>
    </row>
    <row r="4" spans="1:11" s="154" customFormat="1" ht="13" customHeight="1" thickTop="1">
      <c r="A4" s="152"/>
      <c r="B4" s="156"/>
      <c r="D4" s="152"/>
      <c r="E4" s="156"/>
      <c r="G4" s="152"/>
      <c r="H4" s="156"/>
      <c r="J4" s="152"/>
      <c r="K4" s="156"/>
    </row>
    <row r="5" spans="1:11" s="154" customFormat="1" ht="24.75" customHeight="1">
      <c r="B5" s="157" t="s">
        <v>72</v>
      </c>
      <c r="D5" s="152"/>
      <c r="E5" s="157" t="s">
        <v>73</v>
      </c>
      <c r="G5" s="152"/>
      <c r="H5" s="157" t="s">
        <v>74</v>
      </c>
      <c r="J5" s="152"/>
      <c r="K5" s="157" t="s">
        <v>75</v>
      </c>
    </row>
    <row r="6" spans="1:11" s="154" customFormat="1" ht="13" customHeight="1">
      <c r="A6" s="152"/>
      <c r="B6" s="158"/>
      <c r="D6" s="152"/>
      <c r="E6" s="158"/>
      <c r="G6" s="152"/>
      <c r="H6" s="158"/>
      <c r="J6" s="152"/>
      <c r="K6" s="158"/>
    </row>
    <row r="7" spans="1:11" s="154" customFormat="1" ht="24.75" customHeight="1">
      <c r="A7" s="152">
        <v>0.375</v>
      </c>
      <c r="B7" s="314" t="str">
        <f>IFERROR(INDEX([0]!BASE,MATCH(1,TUTEUR2,0),1),"-")</f>
        <v>-</v>
      </c>
      <c r="D7" s="152">
        <v>0.375</v>
      </c>
      <c r="E7" s="316" t="str">
        <f>IFERROR(INDEX([0]!BASE,MATCH(11,TUTEUR2,0),1),"-")</f>
        <v>Britta RINDELAUB_x000D_Our American Cousins</v>
      </c>
      <c r="G7" s="152">
        <v>0.375</v>
      </c>
      <c r="H7" s="314" t="str">
        <f>IFERROR(INDEX([0]!BASE,MATCH(21,TUTEUR2,0),1),"-")</f>
        <v>Laura ROMANO_x000D_AK Stories</v>
      </c>
      <c r="J7" s="152">
        <v>0.375</v>
      </c>
      <c r="K7" s="314" t="str">
        <f>IFERROR(INDEX([0]!BASE,MATCH(31,TUTEUR2,0),1),"-")</f>
        <v>-</v>
      </c>
    </row>
    <row r="8" spans="1:11" s="154" customFormat="1" ht="24.75" customHeight="1">
      <c r="A8" s="152"/>
      <c r="B8" s="315" t="str">
        <f>IFERROR(INDEX([0]!BASE,MATCH(11,NEGRIN,0),1),"-")</f>
        <v>-</v>
      </c>
      <c r="D8" s="152"/>
      <c r="E8" s="317" t="str">
        <f>IFERROR(INDEX([0]!BASE,MATCH(11,NEGRIN,0),1),"-")</f>
        <v>-</v>
      </c>
      <c r="G8" s="152"/>
      <c r="H8" s="315" t="str">
        <f>IFERROR(INDEX([0]!BASE,MATCH(11,NEGRIN,0),1),"-")</f>
        <v>-</v>
      </c>
      <c r="J8" s="152"/>
      <c r="K8" s="315" t="str">
        <f>IFERROR(INDEX([0]!BASE,MATCH(11,NEGRIN,0),1),"-")</f>
        <v>-</v>
      </c>
    </row>
    <row r="9" spans="1:11" s="154" customFormat="1" ht="24.75" customHeight="1">
      <c r="A9" s="152">
        <v>0.40625</v>
      </c>
      <c r="B9" s="314" t="str">
        <f>IFERROR(INDEX([0]!BASE,MATCH(2,TUTEUR2,0),1),"-")</f>
        <v>-</v>
      </c>
      <c r="D9" s="152">
        <v>0.40625</v>
      </c>
      <c r="E9" s="316" t="str">
        <f>IFERROR(INDEX([0]!BASE,MATCH(12,TUTEUR2,0),1),"-")</f>
        <v>Lara ABOU SAIFAN_x000D_The Great Family</v>
      </c>
      <c r="G9" s="152">
        <v>0.40625</v>
      </c>
      <c r="H9" s="314" t="str">
        <f>IFERROR(INDEX([0]!BASE,MATCH(22,TUTEUR2,0),1),"-")</f>
        <v>Svetlana STRELNIKOVA_x000D_People, Gods &amp; Other Creatures</v>
      </c>
      <c r="J9" s="152">
        <v>0.40625</v>
      </c>
      <c r="K9" s="314" t="str">
        <f>IFERROR(INDEX([0]!BASE,MATCH(32,TUTEUR2,0),1),"-")</f>
        <v>-</v>
      </c>
    </row>
    <row r="10" spans="1:11" s="154" customFormat="1" ht="24.75" customHeight="1">
      <c r="A10" s="152"/>
      <c r="B10" s="315" t="str">
        <f>IFERROR(INDEX([0]!BASE,MATCH(11,NEGRIN,0),1),"-")</f>
        <v>-</v>
      </c>
      <c r="D10" s="152"/>
      <c r="E10" s="317" t="str">
        <f>IFERROR(INDEX([0]!BASE,MATCH(11,NEGRIN,0),1),"-")</f>
        <v>-</v>
      </c>
      <c r="G10" s="152"/>
      <c r="H10" s="315" t="str">
        <f>IFERROR(INDEX([0]!BASE,MATCH(11,NEGRIN,0),1),"-")</f>
        <v>-</v>
      </c>
      <c r="J10" s="152"/>
      <c r="K10" s="315" t="str">
        <f>IFERROR(INDEX([0]!BASE,MATCH(11,NEGRIN,0),1),"-")</f>
        <v>-</v>
      </c>
    </row>
    <row r="11" spans="1:11" s="154" customFormat="1" ht="24.75" customHeight="1">
      <c r="A11" s="159">
        <v>0.4375</v>
      </c>
      <c r="B11" s="314" t="str">
        <f>IFERROR(INDEX([0]!BASE,MATCH(3,TUTEUR2,0),1),"-")</f>
        <v>-</v>
      </c>
      <c r="D11" s="159">
        <v>0.4375</v>
      </c>
      <c r="E11" s="316" t="str">
        <f>IFERROR(INDEX([0]!BASE,MATCH(13,TUTEUR2,0),1),"-")</f>
        <v>Lorenzo CIOFFI_x000D_Life Of Marzouk</v>
      </c>
      <c r="G11" s="159">
        <v>0.4375</v>
      </c>
      <c r="H11" s="314" t="str">
        <f>IFERROR(INDEX([0]!BASE,MATCH(23,TUTEUR2,0),1),"-")</f>
        <v>Santi VALLDEPEREZ_x000D_The Fisherman's Shadow</v>
      </c>
      <c r="J11" s="159">
        <v>0.4375</v>
      </c>
      <c r="K11" s="314" t="str">
        <f>IFERROR(INDEX([0]!BASE,MATCH(33,TUTEUR2,0),1),"-")</f>
        <v>-</v>
      </c>
    </row>
    <row r="12" spans="1:11" s="154" customFormat="1" ht="24.75" customHeight="1">
      <c r="A12" s="160"/>
      <c r="B12" s="315" t="str">
        <f>IFERROR(INDEX([0]!BASE,MATCH(11,NEGRIN,0),1),"-")</f>
        <v>-</v>
      </c>
      <c r="D12" s="160"/>
      <c r="E12" s="317" t="str">
        <f>IFERROR(INDEX([0]!BASE,MATCH(11,NEGRIN,0),1),"-")</f>
        <v>-</v>
      </c>
      <c r="G12" s="160"/>
      <c r="H12" s="315" t="str">
        <f>IFERROR(INDEX([0]!BASE,MATCH(11,NEGRIN,0),1),"-")</f>
        <v>-</v>
      </c>
      <c r="J12" s="160"/>
      <c r="K12" s="315" t="str">
        <f>IFERROR(INDEX([0]!BASE,MATCH(11,NEGRIN,0),1),"-")</f>
        <v>-</v>
      </c>
    </row>
    <row r="13" spans="1:11" s="154" customFormat="1" ht="24.75" customHeight="1">
      <c r="A13" s="161">
        <v>0.46875</v>
      </c>
      <c r="B13" s="162" t="s">
        <v>8</v>
      </c>
      <c r="D13" s="161">
        <v>0.46875</v>
      </c>
      <c r="E13" s="162" t="s">
        <v>8</v>
      </c>
      <c r="G13" s="161">
        <v>0.46875</v>
      </c>
      <c r="H13" s="162" t="s">
        <v>8</v>
      </c>
      <c r="K13" s="162" t="s">
        <v>8</v>
      </c>
    </row>
    <row r="14" spans="1:11" s="154" customFormat="1" ht="24.75" customHeight="1">
      <c r="A14" s="159">
        <v>0.47916666666666702</v>
      </c>
      <c r="B14" s="314" t="str">
        <f>IFERROR(INDEX([0]!BASE,MATCH(4,TUTEUR2,0),1),"-")</f>
        <v>-</v>
      </c>
      <c r="D14" s="159">
        <v>0.47916666666666702</v>
      </c>
      <c r="E14" s="314" t="str">
        <f>IFERROR(INDEX([0]!BASE,MATCH(14,TUTEUR2,0),1),"-")</f>
        <v>Isabelle COUTURE_x000D_Finding Sally</v>
      </c>
      <c r="G14" s="159">
        <v>0.47916666666666702</v>
      </c>
      <c r="H14" s="314" t="str">
        <f>IFERROR(INDEX([0]!BASE,MATCH(24,TUTEUR2,0),1),"-")</f>
        <v>David HURST_x000D_Degenerando Argentina</v>
      </c>
      <c r="J14" s="161">
        <v>0.46875</v>
      </c>
      <c r="K14" s="314" t="str">
        <f>IFERROR(INDEX([0]!BASE,MATCH(34,TUTEUR2,0),1),"-")</f>
        <v>-</v>
      </c>
    </row>
    <row r="15" spans="1:11" s="154" customFormat="1" ht="24.75" customHeight="1">
      <c r="A15" s="152"/>
      <c r="B15" s="315" t="str">
        <f>IFERROR(INDEX([0]!BASE,MATCH(11,NEGRIN,0),1),"-")</f>
        <v>-</v>
      </c>
      <c r="D15" s="152"/>
      <c r="E15" s="315" t="str">
        <f>IFERROR(INDEX([0]!BASE,MATCH(11,NEGRIN,0),1),"-")</f>
        <v>-</v>
      </c>
      <c r="G15" s="152"/>
      <c r="H15" s="315" t="str">
        <f>IFERROR(INDEX([0]!BASE,MATCH(11,NEGRIN,0),1),"-")</f>
        <v>-</v>
      </c>
      <c r="J15" s="152"/>
      <c r="K15" s="315" t="str">
        <f>IFERROR(INDEX([0]!BASE,MATCH(11,NEGRIN,0),1),"-")</f>
        <v>-</v>
      </c>
    </row>
    <row r="16" spans="1:11" s="154" customFormat="1" ht="24.75" customHeight="1">
      <c r="A16" s="152">
        <v>0.51041666666666696</v>
      </c>
      <c r="B16" s="314" t="str">
        <f>IFERROR(INDEX([0]!BASE,MATCH(5,TUTEUR2,0),1),"-")</f>
        <v>-</v>
      </c>
      <c r="D16" s="152">
        <v>0.51041666666666696</v>
      </c>
      <c r="E16" s="314" t="str">
        <f>IFERROR(INDEX([0]!BASE,MATCH(15,TUTEUR2,0),1),"-")</f>
        <v>Suzy GILLETT_x000D_This Is Not Cricket</v>
      </c>
      <c r="G16" s="152">
        <v>0.51041666666666696</v>
      </c>
      <c r="H16" s="314" t="str">
        <f>IFERROR(INDEX([0]!BASE,MATCH(25,TUTEUR2,0),1),"-")</f>
        <v>-</v>
      </c>
      <c r="J16" s="152">
        <v>0.5</v>
      </c>
      <c r="K16" s="314" t="str">
        <f>IFERROR(INDEX([0]!BASE,MATCH(35,TUTEUR2,0),1),"-")</f>
        <v>-</v>
      </c>
    </row>
    <row r="17" spans="1:11" s="154" customFormat="1" ht="24.75" customHeight="1">
      <c r="A17" s="152"/>
      <c r="B17" s="315" t="str">
        <f>IFERROR(INDEX([0]!BASE,MATCH(11,NEGRIN,0),1),"-")</f>
        <v>-</v>
      </c>
      <c r="D17" s="152"/>
      <c r="E17" s="315" t="str">
        <f>IFERROR(INDEX([0]!BASE,MATCH(11,NEGRIN,0),1),"-")</f>
        <v>-</v>
      </c>
      <c r="G17" s="152"/>
      <c r="H17" s="315" t="str">
        <f>IFERROR(INDEX([0]!BASE,MATCH(11,NEGRIN,0),1),"-")</f>
        <v>-</v>
      </c>
      <c r="J17" s="152"/>
      <c r="K17" s="315" t="str">
        <f>IFERROR(INDEX([0]!BASE,MATCH(11,NEGRIN,0),1),"-")</f>
        <v>-</v>
      </c>
    </row>
    <row r="18" spans="1:11" s="167" customFormat="1" ht="24.75" customHeight="1">
      <c r="A18" s="152">
        <v>0.54166666666666663</v>
      </c>
      <c r="B18" s="163"/>
      <c r="C18" s="164"/>
      <c r="D18" s="152">
        <v>0.54166666666666663</v>
      </c>
      <c r="E18" s="163"/>
      <c r="F18" s="164"/>
      <c r="G18" s="164">
        <v>0.54166666666666663</v>
      </c>
      <c r="H18" s="165" t="s">
        <v>136</v>
      </c>
      <c r="I18" s="164"/>
      <c r="J18" s="164">
        <v>0.53125</v>
      </c>
      <c r="K18" s="166" t="s">
        <v>136</v>
      </c>
    </row>
    <row r="19" spans="1:11" s="154" customFormat="1" ht="45" customHeight="1" thickBot="1">
      <c r="A19" s="158"/>
      <c r="B19" s="163"/>
      <c r="D19" s="152"/>
      <c r="E19" s="163"/>
      <c r="G19" s="152"/>
      <c r="H19" s="146" t="s">
        <v>149</v>
      </c>
      <c r="J19" s="152"/>
      <c r="K19" s="124" t="s">
        <v>151</v>
      </c>
    </row>
    <row r="20" spans="1:11" s="154" customFormat="1" ht="7.5" customHeight="1" thickTop="1">
      <c r="A20" s="152"/>
      <c r="B20" s="163"/>
      <c r="D20" s="152"/>
      <c r="E20" s="163"/>
      <c r="G20" s="152"/>
      <c r="H20" s="163"/>
      <c r="J20" s="152"/>
      <c r="K20" s="158"/>
    </row>
    <row r="21" spans="1:11" s="154" customFormat="1" ht="24.75" customHeight="1">
      <c r="A21" s="168">
        <v>0.5625</v>
      </c>
      <c r="B21" s="169" t="s">
        <v>5</v>
      </c>
      <c r="D21" s="168">
        <v>0.5625</v>
      </c>
      <c r="E21" s="169" t="s">
        <v>5</v>
      </c>
      <c r="G21" s="168">
        <v>0.5625</v>
      </c>
      <c r="H21" s="169" t="s">
        <v>5</v>
      </c>
      <c r="J21" s="168">
        <v>0.5625</v>
      </c>
      <c r="K21" s="170" t="s">
        <v>5</v>
      </c>
    </row>
    <row r="22" spans="1:11" s="154" customFormat="1" ht="10.5" customHeight="1">
      <c r="A22" s="152"/>
      <c r="B22" s="163"/>
      <c r="D22" s="152"/>
      <c r="E22" s="163"/>
      <c r="G22" s="152"/>
      <c r="H22" s="163"/>
      <c r="J22" s="152"/>
      <c r="K22" s="158"/>
    </row>
    <row r="23" spans="1:11" s="154" customFormat="1" ht="24.75" customHeight="1">
      <c r="A23" s="159">
        <v>0.60416666666666663</v>
      </c>
      <c r="B23" s="314" t="str">
        <f>IFERROR(INDEX([0]!BASE,MATCH(6,TUTEUR2,0),1),"-")</f>
        <v>-</v>
      </c>
      <c r="D23" s="159">
        <v>0.61458333333333304</v>
      </c>
      <c r="E23" s="314" t="str">
        <f>IFERROR(INDEX([0]!BASE,MATCH(16,TUTEUR2,0),1),"-")</f>
        <v>Ivan ERHEL_x000D_Baghdad 3D</v>
      </c>
      <c r="G23" s="159">
        <v>0.61458333333333304</v>
      </c>
      <c r="H23" s="314" t="str">
        <f>IFERROR(INDEX([0]!BASE,MATCH(26,TUTEUR2,0),1),"-")</f>
        <v>-</v>
      </c>
      <c r="J23" s="159">
        <v>0.60416666666666663</v>
      </c>
      <c r="K23" s="171" t="s">
        <v>11</v>
      </c>
    </row>
    <row r="24" spans="1:11" s="154" customFormat="1" ht="24.75" customHeight="1">
      <c r="A24" s="152"/>
      <c r="B24" s="315" t="str">
        <f>IFERROR(INDEX([0]!BASE,MATCH(11,NEGRIN,0),1),"-")</f>
        <v>-</v>
      </c>
      <c r="D24" s="152"/>
      <c r="E24" s="315" t="str">
        <f>IFERROR(INDEX([0]!BASE,MATCH(11,NEGRIN,0),1),"-")</f>
        <v>-</v>
      </c>
      <c r="G24" s="152"/>
      <c r="H24" s="315" t="str">
        <f>IFERROR(INDEX([0]!BASE,MATCH(11,NEGRIN,0),1),"-")</f>
        <v>-</v>
      </c>
      <c r="J24" s="152"/>
      <c r="K24" s="172" t="s">
        <v>137</v>
      </c>
    </row>
    <row r="25" spans="1:11" s="154" customFormat="1" ht="24.75" customHeight="1">
      <c r="A25" s="159">
        <v>0.63541666666666663</v>
      </c>
      <c r="B25" s="314" t="str">
        <f>IFERROR(INDEX([0]!BASE,MATCH(7,TUTEUR2,0),1),"-")</f>
        <v>-</v>
      </c>
      <c r="D25" s="159">
        <v>0.64583333333333304</v>
      </c>
      <c r="E25" s="314" t="str">
        <f>IFERROR(INDEX([0]!BASE,MATCH(17,TUTEUR2,0),1),"-")</f>
        <v>Anne Laure GUÉGAN_x000D_Family Portrait</v>
      </c>
      <c r="G25" s="159">
        <v>0.64583333333333304</v>
      </c>
      <c r="H25" s="314" t="str">
        <f>IFERROR(INDEX([0]!BASE,MATCH(27,TUTEUR2,0),1),"-")</f>
        <v>-</v>
      </c>
      <c r="J25" s="173"/>
      <c r="K25" s="174" t="s">
        <v>138</v>
      </c>
    </row>
    <row r="26" spans="1:11" s="154" customFormat="1" ht="24.75" customHeight="1">
      <c r="A26" s="159"/>
      <c r="B26" s="315" t="str">
        <f>IFERROR(INDEX([0]!BASE,MATCH(11,NEGRIN,0),1),"-")</f>
        <v>-</v>
      </c>
      <c r="D26" s="159"/>
      <c r="E26" s="315" t="str">
        <f>IFERROR(INDEX([0]!BASE,MATCH(11,NEGRIN,0),1),"-")</f>
        <v>-</v>
      </c>
      <c r="G26" s="159"/>
      <c r="H26" s="315" t="str">
        <f>IFERROR(INDEX([0]!BASE,MATCH(11,NEGRIN,0),1),"-")</f>
        <v>-</v>
      </c>
      <c r="J26" s="173"/>
      <c r="K26" s="175" t="s">
        <v>139</v>
      </c>
    </row>
    <row r="27" spans="1:11" s="154" customFormat="1" ht="24.75" customHeight="1">
      <c r="A27" s="159">
        <v>0.66666666666666663</v>
      </c>
      <c r="B27" s="314" t="str">
        <f>IFERROR(INDEX([0]!BASE,MATCH(8,TUTEUR2,0),1),"-")</f>
        <v>-</v>
      </c>
      <c r="D27" s="159">
        <v>0.67708333333333304</v>
      </c>
      <c r="E27" s="314" t="str">
        <f>IFERROR(INDEX([0]!BASE,MATCH(18,TUTEUR2,0),1),"-")</f>
        <v>Quentin LAURENT_x000D_The Choice of Jean</v>
      </c>
      <c r="G27" s="159">
        <v>0.67708333333333304</v>
      </c>
      <c r="H27" s="314" t="str">
        <f>IFERROR(INDEX([0]!BASE,MATCH(28,TUTEUR2,0),1),"-")</f>
        <v>-</v>
      </c>
      <c r="J27" s="173"/>
      <c r="K27" s="174" t="s">
        <v>140</v>
      </c>
    </row>
    <row r="28" spans="1:11" s="154" customFormat="1" ht="24.75" customHeight="1">
      <c r="A28" s="152"/>
      <c r="B28" s="315" t="str">
        <f>IFERROR(INDEX([0]!BASE,MATCH(11,NEGRIN,0),1),"-")</f>
        <v>-</v>
      </c>
      <c r="D28" s="152"/>
      <c r="E28" s="315" t="str">
        <f>IFERROR(INDEX([0]!BASE,MATCH(11,NEGRIN,0),1),"-")</f>
        <v>-</v>
      </c>
      <c r="G28" s="152"/>
      <c r="H28" s="315" t="str">
        <f>IFERROR(INDEX([0]!BASE,MATCH(11,NEGRIN,0),1),"-")</f>
        <v>-</v>
      </c>
      <c r="J28" s="152"/>
      <c r="K28" s="176" t="s">
        <v>141</v>
      </c>
    </row>
    <row r="29" spans="1:11" s="154" customFormat="1" ht="24.75" customHeight="1">
      <c r="A29" s="168">
        <v>0.69791666666666663</v>
      </c>
      <c r="B29" s="177" t="s">
        <v>8</v>
      </c>
      <c r="D29" s="168">
        <v>0.70833333333333304</v>
      </c>
      <c r="E29" s="177" t="s">
        <v>8</v>
      </c>
      <c r="G29" s="168">
        <v>0.70833333333333304</v>
      </c>
      <c r="H29" s="177" t="s">
        <v>8</v>
      </c>
      <c r="J29" s="168">
        <v>0.70833333333333304</v>
      </c>
      <c r="K29" s="178" t="s">
        <v>9</v>
      </c>
    </row>
    <row r="30" spans="1:11" s="154" customFormat="1" ht="24.75" customHeight="1">
      <c r="A30" s="159">
        <v>0.70833333333333337</v>
      </c>
      <c r="B30" s="314" t="str">
        <f>IFERROR(INDEX([0]!BASE,MATCH(9,TUTEUR2,0),1),"-")</f>
        <v>-</v>
      </c>
      <c r="D30" s="159">
        <v>0.71875</v>
      </c>
      <c r="E30" s="314" t="str">
        <f>IFERROR(INDEX([0]!BASE,MATCH(19,TUTEUR2,0),1),"-")</f>
        <v>Margarida GRAMAXO_x000D_Principe</v>
      </c>
      <c r="G30" s="159">
        <v>0.71875</v>
      </c>
      <c r="H30" s="314" t="str">
        <f>IFERROR(INDEX([0]!BASE,MATCH(29,TUTEUR2,0),1),"-")</f>
        <v>-</v>
      </c>
      <c r="J30" s="173"/>
      <c r="K30" s="179" t="s">
        <v>13</v>
      </c>
    </row>
    <row r="31" spans="1:11" s="154" customFormat="1" ht="24.75" customHeight="1">
      <c r="A31" s="159"/>
      <c r="B31" s="315" t="str">
        <f>IFERROR(INDEX([0]!BASE,MATCH(11,NEGRIN,0),1),"-")</f>
        <v>-</v>
      </c>
      <c r="D31" s="159"/>
      <c r="E31" s="315" t="str">
        <f>IFERROR(INDEX([0]!BASE,MATCH(11,NEGRIN,0),1),"-")</f>
        <v>-</v>
      </c>
      <c r="G31" s="159"/>
      <c r="H31" s="315" t="str">
        <f>IFERROR(INDEX([0]!BASE,MATCH(11,NEGRIN,0),1),"-")</f>
        <v>-</v>
      </c>
      <c r="J31" s="173"/>
      <c r="K31" s="180" t="s">
        <v>142</v>
      </c>
    </row>
    <row r="32" spans="1:11" s="154" customFormat="1" ht="24.75" customHeight="1">
      <c r="A32" s="159">
        <v>0.73958333333333337</v>
      </c>
      <c r="B32" s="314" t="str">
        <f>IFERROR(INDEX([0]!BASE,MATCH(10,TUTEUR2,0),1),"-")</f>
        <v>-</v>
      </c>
      <c r="D32" s="159">
        <v>0.75</v>
      </c>
      <c r="E32" s="314" t="str">
        <f>IFERROR(INDEX([0]!BASE,MATCH(20,TUTEUR2,0),1),"-")</f>
        <v>-</v>
      </c>
      <c r="G32" s="159">
        <v>0.75</v>
      </c>
      <c r="H32" s="314" t="str">
        <f>IFERROR(INDEX([0]!BASE,MATCH(30,TUTEUR2,0),1),"-")</f>
        <v>-</v>
      </c>
      <c r="J32" s="173"/>
      <c r="K32" s="175" t="s">
        <v>143</v>
      </c>
    </row>
    <row r="33" spans="1:11" s="154" customFormat="1" ht="24.75" customHeight="1">
      <c r="A33" s="152"/>
      <c r="B33" s="315" t="str">
        <f>IFERROR(INDEX([0]!BASE,MATCH(11,NEGRIN,0),1),"-")</f>
        <v>-</v>
      </c>
      <c r="D33" s="152"/>
      <c r="E33" s="315" t="str">
        <f>IFERROR(INDEX([0]!BASE,MATCH(11,NEGRIN,0),1),"-")</f>
        <v>-</v>
      </c>
      <c r="G33" s="152"/>
      <c r="H33" s="315" t="str">
        <f>IFERROR(INDEX([0]!BASE,MATCH(11,NEGRIN,0),1),"-")</f>
        <v>-</v>
      </c>
      <c r="J33" s="152"/>
      <c r="K33" s="174" t="s">
        <v>144</v>
      </c>
    </row>
    <row r="34" spans="1:11" s="154" customFormat="1" ht="24.75" customHeight="1">
      <c r="A34" s="164">
        <v>0.77083333333333337</v>
      </c>
      <c r="B34" s="166" t="s">
        <v>134</v>
      </c>
      <c r="D34" s="164">
        <v>0.78125</v>
      </c>
      <c r="E34" s="166" t="s">
        <v>136</v>
      </c>
      <c r="G34" s="164">
        <v>0.78125</v>
      </c>
      <c r="H34" s="166" t="s">
        <v>136</v>
      </c>
      <c r="K34" s="181"/>
    </row>
    <row r="35" spans="1:11" s="167" customFormat="1" ht="69" customHeight="1">
      <c r="A35" s="182"/>
      <c r="B35" s="138" t="s">
        <v>135</v>
      </c>
      <c r="D35" s="182"/>
      <c r="E35" s="139" t="s">
        <v>148</v>
      </c>
      <c r="G35" s="182"/>
      <c r="H35" s="139" t="s">
        <v>150</v>
      </c>
      <c r="J35" s="183"/>
    </row>
    <row r="36" spans="1:11" s="154" customFormat="1" ht="12" customHeight="1">
      <c r="A36" s="152"/>
      <c r="B36" s="157"/>
      <c r="D36" s="152"/>
      <c r="E36" s="157"/>
      <c r="G36" s="152"/>
      <c r="H36" s="157"/>
      <c r="K36" s="157"/>
    </row>
    <row r="37" spans="1:11" s="154" customFormat="1" ht="24.75" customHeight="1">
      <c r="B37" s="157" t="s">
        <v>72</v>
      </c>
      <c r="D37" s="152"/>
      <c r="E37" s="157" t="s">
        <v>73</v>
      </c>
      <c r="G37" s="152"/>
      <c r="H37" s="157" t="s">
        <v>74</v>
      </c>
      <c r="J37" s="152"/>
      <c r="K37" s="157" t="s">
        <v>75</v>
      </c>
    </row>
    <row r="38" spans="1:11" s="154" customFormat="1" ht="17" customHeight="1">
      <c r="A38" s="152"/>
      <c r="B38" s="157"/>
      <c r="D38" s="152"/>
    </row>
    <row r="39" spans="1:11">
      <c r="G39" s="185"/>
    </row>
  </sheetData>
  <mergeCells count="35">
    <mergeCell ref="B7:B8"/>
    <mergeCell ref="E7:E8"/>
    <mergeCell ref="H7:H8"/>
    <mergeCell ref="K7:K8"/>
    <mergeCell ref="B9:B10"/>
    <mergeCell ref="E9:E10"/>
    <mergeCell ref="H9:H10"/>
    <mergeCell ref="K9:K10"/>
    <mergeCell ref="B11:B12"/>
    <mergeCell ref="E11:E12"/>
    <mergeCell ref="H11:H12"/>
    <mergeCell ref="K11:K12"/>
    <mergeCell ref="B14:B15"/>
    <mergeCell ref="E14:E15"/>
    <mergeCell ref="H14:H15"/>
    <mergeCell ref="K14:K15"/>
    <mergeCell ref="B16:B17"/>
    <mergeCell ref="E16:E17"/>
    <mergeCell ref="H16:H17"/>
    <mergeCell ref="K16:K17"/>
    <mergeCell ref="B23:B24"/>
    <mergeCell ref="E23:E24"/>
    <mergeCell ref="H23:H24"/>
    <mergeCell ref="B25:B26"/>
    <mergeCell ref="E25:E26"/>
    <mergeCell ref="H25:H26"/>
    <mergeCell ref="B27:B28"/>
    <mergeCell ref="E27:E28"/>
    <mergeCell ref="H27:H28"/>
    <mergeCell ref="B30:B31"/>
    <mergeCell ref="E30:E31"/>
    <mergeCell ref="H30:H31"/>
    <mergeCell ref="B32:B33"/>
    <mergeCell ref="E32:E33"/>
    <mergeCell ref="H32:H33"/>
  </mergeCells>
  <phoneticPr fontId="5" type="noConversion"/>
  <printOptions horizontalCentered="1" verticalCentered="1"/>
  <pageMargins left="0.28000000000000003" right="0.55000000000000004" top="0.35000000000000003" bottom="0.59" header="0.28000000000000003" footer="0.51"/>
  <pageSetup paperSize="10" scale="87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Notice</vt:lpstr>
      <vt:lpstr>DRAFT OTO</vt:lpstr>
      <vt:lpstr>MASTER</vt:lpstr>
      <vt:lpstr>1 ABDALLA</vt:lpstr>
      <vt:lpstr>2 BARISONE</vt:lpstr>
      <vt:lpstr>3 BELHAJ</vt:lpstr>
      <vt:lpstr>4 BIRGERSSON-DAHLBERG</vt:lpstr>
      <vt:lpstr>5 BONSANTI</vt:lpstr>
      <vt:lpstr>6 CHRISTIAENS</vt:lpstr>
      <vt:lpstr>7 DE KONING</vt:lpstr>
      <vt:lpstr>8 HEPP</vt:lpstr>
      <vt:lpstr>9 HERMANN</vt:lpstr>
      <vt:lpstr>10 KASTELICOVA</vt:lpstr>
      <vt:lpstr>11 KNETIG</vt:lpstr>
      <vt:lpstr>12 LAWSON-BAKER</vt:lpstr>
      <vt:lpstr>13 MANOURY</vt:lpstr>
      <vt:lpstr>14 X</vt:lpstr>
      <vt:lpstr>15 NEGRIN</vt:lpstr>
      <vt:lpstr>16 OHLSEN</vt:lpstr>
      <vt:lpstr>17 PUCHAULT</vt:lpstr>
      <vt:lpstr>18 ROLLBERG</vt:lpstr>
      <vt:lpstr>19 SCHAEFER</vt:lpstr>
      <vt:lpstr>20 THALBERG</vt:lpstr>
      <vt:lpstr>21 VERMEULEN</vt:lpstr>
      <vt:lpstr>22 WESTERGARD</vt:lpstr>
      <vt:lpstr>23 ZWICK</vt:lpstr>
      <vt:lpstr>24 X</vt:lpstr>
      <vt:lpstr>25 X</vt:lpstr>
      <vt:lpstr>26 X</vt:lpstr>
      <vt:lpstr>27 X</vt:lpstr>
      <vt:lpstr>28 X</vt:lpstr>
      <vt:lpstr>29 X</vt:lpstr>
      <vt:lpstr>30 X</vt:lpstr>
      <vt:lpstr>TUTEUR1 MATTHIEU</vt:lpstr>
      <vt:lpstr>TUTEUR2 HEINO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AML EURODOC</dc:creator>
  <cp:lastModifiedBy>Eurodoc</cp:lastModifiedBy>
  <cp:lastPrinted>2016-09-28T16:47:20Z</cp:lastPrinted>
  <dcterms:created xsi:type="dcterms:W3CDTF">2006-08-28T09:05:55Z</dcterms:created>
  <dcterms:modified xsi:type="dcterms:W3CDTF">2016-09-30T15:58:25Z</dcterms:modified>
</cp:coreProperties>
</file>