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526154E6-AE12-456E-8291-F3C4A0025B2B}" xr6:coauthVersionLast="45" xr6:coauthVersionMax="45" xr10:uidLastSave="{00000000-0000-0000-0000-000000000000}"/>
  <bookViews>
    <workbookView xWindow="-120" yWindow="-120" windowWidth="20730" windowHeight="11160" tabRatio="446" firstSheet="1" activeTab="4" xr2:uid="{00000000-000D-0000-FFFF-FFFF00000000}"/>
  </bookViews>
  <sheets>
    <sheet name="BDD_Vin" sheetId="3" r:id="rId1"/>
    <sheet name="Accueil" sheetId="5" r:id="rId2"/>
    <sheet name="Bdd_cave" sheetId="4" r:id="rId3"/>
    <sheet name="cave" sheetId="10" r:id="rId4"/>
    <sheet name="Feuil1" sheetId="11" r:id="rId5"/>
    <sheet name="STAT" sheetId="8" r:id="rId6"/>
  </sheets>
  <definedNames>
    <definedName name="ALSACE">BDD_Vin!$O$2:$O$10</definedName>
    <definedName name="AUTRES">BDD_Vin!$P$2:$P$11</definedName>
    <definedName name="BEAUJOLAIS">BDD_Vin!$I$2:$I$4</definedName>
    <definedName name="BORDEAUX">BDD_Vin!$B$2:$B$49</definedName>
    <definedName name="BOURGOGNE">BDD_Vin!$A$2:$A$200</definedName>
    <definedName name="Classé">Bdd_cave!$E$3:$E$10</definedName>
    <definedName name="CORSE">BDD_Vin!$M$2:$M$7</definedName>
    <definedName name="COTE_DU_RHONE">BDD_Vin!$C$2:$C$60</definedName>
    <definedName name="Couleur">Bdd_cave!$A$3:$A$5</definedName>
    <definedName name="ETRANGER">BDD_Vin!$N$2:$N$7</definedName>
    <definedName name="JURA">BDD_Vin!$H$2:$H$7</definedName>
    <definedName name="LANGUEDOC">BDD_Vin!$P$2:$P$7</definedName>
    <definedName name="LANGUEDOC_ROUSSILLON">BDD_Vin!$D$2:$D$27</definedName>
    <definedName name="ListeRegion">Bdd_cave!$J$4:$J$18</definedName>
    <definedName name="LOIRE">BDD_Vin!$E$2:$E$66</definedName>
    <definedName name="millesime">Bdd_cave!$C$3:$C$28</definedName>
    <definedName name="plageNomvin">#REF!</definedName>
    <definedName name="PROVENCE">BDD_Vin!$F$2:$F$14</definedName>
    <definedName name="quantite">Bdd_cave!$H$3:$H$7</definedName>
    <definedName name="region">BDD_Vin!$A$1:$P$1</definedName>
    <definedName name="Segment_Casier">#N/A</definedName>
    <definedName name="Segment_Couleur">#N/A</definedName>
    <definedName name="Segment_Millesime">#N/A</definedName>
    <definedName name="Segment_Region">#N/A</definedName>
    <definedName name="SUD_OUEST">BDD_Vin!$G$2:$G$30</definedName>
  </definedNames>
  <calcPr calcId="181029"/>
  <pivotCaches>
    <pivotCache cacheId="18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8" l="1"/>
  <c r="F5" i="8"/>
  <c r="F4" i="8"/>
  <c r="F3" i="8"/>
  <c r="C3" i="8"/>
  <c r="T7" i="10"/>
  <c r="T8" i="10"/>
  <c r="U8" i="10" s="1"/>
  <c r="V8" i="10" s="1"/>
  <c r="T9" i="10"/>
  <c r="U9" i="10" s="1"/>
  <c r="V9" i="10" s="1"/>
  <c r="T10" i="10"/>
  <c r="T11" i="10"/>
  <c r="U11" i="10" s="1"/>
  <c r="V11" i="10" s="1"/>
  <c r="T12" i="10"/>
  <c r="U12" i="10" s="1"/>
  <c r="V12" i="10" s="1"/>
  <c r="T13" i="10"/>
  <c r="U13" i="10" s="1"/>
  <c r="V13" i="10" s="1"/>
  <c r="T14" i="10"/>
  <c r="T15" i="10"/>
  <c r="U15" i="10" s="1"/>
  <c r="V15" i="10" s="1"/>
  <c r="T16" i="10"/>
  <c r="U16" i="10" s="1"/>
  <c r="V16" i="10" s="1"/>
  <c r="T17" i="10"/>
  <c r="U17" i="10" s="1"/>
  <c r="V17" i="10" s="1"/>
  <c r="T18" i="10"/>
  <c r="T19" i="10"/>
  <c r="U19" i="10" s="1"/>
  <c r="V19" i="10" s="1"/>
  <c r="T20" i="10"/>
  <c r="U20" i="10" s="1"/>
  <c r="V20" i="10" s="1"/>
  <c r="T21" i="10"/>
  <c r="U21" i="10" s="1"/>
  <c r="V21" i="10" s="1"/>
  <c r="T22" i="10"/>
  <c r="T23" i="10"/>
  <c r="U23" i="10" s="1"/>
  <c r="V23" i="10" s="1"/>
  <c r="T24" i="10"/>
  <c r="U24" i="10" s="1"/>
  <c r="V24" i="10" s="1"/>
  <c r="T25" i="10"/>
  <c r="U25" i="10" s="1"/>
  <c r="V25" i="10" s="1"/>
  <c r="T26" i="10"/>
  <c r="T27" i="10"/>
  <c r="U27" i="10" s="1"/>
  <c r="V27" i="10" s="1"/>
  <c r="T28" i="10"/>
  <c r="U28" i="10" s="1"/>
  <c r="V28" i="10" s="1"/>
  <c r="T29" i="10"/>
  <c r="U29" i="10" s="1"/>
  <c r="V29" i="10" s="1"/>
  <c r="T30" i="10"/>
  <c r="T31" i="10"/>
  <c r="U31" i="10" s="1"/>
  <c r="V31" i="10" s="1"/>
  <c r="T32" i="10"/>
  <c r="U32" i="10" s="1"/>
  <c r="V32" i="10" s="1"/>
  <c r="T33" i="10"/>
  <c r="U33" i="10" s="1"/>
  <c r="V33" i="10" s="1"/>
  <c r="T34" i="10"/>
  <c r="T35" i="10"/>
  <c r="U35" i="10" s="1"/>
  <c r="V35" i="10" s="1"/>
  <c r="T36" i="10"/>
  <c r="U36" i="10" s="1"/>
  <c r="V36" i="10" s="1"/>
  <c r="T37" i="10"/>
  <c r="U37" i="10" s="1"/>
  <c r="V37" i="10" s="1"/>
  <c r="T38" i="10"/>
  <c r="T39" i="10"/>
  <c r="U39" i="10" s="1"/>
  <c r="V39" i="10" s="1"/>
  <c r="T40" i="10"/>
  <c r="U40" i="10" s="1"/>
  <c r="V40" i="10" s="1"/>
  <c r="T41" i="10"/>
  <c r="U41" i="10" s="1"/>
  <c r="V41" i="10" s="1"/>
  <c r="T42" i="10"/>
  <c r="T43" i="10"/>
  <c r="U43" i="10" s="1"/>
  <c r="V43" i="10" s="1"/>
  <c r="T44" i="10"/>
  <c r="U44" i="10" s="1"/>
  <c r="V44" i="10" s="1"/>
  <c r="T45" i="10"/>
  <c r="U45" i="10" s="1"/>
  <c r="V45" i="10" s="1"/>
  <c r="T46" i="10"/>
  <c r="T47" i="10"/>
  <c r="U47" i="10" s="1"/>
  <c r="V47" i="10" s="1"/>
  <c r="T48" i="10"/>
  <c r="U48" i="10" s="1"/>
  <c r="V48" i="10" s="1"/>
  <c r="T49" i="10"/>
  <c r="U49" i="10" s="1"/>
  <c r="V49" i="10" s="1"/>
  <c r="T50" i="10"/>
  <c r="T51" i="10"/>
  <c r="U51" i="10" s="1"/>
  <c r="V51" i="10" s="1"/>
  <c r="T52" i="10"/>
  <c r="U52" i="10" s="1"/>
  <c r="V52" i="10" s="1"/>
  <c r="T53" i="10"/>
  <c r="U53" i="10" s="1"/>
  <c r="V53" i="10" s="1"/>
  <c r="T54" i="10"/>
  <c r="T55" i="10"/>
  <c r="U55" i="10" s="1"/>
  <c r="V55" i="10" s="1"/>
  <c r="T56" i="10"/>
  <c r="U56" i="10" s="1"/>
  <c r="V56" i="10" s="1"/>
  <c r="T57" i="10"/>
  <c r="U57" i="10" s="1"/>
  <c r="V57" i="10" s="1"/>
  <c r="T58" i="10"/>
  <c r="T59" i="10"/>
  <c r="U59" i="10" s="1"/>
  <c r="V59" i="10" s="1"/>
  <c r="T60" i="10"/>
  <c r="U60" i="10" s="1"/>
  <c r="V60" i="10" s="1"/>
  <c r="T61" i="10"/>
  <c r="U61" i="10" s="1"/>
  <c r="V61" i="10" s="1"/>
  <c r="T62" i="10"/>
  <c r="T63" i="10"/>
  <c r="U63" i="10" s="1"/>
  <c r="V63" i="10" s="1"/>
  <c r="T64" i="10"/>
  <c r="U64" i="10" s="1"/>
  <c r="V64" i="10" s="1"/>
  <c r="T65" i="10"/>
  <c r="U65" i="10" s="1"/>
  <c r="V65" i="10" s="1"/>
  <c r="T66" i="10"/>
  <c r="T67" i="10"/>
  <c r="U67" i="10" s="1"/>
  <c r="V67" i="10" s="1"/>
  <c r="T68" i="10"/>
  <c r="U68" i="10" s="1"/>
  <c r="V68" i="10" s="1"/>
  <c r="T69" i="10"/>
  <c r="U69" i="10" s="1"/>
  <c r="V69" i="10" s="1"/>
  <c r="T70" i="10"/>
  <c r="T71" i="10"/>
  <c r="U71" i="10" s="1"/>
  <c r="V71" i="10" s="1"/>
  <c r="T72" i="10"/>
  <c r="U72" i="10" s="1"/>
  <c r="V72" i="10" s="1"/>
  <c r="T73" i="10"/>
  <c r="U73" i="10" s="1"/>
  <c r="V73" i="10" s="1"/>
  <c r="T74" i="10"/>
  <c r="T75" i="10"/>
  <c r="U75" i="10" s="1"/>
  <c r="V75" i="10" s="1"/>
  <c r="T76" i="10"/>
  <c r="U76" i="10" s="1"/>
  <c r="V76" i="10" s="1"/>
  <c r="T77" i="10"/>
  <c r="U77" i="10" s="1"/>
  <c r="V77" i="10" s="1"/>
  <c r="T78" i="10"/>
  <c r="T79" i="10"/>
  <c r="U79" i="10" s="1"/>
  <c r="V79" i="10" s="1"/>
  <c r="T80" i="10"/>
  <c r="U80" i="10" s="1"/>
  <c r="V80" i="10" s="1"/>
  <c r="T81" i="10"/>
  <c r="U81" i="10" s="1"/>
  <c r="V81" i="10" s="1"/>
  <c r="T82" i="10"/>
  <c r="T83" i="10"/>
  <c r="U83" i="10" s="1"/>
  <c r="V83" i="10" s="1"/>
  <c r="T84" i="10"/>
  <c r="U84" i="10" s="1"/>
  <c r="V84" i="10" s="1"/>
  <c r="T85" i="10"/>
  <c r="U85" i="10" s="1"/>
  <c r="V85" i="10" s="1"/>
  <c r="T86" i="10"/>
  <c r="T87" i="10"/>
  <c r="U87" i="10" s="1"/>
  <c r="V87" i="10" s="1"/>
  <c r="T88" i="10"/>
  <c r="U88" i="10" s="1"/>
  <c r="V88" i="10" s="1"/>
  <c r="T89" i="10"/>
  <c r="U89" i="10" s="1"/>
  <c r="V89" i="10" s="1"/>
  <c r="T90" i="10"/>
  <c r="T91" i="10"/>
  <c r="U91" i="10" s="1"/>
  <c r="V91" i="10" s="1"/>
  <c r="T92" i="10"/>
  <c r="U92" i="10" s="1"/>
  <c r="V92" i="10" s="1"/>
  <c r="T93" i="10"/>
  <c r="U93" i="10" s="1"/>
  <c r="V93" i="10" s="1"/>
  <c r="T94" i="10"/>
  <c r="T95" i="10"/>
  <c r="U95" i="10" s="1"/>
  <c r="V95" i="10" s="1"/>
  <c r="T96" i="10"/>
  <c r="U96" i="10" s="1"/>
  <c r="V96" i="10" s="1"/>
  <c r="T97" i="10"/>
  <c r="U97" i="10" s="1"/>
  <c r="V97" i="10" s="1"/>
  <c r="T98" i="10"/>
  <c r="T99" i="10"/>
  <c r="U99" i="10" s="1"/>
  <c r="V99" i="10" s="1"/>
  <c r="T100" i="10"/>
  <c r="U100" i="10" s="1"/>
  <c r="V100" i="10" s="1"/>
  <c r="T101" i="10"/>
  <c r="U101" i="10" s="1"/>
  <c r="V101" i="10" s="1"/>
  <c r="T102" i="10"/>
  <c r="T103" i="10"/>
  <c r="U103" i="10" s="1"/>
  <c r="V103" i="10" s="1"/>
  <c r="T104" i="10"/>
  <c r="U104" i="10" s="1"/>
  <c r="V104" i="10" s="1"/>
  <c r="T105" i="10"/>
  <c r="U105" i="10" s="1"/>
  <c r="V105" i="10" s="1"/>
  <c r="T106" i="10"/>
  <c r="T107" i="10"/>
  <c r="U107" i="10" s="1"/>
  <c r="V107" i="10" s="1"/>
  <c r="T108" i="10"/>
  <c r="U108" i="10" s="1"/>
  <c r="V108" i="10" s="1"/>
  <c r="T109" i="10"/>
  <c r="U109" i="10" s="1"/>
  <c r="V109" i="10" s="1"/>
  <c r="T110" i="10"/>
  <c r="T111" i="10"/>
  <c r="U111" i="10" s="1"/>
  <c r="V111" i="10" s="1"/>
  <c r="T112" i="10"/>
  <c r="U112" i="10" s="1"/>
  <c r="V112" i="10" s="1"/>
  <c r="T113" i="10"/>
  <c r="U113" i="10" s="1"/>
  <c r="V113" i="10" s="1"/>
  <c r="T114" i="10"/>
  <c r="T115" i="10"/>
  <c r="U115" i="10" s="1"/>
  <c r="V115" i="10" s="1"/>
  <c r="T116" i="10"/>
  <c r="U116" i="10" s="1"/>
  <c r="V116" i="10" s="1"/>
  <c r="T117" i="10"/>
  <c r="U117" i="10" s="1"/>
  <c r="V117" i="10" s="1"/>
  <c r="T118" i="10"/>
  <c r="T119" i="10"/>
  <c r="U119" i="10" s="1"/>
  <c r="V119" i="10" s="1"/>
  <c r="T120" i="10"/>
  <c r="U120" i="10" s="1"/>
  <c r="V120" i="10" s="1"/>
  <c r="T121" i="10"/>
  <c r="U121" i="10" s="1"/>
  <c r="V121" i="10" s="1"/>
  <c r="T122" i="10"/>
  <c r="T123" i="10"/>
  <c r="U123" i="10" s="1"/>
  <c r="V123" i="10" s="1"/>
  <c r="T124" i="10"/>
  <c r="U124" i="10" s="1"/>
  <c r="V124" i="10" s="1"/>
  <c r="T125" i="10"/>
  <c r="U125" i="10" s="1"/>
  <c r="V125" i="10" s="1"/>
  <c r="T126" i="10"/>
  <c r="T127" i="10"/>
  <c r="U127" i="10" s="1"/>
  <c r="V127" i="10" s="1"/>
  <c r="T128" i="10"/>
  <c r="U128" i="10" s="1"/>
  <c r="V128" i="10" s="1"/>
  <c r="T129" i="10"/>
  <c r="U129" i="10" s="1"/>
  <c r="V129" i="10" s="1"/>
  <c r="T130" i="10"/>
  <c r="T131" i="10"/>
  <c r="U131" i="10" s="1"/>
  <c r="V131" i="10" s="1"/>
  <c r="T132" i="10"/>
  <c r="U132" i="10" s="1"/>
  <c r="V132" i="10" s="1"/>
  <c r="T133" i="10"/>
  <c r="U133" i="10" s="1"/>
  <c r="V133" i="10" s="1"/>
  <c r="T134" i="10"/>
  <c r="T135" i="10"/>
  <c r="U135" i="10" s="1"/>
  <c r="V135" i="10" s="1"/>
  <c r="T136" i="10"/>
  <c r="U136" i="10" s="1"/>
  <c r="V136" i="10" s="1"/>
  <c r="T137" i="10"/>
  <c r="U137" i="10" s="1"/>
  <c r="V137" i="10" s="1"/>
  <c r="T138" i="10"/>
  <c r="T139" i="10"/>
  <c r="U139" i="10" s="1"/>
  <c r="V139" i="10" s="1"/>
  <c r="T140" i="10"/>
  <c r="U140" i="10" s="1"/>
  <c r="V140" i="10" s="1"/>
  <c r="T141" i="10"/>
  <c r="U141" i="10" s="1"/>
  <c r="V141" i="10" s="1"/>
  <c r="T142" i="10"/>
  <c r="T143" i="10"/>
  <c r="U143" i="10" s="1"/>
  <c r="V143" i="10" s="1"/>
  <c r="T144" i="10"/>
  <c r="U144" i="10" s="1"/>
  <c r="V144" i="10" s="1"/>
  <c r="T145" i="10"/>
  <c r="U145" i="10" s="1"/>
  <c r="V145" i="10" s="1"/>
  <c r="T146" i="10"/>
  <c r="T147" i="10"/>
  <c r="U147" i="10" s="1"/>
  <c r="V147" i="10" s="1"/>
  <c r="T148" i="10"/>
  <c r="U148" i="10" s="1"/>
  <c r="V148" i="10" s="1"/>
  <c r="T149" i="10"/>
  <c r="U149" i="10" s="1"/>
  <c r="V149" i="10" s="1"/>
  <c r="T150" i="10"/>
  <c r="T151" i="10"/>
  <c r="U151" i="10" s="1"/>
  <c r="V151" i="10" s="1"/>
  <c r="T152" i="10"/>
  <c r="U152" i="10" s="1"/>
  <c r="V152" i="10" s="1"/>
  <c r="T153" i="10"/>
  <c r="U153" i="10" s="1"/>
  <c r="V153" i="10" s="1"/>
  <c r="T154" i="10"/>
  <c r="T155" i="10"/>
  <c r="U155" i="10" s="1"/>
  <c r="V155" i="10" s="1"/>
  <c r="T156" i="10"/>
  <c r="U156" i="10" s="1"/>
  <c r="V156" i="10" s="1"/>
  <c r="T157" i="10"/>
  <c r="U157" i="10" s="1"/>
  <c r="V157" i="10" s="1"/>
  <c r="T158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U158" i="10"/>
  <c r="V158" i="10" s="1"/>
  <c r="U154" i="10"/>
  <c r="V154" i="10" s="1"/>
  <c r="U150" i="10"/>
  <c r="V150" i="10" s="1"/>
  <c r="U146" i="10"/>
  <c r="V146" i="10" s="1"/>
  <c r="U142" i="10"/>
  <c r="V142" i="10" s="1"/>
  <c r="U138" i="10"/>
  <c r="V138" i="10" s="1"/>
  <c r="U134" i="10"/>
  <c r="V134" i="10" s="1"/>
  <c r="U130" i="10"/>
  <c r="V130" i="10" s="1"/>
  <c r="U126" i="10"/>
  <c r="V126" i="10" s="1"/>
  <c r="U122" i="10"/>
  <c r="V122" i="10" s="1"/>
  <c r="U118" i="10"/>
  <c r="V118" i="10" s="1"/>
  <c r="U114" i="10"/>
  <c r="V114" i="10" s="1"/>
  <c r="U110" i="10"/>
  <c r="V110" i="10" s="1"/>
  <c r="U106" i="10"/>
  <c r="V106" i="10" s="1"/>
  <c r="U102" i="10"/>
  <c r="V102" i="10" s="1"/>
  <c r="U98" i="10"/>
  <c r="V98" i="10" s="1"/>
  <c r="U94" i="10"/>
  <c r="V94" i="10" s="1"/>
  <c r="U90" i="10"/>
  <c r="V90" i="10" s="1"/>
  <c r="U86" i="10"/>
  <c r="V86" i="10" s="1"/>
  <c r="U82" i="10"/>
  <c r="V82" i="10" s="1"/>
  <c r="U78" i="10"/>
  <c r="V78" i="10" s="1"/>
  <c r="U74" i="10"/>
  <c r="V74" i="10" s="1"/>
  <c r="U70" i="10"/>
  <c r="V70" i="10" s="1"/>
  <c r="U66" i="10"/>
  <c r="V66" i="10" s="1"/>
  <c r="U62" i="10"/>
  <c r="V62" i="10" s="1"/>
  <c r="U58" i="10"/>
  <c r="V58" i="10" s="1"/>
  <c r="U54" i="10"/>
  <c r="V54" i="10" s="1"/>
  <c r="U50" i="10"/>
  <c r="V50" i="10" s="1"/>
  <c r="U46" i="10"/>
  <c r="V46" i="10" s="1"/>
  <c r="U42" i="10"/>
  <c r="V42" i="10" s="1"/>
  <c r="U38" i="10"/>
  <c r="V38" i="10" s="1"/>
  <c r="U34" i="10"/>
  <c r="V34" i="10" s="1"/>
  <c r="U30" i="10"/>
  <c r="V30" i="10" s="1"/>
  <c r="U26" i="10"/>
  <c r="V26" i="10" s="1"/>
  <c r="U22" i="10"/>
  <c r="V22" i="10" s="1"/>
  <c r="U18" i="10"/>
  <c r="V18" i="10" s="1"/>
  <c r="U14" i="10"/>
  <c r="V14" i="10" s="1"/>
  <c r="U10" i="10"/>
  <c r="V10" i="10" s="1"/>
  <c r="U7" i="10" l="1"/>
  <c r="V7" i="10" s="1"/>
  <c r="A7" i="10"/>
  <c r="U3" i="4" l="1"/>
  <c r="T3" i="4"/>
  <c r="S3" i="4"/>
  <c r="R3" i="4"/>
  <c r="Z8" i="10" l="1"/>
  <c r="Z10" i="10"/>
  <c r="Z12" i="10"/>
  <c r="Z14" i="10"/>
  <c r="Z16" i="10"/>
  <c r="Z18" i="10"/>
  <c r="Z20" i="10"/>
  <c r="Z22" i="10"/>
  <c r="Z24" i="10"/>
  <c r="Z26" i="10"/>
  <c r="Z28" i="10"/>
  <c r="Z30" i="10"/>
  <c r="Z32" i="10"/>
  <c r="Z34" i="10"/>
  <c r="Z36" i="10"/>
  <c r="Z38" i="10"/>
  <c r="Z40" i="10"/>
  <c r="Z42" i="10"/>
  <c r="Z44" i="10"/>
  <c r="Z46" i="10"/>
  <c r="Z48" i="10"/>
  <c r="Z50" i="10"/>
  <c r="Z52" i="10"/>
  <c r="Z54" i="10"/>
  <c r="Z56" i="10"/>
  <c r="Z58" i="10"/>
  <c r="Z60" i="10"/>
  <c r="Z62" i="10"/>
  <c r="Z64" i="10"/>
  <c r="Z66" i="10"/>
  <c r="Z68" i="10"/>
  <c r="Z70" i="10"/>
  <c r="Z72" i="10"/>
  <c r="Z74" i="10"/>
  <c r="Z76" i="10"/>
  <c r="Z78" i="10"/>
  <c r="Z80" i="10"/>
  <c r="Z82" i="10"/>
  <c r="Z84" i="10"/>
  <c r="Z86" i="10"/>
  <c r="Z88" i="10"/>
  <c r="Z90" i="10"/>
  <c r="Z92" i="10"/>
  <c r="Z94" i="10"/>
  <c r="Z96" i="10"/>
  <c r="Z98" i="10"/>
  <c r="Z100" i="10"/>
  <c r="Z102" i="10"/>
  <c r="Z104" i="10"/>
  <c r="Z106" i="10"/>
  <c r="Z108" i="10"/>
  <c r="Z110" i="10"/>
  <c r="Z112" i="10"/>
  <c r="Z114" i="10"/>
  <c r="Z116" i="10"/>
  <c r="Z118" i="10"/>
  <c r="Z120" i="10"/>
  <c r="Z122" i="10"/>
  <c r="Z124" i="10"/>
  <c r="Z126" i="10"/>
  <c r="Z128" i="10"/>
  <c r="Z130" i="10"/>
  <c r="Z132" i="10"/>
  <c r="Z134" i="10"/>
  <c r="Z136" i="10"/>
  <c r="Z138" i="10"/>
  <c r="Z140" i="10"/>
  <c r="Z142" i="10"/>
  <c r="Z144" i="10"/>
  <c r="Z146" i="10"/>
  <c r="Z148" i="10"/>
  <c r="Z150" i="10"/>
  <c r="Z152" i="10"/>
  <c r="Z154" i="10"/>
  <c r="Z156" i="10"/>
  <c r="Z158" i="10"/>
  <c r="Z9" i="10"/>
  <c r="Z11" i="10"/>
  <c r="Z13" i="10"/>
  <c r="Z15" i="10"/>
  <c r="Z17" i="10"/>
  <c r="Z19" i="10"/>
  <c r="Z21" i="10"/>
  <c r="Z23" i="10"/>
  <c r="Z25" i="10"/>
  <c r="Z27" i="10"/>
  <c r="Z31" i="10"/>
  <c r="Z35" i="10"/>
  <c r="Z39" i="10"/>
  <c r="Z43" i="10"/>
  <c r="Z47" i="10"/>
  <c r="Z51" i="10"/>
  <c r="Z55" i="10"/>
  <c r="Z59" i="10"/>
  <c r="Z63" i="10"/>
  <c r="Z67" i="10"/>
  <c r="Z71" i="10"/>
  <c r="Z75" i="10"/>
  <c r="Z79" i="10"/>
  <c r="Z83" i="10"/>
  <c r="Z87" i="10"/>
  <c r="Z91" i="10"/>
  <c r="Z95" i="10"/>
  <c r="Z99" i="10"/>
  <c r="Z103" i="10"/>
  <c r="Z107" i="10"/>
  <c r="Z111" i="10"/>
  <c r="Z115" i="10"/>
  <c r="Z119" i="10"/>
  <c r="Z123" i="10"/>
  <c r="Z127" i="10"/>
  <c r="Z131" i="10"/>
  <c r="Z135" i="10"/>
  <c r="Z139" i="10"/>
  <c r="Z143" i="10"/>
  <c r="Z147" i="10"/>
  <c r="Z151" i="10"/>
  <c r="Z155" i="10"/>
  <c r="Z7" i="10"/>
  <c r="Z29" i="10"/>
  <c r="Z33" i="10"/>
  <c r="Z37" i="10"/>
  <c r="Z41" i="10"/>
  <c r="Z45" i="10"/>
  <c r="Z49" i="10"/>
  <c r="Z53" i="10"/>
  <c r="Z57" i="10"/>
  <c r="Z61" i="10"/>
  <c r="Z65" i="10"/>
  <c r="Z69" i="10"/>
  <c r="Z73" i="10"/>
  <c r="Z77" i="10"/>
  <c r="Z81" i="10"/>
  <c r="Z85" i="10"/>
  <c r="Z89" i="10"/>
  <c r="Z93" i="10"/>
  <c r="Z97" i="10"/>
  <c r="Z101" i="10"/>
  <c r="Z105" i="10"/>
  <c r="Z109" i="10"/>
  <c r="Z113" i="10"/>
  <c r="Z117" i="10"/>
  <c r="Z121" i="10"/>
  <c r="Z125" i="10"/>
  <c r="Z129" i="10"/>
  <c r="Z133" i="10"/>
  <c r="Z137" i="10"/>
  <c r="Z141" i="10"/>
  <c r="Z145" i="10"/>
  <c r="Z149" i="10"/>
  <c r="Z153" i="10"/>
  <c r="Z157" i="10"/>
  <c r="X8" i="10"/>
  <c r="X10" i="10"/>
  <c r="X12" i="10"/>
  <c r="X14" i="10"/>
  <c r="X16" i="10"/>
  <c r="X18" i="10"/>
  <c r="X20" i="10"/>
  <c r="X22" i="10"/>
  <c r="X24" i="10"/>
  <c r="X26" i="10"/>
  <c r="X28" i="10"/>
  <c r="X30" i="10"/>
  <c r="X32" i="10"/>
  <c r="X34" i="10"/>
  <c r="X36" i="10"/>
  <c r="X38" i="10"/>
  <c r="X40" i="10"/>
  <c r="X42" i="10"/>
  <c r="X44" i="10"/>
  <c r="X46" i="10"/>
  <c r="X48" i="10"/>
  <c r="X50" i="10"/>
  <c r="X52" i="10"/>
  <c r="X54" i="10"/>
  <c r="X56" i="10"/>
  <c r="X58" i="10"/>
  <c r="X60" i="10"/>
  <c r="X62" i="10"/>
  <c r="X64" i="10"/>
  <c r="X66" i="10"/>
  <c r="X68" i="10"/>
  <c r="X70" i="10"/>
  <c r="X72" i="10"/>
  <c r="X74" i="10"/>
  <c r="X76" i="10"/>
  <c r="X78" i="10"/>
  <c r="X80" i="10"/>
  <c r="X82" i="10"/>
  <c r="X84" i="10"/>
  <c r="X86" i="10"/>
  <c r="X88" i="10"/>
  <c r="X90" i="10"/>
  <c r="X92" i="10"/>
  <c r="X94" i="10"/>
  <c r="X96" i="10"/>
  <c r="X98" i="10"/>
  <c r="X100" i="10"/>
  <c r="X102" i="10"/>
  <c r="X104" i="10"/>
  <c r="X106" i="10"/>
  <c r="X108" i="10"/>
  <c r="X110" i="10"/>
  <c r="X112" i="10"/>
  <c r="X114" i="10"/>
  <c r="X116" i="10"/>
  <c r="X118" i="10"/>
  <c r="X120" i="10"/>
  <c r="X122" i="10"/>
  <c r="X124" i="10"/>
  <c r="X126" i="10"/>
  <c r="X128" i="10"/>
  <c r="X130" i="10"/>
  <c r="X132" i="10"/>
  <c r="X134" i="10"/>
  <c r="X136" i="10"/>
  <c r="X138" i="10"/>
  <c r="X140" i="10"/>
  <c r="X142" i="10"/>
  <c r="X144" i="10"/>
  <c r="X146" i="10"/>
  <c r="X148" i="10"/>
  <c r="X150" i="10"/>
  <c r="X152" i="10"/>
  <c r="X154" i="10"/>
  <c r="X156" i="10"/>
  <c r="X158" i="10"/>
  <c r="X9" i="10"/>
  <c r="X11" i="10"/>
  <c r="X13" i="10"/>
  <c r="X15" i="10"/>
  <c r="X17" i="10"/>
  <c r="X19" i="10"/>
  <c r="X21" i="10"/>
  <c r="X23" i="10"/>
  <c r="X25" i="10"/>
  <c r="X29" i="10"/>
  <c r="X33" i="10"/>
  <c r="X37" i="10"/>
  <c r="X41" i="10"/>
  <c r="X45" i="10"/>
  <c r="X49" i="10"/>
  <c r="X53" i="10"/>
  <c r="X57" i="10"/>
  <c r="X61" i="10"/>
  <c r="X65" i="10"/>
  <c r="X69" i="10"/>
  <c r="X73" i="10"/>
  <c r="X77" i="10"/>
  <c r="X81" i="10"/>
  <c r="X85" i="10"/>
  <c r="X89" i="10"/>
  <c r="X93" i="10"/>
  <c r="X97" i="10"/>
  <c r="X101" i="10"/>
  <c r="X105" i="10"/>
  <c r="X109" i="10"/>
  <c r="X113" i="10"/>
  <c r="X117" i="10"/>
  <c r="X121" i="10"/>
  <c r="X125" i="10"/>
  <c r="X129" i="10"/>
  <c r="X133" i="10"/>
  <c r="X137" i="10"/>
  <c r="X141" i="10"/>
  <c r="X145" i="10"/>
  <c r="X149" i="10"/>
  <c r="X153" i="10"/>
  <c r="X157" i="10"/>
  <c r="X27" i="10"/>
  <c r="X31" i="10"/>
  <c r="X35" i="10"/>
  <c r="X39" i="10"/>
  <c r="X43" i="10"/>
  <c r="X47" i="10"/>
  <c r="X51" i="10"/>
  <c r="X55" i="10"/>
  <c r="X59" i="10"/>
  <c r="X63" i="10"/>
  <c r="X67" i="10"/>
  <c r="X71" i="10"/>
  <c r="X75" i="10"/>
  <c r="X79" i="10"/>
  <c r="X83" i="10"/>
  <c r="X87" i="10"/>
  <c r="X91" i="10"/>
  <c r="X95" i="10"/>
  <c r="X99" i="10"/>
  <c r="X103" i="10"/>
  <c r="X107" i="10"/>
  <c r="X111" i="10"/>
  <c r="X115" i="10"/>
  <c r="X119" i="10"/>
  <c r="X123" i="10"/>
  <c r="X127" i="10"/>
  <c r="X131" i="10"/>
  <c r="X135" i="10"/>
  <c r="X139" i="10"/>
  <c r="X143" i="10"/>
  <c r="X147" i="10"/>
  <c r="X151" i="10"/>
  <c r="X155" i="10"/>
  <c r="X7" i="10"/>
  <c r="AA9" i="10"/>
  <c r="AA11" i="10"/>
  <c r="AA13" i="10"/>
  <c r="AA15" i="10"/>
  <c r="AA17" i="10"/>
  <c r="AA19" i="10"/>
  <c r="AA21" i="10"/>
  <c r="AA23" i="10"/>
  <c r="AA25" i="10"/>
  <c r="AA27" i="10"/>
  <c r="AA29" i="10"/>
  <c r="AA31" i="10"/>
  <c r="AA33" i="10"/>
  <c r="AA35" i="10"/>
  <c r="AA37" i="10"/>
  <c r="AA39" i="10"/>
  <c r="AA41" i="10"/>
  <c r="AA43" i="10"/>
  <c r="AA45" i="10"/>
  <c r="AA47" i="10"/>
  <c r="AA49" i="10"/>
  <c r="AA51" i="10"/>
  <c r="AA53" i="10"/>
  <c r="AA55" i="10"/>
  <c r="AA57" i="10"/>
  <c r="AA59" i="10"/>
  <c r="AA61" i="10"/>
  <c r="AA63" i="10"/>
  <c r="AA65" i="10"/>
  <c r="AA67" i="10"/>
  <c r="AA69" i="10"/>
  <c r="AA71" i="10"/>
  <c r="AA73" i="10"/>
  <c r="AA75" i="10"/>
  <c r="AA77" i="10"/>
  <c r="AA79" i="10"/>
  <c r="AA81" i="10"/>
  <c r="AA83" i="10"/>
  <c r="AA85" i="10"/>
  <c r="AA87" i="10"/>
  <c r="AA89" i="10"/>
  <c r="AA91" i="10"/>
  <c r="AA93" i="10"/>
  <c r="AA95" i="10"/>
  <c r="AA97" i="10"/>
  <c r="AA99" i="10"/>
  <c r="AA101" i="10"/>
  <c r="AA103" i="10"/>
  <c r="AA105" i="10"/>
  <c r="AA107" i="10"/>
  <c r="AA109" i="10"/>
  <c r="AA111" i="10"/>
  <c r="AA113" i="10"/>
  <c r="AA115" i="10"/>
  <c r="AA117" i="10"/>
  <c r="AA119" i="10"/>
  <c r="AA121" i="10"/>
  <c r="AA123" i="10"/>
  <c r="AA125" i="10"/>
  <c r="AA127" i="10"/>
  <c r="AA129" i="10"/>
  <c r="AA131" i="10"/>
  <c r="AA133" i="10"/>
  <c r="AA135" i="10"/>
  <c r="AA137" i="10"/>
  <c r="AA139" i="10"/>
  <c r="AA141" i="10"/>
  <c r="AA143" i="10"/>
  <c r="AA145" i="10"/>
  <c r="AA147" i="10"/>
  <c r="AA149" i="10"/>
  <c r="AA151" i="10"/>
  <c r="AA153" i="10"/>
  <c r="AA155" i="10"/>
  <c r="AA157" i="10"/>
  <c r="AA8" i="10"/>
  <c r="AA10" i="10"/>
  <c r="AA12" i="10"/>
  <c r="AA14" i="10"/>
  <c r="AA16" i="10"/>
  <c r="AA18" i="10"/>
  <c r="AA20" i="10"/>
  <c r="AA22" i="10"/>
  <c r="AA24" i="10"/>
  <c r="AA26" i="10"/>
  <c r="AA30" i="10"/>
  <c r="AA34" i="10"/>
  <c r="AA38" i="10"/>
  <c r="AA42" i="10"/>
  <c r="AA46" i="10"/>
  <c r="AA50" i="10"/>
  <c r="AA54" i="10"/>
  <c r="AA58" i="10"/>
  <c r="AA62" i="10"/>
  <c r="AA66" i="10"/>
  <c r="AA70" i="10"/>
  <c r="AA74" i="10"/>
  <c r="AA78" i="10"/>
  <c r="AA82" i="10"/>
  <c r="AA86" i="10"/>
  <c r="AA90" i="10"/>
  <c r="AA94" i="10"/>
  <c r="AA98" i="10"/>
  <c r="AA102" i="10"/>
  <c r="AA106" i="10"/>
  <c r="AA110" i="10"/>
  <c r="AA114" i="10"/>
  <c r="AA118" i="10"/>
  <c r="AA122" i="10"/>
  <c r="AA126" i="10"/>
  <c r="AA130" i="10"/>
  <c r="AA134" i="10"/>
  <c r="AA138" i="10"/>
  <c r="AA142" i="10"/>
  <c r="AA146" i="10"/>
  <c r="AA150" i="10"/>
  <c r="AA154" i="10"/>
  <c r="AA158" i="10"/>
  <c r="AA28" i="10"/>
  <c r="AA32" i="10"/>
  <c r="AA36" i="10"/>
  <c r="AA40" i="10"/>
  <c r="AA44" i="10"/>
  <c r="AA48" i="10"/>
  <c r="AA52" i="10"/>
  <c r="AA56" i="10"/>
  <c r="AA60" i="10"/>
  <c r="AA64" i="10"/>
  <c r="AA68" i="10"/>
  <c r="AA72" i="10"/>
  <c r="AA76" i="10"/>
  <c r="AA80" i="10"/>
  <c r="AA84" i="10"/>
  <c r="AA88" i="10"/>
  <c r="AA92" i="10"/>
  <c r="AA96" i="10"/>
  <c r="AA100" i="10"/>
  <c r="AA104" i="10"/>
  <c r="AA108" i="10"/>
  <c r="AA112" i="10"/>
  <c r="AA116" i="10"/>
  <c r="AA120" i="10"/>
  <c r="AA124" i="10"/>
  <c r="AA128" i="10"/>
  <c r="AA132" i="10"/>
  <c r="AA136" i="10"/>
  <c r="AA140" i="10"/>
  <c r="AA144" i="10"/>
  <c r="AA148" i="10"/>
  <c r="AA152" i="10"/>
  <c r="AA156" i="10"/>
  <c r="Y8" i="10"/>
  <c r="Y10" i="10"/>
  <c r="Y12" i="10"/>
  <c r="Y14" i="10"/>
  <c r="Y16" i="10"/>
  <c r="Y18" i="10"/>
  <c r="Y20" i="10"/>
  <c r="Y22" i="10"/>
  <c r="Y24" i="10"/>
  <c r="Y26" i="10"/>
  <c r="Y28" i="10"/>
  <c r="Y30" i="10"/>
  <c r="Y32" i="10"/>
  <c r="Y34" i="10"/>
  <c r="Y36" i="10"/>
  <c r="Y38" i="10"/>
  <c r="Y40" i="10"/>
  <c r="Y42" i="10"/>
  <c r="Y44" i="10"/>
  <c r="Y46" i="10"/>
  <c r="Y48" i="10"/>
  <c r="Y50" i="10"/>
  <c r="Y52" i="10"/>
  <c r="Y54" i="10"/>
  <c r="Y56" i="10"/>
  <c r="Y58" i="10"/>
  <c r="Y60" i="10"/>
  <c r="Y62" i="10"/>
  <c r="Y64" i="10"/>
  <c r="Y66" i="10"/>
  <c r="Y68" i="10"/>
  <c r="Y70" i="10"/>
  <c r="Y72" i="10"/>
  <c r="Y74" i="10"/>
  <c r="Y76" i="10"/>
  <c r="Y78" i="10"/>
  <c r="Y80" i="10"/>
  <c r="Y82" i="10"/>
  <c r="Y84" i="10"/>
  <c r="Y86" i="10"/>
  <c r="Y88" i="10"/>
  <c r="Y90" i="10"/>
  <c r="Y92" i="10"/>
  <c r="Y94" i="10"/>
  <c r="Y96" i="10"/>
  <c r="Y98" i="10"/>
  <c r="Y100" i="10"/>
  <c r="Y102" i="10"/>
  <c r="Y104" i="10"/>
  <c r="Y106" i="10"/>
  <c r="Y108" i="10"/>
  <c r="Y110" i="10"/>
  <c r="Y112" i="10"/>
  <c r="Y114" i="10"/>
  <c r="Y116" i="10"/>
  <c r="Y118" i="10"/>
  <c r="Y120" i="10"/>
  <c r="Y122" i="10"/>
  <c r="Y124" i="10"/>
  <c r="Y126" i="10"/>
  <c r="Y128" i="10"/>
  <c r="Y130" i="10"/>
  <c r="Y132" i="10"/>
  <c r="Y134" i="10"/>
  <c r="Y136" i="10"/>
  <c r="Y138" i="10"/>
  <c r="Y140" i="10"/>
  <c r="Y142" i="10"/>
  <c r="Y144" i="10"/>
  <c r="Y146" i="10"/>
  <c r="Y148" i="10"/>
  <c r="Y150" i="10"/>
  <c r="Y152" i="10"/>
  <c r="Y154" i="10"/>
  <c r="Y156" i="10"/>
  <c r="Y158" i="10"/>
  <c r="Y11" i="10"/>
  <c r="AB11" i="10" s="1"/>
  <c r="AD11" i="10" s="1"/>
  <c r="Y15" i="10"/>
  <c r="Y19" i="10"/>
  <c r="AB19" i="10" s="1"/>
  <c r="AD19" i="10" s="1"/>
  <c r="Y23" i="10"/>
  <c r="Y27" i="10"/>
  <c r="Y31" i="10"/>
  <c r="Y35" i="10"/>
  <c r="Y39" i="10"/>
  <c r="Y43" i="10"/>
  <c r="Y47" i="10"/>
  <c r="Y51" i="10"/>
  <c r="Y55" i="10"/>
  <c r="Y59" i="10"/>
  <c r="Y63" i="10"/>
  <c r="Y67" i="10"/>
  <c r="Y71" i="10"/>
  <c r="Y75" i="10"/>
  <c r="Y79" i="10"/>
  <c r="Y83" i="10"/>
  <c r="Y87" i="10"/>
  <c r="Y91" i="10"/>
  <c r="Y95" i="10"/>
  <c r="Y99" i="10"/>
  <c r="Y103" i="10"/>
  <c r="Y107" i="10"/>
  <c r="Y111" i="10"/>
  <c r="Y115" i="10"/>
  <c r="Y119" i="10"/>
  <c r="Y123" i="10"/>
  <c r="Y127" i="10"/>
  <c r="Y131" i="10"/>
  <c r="Y135" i="10"/>
  <c r="Y139" i="10"/>
  <c r="Y143" i="10"/>
  <c r="Y147" i="10"/>
  <c r="Y151" i="10"/>
  <c r="Y155" i="10"/>
  <c r="Y9" i="10"/>
  <c r="AB9" i="10" s="1"/>
  <c r="AD9" i="10" s="1"/>
  <c r="Y13" i="10"/>
  <c r="Y17" i="10"/>
  <c r="AB17" i="10" s="1"/>
  <c r="AD17" i="10" s="1"/>
  <c r="Y21" i="10"/>
  <c r="Y25" i="10"/>
  <c r="AB25" i="10" s="1"/>
  <c r="AD25" i="10" s="1"/>
  <c r="Y29" i="10"/>
  <c r="AB29" i="10" s="1"/>
  <c r="AD29" i="10" s="1"/>
  <c r="Y33" i="10"/>
  <c r="AB33" i="10" s="1"/>
  <c r="AD33" i="10" s="1"/>
  <c r="Y37" i="10"/>
  <c r="AB37" i="10" s="1"/>
  <c r="AD37" i="10" s="1"/>
  <c r="Y41" i="10"/>
  <c r="AB41" i="10" s="1"/>
  <c r="AD41" i="10" s="1"/>
  <c r="Y45" i="10"/>
  <c r="AB45" i="10" s="1"/>
  <c r="AD45" i="10" s="1"/>
  <c r="Y49" i="10"/>
  <c r="AB49" i="10" s="1"/>
  <c r="AD49" i="10" s="1"/>
  <c r="Y53" i="10"/>
  <c r="AB53" i="10" s="1"/>
  <c r="AD53" i="10" s="1"/>
  <c r="Y57" i="10"/>
  <c r="AB57" i="10" s="1"/>
  <c r="AD57" i="10" s="1"/>
  <c r="Y61" i="10"/>
  <c r="AB61" i="10" s="1"/>
  <c r="AD61" i="10" s="1"/>
  <c r="Y65" i="10"/>
  <c r="AB65" i="10" s="1"/>
  <c r="AD65" i="10" s="1"/>
  <c r="Y69" i="10"/>
  <c r="AB69" i="10" s="1"/>
  <c r="AD69" i="10" s="1"/>
  <c r="Y73" i="10"/>
  <c r="AB73" i="10" s="1"/>
  <c r="AD73" i="10" s="1"/>
  <c r="Y77" i="10"/>
  <c r="AB77" i="10" s="1"/>
  <c r="AD77" i="10" s="1"/>
  <c r="Y81" i="10"/>
  <c r="AB81" i="10" s="1"/>
  <c r="AD81" i="10" s="1"/>
  <c r="Y85" i="10"/>
  <c r="AB85" i="10" s="1"/>
  <c r="AD85" i="10" s="1"/>
  <c r="Y89" i="10"/>
  <c r="AB89" i="10" s="1"/>
  <c r="AD89" i="10" s="1"/>
  <c r="Y93" i="10"/>
  <c r="AB93" i="10" s="1"/>
  <c r="AD93" i="10" s="1"/>
  <c r="Y97" i="10"/>
  <c r="AB97" i="10" s="1"/>
  <c r="AD97" i="10" s="1"/>
  <c r="Y101" i="10"/>
  <c r="AB101" i="10" s="1"/>
  <c r="AD101" i="10" s="1"/>
  <c r="Y105" i="10"/>
  <c r="AB105" i="10" s="1"/>
  <c r="AD105" i="10" s="1"/>
  <c r="Y109" i="10"/>
  <c r="AB109" i="10" s="1"/>
  <c r="AD109" i="10" s="1"/>
  <c r="Y113" i="10"/>
  <c r="AB113" i="10" s="1"/>
  <c r="AD113" i="10" s="1"/>
  <c r="Y117" i="10"/>
  <c r="AB117" i="10" s="1"/>
  <c r="AD117" i="10" s="1"/>
  <c r="Y121" i="10"/>
  <c r="AB121" i="10" s="1"/>
  <c r="AD121" i="10" s="1"/>
  <c r="Y125" i="10"/>
  <c r="AB125" i="10" s="1"/>
  <c r="AD125" i="10" s="1"/>
  <c r="Y129" i="10"/>
  <c r="AB129" i="10" s="1"/>
  <c r="AD129" i="10" s="1"/>
  <c r="Y133" i="10"/>
  <c r="AB133" i="10" s="1"/>
  <c r="AD133" i="10" s="1"/>
  <c r="Y137" i="10"/>
  <c r="AB137" i="10" s="1"/>
  <c r="AD137" i="10" s="1"/>
  <c r="Y141" i="10"/>
  <c r="AB141" i="10" s="1"/>
  <c r="AD141" i="10" s="1"/>
  <c r="Y145" i="10"/>
  <c r="AB145" i="10" s="1"/>
  <c r="AD145" i="10" s="1"/>
  <c r="Y149" i="10"/>
  <c r="AB149" i="10" s="1"/>
  <c r="AD149" i="10" s="1"/>
  <c r="Y153" i="10"/>
  <c r="AB153" i="10" s="1"/>
  <c r="AD153" i="10" s="1"/>
  <c r="Y157" i="10"/>
  <c r="AB157" i="10" s="1"/>
  <c r="AD157" i="10" s="1"/>
  <c r="Y7" i="10"/>
  <c r="AA7" i="10"/>
  <c r="L4" i="8"/>
  <c r="L5" i="8"/>
  <c r="L6" i="8"/>
  <c r="L7" i="8"/>
  <c r="L8" i="8"/>
  <c r="L9" i="8"/>
  <c r="L10" i="8"/>
  <c r="L3" i="8"/>
  <c r="I4" i="8"/>
  <c r="I5" i="8"/>
  <c r="I6" i="8"/>
  <c r="I7" i="8"/>
  <c r="I8" i="8"/>
  <c r="I9" i="8"/>
  <c r="I10" i="8"/>
  <c r="I11" i="8"/>
  <c r="AB155" i="10" l="1"/>
  <c r="AD155" i="10" s="1"/>
  <c r="AB147" i="10"/>
  <c r="AD147" i="10" s="1"/>
  <c r="AB139" i="10"/>
  <c r="AD139" i="10" s="1"/>
  <c r="AB131" i="10"/>
  <c r="AD131" i="10" s="1"/>
  <c r="AB123" i="10"/>
  <c r="AD123" i="10" s="1"/>
  <c r="AB115" i="10"/>
  <c r="AD115" i="10" s="1"/>
  <c r="AB107" i="10"/>
  <c r="AD107" i="10" s="1"/>
  <c r="AB99" i="10"/>
  <c r="AD99" i="10" s="1"/>
  <c r="AB91" i="10"/>
  <c r="AD91" i="10" s="1"/>
  <c r="AB83" i="10"/>
  <c r="AD83" i="10" s="1"/>
  <c r="AB75" i="10"/>
  <c r="AD75" i="10" s="1"/>
  <c r="AB67" i="10"/>
  <c r="AD67" i="10" s="1"/>
  <c r="AB59" i="10"/>
  <c r="AD59" i="10" s="1"/>
  <c r="AB51" i="10"/>
  <c r="AD51" i="10" s="1"/>
  <c r="AB43" i="10"/>
  <c r="AD43" i="10" s="1"/>
  <c r="AB35" i="10"/>
  <c r="AD35" i="10" s="1"/>
  <c r="AB27" i="10"/>
  <c r="AD27" i="10" s="1"/>
  <c r="AB21" i="10"/>
  <c r="AD21" i="10" s="1"/>
  <c r="AB13" i="10"/>
  <c r="AD13" i="10" s="1"/>
  <c r="AB156" i="10"/>
  <c r="AD156" i="10" s="1"/>
  <c r="AB152" i="10"/>
  <c r="AD152" i="10" s="1"/>
  <c r="AB148" i="10"/>
  <c r="AD148" i="10" s="1"/>
  <c r="AB144" i="10"/>
  <c r="AD144" i="10" s="1"/>
  <c r="AB140" i="10"/>
  <c r="AD140" i="10" s="1"/>
  <c r="AB136" i="10"/>
  <c r="AD136" i="10" s="1"/>
  <c r="AB132" i="10"/>
  <c r="AD132" i="10" s="1"/>
  <c r="AB128" i="10"/>
  <c r="AD128" i="10" s="1"/>
  <c r="AB124" i="10"/>
  <c r="AD124" i="10" s="1"/>
  <c r="AB120" i="10"/>
  <c r="AD120" i="10" s="1"/>
  <c r="AB116" i="10"/>
  <c r="AD116" i="10" s="1"/>
  <c r="AB112" i="10"/>
  <c r="AD112" i="10" s="1"/>
  <c r="AB108" i="10"/>
  <c r="AD108" i="10" s="1"/>
  <c r="AB104" i="10"/>
  <c r="AD104" i="10" s="1"/>
  <c r="AB100" i="10"/>
  <c r="AD100" i="10" s="1"/>
  <c r="AB96" i="10"/>
  <c r="AD96" i="10" s="1"/>
  <c r="AB92" i="10"/>
  <c r="AD92" i="10" s="1"/>
  <c r="AB88" i="10"/>
  <c r="AD88" i="10" s="1"/>
  <c r="AB84" i="10"/>
  <c r="AD84" i="10" s="1"/>
  <c r="AB80" i="10"/>
  <c r="AD80" i="10" s="1"/>
  <c r="AB76" i="10"/>
  <c r="AD76" i="10" s="1"/>
  <c r="AB72" i="10"/>
  <c r="AD72" i="10" s="1"/>
  <c r="AB68" i="10"/>
  <c r="AD68" i="10" s="1"/>
  <c r="AB64" i="10"/>
  <c r="AD64" i="10" s="1"/>
  <c r="AB60" i="10"/>
  <c r="AD60" i="10" s="1"/>
  <c r="AB56" i="10"/>
  <c r="AD56" i="10" s="1"/>
  <c r="AB52" i="10"/>
  <c r="AD52" i="10" s="1"/>
  <c r="AB48" i="10"/>
  <c r="AD48" i="10" s="1"/>
  <c r="AB44" i="10"/>
  <c r="AD44" i="10" s="1"/>
  <c r="AB40" i="10"/>
  <c r="AD40" i="10" s="1"/>
  <c r="AB36" i="10"/>
  <c r="AD36" i="10" s="1"/>
  <c r="AB32" i="10"/>
  <c r="AD32" i="10" s="1"/>
  <c r="AB28" i="10"/>
  <c r="AD28" i="10" s="1"/>
  <c r="AB24" i="10"/>
  <c r="AD24" i="10" s="1"/>
  <c r="AB20" i="10"/>
  <c r="AD20" i="10" s="1"/>
  <c r="AB16" i="10"/>
  <c r="AD16" i="10" s="1"/>
  <c r="AB12" i="10"/>
  <c r="AD12" i="10" s="1"/>
  <c r="AB8" i="10"/>
  <c r="AD8" i="10" s="1"/>
  <c r="AB7" i="10"/>
  <c r="AD7" i="10" s="1"/>
  <c r="AB151" i="10"/>
  <c r="AD151" i="10" s="1"/>
  <c r="AB143" i="10"/>
  <c r="AD143" i="10" s="1"/>
  <c r="AB135" i="10"/>
  <c r="AD135" i="10" s="1"/>
  <c r="AB127" i="10"/>
  <c r="AD127" i="10" s="1"/>
  <c r="AB119" i="10"/>
  <c r="AD119" i="10" s="1"/>
  <c r="AB111" i="10"/>
  <c r="AD111" i="10" s="1"/>
  <c r="AB103" i="10"/>
  <c r="AD103" i="10" s="1"/>
  <c r="AB95" i="10"/>
  <c r="AD95" i="10" s="1"/>
  <c r="AB87" i="10"/>
  <c r="AD87" i="10" s="1"/>
  <c r="AB79" i="10"/>
  <c r="AD79" i="10" s="1"/>
  <c r="AB71" i="10"/>
  <c r="AD71" i="10" s="1"/>
  <c r="AB63" i="10"/>
  <c r="AD63" i="10" s="1"/>
  <c r="AB55" i="10"/>
  <c r="AD55" i="10" s="1"/>
  <c r="AB47" i="10"/>
  <c r="AD47" i="10" s="1"/>
  <c r="AB39" i="10"/>
  <c r="AD39" i="10" s="1"/>
  <c r="AB31" i="10"/>
  <c r="AD31" i="10" s="1"/>
  <c r="AB23" i="10"/>
  <c r="AD23" i="10" s="1"/>
  <c r="AB15" i="10"/>
  <c r="AD15" i="10" s="1"/>
  <c r="AB158" i="10"/>
  <c r="AD158" i="10" s="1"/>
  <c r="AB154" i="10"/>
  <c r="AD154" i="10" s="1"/>
  <c r="AB150" i="10"/>
  <c r="AD150" i="10" s="1"/>
  <c r="AB146" i="10"/>
  <c r="AD146" i="10" s="1"/>
  <c r="AB142" i="10"/>
  <c r="AD142" i="10" s="1"/>
  <c r="AB138" i="10"/>
  <c r="AD138" i="10" s="1"/>
  <c r="AB134" i="10"/>
  <c r="AD134" i="10" s="1"/>
  <c r="AB130" i="10"/>
  <c r="AD130" i="10" s="1"/>
  <c r="AB126" i="10"/>
  <c r="AD126" i="10" s="1"/>
  <c r="AB122" i="10"/>
  <c r="AD122" i="10" s="1"/>
  <c r="AB118" i="10"/>
  <c r="AD118" i="10" s="1"/>
  <c r="AB114" i="10"/>
  <c r="AD114" i="10" s="1"/>
  <c r="AB110" i="10"/>
  <c r="AD110" i="10" s="1"/>
  <c r="AB106" i="10"/>
  <c r="AD106" i="10" s="1"/>
  <c r="AB102" i="10"/>
  <c r="AD102" i="10" s="1"/>
  <c r="AB98" i="10"/>
  <c r="AD98" i="10" s="1"/>
  <c r="AB94" i="10"/>
  <c r="AD94" i="10" s="1"/>
  <c r="AB90" i="10"/>
  <c r="AD90" i="10" s="1"/>
  <c r="AB86" i="10"/>
  <c r="AD86" i="10" s="1"/>
  <c r="AB82" i="10"/>
  <c r="AD82" i="10" s="1"/>
  <c r="AB78" i="10"/>
  <c r="AD78" i="10" s="1"/>
  <c r="AB74" i="10"/>
  <c r="AD74" i="10" s="1"/>
  <c r="AB70" i="10"/>
  <c r="AD70" i="10" s="1"/>
  <c r="AB66" i="10"/>
  <c r="AD66" i="10" s="1"/>
  <c r="AB62" i="10"/>
  <c r="AD62" i="10" s="1"/>
  <c r="AB58" i="10"/>
  <c r="AD58" i="10" s="1"/>
  <c r="AB54" i="10"/>
  <c r="AD54" i="10" s="1"/>
  <c r="AB50" i="10"/>
  <c r="AD50" i="10" s="1"/>
  <c r="AB46" i="10"/>
  <c r="AD46" i="10" s="1"/>
  <c r="AB42" i="10"/>
  <c r="AD42" i="10" s="1"/>
  <c r="AB38" i="10"/>
  <c r="AD38" i="10" s="1"/>
  <c r="AB34" i="10"/>
  <c r="AD34" i="10" s="1"/>
  <c r="AB30" i="10"/>
  <c r="AD30" i="10" s="1"/>
  <c r="AB26" i="10"/>
  <c r="AD26" i="10" s="1"/>
  <c r="AB22" i="10"/>
  <c r="AD22" i="10" s="1"/>
  <c r="AB18" i="10"/>
  <c r="AD18" i="10" s="1"/>
  <c r="AB14" i="10"/>
  <c r="AD14" i="10" s="1"/>
  <c r="AB10" i="10"/>
  <c r="AD10" i="10" s="1"/>
  <c r="AE158" i="10" l="1"/>
  <c r="AE19" i="10"/>
  <c r="AE11" i="10"/>
  <c r="AE136" i="10"/>
  <c r="AE104" i="10"/>
  <c r="AE72" i="10"/>
  <c r="AE40" i="10"/>
  <c r="AE126" i="10"/>
  <c r="AE94" i="10"/>
  <c r="AE62" i="10"/>
  <c r="AE30" i="10"/>
  <c r="AE155" i="10"/>
  <c r="AE139" i="10"/>
  <c r="AE123" i="10"/>
  <c r="AE107" i="10"/>
  <c r="AE91" i="10"/>
  <c r="AE75" i="10"/>
  <c r="AE59" i="10"/>
  <c r="AE43" i="10"/>
  <c r="AE27" i="10"/>
  <c r="AE152" i="10"/>
  <c r="AE120" i="10"/>
  <c r="AE88" i="10"/>
  <c r="AE56" i="10"/>
  <c r="AE24" i="10"/>
  <c r="AE142" i="10"/>
  <c r="AE110" i="10"/>
  <c r="AE78" i="10"/>
  <c r="AE46" i="10"/>
  <c r="AE14" i="10"/>
  <c r="AE147" i="10"/>
  <c r="AE131" i="10"/>
  <c r="AE115" i="10"/>
  <c r="AE99" i="10"/>
  <c r="AE83" i="10"/>
  <c r="AE67" i="10"/>
  <c r="AE51" i="10"/>
  <c r="AE35" i="10"/>
  <c r="AE8" i="10"/>
  <c r="AE7" i="10"/>
  <c r="AE144" i="10"/>
  <c r="AE128" i="10"/>
  <c r="AE112" i="10"/>
  <c r="AE96" i="10"/>
  <c r="AE80" i="10"/>
  <c r="AE64" i="10"/>
  <c r="AE48" i="10"/>
  <c r="AE32" i="10"/>
  <c r="AE16" i="10"/>
  <c r="AE150" i="10"/>
  <c r="AE134" i="10"/>
  <c r="AE118" i="10"/>
  <c r="AE102" i="10"/>
  <c r="AE86" i="10"/>
  <c r="AE70" i="10"/>
  <c r="AE54" i="10"/>
  <c r="AE38" i="10"/>
  <c r="AE22" i="10"/>
  <c r="AE151" i="10"/>
  <c r="AE143" i="10"/>
  <c r="AE135" i="10"/>
  <c r="AE127" i="10"/>
  <c r="AE119" i="10"/>
  <c r="AE111" i="10"/>
  <c r="AE103" i="10"/>
  <c r="AE95" i="10"/>
  <c r="AE87" i="10"/>
  <c r="AE79" i="10"/>
  <c r="AE71" i="10"/>
  <c r="AE63" i="10"/>
  <c r="AE55" i="10"/>
  <c r="AE47" i="10"/>
  <c r="AE39" i="10"/>
  <c r="AE31" i="10"/>
  <c r="AE23" i="10"/>
  <c r="AE15" i="10"/>
  <c r="AE9" i="10"/>
  <c r="AE156" i="10"/>
  <c r="AE148" i="10"/>
  <c r="AE140" i="10"/>
  <c r="AE132" i="10"/>
  <c r="AE124" i="10"/>
  <c r="AE116" i="10"/>
  <c r="AE108" i="10"/>
  <c r="AE100" i="10"/>
  <c r="AE92" i="10"/>
  <c r="AE84" i="10"/>
  <c r="AE76" i="10"/>
  <c r="AE68" i="10"/>
  <c r="AE60" i="10"/>
  <c r="AE52" i="10"/>
  <c r="AE44" i="10"/>
  <c r="AE36" i="10"/>
  <c r="AE28" i="10"/>
  <c r="AE20" i="10"/>
  <c r="AE12" i="10"/>
  <c r="AE154" i="10"/>
  <c r="AE146" i="10"/>
  <c r="AE138" i="10"/>
  <c r="AE130" i="10"/>
  <c r="AE122" i="10"/>
  <c r="AE114" i="10"/>
  <c r="AE106" i="10"/>
  <c r="AE98" i="10"/>
  <c r="AE90" i="10"/>
  <c r="AE82" i="10"/>
  <c r="AE74" i="10"/>
  <c r="AE66" i="10"/>
  <c r="AE58" i="10"/>
  <c r="AE50" i="10"/>
  <c r="AE42" i="10"/>
  <c r="AE34" i="10"/>
  <c r="AE26" i="10"/>
  <c r="AE18" i="10"/>
  <c r="AE10" i="10"/>
  <c r="AE157" i="10"/>
  <c r="AE153" i="10"/>
  <c r="AE149" i="10"/>
  <c r="AE145" i="10"/>
  <c r="AE141" i="10"/>
  <c r="AE137" i="10"/>
  <c r="AE133" i="10"/>
  <c r="AE129" i="10"/>
  <c r="AE125" i="10"/>
  <c r="AE121" i="10"/>
  <c r="AE117" i="10"/>
  <c r="AE113" i="10"/>
  <c r="AE109" i="10"/>
  <c r="AE105" i="10"/>
  <c r="AE101" i="10"/>
  <c r="AE97" i="10"/>
  <c r="AE93" i="10"/>
  <c r="AE89" i="10"/>
  <c r="AE85" i="10"/>
  <c r="AE81" i="10"/>
  <c r="AE77" i="10"/>
  <c r="AE73" i="10"/>
  <c r="AE69" i="10"/>
  <c r="AE65" i="10"/>
  <c r="AE61" i="10"/>
  <c r="AE57" i="10"/>
  <c r="AE53" i="10"/>
  <c r="AE49" i="10"/>
  <c r="AE45" i="10"/>
  <c r="AE41" i="10"/>
  <c r="AE37" i="10"/>
  <c r="AE33" i="10"/>
  <c r="AE29" i="10"/>
  <c r="AE25" i="10"/>
  <c r="AE21" i="10"/>
  <c r="AE17" i="10"/>
  <c r="AE13" i="10"/>
</calcChain>
</file>

<file path=xl/sharedStrings.xml><?xml version="1.0" encoding="utf-8"?>
<sst xmlns="http://schemas.openxmlformats.org/spreadsheetml/2006/main" count="2126" uniqueCount="812">
  <si>
    <t>Region</t>
  </si>
  <si>
    <t>Appellation</t>
  </si>
  <si>
    <t>Millesime</t>
  </si>
  <si>
    <t>Classé</t>
  </si>
  <si>
    <t>Couleur</t>
  </si>
  <si>
    <t>Quantité</t>
  </si>
  <si>
    <t>Domaine</t>
  </si>
  <si>
    <t>Prix d'achat</t>
  </si>
  <si>
    <t>Adresse</t>
  </si>
  <si>
    <t>Code postal</t>
  </si>
  <si>
    <t>Ville</t>
  </si>
  <si>
    <t>Telephone</t>
  </si>
  <si>
    <t>Mail</t>
  </si>
  <si>
    <t>Site internet</t>
  </si>
  <si>
    <t>Nom du vin</t>
  </si>
  <si>
    <t>BOURGOGNE</t>
  </si>
  <si>
    <t>BORDEAUX</t>
  </si>
  <si>
    <t>COTE DU RHONE</t>
  </si>
  <si>
    <t>LANGUEDOC ROUSSILLON</t>
  </si>
  <si>
    <t>LOIRE</t>
  </si>
  <si>
    <t>PROVENCE</t>
  </si>
  <si>
    <t>SUD OUEST</t>
  </si>
  <si>
    <t>JURA</t>
  </si>
  <si>
    <t>BEAUJOLAIS</t>
  </si>
  <si>
    <t>BUGEY</t>
  </si>
  <si>
    <t>CHAMPAGNE</t>
  </si>
  <si>
    <t>LORRAINE</t>
  </si>
  <si>
    <t>CORSE</t>
  </si>
  <si>
    <t>ETRANGER</t>
  </si>
  <si>
    <t>ALOXE-CORTON</t>
  </si>
  <si>
    <t>BARSAC</t>
  </si>
  <si>
    <t>BEAUMES DE VENISE</t>
  </si>
  <si>
    <t>BANYULS</t>
  </si>
  <si>
    <t>ANJOU</t>
  </si>
  <si>
    <t>BANDOL</t>
  </si>
  <si>
    <t>BEARN</t>
  </si>
  <si>
    <t>ARBOIS (JURA)</t>
  </si>
  <si>
    <t>AJACCIO</t>
  </si>
  <si>
    <t>AUXEY-DURESSES</t>
  </si>
  <si>
    <t>BLAYE</t>
  </si>
  <si>
    <t>CHATEAU-GRILLET</t>
  </si>
  <si>
    <t>BANYULS GRAND CRU</t>
  </si>
  <si>
    <t>ANJOU-COTEAUX DE LA LOIRE</t>
  </si>
  <si>
    <t>BELLET</t>
  </si>
  <si>
    <t>BERGERAC</t>
  </si>
  <si>
    <t>ARBOIS PUPILLIN (JURA)</t>
  </si>
  <si>
    <t>MUSCAT DU CAP CORSE</t>
  </si>
  <si>
    <t>BATARD-MONTRACHET</t>
  </si>
  <si>
    <t>CHATEAUNEUF-DU-PAPE</t>
  </si>
  <si>
    <t>BLANQUETTE DE LIMOUX</t>
  </si>
  <si>
    <t>ANJOU-GAMAY</t>
  </si>
  <si>
    <t>CASSIS</t>
  </si>
  <si>
    <t>BERGERAC SEC</t>
  </si>
  <si>
    <t>CHATEAU-CHALON (JURA)</t>
  </si>
  <si>
    <t>PATRIMONIO</t>
  </si>
  <si>
    <t>BEAUNE</t>
  </si>
  <si>
    <t>BORDEAUX CLAIRET</t>
  </si>
  <si>
    <t>CLAIRETTE DE DIE</t>
  </si>
  <si>
    <t>CABARDES AOVDQS</t>
  </si>
  <si>
    <t>ANJOU-VILLAGES</t>
  </si>
  <si>
    <t>COTEAUX D'AIX</t>
  </si>
  <si>
    <t>BUZET</t>
  </si>
  <si>
    <t>COTES DU JURA</t>
  </si>
  <si>
    <t>VIN DE CORSE</t>
  </si>
  <si>
    <t>BIENVENUE BATARD-MONTRACHET</t>
  </si>
  <si>
    <t>BORDEAUX COTES DE FRANCS</t>
  </si>
  <si>
    <t>CONDRIEU</t>
  </si>
  <si>
    <t>CLAIRETTE DE BELLEGARDE</t>
  </si>
  <si>
    <t>BONNEZEAUX</t>
  </si>
  <si>
    <t>COTEAUX VAROIS EN PROVENCE</t>
  </si>
  <si>
    <t>CAHORS</t>
  </si>
  <si>
    <t>CREMANT DU JURA</t>
  </si>
  <si>
    <t>BLAGNY</t>
  </si>
  <si>
    <t>BORDEAUX ROSE</t>
  </si>
  <si>
    <t>CORNAS</t>
  </si>
  <si>
    <t>CLAIRETTE DU LANGUEDOC</t>
  </si>
  <si>
    <t>BOURGUEIL</t>
  </si>
  <si>
    <t>COTES DE PROVENCE</t>
  </si>
  <si>
    <t>COTES DE BERGERAC</t>
  </si>
  <si>
    <t>L'ETOILE (JURA)</t>
  </si>
  <si>
    <t>BONNES-MARES</t>
  </si>
  <si>
    <t>BORDEAUX SEC</t>
  </si>
  <si>
    <t>COTE ROTIE</t>
  </si>
  <si>
    <t>COLLIOURE</t>
  </si>
  <si>
    <t>CABERNET D'ANJOU</t>
  </si>
  <si>
    <t>PALETTE</t>
  </si>
  <si>
    <t>COTES DE BERGERAC MOELLEUX</t>
  </si>
  <si>
    <t>BORDEAUX SUPERIEUR</t>
  </si>
  <si>
    <t>COTEAUX DE PIERREVERT</t>
  </si>
  <si>
    <t>CORBIERES</t>
  </si>
  <si>
    <t>COTES DE DURAS</t>
  </si>
  <si>
    <t>ALIGOTE</t>
  </si>
  <si>
    <t>CADILLAC</t>
  </si>
  <si>
    <t>COTEAUX DU TRICASTIN</t>
  </si>
  <si>
    <t>COSTIERES DE NIMES</t>
  </si>
  <si>
    <t>CHAUME</t>
  </si>
  <si>
    <t>COTES DE SAINT-MONT AOVDQS</t>
  </si>
  <si>
    <t>ALIGOTE BOUZERON</t>
  </si>
  <si>
    <t>CANON-FRONSAC</t>
  </si>
  <si>
    <t>COTES DU LUBERON</t>
  </si>
  <si>
    <t>COTEAUX DU LANGUEDOC</t>
  </si>
  <si>
    <t>CHEVERNY</t>
  </si>
  <si>
    <t>COTES DU MARMANDAIS</t>
  </si>
  <si>
    <t>CHITRY</t>
  </si>
  <si>
    <t>CERONS</t>
  </si>
  <si>
    <t>COTES DU RHONE</t>
  </si>
  <si>
    <t>COTES DE LA MALEPERE</t>
  </si>
  <si>
    <t>CHINON</t>
  </si>
  <si>
    <r>
      <t>FRONTON </t>
    </r>
    <r>
      <rPr>
        <sz val="7.5"/>
        <color rgb="FF990033"/>
        <rFont val="Verdana"/>
        <family val="2"/>
      </rPr>
      <t>(ANCIEN COTES DU FRONTONNAIS)</t>
    </r>
  </si>
  <si>
    <t>CLARET</t>
  </si>
  <si>
    <t>CREMANT DE BORDEAUX</t>
  </si>
  <si>
    <t>COTES DU RHONE-VILLAGES</t>
  </si>
  <si>
    <t>COTES DU ROUSSILLON</t>
  </si>
  <si>
    <t>COTE ROANNAISE</t>
  </si>
  <si>
    <t>GAILLAC</t>
  </si>
  <si>
    <t>COTE CHALONNAISE</t>
  </si>
  <si>
    <t>COTES DE BLAYE</t>
  </si>
  <si>
    <t>COTES DU VENTOUX</t>
  </si>
  <si>
    <t>COTES DU ROUSSILLON-VILLAGES</t>
  </si>
  <si>
    <t>COTEAUX D'ANCENIS</t>
  </si>
  <si>
    <t>HAUT-MONTRAVEL</t>
  </si>
  <si>
    <t>COTE SAINT-JACQUES</t>
  </si>
  <si>
    <t>COTES DE BOURG</t>
  </si>
  <si>
    <t>COTES DU VIVARAIS AOVDQS</t>
  </si>
  <si>
    <t>FAUGERES</t>
  </si>
  <si>
    <t>COTEAUX DE L'AUBANCE</t>
  </si>
  <si>
    <t>IROULEGUY</t>
  </si>
  <si>
    <t>COTES D'AUXERRE</t>
  </si>
  <si>
    <t>COTES DE CASTILLON</t>
  </si>
  <si>
    <t>CROZES-HERMITAGE</t>
  </si>
  <si>
    <t>FITOU</t>
  </si>
  <si>
    <t>COTEAUX DU GIENNOIS AOVDQS</t>
  </si>
  <si>
    <t>JURANCON</t>
  </si>
  <si>
    <t>COTES DU COUCHOIS</t>
  </si>
  <si>
    <t>ENTRE-DEUX-MERS</t>
  </si>
  <si>
    <t>GIGONDAS</t>
  </si>
  <si>
    <t>LIMOUX</t>
  </si>
  <si>
    <t>COTEAUX DU LAYON</t>
  </si>
  <si>
    <t>JURANCON SEC</t>
  </si>
  <si>
    <t>COULANGES-LA-VINEUSE</t>
  </si>
  <si>
    <t>FRONSAC</t>
  </si>
  <si>
    <t>HERMITAGE</t>
  </si>
  <si>
    <t>MAURY</t>
  </si>
  <si>
    <t>COTEAUX DU LOIR</t>
  </si>
  <si>
    <t>MADIRAN</t>
  </si>
  <si>
    <t>EPINEUIL</t>
  </si>
  <si>
    <t>GRAVES</t>
  </si>
  <si>
    <t>LIRAC</t>
  </si>
  <si>
    <t>MINERVOIS</t>
  </si>
  <si>
    <t>COTEAUX DU VENDOMOIS AOVDQS</t>
  </si>
  <si>
    <t>MARCILLAC</t>
  </si>
  <si>
    <t>GRAVES DE VAYRES</t>
  </si>
  <si>
    <t>MUSCAT DE BEAUMES-DE-VENISE</t>
  </si>
  <si>
    <t>MUSCAT DE LUNEL</t>
  </si>
  <si>
    <t>COTES D'AUVERGNE AOVDQS</t>
  </si>
  <si>
    <t>MONBAZILLAC</t>
  </si>
  <si>
    <t>HAUTES-COTES DE NUITS</t>
  </si>
  <si>
    <t>GRAVES SUPERIEURES</t>
  </si>
  <si>
    <t>SAINT-JOSEPH</t>
  </si>
  <si>
    <t>MUSCAT DE MIREVAL</t>
  </si>
  <si>
    <t>COTES DU FOREZ AOVDQS</t>
  </si>
  <si>
    <t>MONTRAVEL</t>
  </si>
  <si>
    <t>HAUTES-COTES DE BEAUNE</t>
  </si>
  <si>
    <t>HAUT-MEDOC</t>
  </si>
  <si>
    <t>SAINT PERAY</t>
  </si>
  <si>
    <t>MUSCAT DE RIVESALTES</t>
  </si>
  <si>
    <t>COUR-CHEVERNY</t>
  </si>
  <si>
    <t>PACHERENC DU VIC-BILH</t>
  </si>
  <si>
    <t>LA CHAPELLE NOTRE-DAME</t>
  </si>
  <si>
    <t>LALANDE DE POMEROL</t>
  </si>
  <si>
    <t>TAVEL</t>
  </si>
  <si>
    <t>MUSCAT DE SAINT-JEAN DE MINERVOIS</t>
  </si>
  <si>
    <t>FIEFS VENDEENS AOVDQS</t>
  </si>
  <si>
    <t>PECHARMANT</t>
  </si>
  <si>
    <t>LE CHAPITRE</t>
  </si>
  <si>
    <t>LISTRAC-MEDOC</t>
  </si>
  <si>
    <t>VACQUEYRAS</t>
  </si>
  <si>
    <t>PICPOUL DE PINET</t>
  </si>
  <si>
    <t>GROS PLANT AOVDQS</t>
  </si>
  <si>
    <t>SAUSSIGNAC</t>
  </si>
  <si>
    <t>MONTRECUL</t>
  </si>
  <si>
    <t>LOUPIAC</t>
  </si>
  <si>
    <t>VINSOBRES </t>
  </si>
  <si>
    <t>RIVESALTES</t>
  </si>
  <si>
    <t>HAUT-POITOU AOVDQS</t>
  </si>
  <si>
    <t>TURSAN AOVDQS</t>
  </si>
  <si>
    <t>MOUSSEUX</t>
  </si>
  <si>
    <t>MARGAUX</t>
  </si>
  <si>
    <t>SAINT-CHINIAN</t>
  </si>
  <si>
    <t>JASNIERES</t>
  </si>
  <si>
    <t>PASSETOUTGRAIN</t>
  </si>
  <si>
    <t>MEDOC</t>
  </si>
  <si>
    <t>MENETOU-SALON</t>
  </si>
  <si>
    <t>VEZELAY</t>
  </si>
  <si>
    <t>MONTAGNE SAINT-EMILION</t>
  </si>
  <si>
    <t>MONTLOUIS</t>
  </si>
  <si>
    <t>CHABLIS</t>
  </si>
  <si>
    <t>MOULIS EN MEDOC</t>
  </si>
  <si>
    <t>MUSCADET</t>
  </si>
  <si>
    <t>CHABLIS GRAND CRU</t>
  </si>
  <si>
    <t>PAUILLAC</t>
  </si>
  <si>
    <t>MUSCADET COTES DE GRAND-LIEU</t>
  </si>
  <si>
    <t>CHABLIS PREMIER CRU</t>
  </si>
  <si>
    <t>PESSAC LEOGNAN</t>
  </si>
  <si>
    <t>MUSCADET DE SEVRE-ET-MAINE</t>
  </si>
  <si>
    <t>CHAMBERTIN</t>
  </si>
  <si>
    <t>POMEROL</t>
  </si>
  <si>
    <t>MUSCADET DES COTEAUX DE LA LOIRE</t>
  </si>
  <si>
    <t>CHAMBERTIN-CLOS DE BEZE</t>
  </si>
  <si>
    <t>PREMIERES COTES DE BORDEAUX</t>
  </si>
  <si>
    <t>QUARTS DE CHAUME</t>
  </si>
  <si>
    <t>CHAPELLE-CHAMBERTIN</t>
  </si>
  <si>
    <t>PREMIERES COTES DE BLAYE</t>
  </si>
  <si>
    <t>POUILLY-FUME</t>
  </si>
  <si>
    <t>CHARMES-CHAMBERTIN</t>
  </si>
  <si>
    <t>PUISSEGUIN SAINT-EMILION</t>
  </si>
  <si>
    <t>POUILLY-SUR-LOIRE</t>
  </si>
  <si>
    <t>CHAMBOLLE MUSIGNY</t>
  </si>
  <si>
    <t>SAINT-EMILION</t>
  </si>
  <si>
    <t>QUINCY</t>
  </si>
  <si>
    <t>CHASSAGNE-MONTRACHET</t>
  </si>
  <si>
    <t>SAINT-EMILION GRAND CRU</t>
  </si>
  <si>
    <t>REUILLY</t>
  </si>
  <si>
    <t>CHEVALIER-MONTRACHET</t>
  </si>
  <si>
    <t>SAINT-ESTEPHE</t>
  </si>
  <si>
    <t>ROSE DE LOIRE</t>
  </si>
  <si>
    <t>CHOREY-LES-BEAUNE</t>
  </si>
  <si>
    <t>SAINT-GEORGES SAINT-EMILION</t>
  </si>
  <si>
    <t>ROSE D'ANJOU</t>
  </si>
  <si>
    <t>CLOS DE LA ROCHE</t>
  </si>
  <si>
    <t>SAINT-JULIEN</t>
  </si>
  <si>
    <t>SAINT-NICOLAS-DE-BOURGUEIL</t>
  </si>
  <si>
    <t>CLOS DE TART</t>
  </si>
  <si>
    <t>SAINTE-CROIX-DU-MONT</t>
  </si>
  <si>
    <t>SAINT-POURCAIN AOVDQS</t>
  </si>
  <si>
    <t>CLOS DE VOUGEOT</t>
  </si>
  <si>
    <t>SAINTE-FOIX-BORDEAUX</t>
  </si>
  <si>
    <t>SANCERRE</t>
  </si>
  <si>
    <t>CLOS DES LAMBRAYS</t>
  </si>
  <si>
    <t>SAUTERNES</t>
  </si>
  <si>
    <t>SAUMUR</t>
  </si>
  <si>
    <t>CLOS SAINT-DENIS</t>
  </si>
  <si>
    <t>SAUMUR SEC BLANC</t>
  </si>
  <si>
    <t>CORTON</t>
  </si>
  <si>
    <t>SAUMUR-CHAMPIGNY</t>
  </si>
  <si>
    <t>CORTON-CHARLEMAGNE</t>
  </si>
  <si>
    <t>SAVENNIERES</t>
  </si>
  <si>
    <t>COTE DE BEAUNE</t>
  </si>
  <si>
    <t>SAVENNIERES COULEE-DE-SERRANT</t>
  </si>
  <si>
    <t>COTE DE BEAUNE VILLAGES</t>
  </si>
  <si>
    <t>SAVENNIERES ROCHES-AUX-MOINES</t>
  </si>
  <si>
    <t>COTE DE NUITS-VILLAGES</t>
  </si>
  <si>
    <t>TOURAINE</t>
  </si>
  <si>
    <t>CREMANT DE BOURGOGNE</t>
  </si>
  <si>
    <t>TOURAINE AMBOISE</t>
  </si>
  <si>
    <t>CRIOTS BATARD-MONTRACHET</t>
  </si>
  <si>
    <t>TOURAINE-AZAY-LE-RIDEAU</t>
  </si>
  <si>
    <t>ECHEZEAUX</t>
  </si>
  <si>
    <t>TOURAINE-MESLAND</t>
  </si>
  <si>
    <t>FIXIN</t>
  </si>
  <si>
    <t>VALENCAY AOVDQS</t>
  </si>
  <si>
    <t>GEVREY-CHAMBERTIN</t>
  </si>
  <si>
    <t>VOUVRAY</t>
  </si>
  <si>
    <t>GIVRY</t>
  </si>
  <si>
    <t>GRANDS-ECHEZEAUX</t>
  </si>
  <si>
    <t>GRIOTTE-CHAMBERTIN</t>
  </si>
  <si>
    <t>IRANCY</t>
  </si>
  <si>
    <t>LADOIX</t>
  </si>
  <si>
    <t>LA GRANDE RUE</t>
  </si>
  <si>
    <t>LA TACHE</t>
  </si>
  <si>
    <t>LA ROMANEE</t>
  </si>
  <si>
    <t>LATRICIERES-CHAMBERTIN</t>
  </si>
  <si>
    <t>MACON</t>
  </si>
  <si>
    <t>MACON SUPERIEUR</t>
  </si>
  <si>
    <t>MACON-VILLAGES</t>
  </si>
  <si>
    <t>MARANGES</t>
  </si>
  <si>
    <t>MARSANNAY</t>
  </si>
  <si>
    <t>MAZIS-CHAMBERTIN</t>
  </si>
  <si>
    <t>MAZOYERES-CHAMBERTIN</t>
  </si>
  <si>
    <t>MERCUREY</t>
  </si>
  <si>
    <t>MEURSAULT</t>
  </si>
  <si>
    <t>MONTAGNY</t>
  </si>
  <si>
    <t>MONTHELIE</t>
  </si>
  <si>
    <t>MONTRACHET</t>
  </si>
  <si>
    <t>MOREY-SAINT-DENIS</t>
  </si>
  <si>
    <t>NUIT-SAINT-GEORGES</t>
  </si>
  <si>
    <t>PERNAND-VERGELESSES</t>
  </si>
  <si>
    <t>PETIT CHABLIS</t>
  </si>
  <si>
    <t>POMMARD</t>
  </si>
  <si>
    <t>POUILLY-FUISSE</t>
  </si>
  <si>
    <t>POUILLY-LOCHE</t>
  </si>
  <si>
    <t>POUILLY-VINZELLES</t>
  </si>
  <si>
    <t>PULIGNY-MONTRACHET</t>
  </si>
  <si>
    <t>RICHEBOURG</t>
  </si>
  <si>
    <t>ROMANEE-CONTI</t>
  </si>
  <si>
    <t>ROMANEE-SAINT-VIVANT</t>
  </si>
  <si>
    <t>RUCHOTTES-CHAMBERTIN</t>
  </si>
  <si>
    <t>RULLY</t>
  </si>
  <si>
    <t>SAINT-AUBIN</t>
  </si>
  <si>
    <t>SAINT-BRIS</t>
  </si>
  <si>
    <t>SAINT-ROMAIN</t>
  </si>
  <si>
    <t>SAINT-VERAN</t>
  </si>
  <si>
    <t>SANTENAY</t>
  </si>
  <si>
    <t>SAVIGNY-LES-BEAUNE</t>
  </si>
  <si>
    <t>VIRE-CLESSE</t>
  </si>
  <si>
    <t>VOLNAY</t>
  </si>
  <si>
    <t>VOSNE-ROMANEE</t>
  </si>
  <si>
    <t>VOUGEOT</t>
  </si>
  <si>
    <t>Rouge</t>
  </si>
  <si>
    <t>Blanc</t>
  </si>
  <si>
    <t>Rosé</t>
  </si>
  <si>
    <t>Grand Cru</t>
  </si>
  <si>
    <t>1 er Cru</t>
  </si>
  <si>
    <t>Village</t>
  </si>
  <si>
    <t>1 er Grand Cru classé</t>
  </si>
  <si>
    <t>Second Grand Cru classé</t>
  </si>
  <si>
    <t>Troisieme Grand Cru classé</t>
  </si>
  <si>
    <t>Quatireme Grand Cru classé</t>
  </si>
  <si>
    <t>Cinquiéme Grand Cru classé</t>
  </si>
  <si>
    <t>Bourgogne</t>
  </si>
  <si>
    <t>Bordeaux</t>
  </si>
  <si>
    <t>descriptif</t>
  </si>
  <si>
    <t>N° ligne</t>
  </si>
  <si>
    <t>nom image</t>
  </si>
  <si>
    <t>Chemin d'acces</t>
  </si>
  <si>
    <t>PINOT NOIR</t>
  </si>
  <si>
    <t>MACON AZE</t>
  </si>
  <si>
    <t>MACON VILLAGE</t>
  </si>
  <si>
    <t>ALSACE</t>
  </si>
  <si>
    <t>RIESLING</t>
  </si>
  <si>
    <t>STAT</t>
  </si>
  <si>
    <t>LE LOUVETEAU</t>
  </si>
  <si>
    <t>Climat ou Nom</t>
  </si>
  <si>
    <t>ITALIE</t>
  </si>
  <si>
    <t>GRAND ORDINAIRE</t>
  </si>
  <si>
    <t>A1</t>
  </si>
  <si>
    <t>PIERRE GRUBER</t>
  </si>
  <si>
    <t>A3</t>
  </si>
  <si>
    <t>BAILLY-LAPIERRE</t>
  </si>
  <si>
    <t>ST BRIS LE VINEUX</t>
  </si>
  <si>
    <t>A5</t>
  </si>
  <si>
    <t>A6</t>
  </si>
  <si>
    <t>cuvee d'antan</t>
  </si>
  <si>
    <t>PRUNIER JEAN PIERRE ET LAURENT</t>
  </si>
  <si>
    <t>A7</t>
  </si>
  <si>
    <t>le val</t>
  </si>
  <si>
    <t>ROY</t>
  </si>
  <si>
    <t>AUXEY DURESSES</t>
  </si>
  <si>
    <t>A8</t>
  </si>
  <si>
    <t>DES VAUX MARQUIS</t>
  </si>
  <si>
    <t>9 rue de tubie</t>
  </si>
  <si>
    <t>CHAMPS-SUR-YONNE</t>
  </si>
  <si>
    <t>03 86 53 38 17</t>
  </si>
  <si>
    <t>A9</t>
  </si>
  <si>
    <t>DE LA FRAMBOISE</t>
  </si>
  <si>
    <t>www.domaine.faveley.com</t>
  </si>
  <si>
    <t>A11</t>
  </si>
  <si>
    <t>aux insarts</t>
  </si>
  <si>
    <t>PASCAL ET MIREILLE RENAUD</t>
  </si>
  <si>
    <t>SOLUTRE-POULLY</t>
  </si>
  <si>
    <t>les peuillets</t>
  </si>
  <si>
    <t>DESCHAMPS-CARNET</t>
  </si>
  <si>
    <t>SAVIGNY LES BEAUNE</t>
  </si>
  <si>
    <t>PERNAND VERGELESSE</t>
  </si>
  <si>
    <t>B2</t>
  </si>
  <si>
    <t>GUILLEMARD POTHIER</t>
  </si>
  <si>
    <t>MELOISEY</t>
  </si>
  <si>
    <t>MORGON</t>
  </si>
  <si>
    <t>chateau desclau</t>
  </si>
  <si>
    <t>TRESSES</t>
  </si>
  <si>
    <t>B4</t>
  </si>
  <si>
    <t>MICHEL NOELLAT</t>
  </si>
  <si>
    <t>B5</t>
  </si>
  <si>
    <t>ANTOINE RODET</t>
  </si>
  <si>
    <t>B6</t>
  </si>
  <si>
    <t>les grands picotins</t>
  </si>
  <si>
    <t>DU PRIEURÉ</t>
  </si>
  <si>
    <t>B7</t>
  </si>
  <si>
    <t>VAL DE MERCY</t>
  </si>
  <si>
    <t>www.valdemercy.com</t>
  </si>
  <si>
    <t>JEAN CLAUDE GUYAUX</t>
  </si>
  <si>
    <t>B8</t>
  </si>
  <si>
    <t>ROBERT SIRUGUE</t>
  </si>
  <si>
    <t>VOSNE-ROMANÉE</t>
  </si>
  <si>
    <t>B9</t>
  </si>
  <si>
    <t>JEAN CLAUDE THEVENET</t>
  </si>
  <si>
    <t>PIERRECLOS</t>
  </si>
  <si>
    <t>l'aurore</t>
  </si>
  <si>
    <t>L'HERMITAGE DE NANTOUX</t>
  </si>
  <si>
    <t>CHASSEY LE CAMP</t>
  </si>
  <si>
    <t>CHARMERAIE</t>
  </si>
  <si>
    <t>CHANES</t>
  </si>
  <si>
    <t>JULES RICHARD</t>
  </si>
  <si>
    <t>AZE</t>
  </si>
  <si>
    <t>EDGARD SCHILLÉ</t>
  </si>
  <si>
    <t>MITTELWIHR</t>
  </si>
  <si>
    <t>ESPAGNE</t>
  </si>
  <si>
    <t>SCEA DU VIEUX PUIT</t>
  </si>
  <si>
    <t>REIGNAC DE BLAYE</t>
  </si>
  <si>
    <t>DE LA PINTE</t>
  </si>
  <si>
    <t>ARBOIS</t>
  </si>
  <si>
    <t>C1</t>
  </si>
  <si>
    <t>champs fuillot</t>
  </si>
  <si>
    <t>HUGUES LE VEZE</t>
  </si>
  <si>
    <t>MEURSEAULT</t>
  </si>
  <si>
    <t>C2</t>
  </si>
  <si>
    <t>C3</t>
  </si>
  <si>
    <t>SEIGNEUR DE LAURIS</t>
  </si>
  <si>
    <t>VACQUERAS</t>
  </si>
  <si>
    <t>CHARDONNAY</t>
  </si>
  <si>
    <t>les classiques</t>
  </si>
  <si>
    <t>VIGNERONS ARDECHOIS</t>
  </si>
  <si>
    <t>RUOMS</t>
  </si>
  <si>
    <t>C5</t>
  </si>
  <si>
    <t>C6</t>
  </si>
  <si>
    <t>PANSIOT</t>
  </si>
  <si>
    <t>CORGOLOIN</t>
  </si>
  <si>
    <t>C7</t>
  </si>
  <si>
    <t>BAILLY LAPIERRE</t>
  </si>
  <si>
    <t>SAINT BRIS LE VINEUX</t>
  </si>
  <si>
    <t>C8</t>
  </si>
  <si>
    <t>PHILIPPE CHARLOPIN</t>
  </si>
  <si>
    <t>GEVREY CHAMBERTIN</t>
  </si>
  <si>
    <t>C9</t>
  </si>
  <si>
    <t>VIGNERONS DE BUXY</t>
  </si>
  <si>
    <t>BUXY</t>
  </si>
  <si>
    <t>NBRE DE BOUTEILLES</t>
  </si>
  <si>
    <t>CHABLIS-VAILLONS</t>
  </si>
  <si>
    <t>C10</t>
  </si>
  <si>
    <t>REMPART DE TULETTE</t>
  </si>
  <si>
    <t>costebelle</t>
  </si>
  <si>
    <t>LA MAZADE</t>
  </si>
  <si>
    <t>ST MARTIN D'ARDECHE</t>
  </si>
  <si>
    <t>06 79 66 70 95</t>
  </si>
  <si>
    <t>domainemazade@gmail.com</t>
  </si>
  <si>
    <t>clos de la perriere</t>
  </si>
  <si>
    <t>JOLIET</t>
  </si>
  <si>
    <t>les 3 quartiers</t>
  </si>
  <si>
    <t>JOURDANS &amp; PICHARD</t>
  </si>
  <si>
    <t>8 rue le puy</t>
  </si>
  <si>
    <t>CRAVANT LES COTEAUX</t>
  </si>
  <si>
    <t>OLIVIER</t>
  </si>
  <si>
    <t>ST NICOLAS DE BOURGUEIL</t>
  </si>
  <si>
    <t>aux vergelesses</t>
  </si>
  <si>
    <t>MACHARD DE GRAMONT</t>
  </si>
  <si>
    <t>les champs perdrix</t>
  </si>
  <si>
    <t>DENIS FOURNIER</t>
  </si>
  <si>
    <t>COUCHEY</t>
  </si>
  <si>
    <t>LA ROCHE AIGUE</t>
  </si>
  <si>
    <t>CHRISTOPHE AUGUSTE</t>
  </si>
  <si>
    <t>COULANGES LA VINEUSE</t>
  </si>
  <si>
    <t>LOISEAU</t>
  </si>
  <si>
    <t>le bas de Poilanges</t>
  </si>
  <si>
    <t>vieilles vignes</t>
  </si>
  <si>
    <t>COSTEBELLE</t>
  </si>
  <si>
    <t>CAUVARD</t>
  </si>
  <si>
    <t>www.domaine-covard.fr</t>
  </si>
  <si>
    <t>JOUARD GABRIEL ET PAUL</t>
  </si>
  <si>
    <t>DOURTHE</t>
  </si>
  <si>
    <t>www.dourthe.com</t>
  </si>
  <si>
    <t>CABERNET SAUVIGNON</t>
  </si>
  <si>
    <t>ROCHE MAZET</t>
  </si>
  <si>
    <t>www.rochemazet.com</t>
  </si>
  <si>
    <t>SAUVIGNON</t>
  </si>
  <si>
    <t>villa chambre d'amour</t>
  </si>
  <si>
    <t>LIONEL OSMIN</t>
  </si>
  <si>
    <t>www.osmin.fr</t>
  </si>
  <si>
    <t>geant rouge</t>
  </si>
  <si>
    <t>JONQUERES D'ORIOLA</t>
  </si>
  <si>
    <t>CORNEILLA DES VERCOL</t>
  </si>
  <si>
    <t>www.jonqueresdoriola.fr</t>
  </si>
  <si>
    <t>PATRICK GRANMASON ANDRIEN ROBBE</t>
  </si>
  <si>
    <t>AIGLEPIERRE</t>
  </si>
  <si>
    <t>D1</t>
  </si>
  <si>
    <t>COTE DE GASCOGNE</t>
  </si>
  <si>
    <t>D3</t>
  </si>
  <si>
    <t>premieres grives</t>
  </si>
  <si>
    <t>TARIQUET</t>
  </si>
  <si>
    <t>AUTRES</t>
  </si>
  <si>
    <t>COTEAUX DE L'ARDECHE</t>
  </si>
  <si>
    <t>D4</t>
  </si>
  <si>
    <t>corps et ames</t>
  </si>
  <si>
    <t>JEROME MAZEL</t>
  </si>
  <si>
    <t>PRADONS</t>
  </si>
  <si>
    <t>D5</t>
  </si>
  <si>
    <t>D6</t>
  </si>
  <si>
    <t>la feuillouse</t>
  </si>
  <si>
    <t>SYLVAIN CHOLET</t>
  </si>
  <si>
    <t>CORCELLES LES ARTS</t>
  </si>
  <si>
    <t>VIGNERON D'OR</t>
  </si>
  <si>
    <t>D8</t>
  </si>
  <si>
    <t>GUILLAUME</t>
  </si>
  <si>
    <t>CHARCENNE</t>
  </si>
  <si>
    <t>les elotins</t>
  </si>
  <si>
    <t>D9</t>
  </si>
  <si>
    <t>CHRISTOPHE ET MARYLINE BILLON</t>
  </si>
  <si>
    <t>115 chemin des corendies</t>
  </si>
  <si>
    <t>AMPUIS</t>
  </si>
  <si>
    <t>LEVERT FRERES</t>
  </si>
  <si>
    <t>CHATEAU MALIJAY</t>
  </si>
  <si>
    <t>MACON PERRONNE</t>
  </si>
  <si>
    <t>JC &amp; MARIE ODILE JANIN</t>
  </si>
  <si>
    <t>PERRONNE</t>
  </si>
  <si>
    <t>D10</t>
  </si>
  <si>
    <t>chianti</t>
  </si>
  <si>
    <t>PATRICK GRANDMAISON ADRIEN ROBBE</t>
  </si>
  <si>
    <t>MACON LA ROCHE VINEUSE</t>
  </si>
  <si>
    <t>CHENE</t>
  </si>
  <si>
    <t>BERZE LA VILLE</t>
  </si>
  <si>
    <t>la gelotte</t>
  </si>
  <si>
    <t>ENTRAS</t>
  </si>
  <si>
    <t>AYGUETINTE</t>
  </si>
  <si>
    <t>www.domaine-entras.fr</t>
  </si>
  <si>
    <t>LES JARDINS DE L'EVECHE</t>
  </si>
  <si>
    <t>CHATEAU BEAUBOIS</t>
  </si>
  <si>
    <t>MONTCHOVET</t>
  </si>
  <si>
    <t>COTES DE BORDEAUX</t>
  </si>
  <si>
    <t>CHATEAU LAGRANGE MONBADON</t>
  </si>
  <si>
    <t>D11</t>
  </si>
  <si>
    <t>les narbantons</t>
  </si>
  <si>
    <t>PINTE GEORGES ET THIERRY</t>
  </si>
  <si>
    <t>E1</t>
  </si>
  <si>
    <t>DUMAS</t>
  </si>
  <si>
    <t>MALIGNON</t>
  </si>
  <si>
    <t>LAVAL ST ROMAIN</t>
  </si>
  <si>
    <t>campo altoso</t>
  </si>
  <si>
    <t>pascal paoli</t>
  </si>
  <si>
    <t>E2</t>
  </si>
  <si>
    <t>E3</t>
  </si>
  <si>
    <t>E4</t>
  </si>
  <si>
    <t>LES HAUTS D'ESTIAC</t>
  </si>
  <si>
    <t>SAINT-AMOUR</t>
  </si>
  <si>
    <t>E5</t>
  </si>
  <si>
    <t>E6</t>
  </si>
  <si>
    <t>cuvee rubis</t>
  </si>
  <si>
    <t>CHATEAU COURTADE DUBUC</t>
  </si>
  <si>
    <t>E7</t>
  </si>
  <si>
    <t>les clous</t>
  </si>
  <si>
    <t>PRUNIER JEAN PIERRE &amp; LAURENT</t>
  </si>
  <si>
    <t>AUXEY DURESSE</t>
  </si>
  <si>
    <t>E8</t>
  </si>
  <si>
    <t>SE</t>
  </si>
  <si>
    <t>E9</t>
  </si>
  <si>
    <t>DENIS PERE &amp; FILS</t>
  </si>
  <si>
    <t>E10</t>
  </si>
  <si>
    <t>DE LA JANASSE</t>
  </si>
  <si>
    <t>COURTHEZON</t>
  </si>
  <si>
    <t>CHATEAU METAIRIE HAUTE</t>
  </si>
  <si>
    <t>CHOFFLET VALDENAIRE</t>
  </si>
  <si>
    <t>DE LA PERRIERE</t>
  </si>
  <si>
    <t>FRANCE DESSAUGE</t>
  </si>
  <si>
    <t>CHEILLY LES MARANGES</t>
  </si>
  <si>
    <t>les damodes</t>
  </si>
  <si>
    <t>JEAN PIERRE BONY</t>
  </si>
  <si>
    <t>NUITS ST GEORGES</t>
  </si>
  <si>
    <t>E12</t>
  </si>
  <si>
    <t>silex</t>
  </si>
  <si>
    <t>VERDIGNY EN SANCERRE</t>
  </si>
  <si>
    <t>www.laperriere.fr</t>
  </si>
  <si>
    <t>E11</t>
  </si>
  <si>
    <t>E13</t>
  </si>
  <si>
    <t>E15</t>
  </si>
  <si>
    <t>C4</t>
  </si>
  <si>
    <t>CLOS DE CHEVIGNE</t>
  </si>
  <si>
    <t>SAINT VERAN</t>
  </si>
  <si>
    <t>JEAN BAPTISTE PONSOT</t>
  </si>
  <si>
    <t>montecarlo bianco</t>
  </si>
  <si>
    <t>FATTORIA IL POGGIO</t>
  </si>
  <si>
    <t>otium</t>
  </si>
  <si>
    <t>montecarlo rosso</t>
  </si>
  <si>
    <t>CHÂTEAU MEILLANT</t>
  </si>
  <si>
    <t>NICOLAS LECONTE</t>
  </si>
  <si>
    <t>105 rue St Exupey</t>
  </si>
  <si>
    <t>AVORD</t>
  </si>
  <si>
    <t>www.domaine-leconte.com</t>
  </si>
  <si>
    <t>CHATEAU MEILLANT</t>
  </si>
  <si>
    <t>Casier</t>
  </si>
  <si>
    <t>Regions</t>
  </si>
  <si>
    <t>B1</t>
  </si>
  <si>
    <t>le charmois</t>
  </si>
  <si>
    <t>DU PIMONT</t>
  </si>
  <si>
    <t>XAVIER REVERCHON</t>
  </si>
  <si>
    <t>POLIGNY</t>
  </si>
  <si>
    <t>CLAUDE SAINSON ROSSIGNOL</t>
  </si>
  <si>
    <t>ROLLIN PERE &amp; FILS</t>
  </si>
  <si>
    <t>PERNAND-VERGELESS</t>
  </si>
  <si>
    <t>les jiromees</t>
  </si>
  <si>
    <t>DE MONTMAIN</t>
  </si>
  <si>
    <t>VILLARS FONTAINE</t>
  </si>
  <si>
    <t>HUGUES LE JUSTE</t>
  </si>
  <si>
    <t>montee de tonnerre</t>
  </si>
  <si>
    <t>les combes dessus</t>
  </si>
  <si>
    <t>JEAN CLAUDE CLUZEAUD</t>
  </si>
  <si>
    <t>LES BELLES FILLES</t>
  </si>
  <si>
    <t>PIERRE MAREY ET FILS</t>
  </si>
  <si>
    <t>PERNAND VERGELESSES</t>
  </si>
  <si>
    <t>DEMURES FRERES</t>
  </si>
  <si>
    <t>MONTAGNE</t>
  </si>
  <si>
    <t>ALEXANDRE LOISEAU</t>
  </si>
  <si>
    <t>clos de l'eclu</t>
  </si>
  <si>
    <t>JM NAUDIN</t>
  </si>
  <si>
    <t>AUGUSTE PIROU</t>
  </si>
  <si>
    <t>A4</t>
  </si>
  <si>
    <t>HERVE CHARLOPIN</t>
  </si>
  <si>
    <t>PATRICK CLEMENCET</t>
  </si>
  <si>
    <t>la fussiere</t>
  </si>
  <si>
    <t>DES TROIS MONTS</t>
  </si>
  <si>
    <t>ST SERNIN DU PLAN</t>
  </si>
  <si>
    <t>B3</t>
  </si>
  <si>
    <t>la coutiere</t>
  </si>
  <si>
    <t>A2</t>
  </si>
  <si>
    <t>MONTMAIN</t>
  </si>
  <si>
    <t>03 80 62 31 94</t>
  </si>
  <si>
    <t>www.domainemontmain.fr</t>
  </si>
  <si>
    <t>MARSANNAY LA COTE</t>
  </si>
  <si>
    <t>les poisets</t>
  </si>
  <si>
    <t>JEAN YVES VAPILLON</t>
  </si>
  <si>
    <t>120 route de marconay</t>
  </si>
  <si>
    <t>LONS LE SAUNIER</t>
  </si>
  <si>
    <t>D7</t>
  </si>
  <si>
    <t>le rouard</t>
  </si>
  <si>
    <t>VILLARD FONTAINE</t>
  </si>
  <si>
    <t>A10</t>
  </si>
  <si>
    <t>www.domainedemontmain.fr</t>
  </si>
  <si>
    <t>les avaux</t>
  </si>
  <si>
    <t>hospices de nuits st georges</t>
  </si>
  <si>
    <t>D2</t>
  </si>
  <si>
    <t>CHATEAU DE VILLARD FONTAINE</t>
  </si>
  <si>
    <t>GRAND BOISSE</t>
  </si>
  <si>
    <t>STE FOY DES VIGNES</t>
  </si>
  <si>
    <t>ROLANT PETIT ET MARIE PAULE</t>
  </si>
  <si>
    <t>VILLIE-MORGON</t>
  </si>
  <si>
    <t>Année</t>
  </si>
  <si>
    <t>A12</t>
  </si>
  <si>
    <t>B10</t>
  </si>
  <si>
    <t>B11</t>
  </si>
  <si>
    <t>B12</t>
  </si>
  <si>
    <t>B13</t>
  </si>
  <si>
    <t>B14</t>
  </si>
  <si>
    <t>B15</t>
  </si>
  <si>
    <t>C11</t>
  </si>
  <si>
    <t>C12</t>
  </si>
  <si>
    <t>C13</t>
  </si>
  <si>
    <t>C14</t>
  </si>
  <si>
    <t>D12</t>
  </si>
  <si>
    <t>D13</t>
  </si>
  <si>
    <t>D14</t>
  </si>
  <si>
    <t>D15</t>
  </si>
  <si>
    <t>D16</t>
  </si>
  <si>
    <t>E14</t>
  </si>
  <si>
    <t>E16</t>
  </si>
  <si>
    <t>E17</t>
  </si>
  <si>
    <t>Toutes les régions</t>
  </si>
  <si>
    <t>Test 1</t>
  </si>
  <si>
    <t>Test3</t>
  </si>
  <si>
    <t>Test4</t>
  </si>
  <si>
    <t>test all</t>
  </si>
  <si>
    <t>Toutes les années</t>
  </si>
  <si>
    <t>Tous les casiers</t>
  </si>
  <si>
    <t>Toutes les bouteilles</t>
  </si>
  <si>
    <t>Test2</t>
  </si>
  <si>
    <t>annee</t>
  </si>
  <si>
    <t>Calcul 1</t>
  </si>
  <si>
    <t>Calcul 2</t>
  </si>
  <si>
    <t xml:space="preserve">A consommer à partir de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</si>
  <si>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</si>
  <si>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</si>
  <si>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</si>
  <si>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</si>
  <si>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</si>
  <si>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</si>
  <si>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</si>
  <si>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</si>
  <si>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 xml:space="preserve">  </t>
  </si>
  <si>
    <t>ALIGOTE  2007</t>
  </si>
  <si>
    <t>ALIGOTE  2008</t>
  </si>
  <si>
    <t>ALIGOTE  2010</t>
  </si>
  <si>
    <t>ALIGOTE  2013</t>
  </si>
  <si>
    <t>ALIGOTE  2014</t>
  </si>
  <si>
    <t>ALIGOTE  2016</t>
  </si>
  <si>
    <t>ALIGOTE BOUZERON  2017</t>
  </si>
  <si>
    <t>ALOXE-CORTON 1 er Cru 1999</t>
  </si>
  <si>
    <t>ARBOIS (JURA)  2005</t>
  </si>
  <si>
    <t>ARBOIS (JURA)  2016</t>
  </si>
  <si>
    <t>ARBOIS (JURA)  2017</t>
  </si>
  <si>
    <t>ARBOIS (JURA)  2018</t>
  </si>
  <si>
    <t>AUXEY-DURESSES  2015</t>
  </si>
  <si>
    <t>AUXEY-DURESSES 1 er Cru 2014</t>
  </si>
  <si>
    <t>BATARD-MONTRACHET Grand Cru 2018</t>
  </si>
  <si>
    <t>BEAUMES DE VENISE  2013</t>
  </si>
  <si>
    <t>BEAUNE 1 er Cru 1998</t>
  </si>
  <si>
    <t>BEAUNE 1 er Cru 1999</t>
  </si>
  <si>
    <t>BEAUNE 1 er Cru 2001</t>
  </si>
  <si>
    <t>BEAUNE 1 er Cru 2012</t>
  </si>
  <si>
    <t>BERGERAC  2002</t>
  </si>
  <si>
    <t>BORDEAUX  2013</t>
  </si>
  <si>
    <t>BORDEAUX SUPERIEUR  2003</t>
  </si>
  <si>
    <t>BOURGOGNE  1994</t>
  </si>
  <si>
    <t>BOURGOGNE  2001</t>
  </si>
  <si>
    <t>BOURGOGNE  2004</t>
  </si>
  <si>
    <t>BOURGOGNE  2012</t>
  </si>
  <si>
    <t>CABERNET SAUVIGNON  2013</t>
  </si>
  <si>
    <t>CHABLIS  2012</t>
  </si>
  <si>
    <t>CHABLIS 1 er Cru 1995</t>
  </si>
  <si>
    <t>CHABLIS 1 er Cru 2015</t>
  </si>
  <si>
    <t>CHABLIS-VAILLONS 1 er Cru 2011</t>
  </si>
  <si>
    <t>CHARDONNAY  2014</t>
  </si>
  <si>
    <t>CHASSAGNE-MONTRACHET  2011</t>
  </si>
  <si>
    <t>CHASSAGNE-MONTRACHET  2017</t>
  </si>
  <si>
    <t>CHATEAU MALIJAY  2015</t>
  </si>
  <si>
    <t>CHATEAU MEILLANT  2015</t>
  </si>
  <si>
    <t>CHINON  2012</t>
  </si>
  <si>
    <t>CHOREY-LES-BEAUNE  1994</t>
  </si>
  <si>
    <t>CHOREY-LES-BEAUNE  2010</t>
  </si>
  <si>
    <t>CHOREY-LES-BEAUNE  2015</t>
  </si>
  <si>
    <t>CORTON Grand Cru 2011</t>
  </si>
  <si>
    <t>CORTON-CHARLEMAGNE Grand Cru 2018</t>
  </si>
  <si>
    <t>COSTIERES DE NIMES  2016</t>
  </si>
  <si>
    <t>COTE DE GASCOGNE  2016</t>
  </si>
  <si>
    <t>COTE DE NUITS-VILLAGES  2000</t>
  </si>
  <si>
    <t>COTE DE NUITS-VILLAGES  2008</t>
  </si>
  <si>
    <t>COTE DU RHONE  2004</t>
  </si>
  <si>
    <t>COTE DU RHONE  2006</t>
  </si>
  <si>
    <t>COTE DU RHONE  2008</t>
  </si>
  <si>
    <t>COTE DU RHONE  2009</t>
  </si>
  <si>
    <t>COTE DU RHONE  2010</t>
  </si>
  <si>
    <t>COTE DU RHONE  2012</t>
  </si>
  <si>
    <t>COTE DU RHONE  2014</t>
  </si>
  <si>
    <t>COTE DU RHONE  2015</t>
  </si>
  <si>
    <t>COTE DU RHONE  2018</t>
  </si>
  <si>
    <t>COTE ROTIE les elotins 2015</t>
  </si>
  <si>
    <t>COTEAUX DE L'ARDECHE  2011</t>
  </si>
  <si>
    <t>COTEAUX VAROIS EN PROVENCE  2015</t>
  </si>
  <si>
    <t>COTES DE BORDEAUX  2010</t>
  </si>
  <si>
    <t>COTES DE BORDEAUX  2015</t>
  </si>
  <si>
    <t>COTES DU JURA  1993</t>
  </si>
  <si>
    <t>COTES DU JURA  1998</t>
  </si>
  <si>
    <t>COTES DU JURA  2016</t>
  </si>
  <si>
    <t>COTES DU ROUSSILLON  2014</t>
  </si>
  <si>
    <t>DOURTHE  2011</t>
  </si>
  <si>
    <t>ESPAGNE  2005</t>
  </si>
  <si>
    <t>ESPAGNE  2009</t>
  </si>
  <si>
    <t>FIXIN  2000</t>
  </si>
  <si>
    <t>FIXIN  2009</t>
  </si>
  <si>
    <t>FIXIN 1 er Cru 2012</t>
  </si>
  <si>
    <t>GIVRY  2016</t>
  </si>
  <si>
    <t>HAUTES-COTES DE BEAUNE  1998</t>
  </si>
  <si>
    <t>HAUTES-COTES DE BEAUNE  2013</t>
  </si>
  <si>
    <t>HAUTES-COTES DE BEAUNE  2016</t>
  </si>
  <si>
    <t>HAUTES-COTES DE NUITS  1994</t>
  </si>
  <si>
    <t>HAUTES-COTES DE NUITS  2000</t>
  </si>
  <si>
    <t>HAUTES-COTES DE NUITS  2001</t>
  </si>
  <si>
    <t>IRANCY  2010</t>
  </si>
  <si>
    <t>IRANCY  2014</t>
  </si>
  <si>
    <t>IRANCY  2015</t>
  </si>
  <si>
    <t>ITALIE  2016</t>
  </si>
  <si>
    <t>ITALIE  2018</t>
  </si>
  <si>
    <t>LE LOUVETEAU  2012</t>
  </si>
  <si>
    <t>LES HAUTS D'ESTIAC  1997</t>
  </si>
  <si>
    <t>L'ETOILE (JURA)  2000</t>
  </si>
  <si>
    <t>MACON AZE  2005</t>
  </si>
  <si>
    <t>MACON LA ROCHE VINEUSE  2016</t>
  </si>
  <si>
    <t>MACON PERRONNE  2015</t>
  </si>
  <si>
    <t>MACON VILLAGE  2008</t>
  </si>
  <si>
    <t>MARANGES  2015</t>
  </si>
  <si>
    <t>MARANGES 1 er Cru 1999</t>
  </si>
  <si>
    <t>MARSANNAY  1999</t>
  </si>
  <si>
    <t>MARSANNAY  2014</t>
  </si>
  <si>
    <t>MERCUREY  2008</t>
  </si>
  <si>
    <t>MONTAGNE SAINT-EMILION  1997</t>
  </si>
  <si>
    <t>MONTAGNY  2016</t>
  </si>
  <si>
    <t>MONTHELIE 1 er Cru 2006</t>
  </si>
  <si>
    <t>MONTHELIE 1 er Cru 2015</t>
  </si>
  <si>
    <t>MOREY-SAINT-DENIS  1998</t>
  </si>
  <si>
    <t>MORGON  2003</t>
  </si>
  <si>
    <t xml:space="preserve">NUIT-SAINT-GEORGES  </t>
  </si>
  <si>
    <t>NUIT-SAINT-GEORGES  2000</t>
  </si>
  <si>
    <t>PATRIMONIO  2004</t>
  </si>
  <si>
    <t>PATRIMONIO  2008</t>
  </si>
  <si>
    <t>PERNAND-VERGELESSES  1994</t>
  </si>
  <si>
    <t>PERNAND-VERGELESSES  1997</t>
  </si>
  <si>
    <t>PERNAND-VERGELESSES  2015</t>
  </si>
  <si>
    <t>PERNAND-VERGELESSES  2017</t>
  </si>
  <si>
    <t>PINOT NOIR  1994</t>
  </si>
  <si>
    <t>POMMARD 1 er Cru 1996</t>
  </si>
  <si>
    <t>POUILLY-FUISSE  2016</t>
  </si>
  <si>
    <t>POUILLY-FUISSE  2017</t>
  </si>
  <si>
    <t>POUILLY-FUISSE  2018</t>
  </si>
  <si>
    <t>RIESLING  2009</t>
  </si>
  <si>
    <t>RULLY 1 er Cru 2017</t>
  </si>
  <si>
    <t>SAINT VERAN  2017</t>
  </si>
  <si>
    <t>SAINT-AMOUR  2016</t>
  </si>
  <si>
    <t>SAINT-AUBIN 1 er Cru 1987</t>
  </si>
  <si>
    <t>SAINT-JOSEPH  1999</t>
  </si>
  <si>
    <t>SAINT-NICOLAS-DE-BOURGUEIL  2013</t>
  </si>
  <si>
    <t>SAINT-ROMAIN  2013</t>
  </si>
  <si>
    <t>SAINT-ROMAIN  2014</t>
  </si>
  <si>
    <t>SAINT-VERAN  2009</t>
  </si>
  <si>
    <t>SAINT-VERAN  2017</t>
  </si>
  <si>
    <t>SANCERRE  2018</t>
  </si>
  <si>
    <t>SANTENAY  2017</t>
  </si>
  <si>
    <t>SAUVIGNON  2012</t>
  </si>
  <si>
    <t>SAVIGNY-LES-BEAUNE  2004</t>
  </si>
  <si>
    <t>SAVIGNY-LES-BEAUNE  2006</t>
  </si>
  <si>
    <t>SAVIGNY-LES-BEAUNE  2014</t>
  </si>
  <si>
    <t>SAVIGNY-LES-BEAUNE 1 er Cru 2009</t>
  </si>
  <si>
    <t>SAVIGNY-LES-BEAUNE 1 er Cru 2014</t>
  </si>
  <si>
    <t>SAVIGNY-LES-BEAUNE 1 er Cru 2017</t>
  </si>
  <si>
    <t>VACQUEYRAS  2012</t>
  </si>
  <si>
    <t>VIGNERON D'OR  2017</t>
  </si>
  <si>
    <t>VOLNAY  1993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</si>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</sst>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#&quot; &quot;##&quot; &quot;##&quot; &quot;##&quot; &quot;##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4"/>
      <color rgb="FF990033"/>
      <name val="Verdana"/>
      <family val="2"/>
    </font>
    <font>
      <sz val="7.5"/>
      <color rgb="FF990033"/>
      <name val="Verdana"/>
      <family val="2"/>
    </font>
    <font>
      <sz val="14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30303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12">
    <border>
      <left/>
      <right/>
      <top/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0" fontId="13" fillId="2" borderId="1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5" fillId="0" borderId="0" xfId="0" pivotButton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387"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CCC"/>
        </patternFill>
      </fill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s://sobarnes.com/suisse/lutry/chateau-13eme-siecle-renove-1990-ferme-6-appartements-spacieux-cave-voutee-souterraine-a-vendre-bavois/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2</xdr:row>
      <xdr:rowOff>38100</xdr:rowOff>
    </xdr:from>
    <xdr:to>
      <xdr:col>6</xdr:col>
      <xdr:colOff>0</xdr:colOff>
      <xdr:row>4</xdr:row>
      <xdr:rowOff>38100</xdr:rowOff>
    </xdr:to>
    <xdr:sp macro="[0]!Rectangle5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76450" y="419100"/>
          <a:ext cx="2495550" cy="381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Nouveau Vin</a:t>
          </a:r>
        </a:p>
      </xdr:txBody>
    </xdr:sp>
    <xdr:clientData/>
  </xdr:twoCellAnchor>
  <xdr:twoCellAnchor>
    <xdr:from>
      <xdr:col>6</xdr:col>
      <xdr:colOff>161925</xdr:colOff>
      <xdr:row>2</xdr:row>
      <xdr:rowOff>28575</xdr:rowOff>
    </xdr:from>
    <xdr:to>
      <xdr:col>9</xdr:col>
      <xdr:colOff>723900</xdr:colOff>
      <xdr:row>4</xdr:row>
      <xdr:rowOff>57150</xdr:rowOff>
    </xdr:to>
    <xdr:sp macro="[0]!Rectangle6_Cliqu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33925" y="409575"/>
          <a:ext cx="2847975" cy="4095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Rechercher</a:t>
          </a:r>
          <a:r>
            <a:rPr lang="fr-FR" sz="1800" b="1" i="1" baseline="0">
              <a:solidFill>
                <a:sysClr val="windowText" lastClr="000000"/>
              </a:solidFill>
            </a:rPr>
            <a:t> un vin par nom</a:t>
          </a:r>
          <a:endParaRPr lang="fr-FR" sz="18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552449</xdr:colOff>
      <xdr:row>5</xdr:row>
      <xdr:rowOff>47625</xdr:rowOff>
    </xdr:from>
    <xdr:to>
      <xdr:col>5</xdr:col>
      <xdr:colOff>752474</xdr:colOff>
      <xdr:row>7</xdr:row>
      <xdr:rowOff>57150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076449" y="1000125"/>
          <a:ext cx="2486025" cy="3905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Autre recherche</a:t>
          </a:r>
        </a:p>
      </xdr:txBody>
    </xdr:sp>
    <xdr:clientData/>
  </xdr:twoCellAnchor>
  <xdr:twoCellAnchor>
    <xdr:from>
      <xdr:col>5</xdr:col>
      <xdr:colOff>714375</xdr:colOff>
      <xdr:row>8</xdr:row>
      <xdr:rowOff>67979</xdr:rowOff>
    </xdr:from>
    <xdr:to>
      <xdr:col>7</xdr:col>
      <xdr:colOff>742950</xdr:colOff>
      <xdr:row>13</xdr:row>
      <xdr:rowOff>133350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4524375" y="1591979"/>
          <a:ext cx="1552575" cy="1017871"/>
          <a:chOff x="2047875" y="1534829"/>
          <a:chExt cx="1552575" cy="1017871"/>
        </a:xfrm>
      </xdr:grpSpPr>
      <xdr:pic macro="[0]!Groupe11_Cliquer"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2047875" y="1534829"/>
            <a:ext cx="1552575" cy="758093"/>
          </a:xfrm>
          <a:prstGeom prst="rect">
            <a:avLst/>
          </a:prstGeom>
        </xdr:spPr>
      </xdr:pic>
      <xdr:sp macro="[0]!Groupe11_Cliquer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2057399" y="2314574"/>
            <a:ext cx="1533525" cy="238126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liste des vins</a:t>
            </a:r>
          </a:p>
        </xdr:txBody>
      </xdr:sp>
    </xdr:grpSp>
    <xdr:clientData/>
  </xdr:twoCellAnchor>
  <xdr:twoCellAnchor>
    <xdr:from>
      <xdr:col>8</xdr:col>
      <xdr:colOff>89595</xdr:colOff>
      <xdr:row>8</xdr:row>
      <xdr:rowOff>104775</xdr:rowOff>
    </xdr:from>
    <xdr:to>
      <xdr:col>10</xdr:col>
      <xdr:colOff>419100</xdr:colOff>
      <xdr:row>13</xdr:row>
      <xdr:rowOff>95249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6185595" y="1628775"/>
          <a:ext cx="1853505" cy="942974"/>
          <a:chOff x="3605007" y="1638300"/>
          <a:chExt cx="1853505" cy="942974"/>
        </a:xfrm>
      </xdr:grpSpPr>
      <xdr:pic macro="[0]!Groupe15_Cliquer">
        <xdr:nvPicPr>
          <xdr:cNvPr id="14" name="Image 13" descr="Résultat de recherche d'images pour &quot;statistique&quot;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05007" y="1638300"/>
            <a:ext cx="1853505" cy="6477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[0]!Groupe15_Cliquer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/>
        </xdr:nvSpPr>
        <xdr:spPr>
          <a:xfrm>
            <a:off x="3914776" y="2362199"/>
            <a:ext cx="1352549" cy="21907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Statistiques</a:t>
            </a:r>
          </a:p>
        </xdr:txBody>
      </xdr:sp>
    </xdr:grpSp>
    <xdr:clientData/>
  </xdr:twoCellAnchor>
  <xdr:twoCellAnchor>
    <xdr:from>
      <xdr:col>6</xdr:col>
      <xdr:colOff>180975</xdr:colOff>
      <xdr:row>5</xdr:row>
      <xdr:rowOff>57150</xdr:rowOff>
    </xdr:from>
    <xdr:to>
      <xdr:col>9</xdr:col>
      <xdr:colOff>742950</xdr:colOff>
      <xdr:row>7</xdr:row>
      <xdr:rowOff>28575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752975" y="1009650"/>
          <a:ext cx="2847975" cy="3524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Recherche</a:t>
          </a:r>
          <a:r>
            <a:rPr lang="fr-FR" sz="2000" b="1" baseline="0">
              <a:solidFill>
                <a:sysClr val="windowText" lastClr="000000"/>
              </a:solidFill>
            </a:rPr>
            <a:t> par filtre</a:t>
          </a:r>
          <a:endParaRPr lang="fr-FR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1</xdr:row>
      <xdr:rowOff>104775</xdr:rowOff>
    </xdr:from>
    <xdr:to>
      <xdr:col>0</xdr:col>
      <xdr:colOff>933449</xdr:colOff>
      <xdr:row>3</xdr:row>
      <xdr:rowOff>152399</xdr:rowOff>
    </xdr:to>
    <xdr:pic macro="[0]!Image1_Cliquer">
      <xdr:nvPicPr>
        <xdr:cNvPr id="2" name="Image 1" descr="Résultat de recherche d'images pour &quot;accueil&quot;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295275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9</xdr:col>
      <xdr:colOff>552450</xdr:colOff>
      <xdr:row>1</xdr:row>
      <xdr:rowOff>95250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19050" y="0"/>
          <a:ext cx="15573375" cy="2809875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304799</xdr:colOff>
      <xdr:row>0</xdr:row>
      <xdr:rowOff>142876</xdr:rowOff>
    </xdr:from>
    <xdr:to>
      <xdr:col>1</xdr:col>
      <xdr:colOff>542925</xdr:colOff>
      <xdr:row>0</xdr:row>
      <xdr:rowOff>2495550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Region">
              <a:extLst>
                <a:ext uri="{FF2B5EF4-FFF2-40B4-BE49-F238E27FC236}">
                  <a16:creationId xmlns:a16="http://schemas.microsoft.com/office/drawing/2014/main" id="{00000000-0008-0000-06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g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799" y="142876"/>
              <a:ext cx="3562351" cy="23526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771524</xdr:colOff>
      <xdr:row>0</xdr:row>
      <xdr:rowOff>152401</xdr:rowOff>
    </xdr:from>
    <xdr:to>
      <xdr:col>2</xdr:col>
      <xdr:colOff>2219325</xdr:colOff>
      <xdr:row>0</xdr:row>
      <xdr:rowOff>2524125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illesime">
              <a:extLst>
                <a:ext uri="{FF2B5EF4-FFF2-40B4-BE49-F238E27FC236}">
                  <a16:creationId xmlns:a16="http://schemas.microsoft.com/office/drawing/2014/main" id="{00000000-0008-0000-06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illesim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95749" y="152401"/>
              <a:ext cx="3600451" cy="23717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2266950</xdr:colOff>
      <xdr:row>0</xdr:row>
      <xdr:rowOff>171450</xdr:rowOff>
    </xdr:from>
    <xdr:to>
      <xdr:col>3</xdr:col>
      <xdr:colOff>847725</xdr:colOff>
      <xdr:row>0</xdr:row>
      <xdr:rowOff>2505075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Couleur">
              <a:extLst>
                <a:ext uri="{FF2B5EF4-FFF2-40B4-BE49-F238E27FC236}">
                  <a16:creationId xmlns:a16="http://schemas.microsoft.com/office/drawing/2014/main" id="{00000000-0008-0000-06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l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43825" y="171450"/>
              <a:ext cx="1200150" cy="2333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904874</xdr:colOff>
      <xdr:row>0</xdr:row>
      <xdr:rowOff>152400</xdr:rowOff>
    </xdr:from>
    <xdr:to>
      <xdr:col>8</xdr:col>
      <xdr:colOff>647700</xdr:colOff>
      <xdr:row>0</xdr:row>
      <xdr:rowOff>2476500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asier">
              <a:extLst>
                <a:ext uri="{FF2B5EF4-FFF2-40B4-BE49-F238E27FC236}">
                  <a16:creationId xmlns:a16="http://schemas.microsoft.com/office/drawing/2014/main" id="{00000000-0008-0000-06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s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001124" y="152400"/>
              <a:ext cx="6305551" cy="2324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428624</xdr:colOff>
      <xdr:row>1</xdr:row>
      <xdr:rowOff>38099</xdr:rowOff>
    </xdr:to>
    <xdr:pic macro="[0]!Image1_Cliquer">
      <xdr:nvPicPr>
        <xdr:cNvPr id="2" name="Image 1" descr="Résultat de recherche d'images pour &quot;accueil&quot;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16.457300578702" createdVersion="6" refreshedVersion="6" minRefreshableVersion="3" recordCount="152" xr:uid="{CF38C6FC-503D-4C43-8CA0-9B8B8B473E11}">
  <cacheSource type="worksheet">
    <worksheetSource name="Tableau3"/>
  </cacheSource>
  <cacheFields count="37">
    <cacheField name="Nom du vin" numFmtId="0">
      <sharedItems count="140">
        <s v="  "/>
        <s v="SAINT-AUBIN 1 er Cru 1987"/>
        <s v="COTES DU JURA  1993"/>
        <s v="VOLNAY  1993"/>
        <s v="PERNAND-VERGELESSES  1994"/>
        <s v="BOURGOGNE  1994"/>
        <s v="HAUTES-COTES DE NUITS  1994"/>
        <s v="CHOREY-LES-BEAUNE  1994"/>
        <s v="PINOT NOIR  1994"/>
        <s v="CHABLIS 1 er Cru 1995"/>
        <s v="POMMARD 1 er Cru 1996"/>
        <s v="PERNAND-VERGELESSES  1997"/>
        <s v="MONTAGNE SAINT-EMILION  1997"/>
        <s v="LES HAUTS D'ESTIAC  1997"/>
        <s v="MOREY-SAINT-DENIS  1998"/>
        <s v="BEAUNE 1 er Cru 1998"/>
        <s v="HAUTES-COTES DE BEAUNE  1998"/>
        <s v="COTES DU JURA  1998"/>
        <s v="MARSANNAY  1999"/>
        <s v="BEAUNE 1 er Cru 1999"/>
        <s v="MARANGES 1 er Cru 1999"/>
        <s v="SAINT-JOSEPH  1999"/>
        <s v="ALOXE-CORTON 1 er Cru 1999"/>
        <s v="HAUTES-COTES DE NUITS  2000"/>
        <s v="FIXIN  2000"/>
        <s v="COTE DE NUITS-VILLAGES  2000"/>
        <s v="NUIT-SAINT-GEORGES  2000"/>
        <s v="L'ETOILE (JURA)  2000"/>
        <s v="HAUTES-COTES DE NUITS  2001"/>
        <s v="BEAUNE 1 er Cru 2001"/>
        <s v="BOURGOGNE  2001"/>
        <s v="BERGERAC  2002"/>
        <s v="MORGON  2003"/>
        <s v="BORDEAUX SUPERIEUR  2003"/>
        <s v="SAVIGNY-LES-BEAUNE  2004"/>
        <s v="BOURGOGNE  2004"/>
        <s v="COTE DU RHONE  2004"/>
        <s v="PATRIMONIO  2004"/>
        <s v="MACON AZE  2005"/>
        <s v="ESPAGNE  2005"/>
        <s v="ARBOIS (JURA)  2005"/>
        <s v="SAVIGNY-LES-BEAUNE  2006"/>
        <s v="MONTHELIE 1 er Cru 2006"/>
        <s v="COTE DU RHONE  2006"/>
        <s v="ALIGOTE  2007"/>
        <s v="MERCUREY  2008"/>
        <s v="ALIGOTE  2008"/>
        <s v="MACON VILLAGE  2008"/>
        <s v="COTE DE NUITS-VILLAGES  2008"/>
        <s v="COTE DU RHONE  2008"/>
        <s v="PATRIMONIO  2008"/>
        <s v="FIXIN  2009"/>
        <s v="SAVIGNY-LES-BEAUNE 1 er Cru 2009"/>
        <s v="SAINT-VERAN  2009"/>
        <s v="RIESLING  2009"/>
        <s v="ESPAGNE  2009"/>
        <s v="COTE DU RHONE  2009"/>
        <s v="CHOREY-LES-BEAUNE  2010"/>
        <s v="IRANCY  2010"/>
        <s v="ALIGOTE  2010"/>
        <s v="COTE DU RHONE  2010"/>
        <s v="COTES DE BORDEAUX  2010"/>
        <s v="CHABLIS-VAILLONS 1 er Cru 2011"/>
        <s v="CORTON Grand Cru 2011"/>
        <s v="CHASSAGNE-MONTRACHET  2011"/>
        <s v="DOURTHE  2011"/>
        <s v="COTEAUX DE L'ARDECHE  2011"/>
        <s v="BOURGOGNE  2012"/>
        <s v="LE LOUVETEAU  2012"/>
        <s v="VACQUEYRAS  2012"/>
        <s v="CHABLIS  2012"/>
        <s v="COTE DU RHONE  2012"/>
        <s v="FIXIN 1 er Cru 2012"/>
        <s v="CHINON  2012"/>
        <s v="BEAUNE 1 er Cru 2012"/>
        <s v="SAUVIGNON  2012"/>
        <s v="SAINT-NICOLAS-DE-BOURGUEIL  2013"/>
        <s v="SAINT-ROMAIN  2013"/>
        <s v="CABERNET SAUVIGNON  2013"/>
        <s v="ALIGOTE  2013"/>
        <s v="BEAUMES DE VENISE  2013"/>
        <s v="BORDEAUX  2013"/>
        <s v="HAUTES-COTES DE BEAUNE  2013"/>
        <s v="AUXEY-DURESSES 1 er Cru 2014"/>
        <s v="IRANCY  2014"/>
        <s v="SAVIGNY-LES-BEAUNE  2014"/>
        <s v="CHARDONNAY  2014"/>
        <s v="ALIGOTE  2014"/>
        <s v="COTE DU RHONE  2014"/>
        <s v="SAVIGNY-LES-BEAUNE 1 er Cru 2014"/>
        <s v="MARSANNAY  2014"/>
        <s v="SAINT-ROMAIN  2014"/>
        <s v="COTES DU ROUSSILLON  2014"/>
        <s v="IRANCY  2015"/>
        <s v="AUXEY-DURESSES  2015"/>
        <s v="CHOREY-LES-BEAUNE  2015"/>
        <s v="CHABLIS 1 er Cru 2015"/>
        <s v="COTE DU RHONE  2015"/>
        <s v="COTE ROTIE les elotins 2015"/>
        <s v="MARANGES  2015"/>
        <s v="CHATEAU MALIJAY  2015"/>
        <s v="MACON PERRONNE  2015"/>
        <s v="COTES DE BORDEAUX  2015"/>
        <s v="COTEAUX VAROIS EN PROVENCE  2015"/>
        <s v="MONTHELIE 1 er Cru 2015"/>
        <s v="PERNAND-VERGELESSES  2015"/>
        <s v="POUILLY-FUISSE  2016"/>
        <s v="MONTAGNY  2016"/>
        <s v="COTES DU JURA  2016"/>
        <s v="COTE DE GASCOGNE  2016"/>
        <s v="ITALIE  2016"/>
        <s v="ARBOIS (JURA)  2016"/>
        <s v="MACON LA ROCHE VINEUSE  2016"/>
        <s v="ALIGOTE  2016"/>
        <s v="COSTIERES DE NIMES  2016"/>
        <s v="HAUTES-COTES DE BEAUNE  2016"/>
        <s v="SAINT-AMOUR  2016"/>
        <s v="GIVRY  2016"/>
        <s v="VIGNERON D'OR  2017"/>
        <s v="SAVIGNY-LES-BEAUNE 1 er Cru 2017"/>
        <s v="PERNAND-VERGELESSES  2017"/>
        <s v="SAINT VERAN  2017"/>
        <s v="ALIGOTE BOUZERON  2017"/>
        <s v="POUILLY-FUISSE  2017"/>
        <s v="SANTENAY  2017"/>
        <s v="CHASSAGNE-MONTRACHET  2017"/>
        <s v="BATARD-MONTRACHET Grand Cru 2018"/>
        <s v="CORTON-CHARLEMAGNE Grand Cru 2018"/>
        <s v="COTE DU RHONE  2018"/>
        <s v="SANCERRE  2018"/>
        <s v="POUILLY-FUISSE  2018"/>
        <s v="NUIT-SAINT-GEORGES  "/>
        <s v="ARBOIS (JURA)  2017"/>
        <s v="ARBOIS (JURA)  2018"/>
        <s v="SAINT-VERAN  2017"/>
        <s v="RULLY 1 er Cru 2017"/>
        <s v="ITALIE  2018"/>
        <s v="CHATEAU MEILLANT  2015"/>
        <s v="GRAND ORDINAIRE  2019" u="1"/>
        <s v="ALIGOTE  1987" u="1"/>
      </sharedItems>
    </cacheField>
    <cacheField name="Region" numFmtId="0">
      <sharedItems containsBlank="1" count="14">
        <m/>
        <s v="BOURGOGNE"/>
        <s v="JURA"/>
        <s v="LANGUEDOC ROUSSILLON"/>
        <s v="BORDEAUX"/>
        <s v="SUD OUEST"/>
        <s v="BEAUJOLAIS"/>
        <s v="COTE DU RHONE"/>
        <s v="CORSE"/>
        <s v="ETRANGER"/>
        <s v="ALSACE"/>
        <s v="AUTRES"/>
        <s v="LOIRE"/>
        <s v="PROVENCE"/>
      </sharedItems>
    </cacheField>
    <cacheField name="Appellation" numFmtId="0">
      <sharedItems containsBlank="1" count="80">
        <m/>
        <s v="SAINT-AUBIN"/>
        <s v="COTES DU JURA"/>
        <s v="VOLNAY"/>
        <s v="PERNAND-VERGELESSES"/>
        <s v="BOURGOGNE"/>
        <s v="HAUTES-COTES DE NUITS"/>
        <s v="CHOREY-LES-BEAUNE"/>
        <s v="PINOT NOIR"/>
        <s v="CHABLIS"/>
        <s v="POMMARD"/>
        <s v="MONTAGNE SAINT-EMILION"/>
        <s v="LES HAUTS D'ESTIAC"/>
        <s v="MOREY-SAINT-DENIS"/>
        <s v="BEAUNE"/>
        <s v="HAUTES-COTES DE BEAUNE"/>
        <s v="MARSANNAY"/>
        <s v="MARANGES"/>
        <s v="SAINT-JOSEPH"/>
        <s v="ALOXE-CORTON"/>
        <s v="FIXIN"/>
        <s v="COTE DE NUITS-VILLAGES"/>
        <s v="NUIT-SAINT-GEORGES"/>
        <s v="L'ETOILE (JURA)"/>
        <s v="BERGERAC"/>
        <s v="MORGON"/>
        <s v="BORDEAUX SUPERIEUR"/>
        <s v="SAVIGNY-LES-BEAUNE"/>
        <s v="COTE DU RHONE"/>
        <s v="PATRIMONIO"/>
        <s v="MACON AZE"/>
        <s v="ESPAGNE"/>
        <s v="ARBOIS (JURA)"/>
        <s v="MONTHELIE"/>
        <s v="ALIGOTE"/>
        <s v="MERCUREY"/>
        <s v="MACON VILLAGE"/>
        <s v="SAINT-VERAN"/>
        <s v="RIESLING"/>
        <s v="IRANCY"/>
        <s v="COTES DE BORDEAUX"/>
        <s v="CHABLIS-VAILLONS"/>
        <s v="CORTON"/>
        <s v="CHASSAGNE-MONTRACHET"/>
        <s v="DOURTHE"/>
        <s v="COTEAUX DE L'ARDECHE"/>
        <s v="LE LOUVETEAU"/>
        <s v="VACQUEYRAS"/>
        <s v="CHINON"/>
        <s v="SAUVIGNON"/>
        <s v="SAINT-NICOLAS-DE-BOURGUEIL"/>
        <s v="SAINT-ROMAIN"/>
        <s v="CABERNET SAUVIGNON"/>
        <s v="BEAUMES DE VENISE"/>
        <s v="BORDEAUX"/>
        <s v="AUXEY-DURESSES"/>
        <s v="CHARDONNAY"/>
        <s v="COTES DU ROUSSILLON"/>
        <s v="COTE ROTIE"/>
        <s v="CHATEAU MALIJAY"/>
        <s v="MACON PERRONNE"/>
        <s v="COTEAUX VAROIS EN PROVENCE"/>
        <s v="POUILLY-FUISSE"/>
        <s v="MONTAGNY"/>
        <s v="COTE DE GASCOGNE"/>
        <s v="ITALIE"/>
        <s v="MACON LA ROCHE VINEUSE"/>
        <s v="COSTIERES DE NIMES"/>
        <s v="SAINT-AMOUR"/>
        <s v="GIVRY"/>
        <s v="VIGNERON D'OR"/>
        <s v="SAINT VERAN"/>
        <s v="ALIGOTE BOUZERON"/>
        <s v="SANTENAY"/>
        <s v="BATARD-MONTRACHET"/>
        <s v="CORTON-CHARLEMAGNE"/>
        <s v="SANCERRE"/>
        <s v="RULLY"/>
        <s v="CHATEAU MEILLANT"/>
        <s v="GRAND ORDINAIRE" u="1"/>
      </sharedItems>
    </cacheField>
    <cacheField name="Classé" numFmtId="0">
      <sharedItems containsBlank="1" count="4">
        <m/>
        <s v="1 er Cru"/>
        <s v="Grand Cru"/>
        <s v="les elotins"/>
      </sharedItems>
    </cacheField>
    <cacheField name="Millesime" numFmtId="0">
      <sharedItems containsString="0" containsBlank="1" containsNumber="1" containsInteger="1" minValue="1987" maxValue="2019" count="29">
        <m/>
        <n v="1987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 u="1"/>
      </sharedItems>
    </cacheField>
    <cacheField name="Couleur" numFmtId="0">
      <sharedItems containsBlank="1" count="4">
        <m/>
        <s v="Blanc"/>
        <s v="Rouge"/>
        <s v="Rosé"/>
      </sharedItems>
    </cacheField>
    <cacheField name="Quantité" numFmtId="0">
      <sharedItems containsString="0" containsBlank="1" containsNumber="1" containsInteger="1" minValue="1" maxValue="12"/>
    </cacheField>
    <cacheField name="Casier" numFmtId="0">
      <sharedItems containsBlank="1" containsMixedTypes="1" containsNumber="1" containsInteger="1" minValue="14" maxValue="14" count="57">
        <m/>
        <s v="B1"/>
        <s v="E4"/>
        <s v="B2"/>
        <s v="C10"/>
        <s v="A4"/>
        <s v="B3"/>
        <s v="A2"/>
        <s v="A5"/>
        <s v="D7"/>
        <s v="A10"/>
        <s v="D2"/>
        <s v="B7"/>
        <s v="B8"/>
        <s v="E1"/>
        <s v="B9"/>
        <s v="B5"/>
        <s v="C1"/>
        <s v="E2"/>
        <s v="A9"/>
        <s v="A11"/>
        <s v="A1"/>
        <s v="E6"/>
        <s v="D4"/>
        <s v="B4"/>
        <s v="C3"/>
        <s v="C8"/>
        <s v="E3"/>
        <s v="D1"/>
        <s v="E10"/>
        <s v="A7"/>
        <s v="A8"/>
        <s v="C6"/>
        <s v="A3"/>
        <s v="A6"/>
        <s v="C7"/>
        <s v="C4"/>
        <s v="D5"/>
        <s v="D9"/>
        <s v="D10"/>
        <s v="E7"/>
        <s v="E9"/>
        <s v="C9"/>
        <s v="D3"/>
        <s v="E5"/>
        <s v="D8"/>
        <s v="D11"/>
        <s v="E8"/>
        <s v="E12"/>
        <s v="E11"/>
        <s v="E13"/>
        <s v="E15"/>
        <s v="C2"/>
        <s v="B6"/>
        <s v="D6"/>
        <s v="C5"/>
        <n v="14"/>
      </sharedItems>
    </cacheField>
    <cacheField name="Prix d'achat" numFmtId="0">
      <sharedItems containsNonDate="0" containsString="0" containsBlank="1"/>
    </cacheField>
    <cacheField name="A consommer à partir de " numFmtId="0">
      <sharedItems containsString="0" containsBlank="1" containsNumber="1" containsInteger="1" minValue="2022" maxValue="2023"/>
    </cacheField>
    <cacheField name="Climat ou Nom" numFmtId="0">
      <sharedItems containsBlank="1"/>
    </cacheField>
    <cacheField name="Domaine" numFmtId="0">
      <sharedItems containsBlank="1"/>
    </cacheField>
    <cacheField name="Adresse" numFmtId="0">
      <sharedItems containsBlank="1"/>
    </cacheField>
    <cacheField name="Code postal" numFmtId="0">
      <sharedItems containsString="0" containsBlank="1" containsNumber="1" containsInteger="1" minValue="21" maxValue="89580"/>
    </cacheField>
    <cacheField name="Ville" numFmtId="0">
      <sharedItems containsBlank="1"/>
    </cacheField>
    <cacheField name="Telephone" numFmtId="0">
      <sharedItems containsBlank="1" containsMixedTypes="1" containsNumber="1" containsInteger="1" minValue="248692714" maxValue="248692714"/>
    </cacheField>
    <cacheField name="Mail" numFmtId="0">
      <sharedItems containsBlank="1"/>
    </cacheField>
    <cacheField name="Site internet" numFmtId="0">
      <sharedItems containsBlank="1"/>
    </cacheField>
    <cacheField name="descriptif" numFmtId="0">
      <sharedItems containsNonDate="0" containsString="0" containsBlank="1"/>
    </cacheField>
    <cacheField name="N° ligne" numFmtId="0">
      <sharedItems containsSemiMixedTypes="0" containsString="0" containsNumber="1" containsInteger="1" minValue="0" maxValue="151"/>
    </cacheField>
    <cacheField name="nom image" numFmtId="0">
      <sharedItems/>
    </cacheField>
    <cacheField name="Chemin d'acces" numFmtId="0">
      <sharedItems/>
    </cacheField>
    <cacheField name="Colonne1" numFmtId="0">
      <sharedItems containsNonDate="0" containsString="0" containsBlank="1"/>
    </cacheField>
    <cacheField name="Test 1" numFmtId="0">
      <sharedItems/>
    </cacheField>
    <cacheField name="Test2" numFmtId="0">
      <sharedItems/>
    </cacheField>
    <cacheField name="Test3" numFmtId="0">
      <sharedItems/>
    </cacheField>
    <cacheField name="Test4" numFmtId="0">
      <sharedItems/>
    </cacheField>
    <cacheField name="test all" numFmtId="0">
      <sharedItems/>
    </cacheField>
    <cacheField name="Colonne2" numFmtId="0">
      <sharedItems containsNonDate="0" containsString="0" containsBlank="1"/>
    </cacheField>
    <cacheField name="Calcul 1" numFmtId="0">
      <sharedItems/>
    </cacheField>
    <cacheField name="Calcul 2" numFmtId="0">
      <sharedItems/>
    </cacheField>
    <cacheField name="Colonne3" numFmtId="0">
      <sharedItems containsNonDate="0" containsString="0" containsBlank="1"/>
    </cacheField>
    <cacheField name="Colonne4" numFmtId="0">
      <sharedItems containsNonDate="0" containsString="0" containsBlank="1"/>
    </cacheField>
    <cacheField name="Colonne5" numFmtId="0">
      <sharedItems containsNonDate="0" containsString="0" containsBlank="1"/>
    </cacheField>
    <cacheField name="Colonne6" numFmtId="0">
      <sharedItems containsNonDate="0" containsString="0" containsBlank="1"/>
    </cacheField>
    <cacheField name="Colonne7" numFmtId="0">
      <sharedItems containsNonDate="0" containsString="0" containsBlank="1"/>
    </cacheField>
    <cacheField name="Colonne8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36697196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x v="0"/>
    <x v="0"/>
    <x v="0"/>
    <x v="0"/>
    <x v="0"/>
    <m/>
    <x v="0"/>
    <m/>
    <m/>
    <m/>
    <m/>
    <m/>
    <m/>
    <m/>
    <m/>
    <m/>
    <m/>
    <m/>
    <n v="0"/>
    <s v="0.jpg"/>
    <s v="0.jpg"/>
    <m/>
    <b v="0"/>
    <b v="1"/>
    <b v="0"/>
    <b v="0"/>
    <b v="0"/>
    <m/>
    <s v=""/>
    <s v=""/>
    <m/>
    <m/>
    <m/>
    <m/>
    <m/>
    <m/>
  </r>
  <r>
    <x v="1"/>
    <x v="1"/>
    <x v="1"/>
    <x v="1"/>
    <x v="1"/>
    <x v="1"/>
    <n v="1"/>
    <x v="1"/>
    <m/>
    <m/>
    <s v="le charmois"/>
    <s v="DU PIMONT"/>
    <m/>
    <n v="21190"/>
    <s v="MEURSAULT"/>
    <m/>
    <m/>
    <m/>
    <m/>
    <n v="1"/>
    <s v="1.jpg"/>
    <s v="1.jpg"/>
    <m/>
    <b v="0"/>
    <b v="1"/>
    <b v="0"/>
    <b v="0"/>
    <b v="0"/>
    <m/>
    <s v=""/>
    <s v=""/>
    <m/>
    <m/>
    <m/>
    <m/>
    <m/>
    <m/>
  </r>
  <r>
    <x v="2"/>
    <x v="2"/>
    <x v="2"/>
    <x v="0"/>
    <x v="2"/>
    <x v="1"/>
    <n v="1"/>
    <x v="1"/>
    <m/>
    <m/>
    <m/>
    <s v="XAVIER REVERCHON"/>
    <m/>
    <m/>
    <s v="POLIGNY"/>
    <m/>
    <m/>
    <m/>
    <m/>
    <n v="2"/>
    <s v="2.jpg"/>
    <s v="2.jpg"/>
    <m/>
    <b v="0"/>
    <b v="1"/>
    <b v="0"/>
    <b v="0"/>
    <b v="0"/>
    <m/>
    <s v=""/>
    <s v=""/>
    <m/>
    <m/>
    <m/>
    <m/>
    <m/>
    <m/>
  </r>
  <r>
    <x v="3"/>
    <x v="1"/>
    <x v="3"/>
    <x v="0"/>
    <x v="2"/>
    <x v="2"/>
    <n v="1"/>
    <x v="1"/>
    <m/>
    <m/>
    <m/>
    <s v="CLAUDE SAINSON ROSSIGNOL"/>
    <m/>
    <m/>
    <s v="VOLNAY"/>
    <m/>
    <m/>
    <m/>
    <m/>
    <n v="3"/>
    <s v="3.jpg"/>
    <s v="3.jpg"/>
    <m/>
    <b v="0"/>
    <b v="1"/>
    <b v="0"/>
    <b v="0"/>
    <b v="0"/>
    <m/>
    <s v=""/>
    <s v=""/>
    <m/>
    <m/>
    <m/>
    <m/>
    <m/>
    <m/>
  </r>
  <r>
    <x v="4"/>
    <x v="1"/>
    <x v="4"/>
    <x v="0"/>
    <x v="3"/>
    <x v="2"/>
    <n v="2"/>
    <x v="1"/>
    <m/>
    <m/>
    <m/>
    <s v="ROLLIN PERE &amp; FILS"/>
    <m/>
    <m/>
    <s v="PERNAND-VERGELESS"/>
    <m/>
    <m/>
    <m/>
    <m/>
    <n v="4"/>
    <s v="4.jpg"/>
    <s v="4.jpg"/>
    <m/>
    <b v="0"/>
    <b v="1"/>
    <b v="0"/>
    <b v="0"/>
    <b v="0"/>
    <m/>
    <s v=""/>
    <s v=""/>
    <m/>
    <m/>
    <m/>
    <m/>
    <m/>
    <m/>
  </r>
  <r>
    <x v="5"/>
    <x v="1"/>
    <x v="5"/>
    <x v="0"/>
    <x v="3"/>
    <x v="2"/>
    <n v="1"/>
    <x v="1"/>
    <m/>
    <m/>
    <m/>
    <s v="CLAUDE SAINSON ROSSIGNOL"/>
    <m/>
    <m/>
    <s v="VOLNAY"/>
    <m/>
    <m/>
    <m/>
    <m/>
    <n v="5"/>
    <s v="5.jpg"/>
    <s v="5.jpg"/>
    <m/>
    <b v="0"/>
    <b v="1"/>
    <b v="0"/>
    <b v="0"/>
    <b v="0"/>
    <m/>
    <s v=""/>
    <s v=""/>
    <m/>
    <m/>
    <m/>
    <m/>
    <m/>
    <m/>
  </r>
  <r>
    <x v="6"/>
    <x v="1"/>
    <x v="6"/>
    <x v="0"/>
    <x v="3"/>
    <x v="1"/>
    <n v="1"/>
    <x v="1"/>
    <m/>
    <m/>
    <s v="les jiromees"/>
    <s v="DE MONTMAIN"/>
    <m/>
    <m/>
    <s v="VILLARS FONTAINE"/>
    <m/>
    <m/>
    <m/>
    <m/>
    <n v="6"/>
    <s v="6.jpg"/>
    <s v="6.jpg"/>
    <m/>
    <b v="0"/>
    <b v="1"/>
    <b v="0"/>
    <b v="0"/>
    <b v="0"/>
    <m/>
    <s v=""/>
    <s v=""/>
    <m/>
    <m/>
    <m/>
    <m/>
    <m/>
    <m/>
  </r>
  <r>
    <x v="7"/>
    <x v="1"/>
    <x v="7"/>
    <x v="0"/>
    <x v="3"/>
    <x v="2"/>
    <n v="1"/>
    <x v="1"/>
    <m/>
    <m/>
    <m/>
    <s v="ROLLIN PERE &amp; FILS"/>
    <m/>
    <m/>
    <s v="PERNAND VERGELESSE"/>
    <m/>
    <m/>
    <m/>
    <m/>
    <n v="7"/>
    <s v="7.jpg"/>
    <s v="7.jpg"/>
    <m/>
    <b v="0"/>
    <b v="1"/>
    <b v="0"/>
    <b v="0"/>
    <b v="0"/>
    <m/>
    <s v=""/>
    <s v=""/>
    <m/>
    <m/>
    <m/>
    <m/>
    <m/>
    <m/>
  </r>
  <r>
    <x v="8"/>
    <x v="3"/>
    <x v="8"/>
    <x v="0"/>
    <x v="3"/>
    <x v="2"/>
    <n v="1"/>
    <x v="1"/>
    <m/>
    <m/>
    <s v="HUGUES LE JUSTE"/>
    <m/>
    <m/>
    <m/>
    <m/>
    <m/>
    <m/>
    <m/>
    <m/>
    <n v="8"/>
    <s v="8.jpg"/>
    <s v="8.jpg"/>
    <m/>
    <b v="0"/>
    <b v="1"/>
    <b v="0"/>
    <b v="0"/>
    <b v="0"/>
    <m/>
    <s v=""/>
    <s v=""/>
    <m/>
    <m/>
    <m/>
    <m/>
    <m/>
    <m/>
  </r>
  <r>
    <x v="9"/>
    <x v="1"/>
    <x v="9"/>
    <x v="1"/>
    <x v="4"/>
    <x v="1"/>
    <n v="1"/>
    <x v="1"/>
    <m/>
    <m/>
    <s v="montee de tonnerre"/>
    <m/>
    <m/>
    <m/>
    <m/>
    <m/>
    <m/>
    <m/>
    <m/>
    <n v="9"/>
    <s v="9.jpg"/>
    <s v="9.jpg"/>
    <m/>
    <b v="0"/>
    <b v="1"/>
    <b v="0"/>
    <b v="0"/>
    <b v="0"/>
    <m/>
    <s v=""/>
    <s v=""/>
    <m/>
    <m/>
    <m/>
    <m/>
    <m/>
    <m/>
  </r>
  <r>
    <x v="10"/>
    <x v="1"/>
    <x v="10"/>
    <x v="1"/>
    <x v="5"/>
    <x v="2"/>
    <n v="1"/>
    <x v="1"/>
    <m/>
    <m/>
    <s v="les combes dessus"/>
    <s v="JEAN CLAUDE CLUZEAUD"/>
    <m/>
    <m/>
    <s v="VOLNAY"/>
    <m/>
    <m/>
    <m/>
    <m/>
    <n v="10"/>
    <s v="10.jpg"/>
    <s v="10.jpg"/>
    <m/>
    <b v="0"/>
    <b v="1"/>
    <b v="0"/>
    <b v="0"/>
    <b v="0"/>
    <m/>
    <s v=""/>
    <s v=""/>
    <m/>
    <m/>
    <m/>
    <m/>
    <m/>
    <m/>
  </r>
  <r>
    <x v="11"/>
    <x v="1"/>
    <x v="4"/>
    <x v="0"/>
    <x v="6"/>
    <x v="2"/>
    <n v="1"/>
    <x v="1"/>
    <m/>
    <m/>
    <s v="LES BELLES FILLES"/>
    <s v="PIERRE MAREY ET FILS"/>
    <m/>
    <m/>
    <s v="PERNAND VERGELESSES"/>
    <m/>
    <m/>
    <m/>
    <m/>
    <n v="11"/>
    <s v="11.jpg"/>
    <s v="11.jpg"/>
    <m/>
    <b v="0"/>
    <b v="1"/>
    <b v="0"/>
    <b v="0"/>
    <b v="0"/>
    <m/>
    <s v=""/>
    <s v=""/>
    <m/>
    <m/>
    <m/>
    <m/>
    <m/>
    <m/>
  </r>
  <r>
    <x v="12"/>
    <x v="4"/>
    <x v="11"/>
    <x v="0"/>
    <x v="6"/>
    <x v="2"/>
    <n v="1"/>
    <x v="1"/>
    <m/>
    <m/>
    <m/>
    <s v="DEMURES FRERES"/>
    <m/>
    <m/>
    <s v="MONTAGNE"/>
    <m/>
    <m/>
    <m/>
    <m/>
    <n v="12"/>
    <s v="12.jpg"/>
    <s v="12.jpg"/>
    <m/>
    <b v="0"/>
    <b v="1"/>
    <b v="0"/>
    <b v="0"/>
    <b v="0"/>
    <m/>
    <s v=""/>
    <s v=""/>
    <m/>
    <m/>
    <m/>
    <m/>
    <m/>
    <m/>
  </r>
  <r>
    <x v="13"/>
    <x v="4"/>
    <x v="12"/>
    <x v="0"/>
    <x v="6"/>
    <x v="1"/>
    <n v="1"/>
    <x v="2"/>
    <m/>
    <m/>
    <m/>
    <m/>
    <m/>
    <m/>
    <m/>
    <m/>
    <m/>
    <m/>
    <m/>
    <n v="13"/>
    <s v="13.jpg"/>
    <s v="13.jpg"/>
    <m/>
    <b v="0"/>
    <b v="1"/>
    <b v="0"/>
    <b v="0"/>
    <b v="0"/>
    <m/>
    <s v=""/>
    <s v=""/>
    <m/>
    <m/>
    <m/>
    <m/>
    <m/>
    <m/>
  </r>
  <r>
    <x v="14"/>
    <x v="1"/>
    <x v="13"/>
    <x v="0"/>
    <x v="7"/>
    <x v="2"/>
    <n v="1"/>
    <x v="3"/>
    <m/>
    <m/>
    <m/>
    <s v="ALEXANDRE LOISEAU"/>
    <m/>
    <m/>
    <m/>
    <m/>
    <m/>
    <m/>
    <m/>
    <n v="14"/>
    <s v="14.jpg"/>
    <s v="14.jpg"/>
    <m/>
    <b v="0"/>
    <b v="1"/>
    <b v="0"/>
    <b v="0"/>
    <b v="0"/>
    <m/>
    <s v=""/>
    <s v=""/>
    <m/>
    <m/>
    <m/>
    <m/>
    <m/>
    <m/>
  </r>
  <r>
    <x v="15"/>
    <x v="1"/>
    <x v="14"/>
    <x v="1"/>
    <x v="7"/>
    <x v="2"/>
    <n v="1"/>
    <x v="3"/>
    <m/>
    <m/>
    <s v="clos de l'eclu"/>
    <s v="ALEXANDRE LOISEAU"/>
    <m/>
    <m/>
    <m/>
    <m/>
    <m/>
    <m/>
    <m/>
    <n v="15"/>
    <s v="15.jpg"/>
    <s v="15.jpg"/>
    <m/>
    <b v="0"/>
    <b v="1"/>
    <b v="0"/>
    <b v="0"/>
    <b v="0"/>
    <m/>
    <s v=""/>
    <s v=""/>
    <m/>
    <m/>
    <m/>
    <m/>
    <m/>
    <m/>
  </r>
  <r>
    <x v="16"/>
    <x v="1"/>
    <x v="15"/>
    <x v="0"/>
    <x v="7"/>
    <x v="2"/>
    <n v="1"/>
    <x v="3"/>
    <m/>
    <m/>
    <m/>
    <s v="JM NAUDIN"/>
    <m/>
    <n v="21640"/>
    <s v="VOUGEOT"/>
    <m/>
    <m/>
    <m/>
    <m/>
    <n v="16"/>
    <s v="16.jpg"/>
    <s v="16.jpg"/>
    <m/>
    <b v="0"/>
    <b v="1"/>
    <b v="0"/>
    <b v="0"/>
    <b v="0"/>
    <m/>
    <s v=""/>
    <s v=""/>
    <m/>
    <m/>
    <m/>
    <m/>
    <m/>
    <m/>
  </r>
  <r>
    <x v="17"/>
    <x v="2"/>
    <x v="2"/>
    <x v="0"/>
    <x v="7"/>
    <x v="2"/>
    <n v="1"/>
    <x v="4"/>
    <m/>
    <m/>
    <m/>
    <s v="AUGUSTE PIROU"/>
    <m/>
    <m/>
    <m/>
    <m/>
    <m/>
    <m/>
    <m/>
    <n v="17"/>
    <s v="17.jpg"/>
    <s v="17.jpg"/>
    <m/>
    <b v="0"/>
    <b v="1"/>
    <b v="0"/>
    <b v="0"/>
    <b v="0"/>
    <m/>
    <s v=""/>
    <s v=""/>
    <m/>
    <m/>
    <m/>
    <m/>
    <m/>
    <m/>
  </r>
  <r>
    <x v="18"/>
    <x v="1"/>
    <x v="16"/>
    <x v="0"/>
    <x v="8"/>
    <x v="2"/>
    <n v="2"/>
    <x v="5"/>
    <m/>
    <m/>
    <m/>
    <s v="HERVE CHARLOPIN"/>
    <m/>
    <n v="21260"/>
    <s v="MARSANNAY"/>
    <m/>
    <m/>
    <m/>
    <m/>
    <n v="18"/>
    <s v="18.jpg"/>
    <s v="18.jpg"/>
    <m/>
    <b v="0"/>
    <b v="1"/>
    <b v="0"/>
    <b v="0"/>
    <b v="0"/>
    <m/>
    <s v=""/>
    <s v=""/>
    <m/>
    <m/>
    <m/>
    <m/>
    <m/>
    <m/>
  </r>
  <r>
    <x v="19"/>
    <x v="1"/>
    <x v="14"/>
    <x v="1"/>
    <x v="8"/>
    <x v="2"/>
    <n v="2"/>
    <x v="3"/>
    <m/>
    <m/>
    <m/>
    <s v="PATRICK CLEMENCET"/>
    <m/>
    <n v="21630"/>
    <s v="POMMARD"/>
    <m/>
    <m/>
    <m/>
    <m/>
    <n v="19"/>
    <s v="19.jpg"/>
    <s v="19.jpg"/>
    <m/>
    <b v="0"/>
    <b v="1"/>
    <b v="0"/>
    <b v="0"/>
    <b v="0"/>
    <m/>
    <s v=""/>
    <s v=""/>
    <m/>
    <m/>
    <m/>
    <m/>
    <m/>
    <m/>
  </r>
  <r>
    <x v="20"/>
    <x v="1"/>
    <x v="17"/>
    <x v="1"/>
    <x v="8"/>
    <x v="2"/>
    <n v="1"/>
    <x v="3"/>
    <m/>
    <m/>
    <s v="la fussiere"/>
    <s v="DES TROIS MONTS"/>
    <m/>
    <n v="71510"/>
    <s v="ST SERNIN DU PLAN"/>
    <m/>
    <m/>
    <m/>
    <m/>
    <n v="20"/>
    <s v="20.jpg"/>
    <s v="20.jpg"/>
    <m/>
    <b v="0"/>
    <b v="1"/>
    <b v="0"/>
    <b v="0"/>
    <b v="0"/>
    <m/>
    <s v=""/>
    <s v=""/>
    <m/>
    <m/>
    <m/>
    <m/>
    <m/>
    <m/>
  </r>
  <r>
    <x v="21"/>
    <x v="1"/>
    <x v="18"/>
    <x v="0"/>
    <x v="8"/>
    <x v="2"/>
    <n v="1"/>
    <x v="3"/>
    <m/>
    <m/>
    <m/>
    <s v="ALEXANDRE LOISEAU"/>
    <m/>
    <m/>
    <m/>
    <m/>
    <m/>
    <m/>
    <m/>
    <n v="21"/>
    <s v="21.jpg"/>
    <s v="21.jpg"/>
    <m/>
    <b v="0"/>
    <b v="1"/>
    <b v="0"/>
    <b v="0"/>
    <b v="0"/>
    <m/>
    <s v=""/>
    <s v=""/>
    <m/>
    <m/>
    <m/>
    <m/>
    <m/>
    <m/>
  </r>
  <r>
    <x v="22"/>
    <x v="1"/>
    <x v="19"/>
    <x v="1"/>
    <x v="8"/>
    <x v="2"/>
    <n v="4"/>
    <x v="6"/>
    <m/>
    <m/>
    <s v="la coutiere"/>
    <s v="PATRICK CLEMENCET"/>
    <m/>
    <n v="21"/>
    <s v="POMMARD"/>
    <m/>
    <m/>
    <m/>
    <m/>
    <n v="22"/>
    <s v="22.jpg"/>
    <s v="22.jpg"/>
    <m/>
    <b v="0"/>
    <b v="1"/>
    <b v="0"/>
    <b v="0"/>
    <b v="0"/>
    <m/>
    <s v=""/>
    <s v=""/>
    <m/>
    <m/>
    <m/>
    <m/>
    <m/>
    <m/>
  </r>
  <r>
    <x v="23"/>
    <x v="1"/>
    <x v="6"/>
    <x v="0"/>
    <x v="9"/>
    <x v="2"/>
    <n v="9"/>
    <x v="7"/>
    <m/>
    <m/>
    <m/>
    <s v="MONTMAIN"/>
    <m/>
    <m/>
    <m/>
    <s v="03 80 62 31 94"/>
    <m/>
    <s v="www.domainemontmain.fr"/>
    <m/>
    <n v="23"/>
    <s v="23.jpg"/>
    <s v="23.jpg"/>
    <m/>
    <b v="0"/>
    <b v="1"/>
    <b v="0"/>
    <b v="0"/>
    <b v="0"/>
    <m/>
    <s v=""/>
    <s v=""/>
    <m/>
    <m/>
    <m/>
    <m/>
    <m/>
    <m/>
  </r>
  <r>
    <x v="24"/>
    <x v="1"/>
    <x v="20"/>
    <x v="0"/>
    <x v="9"/>
    <x v="2"/>
    <n v="3"/>
    <x v="8"/>
    <m/>
    <m/>
    <m/>
    <s v="HERVE CHARLOPIN"/>
    <m/>
    <n v="21260"/>
    <s v="MARSANNAY"/>
    <m/>
    <m/>
    <m/>
    <m/>
    <n v="24"/>
    <s v="24.jpg"/>
    <s v="24.jpg"/>
    <m/>
    <b v="0"/>
    <b v="1"/>
    <b v="0"/>
    <b v="0"/>
    <b v="0"/>
    <m/>
    <s v=""/>
    <s v=""/>
    <m/>
    <m/>
    <m/>
    <m/>
    <m/>
    <m/>
  </r>
  <r>
    <x v="25"/>
    <x v="1"/>
    <x v="21"/>
    <x v="0"/>
    <x v="9"/>
    <x v="2"/>
    <n v="1"/>
    <x v="3"/>
    <m/>
    <m/>
    <m/>
    <s v="HERVE CHARLOPIN"/>
    <m/>
    <n v="21160"/>
    <s v="MARSANNAY LA COTE"/>
    <m/>
    <m/>
    <m/>
    <m/>
    <n v="25"/>
    <s v="25.jpg"/>
    <s v="25.jpg"/>
    <m/>
    <b v="0"/>
    <b v="1"/>
    <b v="0"/>
    <b v="0"/>
    <b v="0"/>
    <m/>
    <s v=""/>
    <s v=""/>
    <m/>
    <m/>
    <m/>
    <m/>
    <m/>
    <m/>
  </r>
  <r>
    <x v="26"/>
    <x v="1"/>
    <x v="22"/>
    <x v="0"/>
    <x v="9"/>
    <x v="2"/>
    <n v="1"/>
    <x v="3"/>
    <m/>
    <m/>
    <s v="les poisets"/>
    <m/>
    <m/>
    <m/>
    <m/>
    <m/>
    <m/>
    <m/>
    <m/>
    <n v="26"/>
    <s v="26.jpg"/>
    <s v="26.jpg"/>
    <m/>
    <b v="0"/>
    <b v="1"/>
    <b v="0"/>
    <b v="0"/>
    <b v="0"/>
    <m/>
    <s v=""/>
    <s v=""/>
    <m/>
    <m/>
    <m/>
    <m/>
    <m/>
    <m/>
  </r>
  <r>
    <x v="27"/>
    <x v="2"/>
    <x v="23"/>
    <x v="0"/>
    <x v="9"/>
    <x v="1"/>
    <n v="1"/>
    <x v="3"/>
    <m/>
    <m/>
    <m/>
    <s v="JEAN YVES VAPILLON"/>
    <s v="120 route de marconay"/>
    <n v="39000"/>
    <s v="LONS LE SAUNIER"/>
    <m/>
    <m/>
    <m/>
    <m/>
    <n v="27"/>
    <s v="27.jpg"/>
    <s v="27.jpg"/>
    <m/>
    <b v="0"/>
    <b v="1"/>
    <b v="0"/>
    <b v="0"/>
    <b v="0"/>
    <m/>
    <s v=""/>
    <s v=""/>
    <m/>
    <m/>
    <m/>
    <m/>
    <m/>
    <m/>
  </r>
  <r>
    <x v="23"/>
    <x v="1"/>
    <x v="6"/>
    <x v="0"/>
    <x v="9"/>
    <x v="1"/>
    <n v="3"/>
    <x v="9"/>
    <m/>
    <m/>
    <s v="le rouard"/>
    <s v="MONTMAIN"/>
    <m/>
    <n v="21"/>
    <s v="VILLARD FONTAINE"/>
    <m/>
    <m/>
    <m/>
    <m/>
    <n v="28"/>
    <s v="28.jpg"/>
    <s v="28.jpg"/>
    <m/>
    <b v="0"/>
    <b v="1"/>
    <b v="0"/>
    <b v="0"/>
    <b v="0"/>
    <m/>
    <s v=""/>
    <s v=""/>
    <m/>
    <m/>
    <m/>
    <m/>
    <m/>
    <m/>
  </r>
  <r>
    <x v="28"/>
    <x v="1"/>
    <x v="6"/>
    <x v="0"/>
    <x v="10"/>
    <x v="2"/>
    <n v="3"/>
    <x v="10"/>
    <m/>
    <m/>
    <m/>
    <s v="MONTMAIN"/>
    <m/>
    <m/>
    <s v="VILLARS FONTAINE"/>
    <s v="03 80 62 31 94"/>
    <m/>
    <s v="www.domainedemontmain.fr"/>
    <m/>
    <n v="29"/>
    <s v="29.jpg"/>
    <s v="29.jpg"/>
    <m/>
    <b v="0"/>
    <b v="1"/>
    <b v="0"/>
    <b v="0"/>
    <b v="0"/>
    <m/>
    <s v=""/>
    <s v=""/>
    <m/>
    <m/>
    <m/>
    <m/>
    <m/>
    <m/>
  </r>
  <r>
    <x v="29"/>
    <x v="1"/>
    <x v="14"/>
    <x v="1"/>
    <x v="10"/>
    <x v="2"/>
    <n v="1"/>
    <x v="3"/>
    <m/>
    <m/>
    <s v="les avaux"/>
    <s v="GUILLEMARD POTHIER"/>
    <m/>
    <n v="21"/>
    <s v="MELOISEY"/>
    <m/>
    <m/>
    <m/>
    <m/>
    <n v="30"/>
    <s v="30.jpg"/>
    <s v="30.jpg"/>
    <m/>
    <b v="0"/>
    <b v="1"/>
    <b v="0"/>
    <b v="0"/>
    <b v="0"/>
    <m/>
    <s v=""/>
    <s v=""/>
    <m/>
    <m/>
    <m/>
    <m/>
    <m/>
    <m/>
  </r>
  <r>
    <x v="30"/>
    <x v="1"/>
    <x v="5"/>
    <x v="0"/>
    <x v="10"/>
    <x v="2"/>
    <n v="1"/>
    <x v="3"/>
    <m/>
    <m/>
    <s v="hospices de nuits st georges"/>
    <m/>
    <m/>
    <m/>
    <m/>
    <m/>
    <m/>
    <m/>
    <m/>
    <n v="31"/>
    <s v="31.jpg"/>
    <s v="31.jpg"/>
    <m/>
    <b v="0"/>
    <b v="1"/>
    <b v="0"/>
    <b v="0"/>
    <b v="0"/>
    <m/>
    <s v=""/>
    <s v=""/>
    <m/>
    <m/>
    <m/>
    <m/>
    <m/>
    <m/>
  </r>
  <r>
    <x v="28"/>
    <x v="1"/>
    <x v="6"/>
    <x v="0"/>
    <x v="10"/>
    <x v="1"/>
    <n v="4"/>
    <x v="11"/>
    <m/>
    <m/>
    <s v="le rouard"/>
    <s v="CHATEAU DE VILLARD FONTAINE"/>
    <m/>
    <n v="21"/>
    <m/>
    <m/>
    <m/>
    <m/>
    <m/>
    <n v="32"/>
    <s v="32.jpg"/>
    <s v="32.jpg"/>
    <m/>
    <b v="0"/>
    <b v="1"/>
    <b v="0"/>
    <b v="0"/>
    <b v="0"/>
    <m/>
    <s v=""/>
    <s v=""/>
    <m/>
    <m/>
    <m/>
    <m/>
    <m/>
    <m/>
  </r>
  <r>
    <x v="31"/>
    <x v="5"/>
    <x v="24"/>
    <x v="0"/>
    <x v="11"/>
    <x v="2"/>
    <n v="1"/>
    <x v="3"/>
    <m/>
    <m/>
    <m/>
    <s v="GRAND BOISSE"/>
    <m/>
    <n v="24"/>
    <s v="STE FOY DES VIGNES"/>
    <m/>
    <m/>
    <m/>
    <m/>
    <n v="33"/>
    <s v="33.jpg"/>
    <s v="33.jpg"/>
    <m/>
    <b v="0"/>
    <b v="1"/>
    <b v="0"/>
    <b v="0"/>
    <b v="0"/>
    <m/>
    <s v=""/>
    <s v=""/>
    <m/>
    <m/>
    <m/>
    <m/>
    <m/>
    <m/>
  </r>
  <r>
    <x v="32"/>
    <x v="6"/>
    <x v="25"/>
    <x v="0"/>
    <x v="12"/>
    <x v="2"/>
    <n v="1"/>
    <x v="3"/>
    <m/>
    <m/>
    <m/>
    <s v="ROLANT PETIT ET MARIE PAULE"/>
    <m/>
    <n v="69910"/>
    <s v="VILLIE-MORGON"/>
    <m/>
    <m/>
    <m/>
    <m/>
    <n v="34"/>
    <s v="34.jpg"/>
    <s v="34.jpg"/>
    <m/>
    <b v="0"/>
    <b v="1"/>
    <b v="0"/>
    <b v="0"/>
    <b v="0"/>
    <m/>
    <s v=""/>
    <s v=""/>
    <m/>
    <m/>
    <m/>
    <m/>
    <m/>
    <m/>
  </r>
  <r>
    <x v="33"/>
    <x v="4"/>
    <x v="26"/>
    <x v="0"/>
    <x v="12"/>
    <x v="2"/>
    <n v="2"/>
    <x v="3"/>
    <m/>
    <m/>
    <s v="chateau desclau"/>
    <m/>
    <m/>
    <n v="33"/>
    <s v="TRESSES"/>
    <m/>
    <m/>
    <m/>
    <m/>
    <n v="35"/>
    <s v="35.jpg"/>
    <s v="35.jpg"/>
    <m/>
    <b v="0"/>
    <b v="1"/>
    <b v="0"/>
    <b v="0"/>
    <b v="0"/>
    <m/>
    <s v=""/>
    <s v=""/>
    <m/>
    <m/>
    <m/>
    <m/>
    <m/>
    <m/>
  </r>
  <r>
    <x v="34"/>
    <x v="1"/>
    <x v="27"/>
    <x v="0"/>
    <x v="13"/>
    <x v="2"/>
    <n v="1"/>
    <x v="12"/>
    <m/>
    <m/>
    <m/>
    <s v="JEAN CLAUDE GUYAUX"/>
    <m/>
    <n v="21"/>
    <s v="BEAUNE"/>
    <m/>
    <m/>
    <m/>
    <m/>
    <n v="36"/>
    <s v="36.jpg"/>
    <s v="36.jpg"/>
    <m/>
    <b v="0"/>
    <b v="1"/>
    <b v="0"/>
    <b v="0"/>
    <b v="0"/>
    <m/>
    <s v=""/>
    <s v=""/>
    <m/>
    <m/>
    <m/>
    <m/>
    <m/>
    <m/>
  </r>
  <r>
    <x v="35"/>
    <x v="1"/>
    <x v="5"/>
    <x v="0"/>
    <x v="13"/>
    <x v="2"/>
    <n v="9"/>
    <x v="13"/>
    <m/>
    <m/>
    <m/>
    <s v="ROBERT SIRUGUE"/>
    <m/>
    <n v="21"/>
    <s v="VOSNE-ROMANÉE"/>
    <m/>
    <m/>
    <m/>
    <m/>
    <n v="37"/>
    <s v="37.jpg"/>
    <s v="37.jpg"/>
    <m/>
    <b v="0"/>
    <b v="1"/>
    <b v="0"/>
    <b v="0"/>
    <b v="0"/>
    <m/>
    <s v=""/>
    <s v=""/>
    <m/>
    <m/>
    <m/>
    <m/>
    <m/>
    <m/>
  </r>
  <r>
    <x v="36"/>
    <x v="7"/>
    <x v="28"/>
    <x v="0"/>
    <x v="13"/>
    <x v="3"/>
    <n v="1"/>
    <x v="14"/>
    <m/>
    <m/>
    <m/>
    <s v="MALIGNON"/>
    <m/>
    <n v="30760"/>
    <s v="LAVAL ST ROMAIN"/>
    <m/>
    <m/>
    <m/>
    <m/>
    <n v="38"/>
    <s v="38.jpg"/>
    <s v="38.jpg"/>
    <m/>
    <b v="0"/>
    <b v="1"/>
    <b v="0"/>
    <b v="0"/>
    <b v="0"/>
    <m/>
    <s v=""/>
    <s v=""/>
    <m/>
    <m/>
    <m/>
    <m/>
    <m/>
    <m/>
  </r>
  <r>
    <x v="37"/>
    <x v="8"/>
    <x v="29"/>
    <x v="0"/>
    <x v="13"/>
    <x v="3"/>
    <n v="1"/>
    <x v="14"/>
    <m/>
    <m/>
    <s v="campo altoso"/>
    <m/>
    <m/>
    <m/>
    <m/>
    <m/>
    <m/>
    <m/>
    <m/>
    <n v="39"/>
    <s v="39.jpg"/>
    <s v="39.jpg"/>
    <m/>
    <b v="0"/>
    <b v="1"/>
    <b v="0"/>
    <b v="0"/>
    <b v="0"/>
    <m/>
    <s v=""/>
    <s v=""/>
    <m/>
    <m/>
    <m/>
    <m/>
    <m/>
    <m/>
  </r>
  <r>
    <x v="38"/>
    <x v="1"/>
    <x v="30"/>
    <x v="0"/>
    <x v="14"/>
    <x v="1"/>
    <n v="1"/>
    <x v="15"/>
    <m/>
    <m/>
    <m/>
    <s v="JULES RICHARD"/>
    <m/>
    <n v="71"/>
    <s v="AZE"/>
    <m/>
    <m/>
    <m/>
    <m/>
    <n v="40"/>
    <s v="40.jpg"/>
    <s v="40.jpg"/>
    <m/>
    <b v="0"/>
    <b v="1"/>
    <b v="0"/>
    <b v="0"/>
    <b v="0"/>
    <m/>
    <s v=""/>
    <s v=""/>
    <m/>
    <m/>
    <m/>
    <m/>
    <m/>
    <m/>
  </r>
  <r>
    <x v="39"/>
    <x v="9"/>
    <x v="31"/>
    <x v="0"/>
    <x v="14"/>
    <x v="2"/>
    <n v="1"/>
    <x v="15"/>
    <m/>
    <m/>
    <m/>
    <m/>
    <m/>
    <m/>
    <m/>
    <m/>
    <m/>
    <m/>
    <m/>
    <n v="41"/>
    <s v="41.jpg"/>
    <s v="41.jpg"/>
    <m/>
    <b v="0"/>
    <b v="1"/>
    <b v="0"/>
    <b v="0"/>
    <b v="0"/>
    <m/>
    <s v=""/>
    <s v=""/>
    <m/>
    <m/>
    <m/>
    <m/>
    <m/>
    <m/>
  </r>
  <r>
    <x v="40"/>
    <x v="2"/>
    <x v="32"/>
    <x v="0"/>
    <x v="14"/>
    <x v="2"/>
    <n v="2"/>
    <x v="15"/>
    <m/>
    <m/>
    <m/>
    <s v="DE LA PINTE"/>
    <m/>
    <n v="39600"/>
    <s v="ARBOIS"/>
    <m/>
    <m/>
    <m/>
    <m/>
    <n v="42"/>
    <s v="42.jpg"/>
    <s v="42.jpg"/>
    <m/>
    <b v="0"/>
    <b v="1"/>
    <b v="0"/>
    <b v="0"/>
    <b v="0"/>
    <m/>
    <s v=""/>
    <s v=""/>
    <m/>
    <m/>
    <m/>
    <m/>
    <m/>
    <m/>
  </r>
  <r>
    <x v="41"/>
    <x v="1"/>
    <x v="27"/>
    <x v="0"/>
    <x v="15"/>
    <x v="2"/>
    <n v="2"/>
    <x v="16"/>
    <m/>
    <m/>
    <m/>
    <s v="ANTOINE RODET"/>
    <m/>
    <n v="21"/>
    <s v="SAVIGNY-LES-BEAUNE"/>
    <m/>
    <m/>
    <m/>
    <m/>
    <n v="43"/>
    <s v="43.jpg"/>
    <s v="43.jpg"/>
    <m/>
    <b v="0"/>
    <b v="1"/>
    <b v="0"/>
    <b v="0"/>
    <b v="0"/>
    <m/>
    <s v=""/>
    <s v=""/>
    <m/>
    <m/>
    <m/>
    <m/>
    <m/>
    <m/>
  </r>
  <r>
    <x v="42"/>
    <x v="1"/>
    <x v="33"/>
    <x v="1"/>
    <x v="15"/>
    <x v="2"/>
    <n v="3"/>
    <x v="17"/>
    <m/>
    <m/>
    <s v="champs fuillot"/>
    <s v="HUGUES LE VEZE"/>
    <m/>
    <n v="21"/>
    <s v="MEURSEAULT"/>
    <m/>
    <m/>
    <m/>
    <m/>
    <n v="44"/>
    <s v="44.jpg"/>
    <s v="44.jpg"/>
    <m/>
    <b v="0"/>
    <b v="1"/>
    <b v="0"/>
    <b v="0"/>
    <b v="0"/>
    <m/>
    <s v=""/>
    <s v=""/>
    <m/>
    <m/>
    <m/>
    <m/>
    <m/>
    <m/>
  </r>
  <r>
    <x v="43"/>
    <x v="7"/>
    <x v="28"/>
    <x v="0"/>
    <x v="15"/>
    <x v="3"/>
    <n v="2"/>
    <x v="18"/>
    <m/>
    <m/>
    <m/>
    <s v="DUMAS"/>
    <m/>
    <n v="7700"/>
    <s v="ST MARTIN D'ARDECHE"/>
    <m/>
    <m/>
    <m/>
    <m/>
    <n v="45"/>
    <s v="45.jpg"/>
    <s v="45.jpg"/>
    <m/>
    <b v="0"/>
    <b v="1"/>
    <b v="0"/>
    <b v="0"/>
    <b v="0"/>
    <m/>
    <s v=""/>
    <s v=""/>
    <m/>
    <m/>
    <m/>
    <m/>
    <m/>
    <m/>
  </r>
  <r>
    <x v="44"/>
    <x v="1"/>
    <x v="34"/>
    <x v="0"/>
    <x v="16"/>
    <x v="1"/>
    <n v="1"/>
    <x v="15"/>
    <m/>
    <m/>
    <s v="l'aurore"/>
    <m/>
    <m/>
    <m/>
    <m/>
    <m/>
    <m/>
    <m/>
    <m/>
    <n v="46"/>
    <s v="46.jpg"/>
    <s v="46.jpg"/>
    <m/>
    <b v="0"/>
    <b v="1"/>
    <b v="0"/>
    <b v="0"/>
    <b v="0"/>
    <m/>
    <s v=""/>
    <s v=""/>
    <m/>
    <m/>
    <m/>
    <m/>
    <m/>
    <m/>
  </r>
  <r>
    <x v="44"/>
    <x v="1"/>
    <x v="34"/>
    <x v="0"/>
    <x v="16"/>
    <x v="1"/>
    <n v="1"/>
    <x v="15"/>
    <m/>
    <m/>
    <m/>
    <s v="L'HERMITAGE DE NANTOUX"/>
    <m/>
    <n v="71150"/>
    <s v="CHASSEY LE CAMP"/>
    <m/>
    <m/>
    <m/>
    <m/>
    <n v="47"/>
    <s v="47.jpg"/>
    <s v="47.jpg"/>
    <m/>
    <b v="0"/>
    <b v="1"/>
    <b v="0"/>
    <b v="0"/>
    <b v="0"/>
    <m/>
    <s v=""/>
    <s v=""/>
    <m/>
    <m/>
    <m/>
    <m/>
    <m/>
    <m/>
  </r>
  <r>
    <x v="45"/>
    <x v="1"/>
    <x v="35"/>
    <x v="0"/>
    <x v="17"/>
    <x v="2"/>
    <n v="3"/>
    <x v="19"/>
    <m/>
    <m/>
    <m/>
    <s v="DE LA FRAMBOISE"/>
    <m/>
    <m/>
    <m/>
    <m/>
    <m/>
    <s v="www.domaine.faveley.com"/>
    <m/>
    <n v="48"/>
    <s v="48.jpg"/>
    <s v="48.jpg"/>
    <m/>
    <b v="0"/>
    <b v="1"/>
    <b v="0"/>
    <b v="0"/>
    <b v="0"/>
    <m/>
    <s v=""/>
    <s v=""/>
    <m/>
    <m/>
    <m/>
    <m/>
    <m/>
    <m/>
  </r>
  <r>
    <x v="46"/>
    <x v="1"/>
    <x v="34"/>
    <x v="0"/>
    <x v="17"/>
    <x v="1"/>
    <n v="2"/>
    <x v="15"/>
    <m/>
    <m/>
    <m/>
    <s v="JEAN CLAUDE THEVENET"/>
    <m/>
    <n v="71960"/>
    <s v="PIERRECLOS"/>
    <m/>
    <m/>
    <m/>
    <m/>
    <n v="49"/>
    <s v="49.jpg"/>
    <s v="49.jpg"/>
    <m/>
    <b v="0"/>
    <b v="1"/>
    <b v="0"/>
    <b v="0"/>
    <b v="0"/>
    <m/>
    <s v=""/>
    <s v=""/>
    <m/>
    <m/>
    <m/>
    <m/>
    <m/>
    <m/>
  </r>
  <r>
    <x v="47"/>
    <x v="1"/>
    <x v="36"/>
    <x v="0"/>
    <x v="17"/>
    <x v="1"/>
    <n v="1"/>
    <x v="15"/>
    <m/>
    <m/>
    <m/>
    <m/>
    <m/>
    <m/>
    <m/>
    <m/>
    <m/>
    <m/>
    <m/>
    <n v="50"/>
    <s v="50.jpg"/>
    <s v="50.jpg"/>
    <m/>
    <b v="0"/>
    <b v="1"/>
    <b v="0"/>
    <b v="0"/>
    <b v="0"/>
    <m/>
    <s v=""/>
    <s v=""/>
    <m/>
    <m/>
    <m/>
    <m/>
    <m/>
    <m/>
  </r>
  <r>
    <x v="48"/>
    <x v="1"/>
    <x v="21"/>
    <x v="0"/>
    <x v="17"/>
    <x v="2"/>
    <n v="1"/>
    <x v="15"/>
    <m/>
    <m/>
    <m/>
    <m/>
    <m/>
    <m/>
    <m/>
    <m/>
    <m/>
    <m/>
    <m/>
    <n v="51"/>
    <s v="51.jpg"/>
    <s v="51.jpg"/>
    <m/>
    <b v="0"/>
    <b v="1"/>
    <b v="0"/>
    <b v="0"/>
    <b v="0"/>
    <m/>
    <s v=""/>
    <s v=""/>
    <m/>
    <m/>
    <m/>
    <m/>
    <m/>
    <m/>
  </r>
  <r>
    <x v="49"/>
    <x v="7"/>
    <x v="28"/>
    <x v="0"/>
    <x v="17"/>
    <x v="3"/>
    <n v="1"/>
    <x v="14"/>
    <m/>
    <m/>
    <m/>
    <s v="DUMAS"/>
    <m/>
    <n v="7700"/>
    <s v="ST MARTIN D'ARDECHE"/>
    <m/>
    <m/>
    <m/>
    <m/>
    <n v="52"/>
    <s v="52.jpg"/>
    <s v="52.jpg"/>
    <m/>
    <b v="0"/>
    <b v="1"/>
    <b v="0"/>
    <b v="0"/>
    <b v="0"/>
    <m/>
    <s v=""/>
    <s v=""/>
    <m/>
    <m/>
    <m/>
    <m/>
    <m/>
    <m/>
  </r>
  <r>
    <x v="50"/>
    <x v="8"/>
    <x v="29"/>
    <x v="0"/>
    <x v="17"/>
    <x v="3"/>
    <n v="1"/>
    <x v="14"/>
    <m/>
    <m/>
    <s v="pascal paoli"/>
    <m/>
    <m/>
    <m/>
    <m/>
    <m/>
    <m/>
    <m/>
    <m/>
    <n v="53"/>
    <s v="53.jpg"/>
    <s v="53.jpg"/>
    <m/>
    <b v="0"/>
    <b v="1"/>
    <b v="0"/>
    <b v="0"/>
    <b v="0"/>
    <m/>
    <s v=""/>
    <s v=""/>
    <m/>
    <m/>
    <m/>
    <m/>
    <m/>
    <m/>
  </r>
  <r>
    <x v="51"/>
    <x v="1"/>
    <x v="20"/>
    <x v="0"/>
    <x v="18"/>
    <x v="2"/>
    <n v="3"/>
    <x v="8"/>
    <m/>
    <m/>
    <m/>
    <m/>
    <m/>
    <m/>
    <m/>
    <m/>
    <m/>
    <m/>
    <m/>
    <n v="54"/>
    <s v="54.jpg"/>
    <s v="54.jpg"/>
    <m/>
    <b v="0"/>
    <b v="1"/>
    <b v="0"/>
    <b v="0"/>
    <b v="0"/>
    <m/>
    <s v=""/>
    <s v=""/>
    <m/>
    <m/>
    <m/>
    <m/>
    <m/>
    <m/>
  </r>
  <r>
    <x v="52"/>
    <x v="1"/>
    <x v="27"/>
    <x v="1"/>
    <x v="18"/>
    <x v="2"/>
    <n v="3"/>
    <x v="20"/>
    <m/>
    <m/>
    <s v="les peuillets"/>
    <s v="DESCHAMPS-CARNET"/>
    <m/>
    <m/>
    <s v="SAVIGNY LES BEAUNE"/>
    <m/>
    <m/>
    <m/>
    <m/>
    <n v="55"/>
    <s v="55.jpg"/>
    <s v="55.jpg"/>
    <m/>
    <b v="0"/>
    <b v="1"/>
    <b v="0"/>
    <b v="0"/>
    <b v="0"/>
    <m/>
    <s v=""/>
    <s v=""/>
    <m/>
    <m/>
    <m/>
    <m/>
    <m/>
    <m/>
  </r>
  <r>
    <x v="53"/>
    <x v="1"/>
    <x v="37"/>
    <x v="0"/>
    <x v="18"/>
    <x v="1"/>
    <n v="1"/>
    <x v="15"/>
    <m/>
    <m/>
    <m/>
    <s v="CHARMERAIE"/>
    <m/>
    <n v="71570"/>
    <s v="CHANES"/>
    <m/>
    <m/>
    <m/>
    <m/>
    <n v="56"/>
    <s v="56.jpg"/>
    <s v="56.jpg"/>
    <m/>
    <b v="0"/>
    <b v="1"/>
    <b v="0"/>
    <b v="0"/>
    <b v="0"/>
    <m/>
    <s v=""/>
    <s v=""/>
    <m/>
    <m/>
    <m/>
    <m/>
    <m/>
    <m/>
  </r>
  <r>
    <x v="54"/>
    <x v="10"/>
    <x v="38"/>
    <x v="0"/>
    <x v="18"/>
    <x v="1"/>
    <n v="1"/>
    <x v="15"/>
    <m/>
    <m/>
    <m/>
    <s v="EDGARD SCHILLÉ"/>
    <m/>
    <n v="68630"/>
    <s v="MITTELWIHR"/>
    <m/>
    <m/>
    <m/>
    <m/>
    <n v="57"/>
    <s v="57.jpg"/>
    <s v="57.jpg"/>
    <m/>
    <b v="0"/>
    <b v="1"/>
    <b v="0"/>
    <b v="0"/>
    <b v="0"/>
    <m/>
    <s v=""/>
    <s v=""/>
    <m/>
    <m/>
    <m/>
    <m/>
    <m/>
    <m/>
  </r>
  <r>
    <x v="55"/>
    <x v="9"/>
    <x v="31"/>
    <x v="0"/>
    <x v="18"/>
    <x v="2"/>
    <n v="1"/>
    <x v="15"/>
    <m/>
    <m/>
    <m/>
    <m/>
    <m/>
    <m/>
    <m/>
    <m/>
    <m/>
    <m/>
    <m/>
    <n v="58"/>
    <s v="58.jpg"/>
    <s v="58.jpg"/>
    <m/>
    <b v="0"/>
    <b v="1"/>
    <b v="0"/>
    <b v="0"/>
    <b v="0"/>
    <m/>
    <s v=""/>
    <s v=""/>
    <m/>
    <m/>
    <m/>
    <m/>
    <m/>
    <m/>
  </r>
  <r>
    <x v="56"/>
    <x v="7"/>
    <x v="28"/>
    <x v="0"/>
    <x v="18"/>
    <x v="3"/>
    <n v="1"/>
    <x v="14"/>
    <m/>
    <m/>
    <m/>
    <s v="DUMAS"/>
    <m/>
    <n v="7700"/>
    <s v="ST MARTIN D'ARDECHE"/>
    <m/>
    <m/>
    <m/>
    <m/>
    <n v="59"/>
    <s v="59.jpg"/>
    <s v="59.jpg"/>
    <m/>
    <b v="0"/>
    <b v="1"/>
    <b v="0"/>
    <b v="0"/>
    <b v="0"/>
    <m/>
    <s v=""/>
    <s v=""/>
    <m/>
    <m/>
    <m/>
    <m/>
    <m/>
    <m/>
  </r>
  <r>
    <x v="57"/>
    <x v="1"/>
    <x v="7"/>
    <x v="0"/>
    <x v="19"/>
    <x v="2"/>
    <n v="2"/>
    <x v="21"/>
    <m/>
    <m/>
    <m/>
    <s v="PIERRE GRUBER"/>
    <m/>
    <m/>
    <m/>
    <m/>
    <m/>
    <m/>
    <m/>
    <n v="60"/>
    <s v="60.jpg"/>
    <s v="60.jpg"/>
    <m/>
    <b v="0"/>
    <b v="1"/>
    <b v="0"/>
    <b v="0"/>
    <b v="0"/>
    <m/>
    <s v=""/>
    <s v=""/>
    <m/>
    <m/>
    <m/>
    <m/>
    <m/>
    <m/>
  </r>
  <r>
    <x v="58"/>
    <x v="1"/>
    <x v="39"/>
    <x v="0"/>
    <x v="19"/>
    <x v="2"/>
    <n v="1"/>
    <x v="12"/>
    <m/>
    <m/>
    <m/>
    <s v="VAL DE MERCY"/>
    <m/>
    <n v="89530"/>
    <s v="CHITRY"/>
    <m/>
    <m/>
    <s v="www.valdemercy.com"/>
    <m/>
    <n v="61"/>
    <s v="61.jpg"/>
    <s v="61.jpg"/>
    <m/>
    <b v="0"/>
    <b v="1"/>
    <b v="0"/>
    <b v="0"/>
    <b v="0"/>
    <m/>
    <s v=""/>
    <s v=""/>
    <m/>
    <m/>
    <m/>
    <m/>
    <m/>
    <m/>
  </r>
  <r>
    <x v="59"/>
    <x v="1"/>
    <x v="34"/>
    <x v="0"/>
    <x v="19"/>
    <x v="1"/>
    <n v="1"/>
    <x v="15"/>
    <m/>
    <m/>
    <m/>
    <m/>
    <m/>
    <m/>
    <m/>
    <m/>
    <m/>
    <m/>
    <m/>
    <n v="62"/>
    <s v="62.jpg"/>
    <s v="62.jpg"/>
    <m/>
    <b v="0"/>
    <b v="1"/>
    <b v="0"/>
    <b v="0"/>
    <b v="0"/>
    <m/>
    <s v=""/>
    <s v=""/>
    <m/>
    <m/>
    <m/>
    <m/>
    <m/>
    <m/>
  </r>
  <r>
    <x v="60"/>
    <x v="7"/>
    <x v="28"/>
    <x v="0"/>
    <x v="19"/>
    <x v="3"/>
    <n v="1"/>
    <x v="14"/>
    <m/>
    <m/>
    <m/>
    <s v="LA MAZADE"/>
    <m/>
    <n v="7700"/>
    <s v="ST MARTIN D'ARDECHE"/>
    <m/>
    <m/>
    <m/>
    <m/>
    <n v="63"/>
    <s v="63.jpg"/>
    <s v="63.jpg"/>
    <m/>
    <b v="0"/>
    <b v="1"/>
    <b v="0"/>
    <b v="0"/>
    <b v="0"/>
    <m/>
    <s v=""/>
    <s v=""/>
    <m/>
    <m/>
    <m/>
    <m/>
    <m/>
    <m/>
  </r>
  <r>
    <x v="61"/>
    <x v="4"/>
    <x v="40"/>
    <x v="0"/>
    <x v="19"/>
    <x v="2"/>
    <n v="1"/>
    <x v="22"/>
    <m/>
    <m/>
    <s v="cuvee rubis"/>
    <s v="CHATEAU COURTADE DUBUC"/>
    <m/>
    <m/>
    <m/>
    <m/>
    <m/>
    <m/>
    <m/>
    <n v="64"/>
    <s v="64.jpg"/>
    <s v="64.jpg"/>
    <m/>
    <b v="0"/>
    <b v="1"/>
    <b v="0"/>
    <b v="0"/>
    <b v="0"/>
    <m/>
    <s v=""/>
    <s v=""/>
    <m/>
    <m/>
    <m/>
    <m/>
    <m/>
    <m/>
  </r>
  <r>
    <x v="62"/>
    <x v="1"/>
    <x v="41"/>
    <x v="1"/>
    <x v="20"/>
    <x v="1"/>
    <n v="1"/>
    <x v="4"/>
    <m/>
    <m/>
    <m/>
    <m/>
    <m/>
    <m/>
    <m/>
    <m/>
    <m/>
    <m/>
    <m/>
    <n v="65"/>
    <s v="65.jpg"/>
    <s v="65.jpg"/>
    <m/>
    <b v="0"/>
    <b v="1"/>
    <b v="0"/>
    <b v="0"/>
    <b v="0"/>
    <m/>
    <s v=""/>
    <s v=""/>
    <m/>
    <m/>
    <m/>
    <m/>
    <m/>
    <m/>
  </r>
  <r>
    <x v="63"/>
    <x v="1"/>
    <x v="42"/>
    <x v="2"/>
    <x v="20"/>
    <x v="2"/>
    <n v="1"/>
    <x v="4"/>
    <m/>
    <m/>
    <m/>
    <s v="LOISEAU"/>
    <m/>
    <m/>
    <m/>
    <m/>
    <m/>
    <m/>
    <m/>
    <n v="66"/>
    <s v="66.jpg"/>
    <s v="66.jpg"/>
    <m/>
    <b v="0"/>
    <b v="1"/>
    <b v="0"/>
    <b v="0"/>
    <b v="0"/>
    <m/>
    <s v=""/>
    <s v=""/>
    <m/>
    <m/>
    <m/>
    <m/>
    <m/>
    <m/>
  </r>
  <r>
    <x v="64"/>
    <x v="1"/>
    <x v="43"/>
    <x v="0"/>
    <x v="20"/>
    <x v="2"/>
    <n v="1"/>
    <x v="4"/>
    <m/>
    <m/>
    <s v="vieilles vignes"/>
    <s v="JOUARD GABRIEL ET PAUL"/>
    <m/>
    <m/>
    <m/>
    <m/>
    <m/>
    <m/>
    <m/>
    <n v="67"/>
    <s v="67.jpg"/>
    <s v="67.jpg"/>
    <m/>
    <b v="0"/>
    <b v="1"/>
    <b v="0"/>
    <b v="0"/>
    <b v="0"/>
    <m/>
    <s v=""/>
    <s v=""/>
    <m/>
    <m/>
    <m/>
    <m/>
    <m/>
    <m/>
  </r>
  <r>
    <x v="65"/>
    <x v="4"/>
    <x v="44"/>
    <x v="0"/>
    <x v="20"/>
    <x v="2"/>
    <n v="1"/>
    <x v="4"/>
    <m/>
    <m/>
    <m/>
    <m/>
    <m/>
    <m/>
    <m/>
    <m/>
    <m/>
    <s v="www.dourthe.com"/>
    <m/>
    <n v="68"/>
    <s v="68.jpg"/>
    <s v="68.jpg"/>
    <m/>
    <b v="0"/>
    <b v="1"/>
    <b v="0"/>
    <b v="0"/>
    <b v="0"/>
    <m/>
    <s v=""/>
    <s v=""/>
    <m/>
    <m/>
    <m/>
    <m/>
    <m/>
    <m/>
  </r>
  <r>
    <x v="66"/>
    <x v="11"/>
    <x v="45"/>
    <x v="0"/>
    <x v="20"/>
    <x v="2"/>
    <n v="5"/>
    <x v="23"/>
    <m/>
    <m/>
    <s v="corps et ames"/>
    <s v="JEROME MAZEL"/>
    <m/>
    <n v="7120"/>
    <s v="PRADONS"/>
    <m/>
    <m/>
    <m/>
    <m/>
    <n v="69"/>
    <s v="69.jpg"/>
    <s v="69.jpg"/>
    <m/>
    <b v="0"/>
    <b v="1"/>
    <b v="0"/>
    <b v="0"/>
    <b v="0"/>
    <m/>
    <s v=""/>
    <s v=""/>
    <m/>
    <m/>
    <m/>
    <m/>
    <m/>
    <m/>
  </r>
  <r>
    <x v="67"/>
    <x v="1"/>
    <x v="5"/>
    <x v="0"/>
    <x v="21"/>
    <x v="2"/>
    <n v="5"/>
    <x v="24"/>
    <m/>
    <m/>
    <m/>
    <s v="MICHEL NOELLAT"/>
    <m/>
    <n v="21"/>
    <s v="VOSNE-ROMANEE"/>
    <m/>
    <m/>
    <m/>
    <m/>
    <n v="70"/>
    <s v="70.jpg"/>
    <s v="70.jpg"/>
    <m/>
    <b v="0"/>
    <b v="1"/>
    <b v="0"/>
    <b v="0"/>
    <b v="0"/>
    <m/>
    <s v=""/>
    <s v=""/>
    <m/>
    <m/>
    <m/>
    <m/>
    <m/>
    <m/>
  </r>
  <r>
    <x v="68"/>
    <x v="4"/>
    <x v="46"/>
    <x v="0"/>
    <x v="21"/>
    <x v="2"/>
    <n v="1"/>
    <x v="15"/>
    <m/>
    <m/>
    <m/>
    <s v="SCEA DU VIEUX PUIT"/>
    <m/>
    <n v="33860"/>
    <s v="REIGNAC DE BLAYE"/>
    <m/>
    <m/>
    <m/>
    <m/>
    <n v="71"/>
    <s v="71.jpg"/>
    <s v="71.jpg"/>
    <m/>
    <b v="0"/>
    <b v="1"/>
    <b v="0"/>
    <b v="0"/>
    <b v="0"/>
    <m/>
    <s v=""/>
    <s v=""/>
    <m/>
    <m/>
    <m/>
    <m/>
    <m/>
    <m/>
  </r>
  <r>
    <x v="69"/>
    <x v="7"/>
    <x v="47"/>
    <x v="0"/>
    <x v="21"/>
    <x v="1"/>
    <n v="2"/>
    <x v="25"/>
    <m/>
    <m/>
    <m/>
    <s v="SEIGNEUR DE LAURIS"/>
    <m/>
    <n v="84190"/>
    <s v="VACQUERAS"/>
    <m/>
    <m/>
    <m/>
    <m/>
    <n v="72"/>
    <s v="72.jpg"/>
    <s v="72.jpg"/>
    <m/>
    <b v="0"/>
    <b v="1"/>
    <b v="0"/>
    <b v="0"/>
    <b v="0"/>
    <m/>
    <s v=""/>
    <s v=""/>
    <m/>
    <m/>
    <m/>
    <m/>
    <m/>
    <m/>
  </r>
  <r>
    <x v="70"/>
    <x v="1"/>
    <x v="9"/>
    <x v="0"/>
    <x v="21"/>
    <x v="1"/>
    <n v="3"/>
    <x v="26"/>
    <m/>
    <m/>
    <m/>
    <s v="PHILIPPE CHARLOPIN"/>
    <m/>
    <n v="21"/>
    <s v="GEVREY CHAMBERTIN"/>
    <m/>
    <m/>
    <m/>
    <m/>
    <n v="73"/>
    <s v="73.jpg"/>
    <s v="73.jpg"/>
    <m/>
    <b v="0"/>
    <b v="1"/>
    <b v="0"/>
    <b v="0"/>
    <b v="0"/>
    <m/>
    <s v=""/>
    <s v=""/>
    <m/>
    <m/>
    <m/>
    <m/>
    <m/>
    <m/>
  </r>
  <r>
    <x v="71"/>
    <x v="7"/>
    <x v="28"/>
    <x v="0"/>
    <x v="21"/>
    <x v="2"/>
    <n v="1"/>
    <x v="4"/>
    <m/>
    <m/>
    <m/>
    <s v="REMPART DE TULETTE"/>
    <s v="costebelle"/>
    <m/>
    <m/>
    <m/>
    <m/>
    <m/>
    <m/>
    <n v="74"/>
    <s v="74.jpg"/>
    <s v="74.jpg"/>
    <m/>
    <b v="0"/>
    <b v="1"/>
    <b v="0"/>
    <b v="0"/>
    <b v="0"/>
    <m/>
    <s v=""/>
    <s v=""/>
    <m/>
    <m/>
    <m/>
    <m/>
    <m/>
    <m/>
  </r>
  <r>
    <x v="72"/>
    <x v="1"/>
    <x v="20"/>
    <x v="1"/>
    <x v="21"/>
    <x v="2"/>
    <n v="1"/>
    <x v="4"/>
    <m/>
    <m/>
    <s v="clos de la perriere"/>
    <s v="JOLIET"/>
    <m/>
    <n v="21"/>
    <s v="FIXIN"/>
    <m/>
    <m/>
    <m/>
    <m/>
    <n v="75"/>
    <s v="75.jpg"/>
    <s v="75.jpg"/>
    <m/>
    <b v="0"/>
    <b v="1"/>
    <b v="0"/>
    <b v="0"/>
    <b v="0"/>
    <m/>
    <s v=""/>
    <s v=""/>
    <m/>
    <m/>
    <m/>
    <m/>
    <m/>
    <m/>
  </r>
  <r>
    <x v="73"/>
    <x v="12"/>
    <x v="48"/>
    <x v="0"/>
    <x v="21"/>
    <x v="2"/>
    <n v="1"/>
    <x v="4"/>
    <m/>
    <m/>
    <s v="les 3 quartiers"/>
    <s v="JOURDANS &amp; PICHARD"/>
    <s v="8 rue le puy"/>
    <n v="37500"/>
    <s v="CRAVANT LES COTEAUX"/>
    <m/>
    <m/>
    <m/>
    <m/>
    <n v="76"/>
    <s v="76.jpg"/>
    <s v="76.jpg"/>
    <m/>
    <b v="0"/>
    <b v="1"/>
    <b v="0"/>
    <b v="0"/>
    <b v="0"/>
    <m/>
    <s v=""/>
    <s v=""/>
    <m/>
    <m/>
    <m/>
    <m/>
    <m/>
    <m/>
  </r>
  <r>
    <x v="74"/>
    <x v="1"/>
    <x v="14"/>
    <x v="1"/>
    <x v="21"/>
    <x v="2"/>
    <n v="1"/>
    <x v="4"/>
    <m/>
    <m/>
    <m/>
    <s v="CAUVARD"/>
    <m/>
    <m/>
    <m/>
    <m/>
    <m/>
    <s v="www.domaine-covard.fr"/>
    <m/>
    <n v="77"/>
    <s v="77.jpg"/>
    <s v="77.jpg"/>
    <m/>
    <b v="0"/>
    <b v="1"/>
    <b v="0"/>
    <b v="0"/>
    <b v="0"/>
    <m/>
    <s v=""/>
    <s v=""/>
    <m/>
    <m/>
    <m/>
    <m/>
    <m/>
    <m/>
  </r>
  <r>
    <x v="75"/>
    <x v="5"/>
    <x v="49"/>
    <x v="0"/>
    <x v="21"/>
    <x v="1"/>
    <n v="1"/>
    <x v="4"/>
    <m/>
    <m/>
    <s v="villa chambre d'amour"/>
    <s v="LIONEL OSMIN"/>
    <m/>
    <m/>
    <m/>
    <m/>
    <m/>
    <s v="www.osmin.fr"/>
    <m/>
    <n v="78"/>
    <s v="78.jpg"/>
    <s v="78.jpg"/>
    <m/>
    <b v="0"/>
    <b v="1"/>
    <b v="0"/>
    <b v="0"/>
    <b v="0"/>
    <m/>
    <s v=""/>
    <s v=""/>
    <m/>
    <m/>
    <m/>
    <m/>
    <m/>
    <m/>
  </r>
  <r>
    <x v="71"/>
    <x v="7"/>
    <x v="28"/>
    <x v="0"/>
    <x v="21"/>
    <x v="3"/>
    <n v="3"/>
    <x v="27"/>
    <m/>
    <m/>
    <m/>
    <s v="LA MAZADE"/>
    <m/>
    <n v="7700"/>
    <s v="ST MARTIN D'ARDECHE"/>
    <m/>
    <m/>
    <m/>
    <m/>
    <n v="79"/>
    <s v="79.jpg"/>
    <s v="79.jpg"/>
    <m/>
    <b v="0"/>
    <b v="1"/>
    <b v="0"/>
    <b v="0"/>
    <b v="0"/>
    <m/>
    <s v=""/>
    <s v=""/>
    <m/>
    <m/>
    <m/>
    <m/>
    <m/>
    <m/>
  </r>
  <r>
    <x v="76"/>
    <x v="12"/>
    <x v="50"/>
    <x v="0"/>
    <x v="22"/>
    <x v="2"/>
    <n v="1"/>
    <x v="4"/>
    <m/>
    <m/>
    <m/>
    <s v="OLIVIER"/>
    <m/>
    <n v="37140"/>
    <s v="ST NICOLAS DE BOURGUEIL"/>
    <m/>
    <m/>
    <m/>
    <m/>
    <n v="80"/>
    <s v="80.jpg"/>
    <s v="80.jpg"/>
    <m/>
    <b v="0"/>
    <b v="1"/>
    <b v="0"/>
    <b v="0"/>
    <b v="0"/>
    <m/>
    <s v=""/>
    <s v=""/>
    <m/>
    <m/>
    <m/>
    <m/>
    <m/>
    <m/>
  </r>
  <r>
    <x v="77"/>
    <x v="1"/>
    <x v="51"/>
    <x v="0"/>
    <x v="22"/>
    <x v="2"/>
    <n v="1"/>
    <x v="4"/>
    <m/>
    <m/>
    <m/>
    <s v="LA ROCHE AIGUE"/>
    <m/>
    <m/>
    <m/>
    <m/>
    <m/>
    <m/>
    <m/>
    <n v="81"/>
    <s v="81.jpg"/>
    <s v="81.jpg"/>
    <m/>
    <b v="0"/>
    <b v="1"/>
    <b v="0"/>
    <b v="0"/>
    <b v="0"/>
    <m/>
    <s v=""/>
    <s v=""/>
    <m/>
    <m/>
    <m/>
    <m/>
    <m/>
    <m/>
  </r>
  <r>
    <x v="78"/>
    <x v="13"/>
    <x v="52"/>
    <x v="0"/>
    <x v="22"/>
    <x v="2"/>
    <n v="1"/>
    <x v="4"/>
    <m/>
    <m/>
    <m/>
    <s v="ROCHE MAZET"/>
    <m/>
    <m/>
    <m/>
    <m/>
    <m/>
    <s v="www.rochemazet.com"/>
    <m/>
    <n v="82"/>
    <s v="82.jpg"/>
    <s v="82.jpg"/>
    <m/>
    <b v="0"/>
    <b v="1"/>
    <b v="0"/>
    <b v="0"/>
    <b v="0"/>
    <m/>
    <s v=""/>
    <s v=""/>
    <m/>
    <m/>
    <m/>
    <m/>
    <m/>
    <m/>
  </r>
  <r>
    <x v="79"/>
    <x v="1"/>
    <x v="34"/>
    <x v="0"/>
    <x v="22"/>
    <x v="1"/>
    <n v="4"/>
    <x v="28"/>
    <m/>
    <m/>
    <s v="la feuillouse"/>
    <s v="SYLVAIN CHOLET"/>
    <m/>
    <m/>
    <s v="CORCELLES LES ARTS"/>
    <m/>
    <m/>
    <m/>
    <m/>
    <n v="83"/>
    <s v="83.jpg"/>
    <s v="83.jpg"/>
    <m/>
    <b v="0"/>
    <b v="1"/>
    <b v="0"/>
    <b v="0"/>
    <b v="0"/>
    <m/>
    <s v=""/>
    <s v=""/>
    <m/>
    <m/>
    <m/>
    <m/>
    <m/>
    <m/>
  </r>
  <r>
    <x v="80"/>
    <x v="7"/>
    <x v="53"/>
    <x v="0"/>
    <x v="22"/>
    <x v="1"/>
    <n v="1"/>
    <x v="2"/>
    <m/>
    <m/>
    <m/>
    <m/>
    <m/>
    <m/>
    <m/>
    <m/>
    <m/>
    <m/>
    <m/>
    <n v="84"/>
    <s v="84.jpg"/>
    <s v="84.jpg"/>
    <m/>
    <b v="0"/>
    <b v="1"/>
    <b v="0"/>
    <b v="0"/>
    <b v="0"/>
    <m/>
    <s v=""/>
    <s v=""/>
    <m/>
    <m/>
    <m/>
    <m/>
    <m/>
    <m/>
  </r>
  <r>
    <x v="81"/>
    <x v="4"/>
    <x v="54"/>
    <x v="0"/>
    <x v="22"/>
    <x v="2"/>
    <n v="1"/>
    <x v="29"/>
    <m/>
    <m/>
    <m/>
    <s v="CHATEAU METAIRIE HAUTE"/>
    <m/>
    <m/>
    <m/>
    <m/>
    <m/>
    <m/>
    <m/>
    <n v="85"/>
    <s v="85.jpg"/>
    <s v="85.jpg"/>
    <m/>
    <b v="0"/>
    <b v="1"/>
    <b v="0"/>
    <b v="0"/>
    <b v="0"/>
    <m/>
    <s v=""/>
    <s v=""/>
    <m/>
    <m/>
    <m/>
    <m/>
    <m/>
    <m/>
  </r>
  <r>
    <x v="82"/>
    <x v="1"/>
    <x v="15"/>
    <x v="0"/>
    <x v="22"/>
    <x v="1"/>
    <n v="1"/>
    <x v="29"/>
    <m/>
    <m/>
    <m/>
    <s v="GUILLEMARD POTHIER"/>
    <m/>
    <n v="21"/>
    <s v="MELOISEY"/>
    <m/>
    <m/>
    <m/>
    <m/>
    <n v="86"/>
    <s v="86.jpg"/>
    <s v="86.jpg"/>
    <m/>
    <b v="0"/>
    <b v="1"/>
    <b v="0"/>
    <b v="0"/>
    <b v="0"/>
    <m/>
    <s v=""/>
    <s v=""/>
    <m/>
    <m/>
    <m/>
    <m/>
    <m/>
    <m/>
  </r>
  <r>
    <x v="83"/>
    <x v="1"/>
    <x v="55"/>
    <x v="1"/>
    <x v="23"/>
    <x v="2"/>
    <n v="5"/>
    <x v="30"/>
    <m/>
    <m/>
    <s v="le val"/>
    <s v="ROY"/>
    <m/>
    <m/>
    <s v="AUXEY DURESSES"/>
    <m/>
    <m/>
    <m/>
    <m/>
    <n v="87"/>
    <s v="87.jpg"/>
    <s v="87.jpg"/>
    <m/>
    <b v="0"/>
    <b v="1"/>
    <b v="0"/>
    <b v="0"/>
    <b v="0"/>
    <m/>
    <s v=""/>
    <s v=""/>
    <m/>
    <m/>
    <m/>
    <m/>
    <m/>
    <m/>
  </r>
  <r>
    <x v="84"/>
    <x v="1"/>
    <x v="39"/>
    <x v="0"/>
    <x v="23"/>
    <x v="2"/>
    <n v="5"/>
    <x v="31"/>
    <m/>
    <m/>
    <m/>
    <s v="DES VAUX MARQUIS"/>
    <s v="9 rue de tubie"/>
    <n v="89290"/>
    <s v="CHAMPS-SUR-YONNE"/>
    <s v="03 86 53 38 17"/>
    <m/>
    <m/>
    <m/>
    <n v="88"/>
    <s v="88.jpg"/>
    <s v="88.jpg"/>
    <m/>
    <b v="0"/>
    <b v="1"/>
    <b v="0"/>
    <b v="0"/>
    <b v="0"/>
    <m/>
    <s v=""/>
    <s v=""/>
    <m/>
    <m/>
    <m/>
    <m/>
    <m/>
    <m/>
  </r>
  <r>
    <x v="85"/>
    <x v="1"/>
    <x v="27"/>
    <x v="0"/>
    <x v="23"/>
    <x v="2"/>
    <n v="1"/>
    <x v="12"/>
    <m/>
    <m/>
    <s v="les grands picotins"/>
    <s v="DU PRIEURÉ"/>
    <m/>
    <n v="21"/>
    <s v="SAVIGNY-LES-BEAUNE"/>
    <m/>
    <m/>
    <m/>
    <m/>
    <n v="89"/>
    <s v="89.jpg"/>
    <s v="89.jpg"/>
    <m/>
    <b v="0"/>
    <b v="1"/>
    <b v="0"/>
    <b v="0"/>
    <b v="0"/>
    <m/>
    <s v=""/>
    <s v=""/>
    <m/>
    <m/>
    <m/>
    <m/>
    <m/>
    <m/>
  </r>
  <r>
    <x v="86"/>
    <x v="7"/>
    <x v="56"/>
    <x v="0"/>
    <x v="23"/>
    <x v="1"/>
    <n v="3"/>
    <x v="0"/>
    <m/>
    <m/>
    <s v="les classiques"/>
    <s v="VIGNERONS ARDECHOIS"/>
    <m/>
    <n v="7120"/>
    <s v="RUOMS"/>
    <m/>
    <m/>
    <m/>
    <m/>
    <n v="90"/>
    <s v="90.jpg"/>
    <s v="90.jpg"/>
    <m/>
    <b v="0"/>
    <b v="1"/>
    <b v="0"/>
    <b v="0"/>
    <b v="0"/>
    <m/>
    <s v=""/>
    <s v=""/>
    <m/>
    <m/>
    <m/>
    <m/>
    <m/>
    <m/>
  </r>
  <r>
    <x v="87"/>
    <x v="1"/>
    <x v="34"/>
    <x v="0"/>
    <x v="23"/>
    <x v="1"/>
    <n v="2"/>
    <x v="32"/>
    <m/>
    <m/>
    <m/>
    <s v="MICHEL NOELLAT"/>
    <m/>
    <n v="21"/>
    <s v="VOSNE-ROMANÉE"/>
    <m/>
    <m/>
    <m/>
    <m/>
    <n v="91"/>
    <s v="91.jpg"/>
    <s v="91.jpg"/>
    <m/>
    <b v="0"/>
    <b v="1"/>
    <b v="0"/>
    <b v="0"/>
    <b v="0"/>
    <m/>
    <s v=""/>
    <s v=""/>
    <m/>
    <m/>
    <m/>
    <m/>
    <m/>
    <m/>
  </r>
  <r>
    <x v="88"/>
    <x v="7"/>
    <x v="28"/>
    <x v="0"/>
    <x v="23"/>
    <x v="1"/>
    <n v="1"/>
    <x v="4"/>
    <m/>
    <m/>
    <m/>
    <s v="LA MAZADE"/>
    <m/>
    <n v="7700"/>
    <s v="ST MARTIN D'ARDECHE"/>
    <s v="06 79 66 70 95"/>
    <s v="domainemazade@gmail.com"/>
    <m/>
    <m/>
    <n v="92"/>
    <s v="92.jpg"/>
    <s v="92.jpg"/>
    <m/>
    <b v="0"/>
    <b v="1"/>
    <b v="0"/>
    <b v="0"/>
    <b v="0"/>
    <m/>
    <s v=""/>
    <s v=""/>
    <m/>
    <m/>
    <m/>
    <m/>
    <m/>
    <m/>
  </r>
  <r>
    <x v="89"/>
    <x v="1"/>
    <x v="27"/>
    <x v="1"/>
    <x v="23"/>
    <x v="1"/>
    <n v="1"/>
    <x v="4"/>
    <m/>
    <m/>
    <s v="aux vergelesses"/>
    <s v="MACHARD DE GRAMONT"/>
    <m/>
    <n v="21"/>
    <m/>
    <m/>
    <m/>
    <m/>
    <m/>
    <n v="93"/>
    <s v="93.jpg"/>
    <s v="93.jpg"/>
    <m/>
    <b v="0"/>
    <b v="1"/>
    <b v="0"/>
    <b v="0"/>
    <b v="0"/>
    <m/>
    <s v=""/>
    <s v=""/>
    <m/>
    <m/>
    <m/>
    <m/>
    <m/>
    <m/>
  </r>
  <r>
    <x v="90"/>
    <x v="1"/>
    <x v="16"/>
    <x v="0"/>
    <x v="23"/>
    <x v="2"/>
    <n v="1"/>
    <x v="4"/>
    <m/>
    <m/>
    <s v="les champs perdrix"/>
    <s v="DENIS FOURNIER"/>
    <m/>
    <n v="21160"/>
    <s v="COUCHEY"/>
    <m/>
    <m/>
    <m/>
    <m/>
    <n v="94"/>
    <s v="94.jpg"/>
    <s v="94.jpg"/>
    <m/>
    <b v="0"/>
    <b v="1"/>
    <b v="0"/>
    <b v="0"/>
    <b v="0"/>
    <m/>
    <s v=""/>
    <s v=""/>
    <m/>
    <m/>
    <m/>
    <m/>
    <m/>
    <m/>
  </r>
  <r>
    <x v="87"/>
    <x v="1"/>
    <x v="34"/>
    <x v="0"/>
    <x v="23"/>
    <x v="1"/>
    <n v="1"/>
    <x v="4"/>
    <m/>
    <m/>
    <m/>
    <s v="CHRISTOPHE AUGUSTE"/>
    <m/>
    <n v="89580"/>
    <s v="COULANGES LA VINEUSE"/>
    <m/>
    <m/>
    <m/>
    <m/>
    <n v="95"/>
    <s v="95.jpg"/>
    <s v="95.jpg"/>
    <m/>
    <b v="0"/>
    <b v="1"/>
    <b v="0"/>
    <b v="0"/>
    <b v="0"/>
    <m/>
    <s v=""/>
    <s v=""/>
    <m/>
    <m/>
    <m/>
    <m/>
    <m/>
    <m/>
  </r>
  <r>
    <x v="91"/>
    <x v="1"/>
    <x v="51"/>
    <x v="0"/>
    <x v="23"/>
    <x v="1"/>
    <n v="1"/>
    <x v="4"/>
    <m/>
    <m/>
    <s v="le bas de Poilanges"/>
    <s v="LA ROCHE AIGUE"/>
    <m/>
    <m/>
    <m/>
    <m/>
    <m/>
    <m/>
    <m/>
    <n v="96"/>
    <s v="96.jpg"/>
    <s v="96.jpg"/>
    <m/>
    <b v="0"/>
    <b v="1"/>
    <b v="0"/>
    <b v="0"/>
    <b v="0"/>
    <m/>
    <s v=""/>
    <s v=""/>
    <m/>
    <m/>
    <m/>
    <m/>
    <m/>
    <m/>
  </r>
  <r>
    <x v="88"/>
    <x v="7"/>
    <x v="28"/>
    <x v="0"/>
    <x v="23"/>
    <x v="2"/>
    <n v="1"/>
    <x v="4"/>
    <m/>
    <m/>
    <s v="vieilles vignes"/>
    <s v="COSTEBELLE"/>
    <m/>
    <m/>
    <m/>
    <m/>
    <m/>
    <m/>
    <m/>
    <n v="97"/>
    <s v="97.jpg"/>
    <s v="97.jpg"/>
    <m/>
    <b v="0"/>
    <b v="1"/>
    <b v="0"/>
    <b v="0"/>
    <b v="0"/>
    <m/>
    <s v=""/>
    <s v=""/>
    <m/>
    <m/>
    <m/>
    <m/>
    <m/>
    <m/>
  </r>
  <r>
    <x v="92"/>
    <x v="3"/>
    <x v="57"/>
    <x v="0"/>
    <x v="23"/>
    <x v="2"/>
    <n v="1"/>
    <x v="4"/>
    <m/>
    <m/>
    <s v="geant rouge"/>
    <s v="JONQUERES D'ORIOLA"/>
    <m/>
    <n v="66200"/>
    <s v="CORNEILLA DES VERCOL"/>
    <m/>
    <m/>
    <s v="www.jonqueresdoriola.fr"/>
    <m/>
    <n v="98"/>
    <s v="98.jpg"/>
    <s v="98.jpg"/>
    <m/>
    <b v="0"/>
    <b v="1"/>
    <b v="0"/>
    <b v="0"/>
    <b v="0"/>
    <m/>
    <s v=""/>
    <s v=""/>
    <m/>
    <m/>
    <m/>
    <m/>
    <m/>
    <m/>
  </r>
  <r>
    <x v="93"/>
    <x v="1"/>
    <x v="39"/>
    <x v="0"/>
    <x v="24"/>
    <x v="2"/>
    <n v="5"/>
    <x v="33"/>
    <m/>
    <m/>
    <m/>
    <s v="BAILLY-LAPIERRE"/>
    <m/>
    <m/>
    <s v="ST BRIS LE VINEUX"/>
    <m/>
    <m/>
    <m/>
    <m/>
    <n v="99"/>
    <s v="99.jpg"/>
    <s v="99.jpg"/>
    <m/>
    <b v="0"/>
    <b v="1"/>
    <b v="0"/>
    <b v="0"/>
    <b v="0"/>
    <m/>
    <s v=""/>
    <s v=""/>
    <m/>
    <m/>
    <m/>
    <m/>
    <m/>
    <m/>
  </r>
  <r>
    <x v="94"/>
    <x v="1"/>
    <x v="55"/>
    <x v="0"/>
    <x v="24"/>
    <x v="2"/>
    <n v="4"/>
    <x v="34"/>
    <m/>
    <m/>
    <s v="cuvee d'antan"/>
    <s v="PRUNIER JEAN PIERRE ET LAURENT"/>
    <m/>
    <m/>
    <m/>
    <m/>
    <m/>
    <m/>
    <m/>
    <n v="100"/>
    <s v="100.jpg"/>
    <s v="100.jpg"/>
    <m/>
    <b v="0"/>
    <b v="1"/>
    <b v="0"/>
    <b v="0"/>
    <b v="0"/>
    <m/>
    <s v=""/>
    <s v=""/>
    <m/>
    <m/>
    <m/>
    <m/>
    <m/>
    <m/>
  </r>
  <r>
    <x v="95"/>
    <x v="1"/>
    <x v="7"/>
    <x v="0"/>
    <x v="24"/>
    <x v="1"/>
    <n v="2"/>
    <x v="32"/>
    <m/>
    <m/>
    <m/>
    <s v="PANSIOT"/>
    <m/>
    <n v="21700"/>
    <s v="CORGOLOIN"/>
    <m/>
    <m/>
    <m/>
    <m/>
    <n v="101"/>
    <s v="101.jpg"/>
    <s v="101.jpg"/>
    <m/>
    <b v="0"/>
    <b v="1"/>
    <b v="0"/>
    <b v="0"/>
    <b v="0"/>
    <m/>
    <s v=""/>
    <s v=""/>
    <m/>
    <m/>
    <m/>
    <m/>
    <m/>
    <m/>
  </r>
  <r>
    <x v="96"/>
    <x v="1"/>
    <x v="9"/>
    <x v="1"/>
    <x v="24"/>
    <x v="1"/>
    <n v="5"/>
    <x v="35"/>
    <m/>
    <m/>
    <m/>
    <s v="BAILLY LAPIERRE"/>
    <m/>
    <n v="71"/>
    <s v="SAINT BRIS LE VINEUX"/>
    <m/>
    <m/>
    <m/>
    <m/>
    <n v="102"/>
    <s v="102.jpg"/>
    <s v="102.jpg"/>
    <m/>
    <b v="0"/>
    <b v="1"/>
    <b v="0"/>
    <b v="0"/>
    <b v="0"/>
    <m/>
    <s v=""/>
    <s v=""/>
    <m/>
    <m/>
    <m/>
    <m/>
    <m/>
    <m/>
  </r>
  <r>
    <x v="97"/>
    <x v="7"/>
    <x v="28"/>
    <x v="0"/>
    <x v="24"/>
    <x v="1"/>
    <n v="3"/>
    <x v="36"/>
    <m/>
    <m/>
    <m/>
    <s v="LA MAZADE"/>
    <m/>
    <n v="7700"/>
    <s v="ST MARTIN D'ARDECHE"/>
    <m/>
    <m/>
    <m/>
    <m/>
    <n v="103"/>
    <s v="103.jpg"/>
    <s v="103.jpg"/>
    <m/>
    <b v="0"/>
    <b v="1"/>
    <b v="0"/>
    <b v="0"/>
    <b v="0"/>
    <m/>
    <s v=""/>
    <s v=""/>
    <m/>
    <m/>
    <m/>
    <m/>
    <m/>
    <m/>
  </r>
  <r>
    <x v="97"/>
    <x v="7"/>
    <x v="28"/>
    <x v="0"/>
    <x v="24"/>
    <x v="2"/>
    <n v="4"/>
    <x v="37"/>
    <m/>
    <m/>
    <m/>
    <s v="LA MAZADE"/>
    <m/>
    <n v="7700"/>
    <s v="ST MARTIN D'ARDECHE"/>
    <m/>
    <m/>
    <m/>
    <m/>
    <n v="104"/>
    <s v="104.jpg"/>
    <s v="104.jpg"/>
    <m/>
    <b v="0"/>
    <b v="1"/>
    <b v="0"/>
    <b v="0"/>
    <b v="0"/>
    <m/>
    <s v=""/>
    <s v=""/>
    <m/>
    <m/>
    <m/>
    <m/>
    <m/>
    <m/>
  </r>
  <r>
    <x v="98"/>
    <x v="7"/>
    <x v="58"/>
    <x v="3"/>
    <x v="24"/>
    <x v="2"/>
    <n v="1"/>
    <x v="38"/>
    <m/>
    <m/>
    <m/>
    <s v="CHRISTOPHE ET MARYLINE BILLON"/>
    <s v="115 chemin des corendies"/>
    <n v="69420"/>
    <s v="AMPUIS"/>
    <m/>
    <m/>
    <m/>
    <m/>
    <n v="105"/>
    <s v="105.jpg"/>
    <s v="105.jpg"/>
    <m/>
    <b v="0"/>
    <b v="1"/>
    <b v="0"/>
    <b v="0"/>
    <b v="0"/>
    <m/>
    <s v=""/>
    <s v=""/>
    <m/>
    <m/>
    <m/>
    <m/>
    <m/>
    <m/>
  </r>
  <r>
    <x v="99"/>
    <x v="1"/>
    <x v="17"/>
    <x v="0"/>
    <x v="24"/>
    <x v="2"/>
    <n v="1"/>
    <x v="38"/>
    <m/>
    <m/>
    <m/>
    <s v="LEVERT FRERES"/>
    <m/>
    <n v="71"/>
    <m/>
    <m/>
    <m/>
    <m/>
    <m/>
    <n v="106"/>
    <s v="106.jpg"/>
    <s v="106.jpg"/>
    <m/>
    <b v="0"/>
    <b v="1"/>
    <b v="0"/>
    <b v="0"/>
    <b v="0"/>
    <m/>
    <s v=""/>
    <s v=""/>
    <m/>
    <m/>
    <m/>
    <m/>
    <m/>
    <m/>
  </r>
  <r>
    <x v="100"/>
    <x v="7"/>
    <x v="59"/>
    <x v="0"/>
    <x v="24"/>
    <x v="2"/>
    <n v="1"/>
    <x v="38"/>
    <m/>
    <m/>
    <m/>
    <m/>
    <m/>
    <m/>
    <m/>
    <m/>
    <m/>
    <m/>
    <m/>
    <n v="107"/>
    <s v="107.jpg"/>
    <s v="107.jpg"/>
    <m/>
    <b v="0"/>
    <b v="1"/>
    <b v="0"/>
    <b v="0"/>
    <b v="0"/>
    <m/>
    <s v=""/>
    <s v=""/>
    <m/>
    <m/>
    <m/>
    <m/>
    <m/>
    <m/>
  </r>
  <r>
    <x v="101"/>
    <x v="1"/>
    <x v="60"/>
    <x v="0"/>
    <x v="24"/>
    <x v="1"/>
    <n v="1"/>
    <x v="38"/>
    <m/>
    <m/>
    <m/>
    <s v="JC &amp; MARIE ODILE JANIN"/>
    <m/>
    <n v="71260"/>
    <s v="PERRONNE"/>
    <m/>
    <m/>
    <m/>
    <m/>
    <n v="108"/>
    <s v="108.jpg"/>
    <s v="108.jpg"/>
    <m/>
    <b v="0"/>
    <b v="1"/>
    <b v="0"/>
    <b v="0"/>
    <b v="0"/>
    <m/>
    <s v=""/>
    <s v=""/>
    <m/>
    <m/>
    <m/>
    <m/>
    <m/>
    <m/>
  </r>
  <r>
    <x v="102"/>
    <x v="4"/>
    <x v="40"/>
    <x v="0"/>
    <x v="24"/>
    <x v="2"/>
    <n v="1"/>
    <x v="39"/>
    <m/>
    <m/>
    <m/>
    <s v="CHATEAU LAGRANGE MONBADON"/>
    <m/>
    <m/>
    <m/>
    <m/>
    <m/>
    <m/>
    <m/>
    <n v="109"/>
    <s v="109.jpg"/>
    <s v="109.jpg"/>
    <m/>
    <b v="0"/>
    <b v="1"/>
    <b v="0"/>
    <b v="0"/>
    <b v="0"/>
    <m/>
    <s v=""/>
    <s v=""/>
    <m/>
    <m/>
    <m/>
    <m/>
    <m/>
    <m/>
  </r>
  <r>
    <x v="103"/>
    <x v="13"/>
    <x v="61"/>
    <x v="0"/>
    <x v="24"/>
    <x v="3"/>
    <n v="1"/>
    <x v="18"/>
    <m/>
    <m/>
    <m/>
    <m/>
    <m/>
    <m/>
    <m/>
    <m/>
    <m/>
    <m/>
    <m/>
    <n v="110"/>
    <s v="110.jpg"/>
    <s v="110.jpg"/>
    <m/>
    <b v="0"/>
    <b v="1"/>
    <b v="0"/>
    <b v="0"/>
    <b v="0"/>
    <m/>
    <s v=""/>
    <s v=""/>
    <m/>
    <m/>
    <m/>
    <m/>
    <m/>
    <m/>
  </r>
  <r>
    <x v="97"/>
    <x v="7"/>
    <x v="28"/>
    <x v="0"/>
    <x v="24"/>
    <x v="3"/>
    <n v="3"/>
    <x v="18"/>
    <m/>
    <m/>
    <m/>
    <s v="LA MAZADE"/>
    <m/>
    <n v="7700"/>
    <s v="ST MARTIN D'ARDECHE"/>
    <m/>
    <m/>
    <m/>
    <m/>
    <n v="111"/>
    <s v="111.jpg"/>
    <s v="111.jpg"/>
    <m/>
    <b v="0"/>
    <b v="1"/>
    <b v="0"/>
    <b v="0"/>
    <b v="0"/>
    <m/>
    <s v=""/>
    <s v=""/>
    <m/>
    <m/>
    <m/>
    <m/>
    <m/>
    <m/>
  </r>
  <r>
    <x v="104"/>
    <x v="1"/>
    <x v="33"/>
    <x v="1"/>
    <x v="24"/>
    <x v="2"/>
    <n v="4"/>
    <x v="40"/>
    <m/>
    <m/>
    <s v="les clous"/>
    <s v="PRUNIER JEAN PIERRE &amp; LAURENT"/>
    <m/>
    <m/>
    <s v="AUXEY DURESSE"/>
    <m/>
    <m/>
    <m/>
    <m/>
    <n v="112"/>
    <s v="112.jpg"/>
    <s v="112.jpg"/>
    <m/>
    <b v="0"/>
    <b v="1"/>
    <b v="0"/>
    <b v="0"/>
    <b v="0"/>
    <m/>
    <s v=""/>
    <s v=""/>
    <m/>
    <m/>
    <m/>
    <m/>
    <m/>
    <m/>
  </r>
  <r>
    <x v="105"/>
    <x v="1"/>
    <x v="4"/>
    <x v="0"/>
    <x v="24"/>
    <x v="2"/>
    <n v="6"/>
    <x v="41"/>
    <m/>
    <m/>
    <m/>
    <s v="DENIS PERE &amp; FILS"/>
    <m/>
    <m/>
    <s v="PERNAND VERGELESSE"/>
    <m/>
    <m/>
    <m/>
    <m/>
    <n v="113"/>
    <s v="113.jpg"/>
    <s v="113.jpg"/>
    <m/>
    <b v="0"/>
    <b v="1"/>
    <b v="0"/>
    <b v="0"/>
    <b v="0"/>
    <m/>
    <s v=""/>
    <s v=""/>
    <m/>
    <m/>
    <m/>
    <m/>
    <m/>
    <m/>
  </r>
  <r>
    <x v="106"/>
    <x v="1"/>
    <x v="62"/>
    <x v="0"/>
    <x v="25"/>
    <x v="1"/>
    <n v="3"/>
    <x v="20"/>
    <m/>
    <m/>
    <s v="aux insarts"/>
    <s v="PASCAL ET MIREILLE RENAUD"/>
    <m/>
    <n v="71960"/>
    <s v="SOLUTRE-POULLY"/>
    <m/>
    <m/>
    <m/>
    <m/>
    <n v="114"/>
    <s v="114.jpg"/>
    <s v="114.jpg"/>
    <m/>
    <b v="0"/>
    <b v="1"/>
    <b v="0"/>
    <b v="0"/>
    <b v="0"/>
    <m/>
    <s v=""/>
    <s v=""/>
    <m/>
    <m/>
    <m/>
    <m/>
    <m/>
    <m/>
  </r>
  <r>
    <x v="107"/>
    <x v="1"/>
    <x v="63"/>
    <x v="0"/>
    <x v="25"/>
    <x v="1"/>
    <n v="3"/>
    <x v="42"/>
    <m/>
    <m/>
    <m/>
    <s v="VIGNERONS DE BUXY"/>
    <m/>
    <n v="71390"/>
    <s v="BUXY"/>
    <m/>
    <m/>
    <m/>
    <m/>
    <n v="115"/>
    <s v="115.jpg"/>
    <s v="115.jpg"/>
    <m/>
    <b v="0"/>
    <b v="1"/>
    <b v="0"/>
    <b v="0"/>
    <b v="0"/>
    <m/>
    <s v=""/>
    <s v=""/>
    <m/>
    <m/>
    <m/>
    <m/>
    <m/>
    <m/>
  </r>
  <r>
    <x v="108"/>
    <x v="2"/>
    <x v="2"/>
    <x v="0"/>
    <x v="25"/>
    <x v="2"/>
    <n v="1"/>
    <x v="4"/>
    <m/>
    <m/>
    <m/>
    <s v="PATRICK GRANMASON ANDRIEN ROBBE"/>
    <m/>
    <n v="39110"/>
    <s v="AIGLEPIERRE"/>
    <m/>
    <m/>
    <m/>
    <m/>
    <n v="116"/>
    <s v="116.jpg"/>
    <s v="116.jpg"/>
    <m/>
    <b v="0"/>
    <b v="1"/>
    <b v="0"/>
    <b v="0"/>
    <b v="0"/>
    <m/>
    <s v=""/>
    <s v=""/>
    <m/>
    <m/>
    <m/>
    <m/>
    <m/>
    <m/>
  </r>
  <r>
    <x v="109"/>
    <x v="5"/>
    <x v="64"/>
    <x v="0"/>
    <x v="25"/>
    <x v="1"/>
    <n v="2"/>
    <x v="43"/>
    <m/>
    <m/>
    <s v="premieres grives"/>
    <s v="TARIQUET"/>
    <m/>
    <m/>
    <m/>
    <m/>
    <m/>
    <m/>
    <m/>
    <n v="117"/>
    <s v="117.jpg"/>
    <s v="117.jpg"/>
    <m/>
    <b v="0"/>
    <b v="1"/>
    <b v="0"/>
    <b v="0"/>
    <b v="0"/>
    <m/>
    <s v=""/>
    <s v=""/>
    <m/>
    <m/>
    <m/>
    <m/>
    <m/>
    <m/>
  </r>
  <r>
    <x v="110"/>
    <x v="9"/>
    <x v="65"/>
    <x v="0"/>
    <x v="25"/>
    <x v="2"/>
    <n v="1"/>
    <x v="39"/>
    <m/>
    <m/>
    <s v="chianti"/>
    <m/>
    <m/>
    <m/>
    <m/>
    <m/>
    <m/>
    <m/>
    <m/>
    <n v="118"/>
    <s v="118.jpg"/>
    <s v="118.jpg"/>
    <m/>
    <b v="0"/>
    <b v="1"/>
    <b v="0"/>
    <b v="0"/>
    <b v="0"/>
    <m/>
    <s v=""/>
    <s v=""/>
    <m/>
    <m/>
    <m/>
    <m/>
    <m/>
    <m/>
  </r>
  <r>
    <x v="111"/>
    <x v="2"/>
    <x v="32"/>
    <x v="0"/>
    <x v="25"/>
    <x v="2"/>
    <n v="1"/>
    <x v="39"/>
    <m/>
    <m/>
    <m/>
    <s v="PATRICK GRANDMAISON ADRIEN ROBBE"/>
    <m/>
    <n v="39110"/>
    <s v="AIGLEPIERRE"/>
    <m/>
    <m/>
    <m/>
    <m/>
    <n v="119"/>
    <s v="119.jpg"/>
    <s v="119.jpg"/>
    <m/>
    <b v="0"/>
    <b v="1"/>
    <b v="0"/>
    <b v="0"/>
    <b v="0"/>
    <m/>
    <s v=""/>
    <s v=""/>
    <m/>
    <m/>
    <m/>
    <m/>
    <m/>
    <m/>
  </r>
  <r>
    <x v="112"/>
    <x v="1"/>
    <x v="66"/>
    <x v="0"/>
    <x v="25"/>
    <x v="2"/>
    <n v="1"/>
    <x v="39"/>
    <m/>
    <m/>
    <m/>
    <s v="CHENE"/>
    <m/>
    <n v="71980"/>
    <s v="BERZE LA VILLE"/>
    <m/>
    <m/>
    <m/>
    <m/>
    <n v="120"/>
    <s v="120.jpg"/>
    <s v="120.jpg"/>
    <m/>
    <b v="0"/>
    <b v="1"/>
    <b v="0"/>
    <b v="0"/>
    <b v="0"/>
    <m/>
    <s v=""/>
    <s v=""/>
    <m/>
    <m/>
    <m/>
    <m/>
    <m/>
    <m/>
  </r>
  <r>
    <x v="109"/>
    <x v="5"/>
    <x v="64"/>
    <x v="0"/>
    <x v="25"/>
    <x v="2"/>
    <n v="1"/>
    <x v="39"/>
    <m/>
    <m/>
    <s v="la gelotte"/>
    <s v="ENTRAS"/>
    <m/>
    <n v="32410"/>
    <s v="AYGUETINTE"/>
    <m/>
    <m/>
    <s v="www.domaine-entras.fr"/>
    <m/>
    <n v="121"/>
    <s v="121.jpg"/>
    <s v="121.jpg"/>
    <m/>
    <b v="0"/>
    <b v="1"/>
    <b v="0"/>
    <b v="0"/>
    <b v="0"/>
    <m/>
    <s v=""/>
    <s v=""/>
    <m/>
    <m/>
    <m/>
    <m/>
    <m/>
    <m/>
  </r>
  <r>
    <x v="113"/>
    <x v="1"/>
    <x v="34"/>
    <x v="0"/>
    <x v="25"/>
    <x v="1"/>
    <n v="1"/>
    <x v="39"/>
    <m/>
    <m/>
    <m/>
    <s v="LES JARDINS DE L'EVECHE"/>
    <m/>
    <m/>
    <m/>
    <m/>
    <m/>
    <m/>
    <m/>
    <n v="122"/>
    <s v="122.jpg"/>
    <s v="122.jpg"/>
    <m/>
    <b v="0"/>
    <b v="1"/>
    <b v="0"/>
    <b v="0"/>
    <b v="0"/>
    <m/>
    <s v=""/>
    <s v=""/>
    <m/>
    <m/>
    <m/>
    <m/>
    <m/>
    <m/>
  </r>
  <r>
    <x v="114"/>
    <x v="3"/>
    <x v="67"/>
    <x v="0"/>
    <x v="25"/>
    <x v="2"/>
    <n v="1"/>
    <x v="39"/>
    <m/>
    <m/>
    <m/>
    <s v="CHATEAU BEAUBOIS"/>
    <m/>
    <m/>
    <m/>
    <m/>
    <m/>
    <m/>
    <m/>
    <n v="123"/>
    <s v="123.jpg"/>
    <s v="123.jpg"/>
    <m/>
    <b v="0"/>
    <b v="1"/>
    <b v="0"/>
    <b v="0"/>
    <b v="0"/>
    <m/>
    <s v=""/>
    <s v=""/>
    <m/>
    <m/>
    <m/>
    <m/>
    <m/>
    <m/>
  </r>
  <r>
    <x v="115"/>
    <x v="1"/>
    <x v="15"/>
    <x v="0"/>
    <x v="25"/>
    <x v="1"/>
    <n v="1"/>
    <x v="39"/>
    <m/>
    <m/>
    <m/>
    <s v="MONTCHOVET"/>
    <m/>
    <m/>
    <m/>
    <m/>
    <m/>
    <m/>
    <m/>
    <n v="124"/>
    <s v="124.jpg"/>
    <s v="124.jpg"/>
    <m/>
    <b v="0"/>
    <b v="1"/>
    <b v="0"/>
    <b v="0"/>
    <b v="0"/>
    <m/>
    <s v=""/>
    <s v=""/>
    <m/>
    <m/>
    <m/>
    <m/>
    <m/>
    <m/>
  </r>
  <r>
    <x v="116"/>
    <x v="1"/>
    <x v="68"/>
    <x v="0"/>
    <x v="25"/>
    <x v="2"/>
    <n v="7"/>
    <x v="44"/>
    <m/>
    <m/>
    <m/>
    <m/>
    <m/>
    <m/>
    <m/>
    <m/>
    <m/>
    <m/>
    <m/>
    <n v="125"/>
    <s v="125.jpg"/>
    <s v="125.jpg"/>
    <m/>
    <b v="0"/>
    <b v="1"/>
    <b v="0"/>
    <b v="0"/>
    <b v="0"/>
    <m/>
    <s v=""/>
    <s v=""/>
    <m/>
    <m/>
    <m/>
    <m/>
    <m/>
    <m/>
  </r>
  <r>
    <x v="117"/>
    <x v="1"/>
    <x v="69"/>
    <x v="0"/>
    <x v="25"/>
    <x v="2"/>
    <n v="1"/>
    <x v="29"/>
    <m/>
    <m/>
    <m/>
    <s v="CHOFFLET VALDENAIRE"/>
    <m/>
    <m/>
    <m/>
    <m/>
    <m/>
    <m/>
    <m/>
    <n v="126"/>
    <s v="126.jpg"/>
    <s v="126.jpg"/>
    <m/>
    <b v="0"/>
    <b v="1"/>
    <b v="0"/>
    <b v="0"/>
    <b v="0"/>
    <m/>
    <s v=""/>
    <s v=""/>
    <m/>
    <m/>
    <m/>
    <m/>
    <m/>
    <m/>
  </r>
  <r>
    <x v="118"/>
    <x v="11"/>
    <x v="70"/>
    <x v="0"/>
    <x v="26"/>
    <x v="1"/>
    <n v="5"/>
    <x v="45"/>
    <m/>
    <m/>
    <m/>
    <s v="GUILLAUME"/>
    <m/>
    <n v="70"/>
    <s v="CHARCENNE"/>
    <m/>
    <m/>
    <m/>
    <m/>
    <n v="127"/>
    <s v="127.jpg"/>
    <s v="127.jpg"/>
    <m/>
    <b v="0"/>
    <b v="1"/>
    <b v="0"/>
    <b v="0"/>
    <b v="0"/>
    <m/>
    <s v=""/>
    <s v=""/>
    <m/>
    <m/>
    <m/>
    <m/>
    <m/>
    <m/>
  </r>
  <r>
    <x v="119"/>
    <x v="1"/>
    <x v="27"/>
    <x v="1"/>
    <x v="26"/>
    <x v="2"/>
    <n v="6"/>
    <x v="46"/>
    <m/>
    <n v="2022"/>
    <s v="les narbantons"/>
    <s v="PINTE GEORGES ET THIERRY"/>
    <m/>
    <n v="21"/>
    <s v="SAVIGNY LES BEAUNE"/>
    <m/>
    <m/>
    <m/>
    <m/>
    <n v="128"/>
    <s v="128.jpg"/>
    <s v="128.jpg"/>
    <m/>
    <b v="0"/>
    <b v="1"/>
    <b v="0"/>
    <b v="0"/>
    <b v="0"/>
    <m/>
    <s v=""/>
    <s v=""/>
    <m/>
    <m/>
    <m/>
    <m/>
    <m/>
    <m/>
  </r>
  <r>
    <x v="120"/>
    <x v="1"/>
    <x v="4"/>
    <x v="0"/>
    <x v="26"/>
    <x v="2"/>
    <n v="6"/>
    <x v="46"/>
    <m/>
    <n v="2022"/>
    <m/>
    <s v="PINTE GEORGES ET THIERRY"/>
    <m/>
    <n v="21"/>
    <s v="SAVIGNY LES BEAUNE"/>
    <m/>
    <m/>
    <m/>
    <m/>
    <n v="129"/>
    <s v="129.jpg"/>
    <s v="129.jpg"/>
    <m/>
    <b v="0"/>
    <b v="1"/>
    <b v="0"/>
    <b v="0"/>
    <b v="0"/>
    <m/>
    <s v=""/>
    <s v=""/>
    <m/>
    <m/>
    <m/>
    <m/>
    <m/>
    <m/>
  </r>
  <r>
    <x v="121"/>
    <x v="1"/>
    <x v="71"/>
    <x v="0"/>
    <x v="26"/>
    <x v="1"/>
    <n v="11"/>
    <x v="47"/>
    <m/>
    <m/>
    <m/>
    <s v="SE"/>
    <m/>
    <m/>
    <m/>
    <m/>
    <m/>
    <m/>
    <m/>
    <n v="130"/>
    <s v="130.jpg"/>
    <s v="130.jpg"/>
    <m/>
    <b v="0"/>
    <b v="1"/>
    <b v="0"/>
    <b v="0"/>
    <b v="0"/>
    <m/>
    <s v=""/>
    <s v=""/>
    <m/>
    <m/>
    <m/>
    <m/>
    <m/>
    <m/>
  </r>
  <r>
    <x v="122"/>
    <x v="1"/>
    <x v="72"/>
    <x v="0"/>
    <x v="26"/>
    <x v="1"/>
    <n v="1"/>
    <x v="29"/>
    <m/>
    <m/>
    <m/>
    <s v="FRANCE DESSAUGE"/>
    <m/>
    <n v="71"/>
    <s v="CHEILLY LES MARANGES"/>
    <m/>
    <m/>
    <m/>
    <m/>
    <n v="131"/>
    <s v="131.jpg"/>
    <s v="131.jpg"/>
    <m/>
    <b v="0"/>
    <b v="1"/>
    <b v="0"/>
    <b v="0"/>
    <b v="0"/>
    <m/>
    <s v=""/>
    <s v=""/>
    <m/>
    <m/>
    <m/>
    <m/>
    <m/>
    <m/>
  </r>
  <r>
    <x v="123"/>
    <x v="1"/>
    <x v="62"/>
    <x v="0"/>
    <x v="26"/>
    <x v="1"/>
    <n v="6"/>
    <x v="48"/>
    <m/>
    <m/>
    <m/>
    <m/>
    <m/>
    <m/>
    <m/>
    <m/>
    <m/>
    <m/>
    <m/>
    <n v="132"/>
    <s v="132.jpg"/>
    <s v="132.jpg"/>
    <m/>
    <b v="0"/>
    <b v="1"/>
    <b v="0"/>
    <b v="0"/>
    <b v="0"/>
    <m/>
    <s v=""/>
    <s v=""/>
    <m/>
    <m/>
    <m/>
    <m/>
    <m/>
    <m/>
  </r>
  <r>
    <x v="124"/>
    <x v="1"/>
    <x v="73"/>
    <x v="0"/>
    <x v="26"/>
    <x v="2"/>
    <n v="6"/>
    <x v="49"/>
    <m/>
    <m/>
    <s v="vieilles vignes"/>
    <s v="JOUARD GABRIEL ET PAUL"/>
    <m/>
    <m/>
    <m/>
    <m/>
    <m/>
    <m/>
    <m/>
    <n v="133"/>
    <s v="133.jpg"/>
    <s v="133.jpg"/>
    <m/>
    <b v="0"/>
    <b v="1"/>
    <b v="0"/>
    <b v="0"/>
    <b v="0"/>
    <m/>
    <s v=""/>
    <s v=""/>
    <m/>
    <m/>
    <m/>
    <m/>
    <m/>
    <m/>
  </r>
  <r>
    <x v="125"/>
    <x v="1"/>
    <x v="43"/>
    <x v="0"/>
    <x v="26"/>
    <x v="2"/>
    <n v="6"/>
    <x v="50"/>
    <m/>
    <m/>
    <s v="vieilles vignes"/>
    <s v="JOUARD GABRIEL ET PAUL"/>
    <m/>
    <m/>
    <m/>
    <m/>
    <m/>
    <m/>
    <m/>
    <n v="134"/>
    <s v="134.jpg"/>
    <s v="134.jpg"/>
    <m/>
    <b v="0"/>
    <b v="1"/>
    <b v="0"/>
    <b v="0"/>
    <b v="0"/>
    <m/>
    <s v=""/>
    <s v=""/>
    <m/>
    <m/>
    <m/>
    <m/>
    <m/>
    <m/>
  </r>
  <r>
    <x v="123"/>
    <x v="1"/>
    <x v="62"/>
    <x v="0"/>
    <x v="26"/>
    <x v="1"/>
    <n v="12"/>
    <x v="51"/>
    <m/>
    <m/>
    <m/>
    <m/>
    <m/>
    <m/>
    <m/>
    <m/>
    <m/>
    <m/>
    <m/>
    <n v="135"/>
    <s v="135.jpg"/>
    <s v="135.jpg"/>
    <m/>
    <b v="0"/>
    <b v="1"/>
    <b v="0"/>
    <b v="0"/>
    <b v="0"/>
    <m/>
    <s v=""/>
    <s v=""/>
    <m/>
    <m/>
    <m/>
    <m/>
    <m/>
    <m/>
  </r>
  <r>
    <x v="126"/>
    <x v="1"/>
    <x v="74"/>
    <x v="2"/>
    <x v="27"/>
    <x v="1"/>
    <n v="4"/>
    <x v="52"/>
    <m/>
    <m/>
    <m/>
    <m/>
    <m/>
    <m/>
    <m/>
    <m/>
    <m/>
    <m/>
    <m/>
    <n v="136"/>
    <s v="136.jpg"/>
    <s v="136.jpg"/>
    <m/>
    <b v="0"/>
    <b v="1"/>
    <b v="0"/>
    <b v="0"/>
    <b v="0"/>
    <m/>
    <s v=""/>
    <s v=""/>
    <m/>
    <m/>
    <m/>
    <m/>
    <m/>
    <m/>
  </r>
  <r>
    <x v="127"/>
    <x v="1"/>
    <x v="75"/>
    <x v="2"/>
    <x v="27"/>
    <x v="1"/>
    <n v="6"/>
    <x v="2"/>
    <m/>
    <n v="2023"/>
    <m/>
    <m/>
    <m/>
    <m/>
    <m/>
    <m/>
    <m/>
    <m/>
    <m/>
    <n v="137"/>
    <s v="137.jpg"/>
    <s v="137.jpg"/>
    <m/>
    <b v="0"/>
    <b v="1"/>
    <b v="0"/>
    <b v="0"/>
    <b v="0"/>
    <m/>
    <s v=""/>
    <s v=""/>
    <m/>
    <m/>
    <m/>
    <m/>
    <m/>
    <m/>
  </r>
  <r>
    <x v="128"/>
    <x v="7"/>
    <x v="28"/>
    <x v="0"/>
    <x v="27"/>
    <x v="1"/>
    <n v="1"/>
    <x v="29"/>
    <m/>
    <m/>
    <m/>
    <s v="DE LA JANASSE"/>
    <m/>
    <n v="84"/>
    <s v="COURTHEZON"/>
    <m/>
    <m/>
    <m/>
    <m/>
    <n v="138"/>
    <s v="138.jpg"/>
    <s v="138.jpg"/>
    <m/>
    <b v="0"/>
    <b v="1"/>
    <b v="0"/>
    <b v="0"/>
    <b v="0"/>
    <m/>
    <s v=""/>
    <s v=""/>
    <m/>
    <m/>
    <m/>
    <m/>
    <m/>
    <m/>
  </r>
  <r>
    <x v="129"/>
    <x v="12"/>
    <x v="76"/>
    <x v="0"/>
    <x v="27"/>
    <x v="1"/>
    <n v="1"/>
    <x v="29"/>
    <m/>
    <m/>
    <m/>
    <s v="DE LA PERRIERE"/>
    <m/>
    <m/>
    <m/>
    <m/>
    <m/>
    <m/>
    <m/>
    <n v="139"/>
    <s v="139.jpg"/>
    <s v="139.jpg"/>
    <m/>
    <b v="0"/>
    <b v="1"/>
    <b v="0"/>
    <b v="0"/>
    <b v="0"/>
    <m/>
    <s v=""/>
    <s v=""/>
    <m/>
    <m/>
    <m/>
    <m/>
    <m/>
    <m/>
  </r>
  <r>
    <x v="129"/>
    <x v="12"/>
    <x v="76"/>
    <x v="0"/>
    <x v="27"/>
    <x v="1"/>
    <n v="6"/>
    <x v="48"/>
    <m/>
    <m/>
    <s v="silex"/>
    <s v="DE LA PERRIERE"/>
    <m/>
    <n v="18300"/>
    <s v="VERDIGNY EN SANCERRE"/>
    <m/>
    <m/>
    <s v="www.laperriere.fr"/>
    <m/>
    <n v="140"/>
    <s v="140.jpg"/>
    <s v="140.jpg"/>
    <m/>
    <b v="0"/>
    <b v="1"/>
    <b v="0"/>
    <b v="0"/>
    <b v="0"/>
    <m/>
    <s v=""/>
    <s v=""/>
    <m/>
    <m/>
    <m/>
    <m/>
    <m/>
    <m/>
  </r>
  <r>
    <x v="130"/>
    <x v="1"/>
    <x v="62"/>
    <x v="0"/>
    <x v="27"/>
    <x v="1"/>
    <n v="12"/>
    <x v="50"/>
    <m/>
    <m/>
    <m/>
    <m/>
    <m/>
    <m/>
    <m/>
    <m/>
    <m/>
    <m/>
    <m/>
    <n v="141"/>
    <s v="141.jpg"/>
    <s v="141.jpg"/>
    <m/>
    <b v="0"/>
    <b v="1"/>
    <b v="0"/>
    <b v="0"/>
    <b v="0"/>
    <m/>
    <s v=""/>
    <s v=""/>
    <m/>
    <m/>
    <m/>
    <m/>
    <m/>
    <m/>
  </r>
  <r>
    <x v="131"/>
    <x v="1"/>
    <x v="22"/>
    <x v="0"/>
    <x v="0"/>
    <x v="2"/>
    <n v="1"/>
    <x v="29"/>
    <m/>
    <m/>
    <s v="les damodes"/>
    <s v="JEAN PIERRE BONY"/>
    <m/>
    <n v="21"/>
    <s v="NUITS ST GEORGES"/>
    <m/>
    <m/>
    <m/>
    <m/>
    <n v="142"/>
    <s v="142.jpg"/>
    <s v="142.jpg"/>
    <m/>
    <b v="0"/>
    <b v="1"/>
    <b v="0"/>
    <b v="0"/>
    <b v="0"/>
    <m/>
    <s v=""/>
    <s v=""/>
    <m/>
    <m/>
    <m/>
    <m/>
    <m/>
    <m/>
  </r>
  <r>
    <x v="132"/>
    <x v="2"/>
    <x v="32"/>
    <x v="0"/>
    <x v="26"/>
    <x v="2"/>
    <n v="3"/>
    <x v="53"/>
    <m/>
    <m/>
    <m/>
    <s v="PATRICK GRANDMAISON ADRIEN ROBBE"/>
    <m/>
    <n v="39110"/>
    <s v="AIGLEPIERRE"/>
    <m/>
    <m/>
    <m/>
    <m/>
    <n v="143"/>
    <s v="143.jpg"/>
    <s v="143.jpg"/>
    <m/>
    <b v="0"/>
    <b v="1"/>
    <b v="0"/>
    <b v="0"/>
    <b v="0"/>
    <m/>
    <s v=""/>
    <s v=""/>
    <m/>
    <m/>
    <m/>
    <m/>
    <m/>
    <m/>
  </r>
  <r>
    <x v="133"/>
    <x v="2"/>
    <x v="32"/>
    <x v="0"/>
    <x v="27"/>
    <x v="1"/>
    <n v="3"/>
    <x v="53"/>
    <m/>
    <m/>
    <m/>
    <s v="PATRICK GRANDMAISON ADRIEN ROBBE"/>
    <m/>
    <n v="39110"/>
    <s v="AIGLEPIERRE"/>
    <m/>
    <m/>
    <m/>
    <m/>
    <n v="144"/>
    <s v="144.jpg"/>
    <s v="144.jpg"/>
    <m/>
    <b v="0"/>
    <b v="1"/>
    <b v="0"/>
    <b v="0"/>
    <b v="0"/>
    <m/>
    <s v=""/>
    <s v=""/>
    <m/>
    <m/>
    <m/>
    <m/>
    <m/>
    <m/>
  </r>
  <r>
    <x v="134"/>
    <x v="1"/>
    <x v="37"/>
    <x v="0"/>
    <x v="26"/>
    <x v="1"/>
    <n v="6"/>
    <x v="54"/>
    <m/>
    <m/>
    <s v="vieilles vignes"/>
    <s v="CLOS DE CHEVIGNE"/>
    <m/>
    <m/>
    <m/>
    <m/>
    <m/>
    <m/>
    <m/>
    <n v="145"/>
    <s v="145.jpg"/>
    <s v="145.jpg"/>
    <m/>
    <b v="0"/>
    <b v="1"/>
    <b v="0"/>
    <b v="0"/>
    <b v="0"/>
    <m/>
    <s v=""/>
    <s v=""/>
    <m/>
    <m/>
    <m/>
    <m/>
    <m/>
    <m/>
  </r>
  <r>
    <x v="135"/>
    <x v="1"/>
    <x v="77"/>
    <x v="1"/>
    <x v="26"/>
    <x v="1"/>
    <n v="4"/>
    <x v="55"/>
    <m/>
    <m/>
    <m/>
    <s v="JEAN BAPTISTE PONSOT"/>
    <m/>
    <m/>
    <m/>
    <m/>
    <m/>
    <m/>
    <m/>
    <n v="146"/>
    <s v="146.jpg"/>
    <s v="146.jpg"/>
    <m/>
    <b v="0"/>
    <b v="1"/>
    <b v="0"/>
    <b v="0"/>
    <b v="0"/>
    <m/>
    <s v=""/>
    <s v=""/>
    <m/>
    <m/>
    <m/>
    <m/>
    <m/>
    <m/>
  </r>
  <r>
    <x v="128"/>
    <x v="7"/>
    <x v="28"/>
    <x v="0"/>
    <x v="27"/>
    <x v="1"/>
    <n v="5"/>
    <x v="56"/>
    <m/>
    <m/>
    <m/>
    <s v="LA MAZADE"/>
    <m/>
    <n v="7700"/>
    <s v="ST MARTIN D'ARDECHE"/>
    <m/>
    <m/>
    <m/>
    <m/>
    <n v="147"/>
    <s v="147.jpg"/>
    <s v="147.jpg"/>
    <m/>
    <b v="0"/>
    <b v="1"/>
    <b v="0"/>
    <b v="0"/>
    <b v="0"/>
    <m/>
    <s v=""/>
    <s v=""/>
    <m/>
    <m/>
    <m/>
    <m/>
    <m/>
    <m/>
  </r>
  <r>
    <x v="136"/>
    <x v="9"/>
    <x v="65"/>
    <x v="0"/>
    <x v="27"/>
    <x v="1"/>
    <n v="3"/>
    <x v="50"/>
    <m/>
    <m/>
    <s v="montecarlo bianco"/>
    <s v="FATTORIA IL POGGIO"/>
    <m/>
    <m/>
    <m/>
    <m/>
    <m/>
    <m/>
    <m/>
    <n v="148"/>
    <s v="148.jpg"/>
    <s v="148.jpg"/>
    <m/>
    <b v="0"/>
    <b v="1"/>
    <b v="0"/>
    <b v="0"/>
    <b v="0"/>
    <m/>
    <s v=""/>
    <s v=""/>
    <m/>
    <m/>
    <m/>
    <m/>
    <m/>
    <m/>
  </r>
  <r>
    <x v="136"/>
    <x v="9"/>
    <x v="65"/>
    <x v="0"/>
    <x v="27"/>
    <x v="1"/>
    <n v="3"/>
    <x v="50"/>
    <m/>
    <m/>
    <s v="otium"/>
    <s v="FATTORIA IL POGGIO"/>
    <m/>
    <m/>
    <m/>
    <m/>
    <m/>
    <m/>
    <m/>
    <n v="149"/>
    <s v="149.jpg"/>
    <s v="149.jpg"/>
    <m/>
    <b v="0"/>
    <b v="1"/>
    <b v="0"/>
    <b v="0"/>
    <b v="0"/>
    <m/>
    <s v=""/>
    <s v=""/>
    <m/>
    <m/>
    <m/>
    <m/>
    <m/>
    <m/>
  </r>
  <r>
    <x v="136"/>
    <x v="9"/>
    <x v="65"/>
    <x v="0"/>
    <x v="27"/>
    <x v="2"/>
    <n v="3"/>
    <x v="50"/>
    <m/>
    <m/>
    <s v="montecarlo rosso"/>
    <s v="FATTORIA IL POGGIO"/>
    <m/>
    <m/>
    <m/>
    <m/>
    <m/>
    <m/>
    <m/>
    <n v="150"/>
    <s v="150.jpg"/>
    <s v="150.jpg"/>
    <m/>
    <b v="0"/>
    <b v="1"/>
    <b v="0"/>
    <b v="0"/>
    <b v="0"/>
    <m/>
    <s v=""/>
    <s v=""/>
    <m/>
    <m/>
    <m/>
    <m/>
    <m/>
    <m/>
  </r>
  <r>
    <x v="137"/>
    <x v="12"/>
    <x v="78"/>
    <x v="0"/>
    <x v="24"/>
    <x v="2"/>
    <n v="1"/>
    <x v="38"/>
    <m/>
    <m/>
    <m/>
    <s v="NICOLAS LECONTE"/>
    <s v="105 rue St Exupey"/>
    <n v="18520"/>
    <s v="AVORD"/>
    <n v="248692714"/>
    <m/>
    <s v="www.domaine-leconte.com"/>
    <m/>
    <n v="151"/>
    <s v="151.jpg"/>
    <s v="151.jpg"/>
    <m/>
    <b v="0"/>
    <b v="1"/>
    <b v="0"/>
    <b v="0"/>
    <b v="0"/>
    <m/>
    <s v=""/>
    <s v="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3F6D91-DBAB-43F9-9855-A1FDB76B98AF}" name="Tableau croisé dynamique1" cacheId="1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4:F150" firstHeaderRow="1" firstDataRow="1" firstDataCol="6"/>
  <pivotFields count="37">
    <pivotField axis="axisRow" compact="0" outline="0" showAll="0" defaultSubtotal="0">
      <items count="140">
        <item x="0"/>
        <item m="1" x="139"/>
        <item x="44"/>
        <item x="46"/>
        <item x="59"/>
        <item x="79"/>
        <item x="87"/>
        <item x="113"/>
        <item x="122"/>
        <item x="22"/>
        <item x="40"/>
        <item x="111"/>
        <item x="132"/>
        <item x="133"/>
        <item x="94"/>
        <item x="83"/>
        <item x="126"/>
        <item x="80"/>
        <item x="15"/>
        <item x="19"/>
        <item x="29"/>
        <item x="74"/>
        <item x="31"/>
        <item x="81"/>
        <item x="33"/>
        <item x="5"/>
        <item x="30"/>
        <item x="35"/>
        <item x="67"/>
        <item x="78"/>
        <item x="70"/>
        <item x="9"/>
        <item x="96"/>
        <item x="62"/>
        <item x="86"/>
        <item x="64"/>
        <item x="125"/>
        <item x="100"/>
        <item x="137"/>
        <item x="73"/>
        <item x="7"/>
        <item x="57"/>
        <item x="95"/>
        <item x="63"/>
        <item x="127"/>
        <item x="114"/>
        <item x="109"/>
        <item x="25"/>
        <item x="48"/>
        <item x="36"/>
        <item x="43"/>
        <item x="49"/>
        <item x="56"/>
        <item x="60"/>
        <item x="71"/>
        <item x="88"/>
        <item x="97"/>
        <item x="128"/>
        <item x="98"/>
        <item x="66"/>
        <item x="103"/>
        <item x="61"/>
        <item x="102"/>
        <item x="2"/>
        <item x="17"/>
        <item x="108"/>
        <item x="92"/>
        <item x="65"/>
        <item x="39"/>
        <item x="55"/>
        <item x="24"/>
        <item x="51"/>
        <item x="72"/>
        <item x="117"/>
        <item x="16"/>
        <item x="82"/>
        <item x="115"/>
        <item x="6"/>
        <item x="23"/>
        <item x="28"/>
        <item x="58"/>
        <item x="84"/>
        <item x="93"/>
        <item x="110"/>
        <item x="136"/>
        <item x="68"/>
        <item x="13"/>
        <item x="27"/>
        <item x="38"/>
        <item x="112"/>
        <item x="101"/>
        <item x="47"/>
        <item x="99"/>
        <item x="20"/>
        <item x="18"/>
        <item x="90"/>
        <item x="45"/>
        <item x="12"/>
        <item x="107"/>
        <item x="42"/>
        <item x="104"/>
        <item x="14"/>
        <item x="32"/>
        <item x="131"/>
        <item x="26"/>
        <item x="37"/>
        <item x="50"/>
        <item x="4"/>
        <item x="11"/>
        <item x="105"/>
        <item x="120"/>
        <item x="8"/>
        <item x="10"/>
        <item x="106"/>
        <item x="123"/>
        <item x="130"/>
        <item x="54"/>
        <item x="135"/>
        <item x="121"/>
        <item x="116"/>
        <item x="1"/>
        <item x="21"/>
        <item x="76"/>
        <item x="77"/>
        <item x="91"/>
        <item x="53"/>
        <item x="134"/>
        <item x="129"/>
        <item x="124"/>
        <item x="75"/>
        <item x="34"/>
        <item x="41"/>
        <item x="85"/>
        <item x="52"/>
        <item x="89"/>
        <item x="119"/>
        <item x="69"/>
        <item x="118"/>
        <item x="3"/>
        <item m="1" x="138"/>
      </items>
    </pivotField>
    <pivotField axis="axisRow" compact="0" outline="0" showAll="0" defaultSubtotal="0">
      <items count="14">
        <item x="10"/>
        <item x="11"/>
        <item x="6"/>
        <item x="4"/>
        <item x="1"/>
        <item x="8"/>
        <item x="7"/>
        <item x="9"/>
        <item x="2"/>
        <item x="3"/>
        <item x="12"/>
        <item x="13"/>
        <item x="5"/>
        <item x="0"/>
      </items>
    </pivotField>
    <pivotField axis="axisRow" compact="0" outline="0" showAll="0" defaultSubtotal="0">
      <items count="80">
        <item x="34"/>
        <item x="72"/>
        <item x="19"/>
        <item x="32"/>
        <item x="55"/>
        <item x="74"/>
        <item x="53"/>
        <item x="14"/>
        <item x="24"/>
        <item x="54"/>
        <item x="26"/>
        <item x="5"/>
        <item x="52"/>
        <item x="9"/>
        <item x="41"/>
        <item x="56"/>
        <item x="43"/>
        <item x="59"/>
        <item x="78"/>
        <item x="48"/>
        <item x="7"/>
        <item x="42"/>
        <item x="75"/>
        <item x="67"/>
        <item x="64"/>
        <item x="21"/>
        <item x="28"/>
        <item x="58"/>
        <item x="45"/>
        <item x="61"/>
        <item x="40"/>
        <item x="2"/>
        <item x="57"/>
        <item x="44"/>
        <item x="31"/>
        <item x="20"/>
        <item x="69"/>
        <item x="15"/>
        <item x="6"/>
        <item x="39"/>
        <item x="65"/>
        <item x="46"/>
        <item x="12"/>
        <item x="23"/>
        <item x="30"/>
        <item x="66"/>
        <item x="60"/>
        <item x="36"/>
        <item x="17"/>
        <item x="16"/>
        <item x="35"/>
        <item x="11"/>
        <item x="63"/>
        <item x="33"/>
        <item x="13"/>
        <item x="25"/>
        <item x="22"/>
        <item x="29"/>
        <item x="4"/>
        <item x="8"/>
        <item x="10"/>
        <item x="62"/>
        <item x="38"/>
        <item x="77"/>
        <item x="71"/>
        <item x="68"/>
        <item x="1"/>
        <item x="18"/>
        <item x="50"/>
        <item x="51"/>
        <item x="37"/>
        <item x="76"/>
        <item x="73"/>
        <item x="49"/>
        <item x="27"/>
        <item x="47"/>
        <item x="70"/>
        <item x="3"/>
        <item x="0"/>
        <item m="1" x="79"/>
      </items>
    </pivotField>
    <pivotField axis="axisRow" compact="0" outline="0" showAll="0" defaultSubtotal="0">
      <items count="4">
        <item x="1"/>
        <item x="2"/>
        <item x="3"/>
        <item x="0"/>
      </items>
    </pivotField>
    <pivotField axis="axisRow" compact="0" outline="0" showAll="0" defaultSubtotal="0">
      <items count="2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0"/>
        <item m="1" x="28"/>
      </items>
    </pivotField>
    <pivotField axis="axisRow" compact="0" outline="0" showAll="0" defaultSubtotal="0">
      <items count="4">
        <item x="1"/>
        <item x="3"/>
        <item x="2"/>
        <item x="0"/>
      </items>
    </pivotField>
    <pivotField compact="0" outline="0" showAll="0" defaultSubtotal="0"/>
    <pivotField compact="0" outline="0" showAll="0" defaultSubtotal="0">
      <items count="57">
        <item x="56"/>
        <item x="21"/>
        <item x="10"/>
        <item x="20"/>
        <item x="7"/>
        <item x="33"/>
        <item x="5"/>
        <item x="8"/>
        <item x="34"/>
        <item x="30"/>
        <item x="31"/>
        <item x="19"/>
        <item x="1"/>
        <item x="3"/>
        <item x="6"/>
        <item x="24"/>
        <item x="16"/>
        <item x="53"/>
        <item x="12"/>
        <item x="13"/>
        <item x="15"/>
        <item x="17"/>
        <item x="4"/>
        <item x="52"/>
        <item x="25"/>
        <item x="36"/>
        <item x="55"/>
        <item x="32"/>
        <item x="35"/>
        <item x="26"/>
        <item x="42"/>
        <item x="28"/>
        <item x="39"/>
        <item x="46"/>
        <item x="11"/>
        <item x="43"/>
        <item x="23"/>
        <item x="37"/>
        <item x="54"/>
        <item x="9"/>
        <item x="45"/>
        <item x="38"/>
        <item x="14"/>
        <item x="29"/>
        <item x="49"/>
        <item x="48"/>
        <item x="50"/>
        <item x="51"/>
        <item x="18"/>
        <item x="27"/>
        <item x="2"/>
        <item x="44"/>
        <item x="22"/>
        <item x="40"/>
        <item x="47"/>
        <item x="4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6">
    <field x="0"/>
    <field x="1"/>
    <field x="2"/>
    <field x="3"/>
    <field x="5"/>
    <field x="4"/>
  </rowFields>
  <rowItems count="146">
    <i>
      <x/>
      <x v="13"/>
      <x v="78"/>
      <x v="3"/>
      <x v="3"/>
      <x v="27"/>
    </i>
    <i>
      <x v="2"/>
      <x v="4"/>
      <x/>
      <x v="3"/>
      <x/>
      <x v="15"/>
    </i>
    <i>
      <x v="3"/>
      <x v="4"/>
      <x/>
      <x v="3"/>
      <x/>
      <x v="16"/>
    </i>
    <i>
      <x v="4"/>
      <x v="4"/>
      <x/>
      <x v="3"/>
      <x/>
      <x v="18"/>
    </i>
    <i>
      <x v="5"/>
      <x v="4"/>
      <x/>
      <x v="3"/>
      <x/>
      <x v="21"/>
    </i>
    <i>
      <x v="6"/>
      <x v="4"/>
      <x/>
      <x v="3"/>
      <x/>
      <x v="22"/>
    </i>
    <i>
      <x v="7"/>
      <x v="4"/>
      <x/>
      <x v="3"/>
      <x/>
      <x v="24"/>
    </i>
    <i>
      <x v="8"/>
      <x v="4"/>
      <x v="1"/>
      <x v="3"/>
      <x/>
      <x v="25"/>
    </i>
    <i>
      <x v="9"/>
      <x v="4"/>
      <x v="2"/>
      <x/>
      <x v="2"/>
      <x v="7"/>
    </i>
    <i>
      <x v="10"/>
      <x v="8"/>
      <x v="3"/>
      <x v="3"/>
      <x v="2"/>
      <x v="13"/>
    </i>
    <i>
      <x v="11"/>
      <x v="8"/>
      <x v="3"/>
      <x v="3"/>
      <x v="2"/>
      <x v="24"/>
    </i>
    <i>
      <x v="12"/>
      <x v="8"/>
      <x v="3"/>
      <x v="3"/>
      <x v="2"/>
      <x v="25"/>
    </i>
    <i>
      <x v="13"/>
      <x v="8"/>
      <x v="3"/>
      <x v="3"/>
      <x/>
      <x v="26"/>
    </i>
    <i>
      <x v="14"/>
      <x v="4"/>
      <x v="4"/>
      <x v="3"/>
      <x v="2"/>
      <x v="23"/>
    </i>
    <i>
      <x v="15"/>
      <x v="4"/>
      <x v="4"/>
      <x/>
      <x v="2"/>
      <x v="22"/>
    </i>
    <i>
      <x v="16"/>
      <x v="4"/>
      <x v="5"/>
      <x v="1"/>
      <x/>
      <x v="26"/>
    </i>
    <i>
      <x v="17"/>
      <x v="6"/>
      <x v="6"/>
      <x v="3"/>
      <x/>
      <x v="21"/>
    </i>
    <i>
      <x v="18"/>
      <x v="4"/>
      <x v="7"/>
      <x/>
      <x v="2"/>
      <x v="6"/>
    </i>
    <i>
      <x v="19"/>
      <x v="4"/>
      <x v="7"/>
      <x/>
      <x v="2"/>
      <x v="7"/>
    </i>
    <i>
      <x v="20"/>
      <x v="4"/>
      <x v="7"/>
      <x/>
      <x v="2"/>
      <x v="9"/>
    </i>
    <i>
      <x v="21"/>
      <x v="4"/>
      <x v="7"/>
      <x/>
      <x v="2"/>
      <x v="20"/>
    </i>
    <i>
      <x v="22"/>
      <x v="12"/>
      <x v="8"/>
      <x v="3"/>
      <x v="2"/>
      <x v="10"/>
    </i>
    <i>
      <x v="23"/>
      <x v="3"/>
      <x v="9"/>
      <x v="3"/>
      <x v="2"/>
      <x v="21"/>
    </i>
    <i>
      <x v="24"/>
      <x v="3"/>
      <x v="10"/>
      <x v="3"/>
      <x v="2"/>
      <x v="11"/>
    </i>
    <i>
      <x v="25"/>
      <x v="4"/>
      <x v="11"/>
      <x v="3"/>
      <x v="2"/>
      <x v="2"/>
    </i>
    <i>
      <x v="26"/>
      <x v="4"/>
      <x v="11"/>
      <x v="3"/>
      <x v="2"/>
      <x v="9"/>
    </i>
    <i>
      <x v="27"/>
      <x v="4"/>
      <x v="11"/>
      <x v="3"/>
      <x v="2"/>
      <x v="12"/>
    </i>
    <i>
      <x v="28"/>
      <x v="4"/>
      <x v="11"/>
      <x v="3"/>
      <x v="2"/>
      <x v="20"/>
    </i>
    <i>
      <x v="29"/>
      <x v="11"/>
      <x v="12"/>
      <x v="3"/>
      <x v="2"/>
      <x v="21"/>
    </i>
    <i>
      <x v="30"/>
      <x v="4"/>
      <x v="13"/>
      <x v="3"/>
      <x/>
      <x v="20"/>
    </i>
    <i>
      <x v="31"/>
      <x v="4"/>
      <x v="13"/>
      <x/>
      <x/>
      <x v="3"/>
    </i>
    <i>
      <x v="32"/>
      <x v="4"/>
      <x v="13"/>
      <x/>
      <x/>
      <x v="23"/>
    </i>
    <i>
      <x v="33"/>
      <x v="4"/>
      <x v="14"/>
      <x/>
      <x/>
      <x v="19"/>
    </i>
    <i>
      <x v="34"/>
      <x v="6"/>
      <x v="15"/>
      <x v="3"/>
      <x/>
      <x v="22"/>
    </i>
    <i>
      <x v="35"/>
      <x v="4"/>
      <x v="16"/>
      <x v="3"/>
      <x v="2"/>
      <x v="19"/>
    </i>
    <i>
      <x v="36"/>
      <x v="4"/>
      <x v="16"/>
      <x v="3"/>
      <x v="2"/>
      <x v="25"/>
    </i>
    <i>
      <x v="37"/>
      <x v="6"/>
      <x v="17"/>
      <x v="3"/>
      <x v="2"/>
      <x v="23"/>
    </i>
    <i>
      <x v="38"/>
      <x v="10"/>
      <x v="18"/>
      <x v="3"/>
      <x v="2"/>
      <x v="23"/>
    </i>
    <i>
      <x v="39"/>
      <x v="10"/>
      <x v="19"/>
      <x v="3"/>
      <x v="2"/>
      <x v="20"/>
    </i>
    <i>
      <x v="40"/>
      <x v="4"/>
      <x v="20"/>
      <x v="3"/>
      <x v="2"/>
      <x v="2"/>
    </i>
    <i>
      <x v="41"/>
      <x v="4"/>
      <x v="20"/>
      <x v="3"/>
      <x v="2"/>
      <x v="18"/>
    </i>
    <i>
      <x v="42"/>
      <x v="4"/>
      <x v="20"/>
      <x v="3"/>
      <x/>
      <x v="23"/>
    </i>
    <i>
      <x v="43"/>
      <x v="4"/>
      <x v="21"/>
      <x v="1"/>
      <x v="2"/>
      <x v="19"/>
    </i>
    <i>
      <x v="44"/>
      <x v="4"/>
      <x v="22"/>
      <x v="1"/>
      <x/>
      <x v="26"/>
    </i>
    <i>
      <x v="45"/>
      <x v="9"/>
      <x v="23"/>
      <x v="3"/>
      <x v="2"/>
      <x v="24"/>
    </i>
    <i>
      <x v="46"/>
      <x v="12"/>
      <x v="24"/>
      <x v="3"/>
      <x/>
      <x v="24"/>
    </i>
    <i r="4">
      <x v="2"/>
      <x v="24"/>
    </i>
    <i>
      <x v="47"/>
      <x v="4"/>
      <x v="25"/>
      <x v="3"/>
      <x v="2"/>
      <x v="8"/>
    </i>
    <i>
      <x v="48"/>
      <x v="4"/>
      <x v="25"/>
      <x v="3"/>
      <x v="2"/>
      <x v="16"/>
    </i>
    <i>
      <x v="49"/>
      <x v="6"/>
      <x v="26"/>
      <x v="3"/>
      <x v="1"/>
      <x v="12"/>
    </i>
    <i>
      <x v="50"/>
      <x v="6"/>
      <x v="26"/>
      <x v="3"/>
      <x v="1"/>
      <x v="14"/>
    </i>
    <i>
      <x v="51"/>
      <x v="6"/>
      <x v="26"/>
      <x v="3"/>
      <x v="1"/>
      <x v="16"/>
    </i>
    <i>
      <x v="52"/>
      <x v="6"/>
      <x v="26"/>
      <x v="3"/>
      <x v="1"/>
      <x v="17"/>
    </i>
    <i>
      <x v="53"/>
      <x v="6"/>
      <x v="26"/>
      <x v="3"/>
      <x v="1"/>
      <x v="18"/>
    </i>
    <i>
      <x v="54"/>
      <x v="6"/>
      <x v="26"/>
      <x v="3"/>
      <x v="1"/>
      <x v="20"/>
    </i>
    <i r="4">
      <x v="2"/>
      <x v="20"/>
    </i>
    <i>
      <x v="55"/>
      <x v="6"/>
      <x v="26"/>
      <x v="3"/>
      <x/>
      <x v="22"/>
    </i>
    <i r="4">
      <x v="2"/>
      <x v="22"/>
    </i>
    <i>
      <x v="56"/>
      <x v="6"/>
      <x v="26"/>
      <x v="3"/>
      <x/>
      <x v="23"/>
    </i>
    <i r="4">
      <x v="1"/>
      <x v="23"/>
    </i>
    <i r="4">
      <x v="2"/>
      <x v="23"/>
    </i>
    <i>
      <x v="57"/>
      <x v="6"/>
      <x v="26"/>
      <x v="3"/>
      <x/>
      <x v="26"/>
    </i>
    <i>
      <x v="58"/>
      <x v="6"/>
      <x v="27"/>
      <x v="2"/>
      <x v="2"/>
      <x v="23"/>
    </i>
    <i>
      <x v="59"/>
      <x v="1"/>
      <x v="28"/>
      <x v="3"/>
      <x v="2"/>
      <x v="19"/>
    </i>
    <i>
      <x v="60"/>
      <x v="11"/>
      <x v="29"/>
      <x v="3"/>
      <x v="1"/>
      <x v="23"/>
    </i>
    <i>
      <x v="61"/>
      <x v="3"/>
      <x v="30"/>
      <x v="3"/>
      <x v="2"/>
      <x v="18"/>
    </i>
    <i>
      <x v="62"/>
      <x v="3"/>
      <x v="30"/>
      <x v="3"/>
      <x v="2"/>
      <x v="23"/>
    </i>
    <i>
      <x v="63"/>
      <x v="8"/>
      <x v="31"/>
      <x v="3"/>
      <x/>
      <x v="1"/>
    </i>
    <i>
      <x v="64"/>
      <x v="8"/>
      <x v="31"/>
      <x v="3"/>
      <x v="2"/>
      <x v="6"/>
    </i>
    <i>
      <x v="65"/>
      <x v="8"/>
      <x v="31"/>
      <x v="3"/>
      <x v="2"/>
      <x v="24"/>
    </i>
    <i>
      <x v="66"/>
      <x v="9"/>
      <x v="32"/>
      <x v="3"/>
      <x v="2"/>
      <x v="22"/>
    </i>
    <i>
      <x v="67"/>
      <x v="3"/>
      <x v="33"/>
      <x v="3"/>
      <x v="2"/>
      <x v="19"/>
    </i>
    <i>
      <x v="68"/>
      <x v="7"/>
      <x v="34"/>
      <x v="3"/>
      <x v="2"/>
      <x v="13"/>
    </i>
    <i>
      <x v="69"/>
      <x v="7"/>
      <x v="34"/>
      <x v="3"/>
      <x v="2"/>
      <x v="17"/>
    </i>
    <i>
      <x v="70"/>
      <x v="4"/>
      <x v="35"/>
      <x v="3"/>
      <x v="2"/>
      <x v="8"/>
    </i>
    <i>
      <x v="71"/>
      <x v="4"/>
      <x v="35"/>
      <x v="3"/>
      <x v="2"/>
      <x v="17"/>
    </i>
    <i>
      <x v="72"/>
      <x v="4"/>
      <x v="35"/>
      <x/>
      <x v="2"/>
      <x v="20"/>
    </i>
    <i>
      <x v="73"/>
      <x v="4"/>
      <x v="36"/>
      <x v="3"/>
      <x v="2"/>
      <x v="24"/>
    </i>
    <i>
      <x v="74"/>
      <x v="4"/>
      <x v="37"/>
      <x v="3"/>
      <x v="2"/>
      <x v="6"/>
    </i>
    <i>
      <x v="75"/>
      <x v="4"/>
      <x v="37"/>
      <x v="3"/>
      <x/>
      <x v="21"/>
    </i>
    <i>
      <x v="76"/>
      <x v="4"/>
      <x v="37"/>
      <x v="3"/>
      <x/>
      <x v="24"/>
    </i>
    <i>
      <x v="77"/>
      <x v="4"/>
      <x v="38"/>
      <x v="3"/>
      <x/>
      <x v="2"/>
    </i>
    <i>
      <x v="78"/>
      <x v="4"/>
      <x v="38"/>
      <x v="3"/>
      <x/>
      <x v="8"/>
    </i>
    <i r="4">
      <x v="2"/>
      <x v="8"/>
    </i>
    <i>
      <x v="79"/>
      <x v="4"/>
      <x v="38"/>
      <x v="3"/>
      <x/>
      <x v="9"/>
    </i>
    <i r="4">
      <x v="2"/>
      <x v="9"/>
    </i>
    <i>
      <x v="80"/>
      <x v="4"/>
      <x v="39"/>
      <x v="3"/>
      <x v="2"/>
      <x v="18"/>
    </i>
    <i>
      <x v="81"/>
      <x v="4"/>
      <x v="39"/>
      <x v="3"/>
      <x v="2"/>
      <x v="22"/>
    </i>
    <i>
      <x v="82"/>
      <x v="4"/>
      <x v="39"/>
      <x v="3"/>
      <x v="2"/>
      <x v="23"/>
    </i>
    <i>
      <x v="83"/>
      <x v="7"/>
      <x v="40"/>
      <x v="3"/>
      <x v="2"/>
      <x v="24"/>
    </i>
    <i>
      <x v="84"/>
      <x v="7"/>
      <x v="40"/>
      <x v="3"/>
      <x/>
      <x v="26"/>
    </i>
    <i r="4">
      <x v="2"/>
      <x v="26"/>
    </i>
    <i>
      <x v="85"/>
      <x v="3"/>
      <x v="41"/>
      <x v="3"/>
      <x v="2"/>
      <x v="20"/>
    </i>
    <i>
      <x v="86"/>
      <x v="3"/>
      <x v="42"/>
      <x v="3"/>
      <x/>
      <x v="5"/>
    </i>
    <i>
      <x v="87"/>
      <x v="8"/>
      <x v="43"/>
      <x v="3"/>
      <x/>
      <x v="8"/>
    </i>
    <i>
      <x v="88"/>
      <x v="4"/>
      <x v="44"/>
      <x v="3"/>
      <x/>
      <x v="13"/>
    </i>
    <i>
      <x v="89"/>
      <x v="4"/>
      <x v="45"/>
      <x v="3"/>
      <x v="2"/>
      <x v="24"/>
    </i>
    <i>
      <x v="90"/>
      <x v="4"/>
      <x v="46"/>
      <x v="3"/>
      <x/>
      <x v="23"/>
    </i>
    <i>
      <x v="91"/>
      <x v="4"/>
      <x v="47"/>
      <x v="3"/>
      <x/>
      <x v="16"/>
    </i>
    <i>
      <x v="92"/>
      <x v="4"/>
      <x v="48"/>
      <x v="3"/>
      <x v="2"/>
      <x v="23"/>
    </i>
    <i>
      <x v="93"/>
      <x v="4"/>
      <x v="48"/>
      <x/>
      <x v="2"/>
      <x v="7"/>
    </i>
    <i>
      <x v="94"/>
      <x v="4"/>
      <x v="49"/>
      <x v="3"/>
      <x v="2"/>
      <x v="7"/>
    </i>
    <i>
      <x v="95"/>
      <x v="4"/>
      <x v="49"/>
      <x v="3"/>
      <x v="2"/>
      <x v="22"/>
    </i>
    <i>
      <x v="96"/>
      <x v="4"/>
      <x v="50"/>
      <x v="3"/>
      <x v="2"/>
      <x v="16"/>
    </i>
    <i>
      <x v="97"/>
      <x v="3"/>
      <x v="51"/>
      <x v="3"/>
      <x v="2"/>
      <x v="5"/>
    </i>
    <i>
      <x v="98"/>
      <x v="4"/>
      <x v="52"/>
      <x v="3"/>
      <x/>
      <x v="24"/>
    </i>
    <i>
      <x v="99"/>
      <x v="4"/>
      <x v="53"/>
      <x/>
      <x v="2"/>
      <x v="14"/>
    </i>
    <i>
      <x v="100"/>
      <x v="4"/>
      <x v="53"/>
      <x/>
      <x v="2"/>
      <x v="23"/>
    </i>
    <i>
      <x v="101"/>
      <x v="4"/>
      <x v="54"/>
      <x v="3"/>
      <x v="2"/>
      <x v="6"/>
    </i>
    <i>
      <x v="102"/>
      <x v="2"/>
      <x v="55"/>
      <x v="3"/>
      <x v="2"/>
      <x v="11"/>
    </i>
    <i>
      <x v="103"/>
      <x v="4"/>
      <x v="56"/>
      <x v="3"/>
      <x v="2"/>
      <x v="27"/>
    </i>
    <i>
      <x v="104"/>
      <x v="4"/>
      <x v="56"/>
      <x v="3"/>
      <x v="2"/>
      <x v="8"/>
    </i>
    <i>
      <x v="105"/>
      <x v="5"/>
      <x v="57"/>
      <x v="3"/>
      <x v="1"/>
      <x v="12"/>
    </i>
    <i>
      <x v="106"/>
      <x v="5"/>
      <x v="57"/>
      <x v="3"/>
      <x v="1"/>
      <x v="16"/>
    </i>
    <i>
      <x v="107"/>
      <x v="4"/>
      <x v="58"/>
      <x v="3"/>
      <x v="2"/>
      <x v="2"/>
    </i>
    <i>
      <x v="108"/>
      <x v="4"/>
      <x v="58"/>
      <x v="3"/>
      <x v="2"/>
      <x v="5"/>
    </i>
    <i>
      <x v="109"/>
      <x v="4"/>
      <x v="58"/>
      <x v="3"/>
      <x v="2"/>
      <x v="23"/>
    </i>
    <i>
      <x v="110"/>
      <x v="4"/>
      <x v="58"/>
      <x v="3"/>
      <x v="2"/>
      <x v="25"/>
    </i>
    <i>
      <x v="111"/>
      <x v="9"/>
      <x v="59"/>
      <x v="3"/>
      <x v="2"/>
      <x v="2"/>
    </i>
    <i>
      <x v="112"/>
      <x v="4"/>
      <x v="60"/>
      <x/>
      <x v="2"/>
      <x v="4"/>
    </i>
    <i>
      <x v="113"/>
      <x v="4"/>
      <x v="61"/>
      <x v="3"/>
      <x/>
      <x v="24"/>
    </i>
    <i>
      <x v="114"/>
      <x v="4"/>
      <x v="61"/>
      <x v="3"/>
      <x/>
      <x v="25"/>
    </i>
    <i>
      <x v="115"/>
      <x v="4"/>
      <x v="61"/>
      <x v="3"/>
      <x/>
      <x v="26"/>
    </i>
    <i>
      <x v="116"/>
      <x/>
      <x v="62"/>
      <x v="3"/>
      <x/>
      <x v="17"/>
    </i>
    <i>
      <x v="117"/>
      <x v="4"/>
      <x v="63"/>
      <x/>
      <x/>
      <x v="25"/>
    </i>
    <i>
      <x v="118"/>
      <x v="4"/>
      <x v="64"/>
      <x v="3"/>
      <x/>
      <x v="25"/>
    </i>
    <i>
      <x v="119"/>
      <x v="4"/>
      <x v="65"/>
      <x v="3"/>
      <x v="2"/>
      <x v="24"/>
    </i>
    <i>
      <x v="120"/>
      <x v="4"/>
      <x v="66"/>
      <x/>
      <x/>
      <x/>
    </i>
    <i>
      <x v="121"/>
      <x v="4"/>
      <x v="67"/>
      <x v="3"/>
      <x v="2"/>
      <x v="7"/>
    </i>
    <i>
      <x v="122"/>
      <x v="10"/>
      <x v="68"/>
      <x v="3"/>
      <x v="2"/>
      <x v="21"/>
    </i>
    <i>
      <x v="123"/>
      <x v="4"/>
      <x v="69"/>
      <x v="3"/>
      <x v="2"/>
      <x v="21"/>
    </i>
    <i>
      <x v="124"/>
      <x v="4"/>
      <x v="69"/>
      <x v="3"/>
      <x/>
      <x v="22"/>
    </i>
    <i>
      <x v="125"/>
      <x v="4"/>
      <x v="70"/>
      <x v="3"/>
      <x/>
      <x v="17"/>
    </i>
    <i>
      <x v="126"/>
      <x v="4"/>
      <x v="70"/>
      <x v="3"/>
      <x/>
      <x v="25"/>
    </i>
    <i>
      <x v="127"/>
      <x v="10"/>
      <x v="71"/>
      <x v="3"/>
      <x/>
      <x v="26"/>
    </i>
    <i>
      <x v="128"/>
      <x v="4"/>
      <x v="72"/>
      <x v="3"/>
      <x v="2"/>
      <x v="25"/>
    </i>
    <i>
      <x v="129"/>
      <x v="12"/>
      <x v="73"/>
      <x v="3"/>
      <x/>
      <x v="20"/>
    </i>
    <i>
      <x v="130"/>
      <x v="4"/>
      <x v="74"/>
      <x v="3"/>
      <x v="2"/>
      <x v="12"/>
    </i>
    <i>
      <x v="131"/>
      <x v="4"/>
      <x v="74"/>
      <x v="3"/>
      <x v="2"/>
      <x v="14"/>
    </i>
    <i>
      <x v="132"/>
      <x v="4"/>
      <x v="74"/>
      <x v="3"/>
      <x v="2"/>
      <x v="22"/>
    </i>
    <i>
      <x v="133"/>
      <x v="4"/>
      <x v="74"/>
      <x/>
      <x v="2"/>
      <x v="17"/>
    </i>
    <i>
      <x v="134"/>
      <x v="4"/>
      <x v="74"/>
      <x/>
      <x/>
      <x v="22"/>
    </i>
    <i>
      <x v="135"/>
      <x v="4"/>
      <x v="74"/>
      <x/>
      <x v="2"/>
      <x v="25"/>
    </i>
    <i>
      <x v="136"/>
      <x v="6"/>
      <x v="75"/>
      <x v="3"/>
      <x/>
      <x v="20"/>
    </i>
    <i>
      <x v="137"/>
      <x v="1"/>
      <x v="76"/>
      <x v="3"/>
      <x/>
      <x v="25"/>
    </i>
    <i>
      <x v="138"/>
      <x v="4"/>
      <x v="77"/>
      <x v="3"/>
      <x v="2"/>
      <x v="1"/>
    </i>
  </rowItems>
  <colItems count="1">
    <i/>
  </colItems>
  <formats count="18">
    <format dxfId="347">
      <pivotArea field="0" type="button" dataOnly="0" labelOnly="1" outline="0" axis="axisRow" fieldPosition="0"/>
    </format>
    <format dxfId="346">
      <pivotArea field="1" type="button" dataOnly="0" labelOnly="1" outline="0" axis="axisRow" fieldPosition="1"/>
    </format>
    <format dxfId="345">
      <pivotArea field="2" type="button" dataOnly="0" labelOnly="1" outline="0" axis="axisRow" fieldPosition="2"/>
    </format>
    <format dxfId="344">
      <pivotArea field="3" type="button" dataOnly="0" labelOnly="1" outline="0" axis="axisRow" fieldPosition="3"/>
    </format>
    <format dxfId="343">
      <pivotArea field="5" type="button" dataOnly="0" labelOnly="1" outline="0" axis="axisRow" fieldPosition="4"/>
    </format>
    <format dxfId="342">
      <pivotArea field="4" type="button" dataOnly="0" labelOnly="1" outline="0" axis="axisRow" fieldPosition="5"/>
    </format>
    <format dxfId="341">
      <pivotArea field="0" type="button" dataOnly="0" labelOnly="1" outline="0" axis="axisRow" fieldPosition="0"/>
    </format>
    <format dxfId="340">
      <pivotArea field="1" type="button" dataOnly="0" labelOnly="1" outline="0" axis="axisRow" fieldPosition="1"/>
    </format>
    <format dxfId="339">
      <pivotArea field="2" type="button" dataOnly="0" labelOnly="1" outline="0" axis="axisRow" fieldPosition="2"/>
    </format>
    <format dxfId="338">
      <pivotArea field="3" type="button" dataOnly="0" labelOnly="1" outline="0" axis="axisRow" fieldPosition="3"/>
    </format>
    <format dxfId="337">
      <pivotArea field="5" type="button" dataOnly="0" labelOnly="1" outline="0" axis="axisRow" fieldPosition="4"/>
    </format>
    <format dxfId="336">
      <pivotArea field="4" type="button" dataOnly="0" labelOnly="1" outline="0" axis="axisRow" fieldPosition="5"/>
    </format>
    <format dxfId="335">
      <pivotArea field="0" type="button" dataOnly="0" labelOnly="1" outline="0" axis="axisRow" fieldPosition="0"/>
    </format>
    <format dxfId="334">
      <pivotArea field="1" type="button" dataOnly="0" labelOnly="1" outline="0" axis="axisRow" fieldPosition="1"/>
    </format>
    <format dxfId="333">
      <pivotArea field="2" type="button" dataOnly="0" labelOnly="1" outline="0" axis="axisRow" fieldPosition="2"/>
    </format>
    <format dxfId="332">
      <pivotArea field="3" type="button" dataOnly="0" labelOnly="1" outline="0" axis="axisRow" fieldPosition="3"/>
    </format>
    <format dxfId="331">
      <pivotArea field="5" type="button" dataOnly="0" labelOnly="1" outline="0" axis="axisRow" fieldPosition="4"/>
    </format>
    <format dxfId="330">
      <pivotArea field="4" type="button" dataOnly="0" labelOnly="1" outline="0" axis="axisRow" fieldPosition="5"/>
    </format>
  </formats>
  <pivotTableStyleInfo name="PivotStyleDark1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egion" xr10:uid="{8C5DEE18-193D-4E2A-B940-5B105F508200}" sourceName="Region">
  <pivotTables>
    <pivotTable tabId="11" name="Tableau croisé dynamique1"/>
  </pivotTables>
  <data>
    <tabular pivotCacheId="1366971964">
      <items count="14">
        <i x="10" s="1"/>
        <i x="11" s="1"/>
        <i x="6" s="1"/>
        <i x="4" s="1"/>
        <i x="1" s="1"/>
        <i x="8" s="1"/>
        <i x="7" s="1"/>
        <i x="9" s="1"/>
        <i x="2" s="1"/>
        <i x="3" s="1"/>
        <i x="12" s="1"/>
        <i x="13" s="1"/>
        <i x="5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illesime" xr10:uid="{C7019EFA-29CD-44E9-9F31-54973EC8A7F6}" sourceName="Millesime">
  <pivotTables>
    <pivotTable tabId="11" name="Tableau croisé dynamique1"/>
  </pivotTables>
  <data>
    <tabular pivotCacheId="1366971964">
      <items count="29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0" s="1"/>
        <i x="28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uleur" xr10:uid="{BEC7D0A3-6CF2-4585-ACE6-190A287CB1A4}" sourceName="Couleur">
  <pivotTables>
    <pivotTable tabId="11" name="Tableau croisé dynamique1"/>
  </pivotTables>
  <data>
    <tabular pivotCacheId="1366971964">
      <items count="4">
        <i x="1" s="1"/>
        <i x="3" s="1"/>
        <i x="2" s="1"/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sier" xr10:uid="{CECBA23B-5BD9-4E85-A748-373819AB040F}" sourceName="Casier">
  <pivotTables>
    <pivotTable tabId="11" name="Tableau croisé dynamique1"/>
  </pivotTables>
  <data>
    <tabular pivotCacheId="1366971964">
      <items count="57">
        <i x="56" s="1"/>
        <i x="21" s="1"/>
        <i x="10" s="1"/>
        <i x="20" s="1"/>
        <i x="7" s="1"/>
        <i x="33" s="1"/>
        <i x="5" s="1"/>
        <i x="8" s="1"/>
        <i x="34" s="1"/>
        <i x="30" s="1"/>
        <i x="31" s="1"/>
        <i x="19" s="1"/>
        <i x="1" s="1"/>
        <i x="3" s="1"/>
        <i x="6" s="1"/>
        <i x="24" s="1"/>
        <i x="16" s="1"/>
        <i x="53" s="1"/>
        <i x="12" s="1"/>
        <i x="13" s="1"/>
        <i x="15" s="1"/>
        <i x="17" s="1"/>
        <i x="4" s="1"/>
        <i x="52" s="1"/>
        <i x="25" s="1"/>
        <i x="36" s="1"/>
        <i x="55" s="1"/>
        <i x="32" s="1"/>
        <i x="35" s="1"/>
        <i x="26" s="1"/>
        <i x="42" s="1"/>
        <i x="28" s="1"/>
        <i x="39" s="1"/>
        <i x="46" s="1"/>
        <i x="11" s="1"/>
        <i x="43" s="1"/>
        <i x="23" s="1"/>
        <i x="37" s="1"/>
        <i x="54" s="1"/>
        <i x="9" s="1"/>
        <i x="45" s="1"/>
        <i x="38" s="1"/>
        <i x="14" s="1"/>
        <i x="29" s="1"/>
        <i x="49" s="1"/>
        <i x="48" s="1"/>
        <i x="50" s="1"/>
        <i x="51" s="1"/>
        <i x="18" s="1"/>
        <i x="27" s="1"/>
        <i x="2" s="1"/>
        <i x="44" s="1"/>
        <i x="22" s="1"/>
        <i x="40" s="1"/>
        <i x="47" s="1"/>
        <i x="4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egion" xr10:uid="{A1551ADD-C083-4CA2-881F-FB6A87A9531E}" cache="Segment_Region" caption="Region" columnCount="2" style="SlicerStyleLight6" rowHeight="241300"/>
  <slicer name="Millesime" xr10:uid="{9485C67D-C60D-4FE6-8504-65ADC233ADB5}" cache="Segment_Millesime" caption="Millesime" columnCount="4" style="SlicerStyleLight6" rowHeight="241300"/>
  <slicer name="Couleur" xr10:uid="{0CE22F4C-30EB-4E11-A9E9-660A471D1233}" cache="Segment_Couleur" caption="Couleur" style="SlicerStyleLight6" rowHeight="241300"/>
  <slicer name="Casier" xr10:uid="{EDBCF59B-45F0-4984-AC5C-18F06C94BD1C}" cache="Segment_Casier" caption="Casier" columnCount="9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9D4AB1-9ECD-4FC1-9361-96578B49779E}" name="Tableau3" displayName="Tableau3" ref="A6:AK158" totalsRowShown="0" headerRowDxfId="386" dataDxfId="385">
  <autoFilter ref="A6:AK158" xr:uid="{21A09EAD-D460-4868-B6EE-80F8E034A330}"/>
  <tableColumns count="37">
    <tableColumn id="1" xr3:uid="{30194A93-EE61-4984-B6BE-E927F2C9D380}" name="Nom du vin" dataDxfId="384">
      <calculatedColumnFormula>CONCATENATE(C7," ",D7," ",E7)</calculatedColumnFormula>
    </tableColumn>
    <tableColumn id="2" xr3:uid="{7B72B520-6B56-4D2D-9EFE-C3713D996648}" name="Region" dataDxfId="383"/>
    <tableColumn id="3" xr3:uid="{2A2240BC-8AFC-49E2-9B9E-1B873A2364CC}" name="Appellation" dataDxfId="382"/>
    <tableColumn id="4" xr3:uid="{1DA4B48A-7E1C-46EE-9AD5-63E4955F5D19}" name="Classé" dataDxfId="381"/>
    <tableColumn id="5" xr3:uid="{FDA5224A-A963-47A9-81DC-4CE569D79C42}" name="Millesime" dataDxfId="380"/>
    <tableColumn id="6" xr3:uid="{AAAC4C6E-FA43-4950-96A5-B6716D6B823C}" name="Couleur" dataDxfId="379"/>
    <tableColumn id="7" xr3:uid="{1A08590E-9080-4AB3-8F23-A98212F318CF}" name="Quantité" dataDxfId="378"/>
    <tableColumn id="8" xr3:uid="{F0B34764-E9AE-4AEF-8F81-9B02FC943681}" name="Casier" dataDxfId="377"/>
    <tableColumn id="9" xr3:uid="{6805EC9B-F1F1-4175-AA35-607776839AF0}" name="Prix d'achat" dataDxfId="376"/>
    <tableColumn id="10" xr3:uid="{2F9EF79E-76DD-40C1-8C71-1FC07E894256}" name="A consommer à partir de " dataDxfId="375"/>
    <tableColumn id="11" xr3:uid="{F5E30FE3-C98B-4D51-8B7B-31710DFDCB29}" name="Climat ou Nom" dataDxfId="374"/>
    <tableColumn id="12" xr3:uid="{E7F0F932-2902-4DB5-94AE-46440C1B0FCE}" name="Domaine" dataDxfId="373"/>
    <tableColumn id="13" xr3:uid="{6B67AAD8-C595-4BF1-8714-F09133FF259C}" name="Adresse" dataDxfId="372"/>
    <tableColumn id="14" xr3:uid="{0A4C3EC6-1F9B-43DB-9811-3364FA779E1A}" name="Code postal" dataDxfId="371"/>
    <tableColumn id="15" xr3:uid="{FC8D909B-5240-4D6A-B0AC-9EC33F3A03D0}" name="Ville" dataDxfId="370"/>
    <tableColumn id="16" xr3:uid="{9D2217E2-A1EC-4AFE-B228-C47ABC275A38}" name="Telephone" dataDxfId="369"/>
    <tableColumn id="17" xr3:uid="{167195AE-B621-40C0-B94F-89F1D0764F0B}" name="Mail" dataDxfId="368"/>
    <tableColumn id="18" xr3:uid="{8B368E6B-B726-432B-A223-C99D2BB40024}" name="Site internet" dataDxfId="367"/>
    <tableColumn id="19" xr3:uid="{D43B7C6D-CEFA-48A7-810E-D638AAA1B681}" name="descriptif" dataDxfId="366"/>
    <tableColumn id="20" xr3:uid="{4FBE1D59-948A-4E8C-97AB-E4CAF111A000}" name="N° ligne" dataDxfId="365">
      <calculatedColumnFormula>ROW(T7)-7</calculatedColumnFormula>
    </tableColumn>
    <tableColumn id="21" xr3:uid="{ADB65A2C-E942-447C-BEB0-E23C0A38ABC4}" name="nom image" dataDxfId="364">
      <calculatedColumnFormula>CONCATENATE(T7,".jpg")</calculatedColumnFormula>
    </tableColumn>
    <tableColumn id="22" xr3:uid="{E5C1EAB8-21DC-40F7-ADC1-A79DF56B44E3}" name="Chemin d'acces" dataDxfId="363">
      <calculatedColumnFormula>CONCATENATE($V$2,U7)</calculatedColumnFormula>
    </tableColumn>
    <tableColumn id="23" xr3:uid="{5CD6F24E-753D-4346-8734-E85775ED2B0A}" name="Colonne1" dataDxfId="362"/>
    <tableColumn id="24" xr3:uid="{8525AC51-E256-4C77-87CD-DC19B1D3863F}" name="Test 1" dataDxfId="361">
      <calculatedColumnFormula>IF(Bdd_cave!$R$3="Toutes les regions",TRUE,Bdd_cave!$R$3=B7)</calculatedColumnFormula>
    </tableColumn>
    <tableColumn id="25" xr3:uid="{1E252859-D76D-41CF-9102-ADC460F21645}" name="Test2" dataDxfId="360">
      <calculatedColumnFormula>IF(Bdd_cave!$S$3="Toutes les années",TRUE,Bdd_cave!$S$3=E7)</calculatedColumnFormula>
    </tableColumn>
    <tableColumn id="26" xr3:uid="{B730C49E-C906-42B2-8661-FF9F0561B6D6}" name="Test3" dataDxfId="359">
      <calculatedColumnFormula>IF(Bdd_cave!$T$3="Toutes les couleurs",TRUE,Bdd_cave!$T$3=F7)</calculatedColumnFormula>
    </tableColumn>
    <tableColumn id="27" xr3:uid="{34A878C5-38A4-4AAD-BB13-30823B4C0EEC}" name="Test4" dataDxfId="358">
      <calculatedColumnFormula>IF(Bdd_cave!$U$3="Tous les casiers ",TRUE,Bdd_cave!$U$3=H7)</calculatedColumnFormula>
    </tableColumn>
    <tableColumn id="28" xr3:uid="{09567962-2440-4EFC-80A6-785F9308047B}" name="test all" dataDxfId="357">
      <calculatedColumnFormula>AND(X7:Z7)</calculatedColumnFormula>
    </tableColumn>
    <tableColumn id="29" xr3:uid="{6F499F07-81A2-4EEF-8A50-4CBBC1768160}" name="Colonne2" dataDxfId="356"/>
    <tableColumn id="30" xr3:uid="{EFA2F119-1347-4B0C-B02D-3761170D7D05}" name="Calcul 1" dataDxfId="355">
      <calculatedColumnFormula>IF(AB7,ROWS($AB$7:AB7),"")</calculatedColumnFormula>
    </tableColumn>
    <tableColumn id="31" xr3:uid="{16B2606F-C71A-4CE3-B029-364CCF86CA70}" name="Calcul 2" dataDxfId="354">
      <calculatedColumnFormula>SMALL($AD$7:$AD$297,ROWS(AD7:$AD$7))</calculatedColumnFormula>
    </tableColumn>
    <tableColumn id="32" xr3:uid="{FD85D81B-8C8D-4DB6-87A2-9A9BBFAFE6C6}" name="Colonne3" dataDxfId="353"/>
    <tableColumn id="33" xr3:uid="{92EAF495-04A8-476D-AD03-F2DA223AFAD0}" name="Colonne4" dataDxfId="352"/>
    <tableColumn id="34" xr3:uid="{0DDEF4B5-E14C-4873-BFC7-44FA39E8E59D}" name="Colonne5" dataDxfId="351"/>
    <tableColumn id="35" xr3:uid="{3D226705-2235-4397-A8A0-05CA976975F4}" name="Colonne6" dataDxfId="350"/>
    <tableColumn id="36" xr3:uid="{38C22CB1-A5BF-4D7C-982C-8A97C52A0672}" name="Colonne7" dataDxfId="349"/>
    <tableColumn id="37" xr3:uid="{F56C7B30-E5A4-472B-8E9D-DD1B3022B232}" name="Colonne8" dataDxfId="348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domaine-leconte.com/" TargetMode="External"/><Relationship Id="rId4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P107"/>
  <sheetViews>
    <sheetView workbookViewId="0">
      <selection sqref="A1:P1"/>
    </sheetView>
  </sheetViews>
  <sheetFormatPr baseColWidth="10" defaultRowHeight="15" x14ac:dyDescent="0.25"/>
  <cols>
    <col min="1" max="1" width="51" bestFit="1" customWidth="1"/>
    <col min="2" max="2" width="49.5703125" bestFit="1" customWidth="1"/>
    <col min="3" max="3" width="49.7109375" bestFit="1" customWidth="1"/>
    <col min="4" max="4" width="58.5703125" bestFit="1" customWidth="1"/>
    <col min="5" max="5" width="57.5703125" bestFit="1" customWidth="1"/>
    <col min="6" max="6" width="47.5703125" bestFit="1" customWidth="1"/>
    <col min="7" max="7" width="48.42578125" bestFit="1" customWidth="1"/>
    <col min="8" max="8" width="38.28515625" bestFit="1" customWidth="1"/>
    <col min="9" max="9" width="22.7109375" bestFit="1" customWidth="1"/>
    <col min="10" max="10" width="14" bestFit="1" customWidth="1"/>
    <col min="11" max="11" width="24.5703125" bestFit="1" customWidth="1"/>
    <col min="12" max="12" width="19.28515625" bestFit="1" customWidth="1"/>
    <col min="13" max="13" width="35.28515625" bestFit="1" customWidth="1"/>
    <col min="14" max="14" width="20.28515625" bestFit="1" customWidth="1"/>
    <col min="15" max="15" width="14.85546875" bestFit="1" customWidth="1"/>
    <col min="16" max="16" width="27.7109375" bestFit="1" customWidth="1"/>
  </cols>
  <sheetData>
    <row r="1" spans="1:16" ht="26.25" x14ac:dyDescent="0.4">
      <c r="A1" s="2" t="s">
        <v>15</v>
      </c>
      <c r="B1" s="2" t="s">
        <v>16</v>
      </c>
      <c r="C1" s="2" t="s">
        <v>17</v>
      </c>
      <c r="D1" s="2" t="s">
        <v>18</v>
      </c>
      <c r="E1" s="2" t="s">
        <v>19</v>
      </c>
      <c r="F1" s="2" t="s">
        <v>20</v>
      </c>
      <c r="G1" s="2" t="s">
        <v>21</v>
      </c>
      <c r="H1" s="2" t="s">
        <v>22</v>
      </c>
      <c r="I1" s="2" t="s">
        <v>23</v>
      </c>
      <c r="J1" s="2" t="s">
        <v>24</v>
      </c>
      <c r="K1" s="2" t="s">
        <v>25</v>
      </c>
      <c r="L1" s="2" t="s">
        <v>26</v>
      </c>
      <c r="M1" s="3" t="s">
        <v>27</v>
      </c>
      <c r="N1" s="2" t="s">
        <v>28</v>
      </c>
      <c r="O1" s="2" t="s">
        <v>328</v>
      </c>
      <c r="P1" s="2" t="s">
        <v>478</v>
      </c>
    </row>
    <row r="2" spans="1:16" ht="18.75" x14ac:dyDescent="0.3">
      <c r="A2" s="4" t="s">
        <v>334</v>
      </c>
      <c r="B2" s="4" t="s">
        <v>30</v>
      </c>
      <c r="C2" s="4" t="s">
        <v>31</v>
      </c>
      <c r="D2" s="4" t="s">
        <v>32</v>
      </c>
      <c r="E2" s="4" t="s">
        <v>33</v>
      </c>
      <c r="F2" s="4" t="s">
        <v>34</v>
      </c>
      <c r="G2" s="4" t="s">
        <v>35</v>
      </c>
      <c r="H2" s="4" t="s">
        <v>36</v>
      </c>
      <c r="I2" s="4" t="s">
        <v>367</v>
      </c>
      <c r="M2" s="4" t="s">
        <v>37</v>
      </c>
      <c r="N2" s="9" t="s">
        <v>333</v>
      </c>
      <c r="O2" s="8" t="s">
        <v>329</v>
      </c>
      <c r="P2" s="9" t="s">
        <v>479</v>
      </c>
    </row>
    <row r="3" spans="1:16" ht="18.75" x14ac:dyDescent="0.3">
      <c r="A3" s="4" t="s">
        <v>91</v>
      </c>
      <c r="B3" s="4" t="s">
        <v>39</v>
      </c>
      <c r="C3" s="4" t="s">
        <v>40</v>
      </c>
      <c r="D3" s="4" t="s">
        <v>41</v>
      </c>
      <c r="E3" s="4" t="s">
        <v>42</v>
      </c>
      <c r="F3" s="4" t="s">
        <v>43</v>
      </c>
      <c r="G3" s="4" t="s">
        <v>44</v>
      </c>
      <c r="H3" s="4" t="s">
        <v>45</v>
      </c>
      <c r="I3" s="4"/>
      <c r="M3" s="4" t="s">
        <v>46</v>
      </c>
      <c r="N3" s="9" t="s">
        <v>396</v>
      </c>
      <c r="P3" s="9" t="s">
        <v>489</v>
      </c>
    </row>
    <row r="4" spans="1:16" ht="18" x14ac:dyDescent="0.25">
      <c r="A4" s="4" t="s">
        <v>97</v>
      </c>
      <c r="B4" s="4" t="s">
        <v>16</v>
      </c>
      <c r="C4" s="4" t="s">
        <v>48</v>
      </c>
      <c r="D4" s="4" t="s">
        <v>49</v>
      </c>
      <c r="E4" s="4" t="s">
        <v>50</v>
      </c>
      <c r="F4" s="4" t="s">
        <v>51</v>
      </c>
      <c r="G4" s="4" t="s">
        <v>52</v>
      </c>
      <c r="H4" s="4" t="s">
        <v>53</v>
      </c>
      <c r="I4" s="4"/>
      <c r="M4" s="4" t="s">
        <v>54</v>
      </c>
      <c r="P4" t="s">
        <v>575</v>
      </c>
    </row>
    <row r="5" spans="1:16" ht="18" x14ac:dyDescent="0.25">
      <c r="A5" s="4" t="s">
        <v>29</v>
      </c>
      <c r="B5" s="4" t="s">
        <v>56</v>
      </c>
      <c r="C5" s="4" t="s">
        <v>57</v>
      </c>
      <c r="D5" s="4" t="s">
        <v>58</v>
      </c>
      <c r="E5" s="4" t="s">
        <v>59</v>
      </c>
      <c r="F5" s="4" t="s">
        <v>60</v>
      </c>
      <c r="G5" s="4" t="s">
        <v>61</v>
      </c>
      <c r="H5" s="4" t="s">
        <v>62</v>
      </c>
      <c r="I5" s="4"/>
      <c r="M5" s="4" t="s">
        <v>63</v>
      </c>
    </row>
    <row r="6" spans="1:16" ht="18" x14ac:dyDescent="0.25">
      <c r="A6" s="4" t="s">
        <v>38</v>
      </c>
      <c r="B6" s="4" t="s">
        <v>65</v>
      </c>
      <c r="C6" s="4" t="s">
        <v>66</v>
      </c>
      <c r="D6" s="4" t="s">
        <v>67</v>
      </c>
      <c r="E6" s="4" t="s">
        <v>68</v>
      </c>
      <c r="F6" s="4" t="s">
        <v>69</v>
      </c>
      <c r="G6" s="4" t="s">
        <v>70</v>
      </c>
      <c r="H6" s="4" t="s">
        <v>71</v>
      </c>
      <c r="I6" s="4"/>
    </row>
    <row r="7" spans="1:16" ht="18" x14ac:dyDescent="0.25">
      <c r="A7" s="4" t="s">
        <v>47</v>
      </c>
      <c r="B7" s="4" t="s">
        <v>73</v>
      </c>
      <c r="C7" s="4" t="s">
        <v>74</v>
      </c>
      <c r="D7" s="4" t="s">
        <v>75</v>
      </c>
      <c r="E7" s="4" t="s">
        <v>76</v>
      </c>
      <c r="F7" s="4" t="s">
        <v>77</v>
      </c>
      <c r="G7" s="4" t="s">
        <v>78</v>
      </c>
      <c r="H7" s="4" t="s">
        <v>79</v>
      </c>
      <c r="I7" s="4"/>
    </row>
    <row r="8" spans="1:16" ht="18" x14ac:dyDescent="0.25">
      <c r="A8" s="4" t="s">
        <v>55</v>
      </c>
      <c r="B8" s="4" t="s">
        <v>81</v>
      </c>
      <c r="C8" s="4" t="s">
        <v>82</v>
      </c>
      <c r="D8" s="4" t="s">
        <v>83</v>
      </c>
      <c r="E8" s="4" t="s">
        <v>84</v>
      </c>
      <c r="F8" s="4" t="s">
        <v>85</v>
      </c>
      <c r="G8" s="4" t="s">
        <v>86</v>
      </c>
      <c r="I8" s="4"/>
    </row>
    <row r="9" spans="1:16" ht="18" x14ac:dyDescent="0.25">
      <c r="A9" s="4" t="s">
        <v>64</v>
      </c>
      <c r="B9" s="4" t="s">
        <v>87</v>
      </c>
      <c r="C9" s="4" t="s">
        <v>88</v>
      </c>
      <c r="D9" s="4" t="s">
        <v>89</v>
      </c>
      <c r="E9" s="4" t="s">
        <v>570</v>
      </c>
      <c r="F9" s="4" t="s">
        <v>460</v>
      </c>
      <c r="G9" s="4" t="s">
        <v>90</v>
      </c>
      <c r="I9" s="4"/>
    </row>
    <row r="10" spans="1:16" ht="18" x14ac:dyDescent="0.25">
      <c r="A10" s="4" t="s">
        <v>72</v>
      </c>
      <c r="B10" s="4" t="s">
        <v>92</v>
      </c>
      <c r="C10" s="4" t="s">
        <v>93</v>
      </c>
      <c r="D10" s="4" t="s">
        <v>94</v>
      </c>
      <c r="E10" s="4" t="s">
        <v>95</v>
      </c>
      <c r="G10" s="4" t="s">
        <v>96</v>
      </c>
      <c r="I10" s="4"/>
    </row>
    <row r="11" spans="1:16" ht="18" x14ac:dyDescent="0.25">
      <c r="A11" s="4" t="s">
        <v>80</v>
      </c>
      <c r="B11" s="4" t="s">
        <v>98</v>
      </c>
      <c r="C11" s="4" t="s">
        <v>99</v>
      </c>
      <c r="D11" s="4" t="s">
        <v>100</v>
      </c>
      <c r="E11" s="4" t="s">
        <v>101</v>
      </c>
      <c r="G11" s="4" t="s">
        <v>102</v>
      </c>
    </row>
    <row r="12" spans="1:16" ht="18" x14ac:dyDescent="0.25">
      <c r="A12" s="4" t="s">
        <v>15</v>
      </c>
      <c r="B12" s="4" t="s">
        <v>104</v>
      </c>
      <c r="C12" s="4" t="s">
        <v>105</v>
      </c>
      <c r="D12" s="4" t="s">
        <v>106</v>
      </c>
      <c r="E12" s="4" t="s">
        <v>107</v>
      </c>
      <c r="G12" s="4" t="s">
        <v>108</v>
      </c>
    </row>
    <row r="13" spans="1:16" ht="18" x14ac:dyDescent="0.25">
      <c r="A13" s="4" t="s">
        <v>196</v>
      </c>
      <c r="B13" s="4" t="s">
        <v>116</v>
      </c>
      <c r="C13" s="4" t="s">
        <v>111</v>
      </c>
      <c r="D13" s="4" t="s">
        <v>112</v>
      </c>
      <c r="E13" s="4" t="s">
        <v>113</v>
      </c>
      <c r="G13" s="4" t="s">
        <v>114</v>
      </c>
    </row>
    <row r="14" spans="1:16" ht="18" x14ac:dyDescent="0.25">
      <c r="A14" s="4" t="s">
        <v>199</v>
      </c>
      <c r="B14" s="4" t="s">
        <v>122</v>
      </c>
      <c r="C14" s="4" t="s">
        <v>117</v>
      </c>
      <c r="D14" s="4" t="s">
        <v>118</v>
      </c>
      <c r="E14" s="4" t="s">
        <v>119</v>
      </c>
      <c r="G14" s="4" t="s">
        <v>120</v>
      </c>
    </row>
    <row r="15" spans="1:16" ht="18" x14ac:dyDescent="0.25">
      <c r="A15" s="4" t="s">
        <v>202</v>
      </c>
      <c r="B15" s="4" t="s">
        <v>128</v>
      </c>
      <c r="C15" s="4" t="s">
        <v>123</v>
      </c>
      <c r="D15" s="4" t="s">
        <v>124</v>
      </c>
      <c r="E15" s="4" t="s">
        <v>125</v>
      </c>
      <c r="G15" s="4" t="s">
        <v>126</v>
      </c>
    </row>
    <row r="16" spans="1:16" ht="18" x14ac:dyDescent="0.25">
      <c r="A16" s="4" t="s">
        <v>205</v>
      </c>
      <c r="B16" s="4" t="s">
        <v>110</v>
      </c>
      <c r="C16" s="4" t="s">
        <v>129</v>
      </c>
      <c r="D16" s="4" t="s">
        <v>130</v>
      </c>
      <c r="E16" s="4" t="s">
        <v>131</v>
      </c>
      <c r="G16" s="4" t="s">
        <v>132</v>
      </c>
    </row>
    <row r="17" spans="1:7" ht="18" x14ac:dyDescent="0.25">
      <c r="A17" s="4" t="s">
        <v>208</v>
      </c>
      <c r="B17" s="4" t="s">
        <v>134</v>
      </c>
      <c r="C17" s="4" t="s">
        <v>135</v>
      </c>
      <c r="D17" s="4" t="s">
        <v>136</v>
      </c>
      <c r="E17" s="4" t="s">
        <v>137</v>
      </c>
      <c r="G17" s="4" t="s">
        <v>138</v>
      </c>
    </row>
    <row r="18" spans="1:7" ht="18" x14ac:dyDescent="0.25">
      <c r="A18" s="4" t="s">
        <v>217</v>
      </c>
      <c r="B18" s="4" t="s">
        <v>140</v>
      </c>
      <c r="C18" s="4" t="s">
        <v>141</v>
      </c>
      <c r="D18" s="4" t="s">
        <v>142</v>
      </c>
      <c r="E18" s="4" t="s">
        <v>143</v>
      </c>
      <c r="G18" s="4" t="s">
        <v>144</v>
      </c>
    </row>
    <row r="19" spans="1:7" ht="18" x14ac:dyDescent="0.25">
      <c r="A19" s="4" t="s">
        <v>211</v>
      </c>
      <c r="B19" s="4" t="s">
        <v>146</v>
      </c>
      <c r="C19" s="4" t="s">
        <v>147</v>
      </c>
      <c r="D19" s="4" t="s">
        <v>148</v>
      </c>
      <c r="E19" s="4" t="s">
        <v>149</v>
      </c>
      <c r="G19" s="4" t="s">
        <v>150</v>
      </c>
    </row>
    <row r="20" spans="1:7" ht="18" x14ac:dyDescent="0.25">
      <c r="A20" s="4" t="s">
        <v>214</v>
      </c>
      <c r="B20" s="4" t="s">
        <v>151</v>
      </c>
      <c r="C20" s="4" t="s">
        <v>152</v>
      </c>
      <c r="D20" s="4" t="s">
        <v>153</v>
      </c>
      <c r="E20" s="4" t="s">
        <v>154</v>
      </c>
      <c r="G20" s="4" t="s">
        <v>155</v>
      </c>
    </row>
    <row r="21" spans="1:7" ht="18" x14ac:dyDescent="0.25">
      <c r="A21" s="4" t="s">
        <v>220</v>
      </c>
      <c r="B21" s="4" t="s">
        <v>157</v>
      </c>
      <c r="C21" s="4" t="s">
        <v>158</v>
      </c>
      <c r="D21" s="4" t="s">
        <v>159</v>
      </c>
      <c r="E21" s="4" t="s">
        <v>160</v>
      </c>
      <c r="G21" s="4" t="s">
        <v>161</v>
      </c>
    </row>
    <row r="22" spans="1:7" ht="18" x14ac:dyDescent="0.25">
      <c r="A22" s="4" t="s">
        <v>223</v>
      </c>
      <c r="B22" s="4" t="s">
        <v>163</v>
      </c>
      <c r="C22" s="4" t="s">
        <v>164</v>
      </c>
      <c r="D22" s="4" t="s">
        <v>165</v>
      </c>
      <c r="E22" s="4" t="s">
        <v>166</v>
      </c>
      <c r="G22" s="4" t="s">
        <v>167</v>
      </c>
    </row>
    <row r="23" spans="1:7" ht="18" x14ac:dyDescent="0.25">
      <c r="A23" s="4" t="s">
        <v>103</v>
      </c>
      <c r="B23" s="4" t="s">
        <v>169</v>
      </c>
      <c r="C23" s="4" t="s">
        <v>170</v>
      </c>
      <c r="D23" s="4" t="s">
        <v>171</v>
      </c>
      <c r="E23" s="4" t="s">
        <v>172</v>
      </c>
      <c r="G23" s="4" t="s">
        <v>173</v>
      </c>
    </row>
    <row r="24" spans="1:7" ht="18" x14ac:dyDescent="0.25">
      <c r="A24" s="4" t="s">
        <v>226</v>
      </c>
      <c r="B24" s="4" t="s">
        <v>331</v>
      </c>
      <c r="C24" s="4" t="s">
        <v>176</v>
      </c>
      <c r="D24" s="4" t="s">
        <v>177</v>
      </c>
      <c r="E24" s="4" t="s">
        <v>178</v>
      </c>
      <c r="G24" s="4" t="s">
        <v>179</v>
      </c>
    </row>
    <row r="25" spans="1:7" ht="18" x14ac:dyDescent="0.25">
      <c r="A25" s="4" t="s">
        <v>109</v>
      </c>
      <c r="B25" s="4" t="s">
        <v>175</v>
      </c>
      <c r="C25" s="4" t="s">
        <v>182</v>
      </c>
      <c r="D25" s="4" t="s">
        <v>183</v>
      </c>
      <c r="E25" s="4" t="s">
        <v>184</v>
      </c>
      <c r="G25" s="4" t="s">
        <v>185</v>
      </c>
    </row>
    <row r="26" spans="1:7" ht="18" x14ac:dyDescent="0.25">
      <c r="A26" s="4" t="s">
        <v>229</v>
      </c>
      <c r="B26" s="4" t="s">
        <v>181</v>
      </c>
      <c r="C26" s="4" t="s">
        <v>409</v>
      </c>
      <c r="D26" s="4" t="s">
        <v>188</v>
      </c>
      <c r="E26" s="4" t="s">
        <v>189</v>
      </c>
      <c r="G26" s="4" t="s">
        <v>463</v>
      </c>
    </row>
    <row r="27" spans="1:7" ht="18" x14ac:dyDescent="0.25">
      <c r="A27" s="4" t="s">
        <v>232</v>
      </c>
      <c r="B27" s="4" t="s">
        <v>187</v>
      </c>
      <c r="C27" s="4" t="s">
        <v>17</v>
      </c>
      <c r="D27" s="4" t="s">
        <v>325</v>
      </c>
      <c r="E27" s="4" t="s">
        <v>192</v>
      </c>
      <c r="G27" s="4" t="s">
        <v>474</v>
      </c>
    </row>
    <row r="28" spans="1:7" ht="18" x14ac:dyDescent="0.25">
      <c r="A28" s="4" t="s">
        <v>235</v>
      </c>
      <c r="B28" s="4" t="s">
        <v>191</v>
      </c>
      <c r="C28" s="4" t="s">
        <v>499</v>
      </c>
      <c r="E28" s="4" t="s">
        <v>195</v>
      </c>
    </row>
    <row r="29" spans="1:7" ht="18" x14ac:dyDescent="0.25">
      <c r="A29" s="4" t="s">
        <v>238</v>
      </c>
      <c r="B29" s="4" t="s">
        <v>194</v>
      </c>
      <c r="E29" s="4" t="s">
        <v>198</v>
      </c>
    </row>
    <row r="30" spans="1:7" ht="18" x14ac:dyDescent="0.25">
      <c r="A30" s="4" t="s">
        <v>241</v>
      </c>
      <c r="B30" s="4" t="s">
        <v>197</v>
      </c>
      <c r="E30" s="4" t="s">
        <v>201</v>
      </c>
    </row>
    <row r="31" spans="1:7" ht="18" x14ac:dyDescent="0.25">
      <c r="A31" s="4" t="s">
        <v>243</v>
      </c>
      <c r="B31" s="4" t="s">
        <v>200</v>
      </c>
      <c r="E31" s="4" t="s">
        <v>204</v>
      </c>
    </row>
    <row r="32" spans="1:7" ht="18" x14ac:dyDescent="0.25">
      <c r="A32" s="4" t="s">
        <v>245</v>
      </c>
      <c r="B32" s="4" t="s">
        <v>203</v>
      </c>
      <c r="E32" s="4" t="s">
        <v>207</v>
      </c>
    </row>
    <row r="33" spans="1:5" ht="18" x14ac:dyDescent="0.25">
      <c r="A33" s="4" t="s">
        <v>115</v>
      </c>
      <c r="B33" s="4" t="s">
        <v>206</v>
      </c>
      <c r="E33" s="4" t="s">
        <v>210</v>
      </c>
    </row>
    <row r="34" spans="1:5" ht="18" x14ac:dyDescent="0.25">
      <c r="A34" s="4" t="s">
        <v>247</v>
      </c>
      <c r="B34" s="4" t="s">
        <v>212</v>
      </c>
      <c r="E34" s="4" t="s">
        <v>213</v>
      </c>
    </row>
    <row r="35" spans="1:5" ht="18" x14ac:dyDescent="0.25">
      <c r="A35" s="4" t="s">
        <v>249</v>
      </c>
      <c r="B35" s="4" t="s">
        <v>209</v>
      </c>
      <c r="E35" s="4" t="s">
        <v>216</v>
      </c>
    </row>
    <row r="36" spans="1:5" ht="18" x14ac:dyDescent="0.25">
      <c r="A36" s="4" t="s">
        <v>251</v>
      </c>
      <c r="B36" s="4" t="s">
        <v>215</v>
      </c>
      <c r="E36" s="4" t="s">
        <v>219</v>
      </c>
    </row>
    <row r="37" spans="1:5" ht="18" x14ac:dyDescent="0.25">
      <c r="A37" s="4" t="s">
        <v>121</v>
      </c>
      <c r="B37" s="4" t="s">
        <v>233</v>
      </c>
      <c r="E37" s="4" t="s">
        <v>222</v>
      </c>
    </row>
    <row r="38" spans="1:5" ht="18" x14ac:dyDescent="0.25">
      <c r="A38" s="4" t="s">
        <v>127</v>
      </c>
      <c r="B38" s="4" t="s">
        <v>236</v>
      </c>
      <c r="E38" s="4" t="s">
        <v>225</v>
      </c>
    </row>
    <row r="39" spans="1:5" ht="18" x14ac:dyDescent="0.25">
      <c r="A39" s="4" t="s">
        <v>133</v>
      </c>
      <c r="B39" s="4" t="s">
        <v>218</v>
      </c>
      <c r="E39" s="4" t="s">
        <v>228</v>
      </c>
    </row>
    <row r="40" spans="1:5" ht="18" x14ac:dyDescent="0.25">
      <c r="A40" s="4" t="s">
        <v>139</v>
      </c>
      <c r="B40" s="4" t="s">
        <v>221</v>
      </c>
      <c r="E40" s="4" t="s">
        <v>231</v>
      </c>
    </row>
    <row r="41" spans="1:5" ht="18" x14ac:dyDescent="0.25">
      <c r="A41" s="4" t="s">
        <v>253</v>
      </c>
      <c r="B41" s="4" t="s">
        <v>224</v>
      </c>
      <c r="E41" s="4" t="s">
        <v>234</v>
      </c>
    </row>
    <row r="42" spans="1:5" ht="18" x14ac:dyDescent="0.25">
      <c r="A42" s="4" t="s">
        <v>255</v>
      </c>
      <c r="B42" s="4" t="s">
        <v>227</v>
      </c>
      <c r="E42" s="4" t="s">
        <v>237</v>
      </c>
    </row>
    <row r="43" spans="1:5" ht="18" x14ac:dyDescent="0.25">
      <c r="A43" s="4" t="s">
        <v>257</v>
      </c>
      <c r="B43" s="4" t="s">
        <v>230</v>
      </c>
      <c r="E43" s="4" t="s">
        <v>240</v>
      </c>
    </row>
    <row r="44" spans="1:5" ht="18" x14ac:dyDescent="0.25">
      <c r="A44" s="4" t="s">
        <v>145</v>
      </c>
      <c r="B44" s="4" t="s">
        <v>239</v>
      </c>
      <c r="E44" s="4" t="s">
        <v>242</v>
      </c>
    </row>
    <row r="45" spans="1:5" ht="18" x14ac:dyDescent="0.25">
      <c r="A45" s="4" t="s">
        <v>259</v>
      </c>
      <c r="B45" s="4" t="s">
        <v>458</v>
      </c>
      <c r="E45" s="4" t="s">
        <v>244</v>
      </c>
    </row>
    <row r="46" spans="1:5" ht="18" x14ac:dyDescent="0.25">
      <c r="A46" s="4" t="s">
        <v>261</v>
      </c>
      <c r="B46" s="4" t="s">
        <v>516</v>
      </c>
      <c r="E46" s="4" t="s">
        <v>246</v>
      </c>
    </row>
    <row r="47" spans="1:5" ht="18" x14ac:dyDescent="0.25">
      <c r="A47" s="4" t="s">
        <v>263</v>
      </c>
      <c r="B47" s="4" t="s">
        <v>530</v>
      </c>
      <c r="E47" s="4" t="s">
        <v>248</v>
      </c>
    </row>
    <row r="48" spans="1:5" ht="18" x14ac:dyDescent="0.25">
      <c r="A48" s="4" t="s">
        <v>264</v>
      </c>
      <c r="E48" s="4" t="s">
        <v>250</v>
      </c>
    </row>
    <row r="49" spans="1:5" ht="18" x14ac:dyDescent="0.25">
      <c r="A49" s="4" t="s">
        <v>265</v>
      </c>
      <c r="E49" s="4" t="s">
        <v>252</v>
      </c>
    </row>
    <row r="50" spans="1:5" ht="18" x14ac:dyDescent="0.25">
      <c r="A50" s="4" t="s">
        <v>162</v>
      </c>
      <c r="E50" s="4" t="s">
        <v>254</v>
      </c>
    </row>
    <row r="51" spans="1:5" ht="18" x14ac:dyDescent="0.25">
      <c r="A51" s="4" t="s">
        <v>156</v>
      </c>
      <c r="E51" s="4" t="s">
        <v>256</v>
      </c>
    </row>
    <row r="52" spans="1:5" ht="18" x14ac:dyDescent="0.25">
      <c r="A52" s="4" t="s">
        <v>266</v>
      </c>
      <c r="E52" s="4" t="s">
        <v>258</v>
      </c>
    </row>
    <row r="53" spans="1:5" ht="18" x14ac:dyDescent="0.25">
      <c r="A53" s="4" t="s">
        <v>168</v>
      </c>
      <c r="E53" s="4" t="s">
        <v>260</v>
      </c>
    </row>
    <row r="54" spans="1:5" ht="18" x14ac:dyDescent="0.25">
      <c r="A54" s="4" t="s">
        <v>268</v>
      </c>
      <c r="E54" s="4" t="s">
        <v>262</v>
      </c>
    </row>
    <row r="55" spans="1:5" ht="18" x14ac:dyDescent="0.25">
      <c r="A55" s="4" t="s">
        <v>270</v>
      </c>
    </row>
    <row r="56" spans="1:5" ht="18" x14ac:dyDescent="0.25">
      <c r="A56" s="4" t="s">
        <v>269</v>
      </c>
    </row>
    <row r="57" spans="1:5" ht="18" x14ac:dyDescent="0.25">
      <c r="A57" s="4" t="s">
        <v>267</v>
      </c>
    </row>
    <row r="58" spans="1:5" ht="18" x14ac:dyDescent="0.25">
      <c r="A58" s="4" t="s">
        <v>271</v>
      </c>
    </row>
    <row r="59" spans="1:5" ht="18" x14ac:dyDescent="0.25">
      <c r="A59" s="4" t="s">
        <v>174</v>
      </c>
    </row>
    <row r="60" spans="1:5" ht="18" x14ac:dyDescent="0.25">
      <c r="A60" s="4" t="s">
        <v>272</v>
      </c>
    </row>
    <row r="61" spans="1:5" ht="18" x14ac:dyDescent="0.25">
      <c r="A61" s="4" t="s">
        <v>326</v>
      </c>
    </row>
    <row r="62" spans="1:5" ht="18" x14ac:dyDescent="0.25">
      <c r="A62" s="4" t="s">
        <v>273</v>
      </c>
    </row>
    <row r="63" spans="1:5" ht="18" x14ac:dyDescent="0.25">
      <c r="A63" s="4" t="s">
        <v>327</v>
      </c>
    </row>
    <row r="64" spans="1:5" ht="18" x14ac:dyDescent="0.25">
      <c r="A64" s="4" t="s">
        <v>274</v>
      </c>
    </row>
    <row r="65" spans="1:1" ht="18" x14ac:dyDescent="0.25">
      <c r="A65" s="4" t="s">
        <v>275</v>
      </c>
    </row>
    <row r="66" spans="1:1" ht="18" x14ac:dyDescent="0.25">
      <c r="A66" s="4" t="s">
        <v>276</v>
      </c>
    </row>
    <row r="67" spans="1:1" ht="18" x14ac:dyDescent="0.25">
      <c r="A67" s="4" t="s">
        <v>277</v>
      </c>
    </row>
    <row r="68" spans="1:1" ht="18" x14ac:dyDescent="0.25">
      <c r="A68" s="4" t="s">
        <v>278</v>
      </c>
    </row>
    <row r="69" spans="1:1" ht="18" x14ac:dyDescent="0.25">
      <c r="A69" s="4" t="s">
        <v>279</v>
      </c>
    </row>
    <row r="70" spans="1:1" ht="18" x14ac:dyDescent="0.25">
      <c r="A70" s="4" t="s">
        <v>280</v>
      </c>
    </row>
    <row r="71" spans="1:1" ht="18" x14ac:dyDescent="0.25">
      <c r="A71" s="4" t="s">
        <v>281</v>
      </c>
    </row>
    <row r="72" spans="1:1" ht="18" x14ac:dyDescent="0.25">
      <c r="A72" s="4" t="s">
        <v>282</v>
      </c>
    </row>
    <row r="73" spans="1:1" ht="18" x14ac:dyDescent="0.25">
      <c r="A73" s="4" t="s">
        <v>283</v>
      </c>
    </row>
    <row r="74" spans="1:1" ht="18" x14ac:dyDescent="0.25">
      <c r="A74" s="4" t="s">
        <v>180</v>
      </c>
    </row>
    <row r="75" spans="1:1" ht="18" x14ac:dyDescent="0.25">
      <c r="A75" s="4" t="s">
        <v>284</v>
      </c>
    </row>
    <row r="76" spans="1:1" ht="18" x14ac:dyDescent="0.25">
      <c r="A76" s="4" t="s">
        <v>186</v>
      </c>
    </row>
    <row r="77" spans="1:1" ht="18" x14ac:dyDescent="0.25">
      <c r="A77" s="4" t="s">
        <v>285</v>
      </c>
    </row>
    <row r="78" spans="1:1" ht="18" x14ac:dyDescent="0.25">
      <c r="A78" s="4" t="s">
        <v>190</v>
      </c>
    </row>
    <row r="79" spans="1:1" ht="18" x14ac:dyDescent="0.25">
      <c r="A79" s="4" t="s">
        <v>286</v>
      </c>
    </row>
    <row r="80" spans="1:1" ht="18" x14ac:dyDescent="0.25">
      <c r="A80" s="4" t="s">
        <v>287</v>
      </c>
    </row>
    <row r="81" spans="1:1" ht="18" x14ac:dyDescent="0.25">
      <c r="A81" s="4" t="s">
        <v>325</v>
      </c>
    </row>
    <row r="82" spans="1:1" ht="18" x14ac:dyDescent="0.25">
      <c r="A82" s="4" t="s">
        <v>288</v>
      </c>
    </row>
    <row r="83" spans="1:1" ht="18" x14ac:dyDescent="0.25">
      <c r="A83" s="4" t="s">
        <v>289</v>
      </c>
    </row>
    <row r="84" spans="1:1" ht="18" x14ac:dyDescent="0.25">
      <c r="A84" s="4" t="s">
        <v>290</v>
      </c>
    </row>
    <row r="85" spans="1:1" ht="18" x14ac:dyDescent="0.25">
      <c r="A85" s="4" t="s">
        <v>291</v>
      </c>
    </row>
    <row r="86" spans="1:1" ht="18" x14ac:dyDescent="0.25">
      <c r="A86" s="4" t="s">
        <v>292</v>
      </c>
    </row>
    <row r="87" spans="1:1" ht="18" x14ac:dyDescent="0.25">
      <c r="A87" s="4" t="s">
        <v>293</v>
      </c>
    </row>
    <row r="88" spans="1:1" ht="18" x14ac:dyDescent="0.25">
      <c r="A88" s="4" t="s">
        <v>294</v>
      </c>
    </row>
    <row r="89" spans="1:1" ht="18" x14ac:dyDescent="0.25">
      <c r="A89" s="4" t="s">
        <v>295</v>
      </c>
    </row>
    <row r="90" spans="1:1" ht="18" x14ac:dyDescent="0.25">
      <c r="A90" s="4" t="s">
        <v>296</v>
      </c>
    </row>
    <row r="91" spans="1:1" ht="18" x14ac:dyDescent="0.25">
      <c r="A91" s="4" t="s">
        <v>297</v>
      </c>
    </row>
    <row r="92" spans="1:1" ht="18" x14ac:dyDescent="0.25">
      <c r="A92" s="4" t="s">
        <v>298</v>
      </c>
    </row>
    <row r="93" spans="1:1" ht="18" x14ac:dyDescent="0.25">
      <c r="A93" s="4" t="s">
        <v>299</v>
      </c>
    </row>
    <row r="94" spans="1:1" ht="18" x14ac:dyDescent="0.25">
      <c r="A94" s="4" t="s">
        <v>300</v>
      </c>
    </row>
    <row r="95" spans="1:1" ht="18" x14ac:dyDescent="0.25">
      <c r="A95" s="4" t="s">
        <v>301</v>
      </c>
    </row>
    <row r="96" spans="1:1" ht="18" x14ac:dyDescent="0.25">
      <c r="A96" s="4" t="s">
        <v>302</v>
      </c>
    </row>
    <row r="97" spans="1:1" ht="18" x14ac:dyDescent="0.25">
      <c r="A97" s="4" t="s">
        <v>303</v>
      </c>
    </row>
    <row r="98" spans="1:1" ht="18" x14ac:dyDescent="0.25">
      <c r="A98" s="4" t="s">
        <v>193</v>
      </c>
    </row>
    <row r="99" spans="1:1" ht="18" x14ac:dyDescent="0.25">
      <c r="A99" s="4" t="s">
        <v>304</v>
      </c>
    </row>
    <row r="100" spans="1:1" ht="18" x14ac:dyDescent="0.25">
      <c r="A100" s="4" t="s">
        <v>305</v>
      </c>
    </row>
    <row r="101" spans="1:1" ht="18" x14ac:dyDescent="0.25">
      <c r="A101" s="4" t="s">
        <v>306</v>
      </c>
    </row>
    <row r="102" spans="1:1" ht="18" x14ac:dyDescent="0.25">
      <c r="A102" s="4" t="s">
        <v>307</v>
      </c>
    </row>
    <row r="103" spans="1:1" ht="18" x14ac:dyDescent="0.25">
      <c r="A103" s="4" t="s">
        <v>158</v>
      </c>
    </row>
    <row r="104" spans="1:1" ht="18" x14ac:dyDescent="0.25">
      <c r="A104" s="4" t="s">
        <v>427</v>
      </c>
    </row>
    <row r="105" spans="1:1" ht="18" x14ac:dyDescent="0.25">
      <c r="A105" s="4" t="s">
        <v>500</v>
      </c>
    </row>
    <row r="106" spans="1:1" ht="18" x14ac:dyDescent="0.25">
      <c r="A106" s="4" t="s">
        <v>506</v>
      </c>
    </row>
    <row r="107" spans="1:1" ht="18" x14ac:dyDescent="0.25">
      <c r="A107" s="4" t="s">
        <v>531</v>
      </c>
    </row>
  </sheetData>
  <sortState xmlns:xlrd2="http://schemas.microsoft.com/office/spreadsheetml/2017/richdata2" ref="B2:B44">
    <sortCondition ref="B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L44"/>
  <sheetViews>
    <sheetView showGridLines="0" showRowColHeaders="0" topLeftCell="B1" workbookViewId="0">
      <selection activeCell="L9" sqref="L9"/>
    </sheetView>
  </sheetViews>
  <sheetFormatPr baseColWidth="10" defaultColWidth="0" defaultRowHeight="15" zeroHeight="1" x14ac:dyDescent="0.25"/>
  <cols>
    <col min="1" max="12" width="11.42578125" customWidth="1"/>
    <col min="13" max="16384" width="11.42578125" hidden="1"/>
  </cols>
  <sheetData>
    <row r="1" spans="4:4" x14ac:dyDescent="0.25"/>
    <row r="2" spans="4:4" x14ac:dyDescent="0.25"/>
    <row r="3" spans="4:4" x14ac:dyDescent="0.25"/>
    <row r="4" spans="4:4" x14ac:dyDescent="0.25"/>
    <row r="5" spans="4:4" x14ac:dyDescent="0.25"/>
    <row r="6" spans="4:4" x14ac:dyDescent="0.25"/>
    <row r="7" spans="4:4" x14ac:dyDescent="0.25"/>
    <row r="8" spans="4:4" x14ac:dyDescent="0.25"/>
    <row r="9" spans="4:4" x14ac:dyDescent="0.25"/>
    <row r="10" spans="4:4" x14ac:dyDescent="0.25"/>
    <row r="11" spans="4:4" x14ac:dyDescent="0.25"/>
    <row r="12" spans="4:4" x14ac:dyDescent="0.25">
      <c r="D12" s="10"/>
    </row>
    <row r="13" spans="4:4" x14ac:dyDescent="0.25"/>
    <row r="14" spans="4:4" x14ac:dyDescent="0.25"/>
    <row r="15" spans="4:4" hidden="1" x14ac:dyDescent="0.25"/>
    <row r="16" spans="4:4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U77"/>
  <sheetViews>
    <sheetView topLeftCell="F1" workbookViewId="0">
      <selection activeCell="S10" sqref="S10"/>
    </sheetView>
  </sheetViews>
  <sheetFormatPr baseColWidth="10" defaultRowHeight="15" x14ac:dyDescent="0.25"/>
  <cols>
    <col min="2" max="2" width="3.28515625" customWidth="1"/>
    <col min="3" max="3" width="11.42578125" style="1"/>
    <col min="4" max="4" width="2.7109375" customWidth="1"/>
    <col min="5" max="5" width="25.85546875" bestFit="1" customWidth="1"/>
    <col min="7" max="7" width="3" customWidth="1"/>
    <col min="9" max="9" width="1.42578125" customWidth="1"/>
    <col min="10" max="10" width="23.7109375" style="21" bestFit="1" customWidth="1"/>
    <col min="11" max="11" width="2.28515625" customWidth="1"/>
    <col min="12" max="12" width="17" style="22" bestFit="1" customWidth="1"/>
    <col min="13" max="13" width="2.42578125" customWidth="1"/>
    <col min="14" max="14" width="19.5703125" bestFit="1" customWidth="1"/>
    <col min="15" max="15" width="1.85546875" customWidth="1"/>
    <col min="16" max="16" width="14.5703125" style="22" bestFit="1" customWidth="1"/>
    <col min="17" max="17" width="2" customWidth="1"/>
    <col min="18" max="18" width="17.140625" bestFit="1" customWidth="1"/>
    <col min="19" max="19" width="17" bestFit="1" customWidth="1"/>
    <col min="20" max="20" width="19.5703125" bestFit="1" customWidth="1"/>
    <col min="21" max="21" width="14.5703125" bestFit="1" customWidth="1"/>
  </cols>
  <sheetData>
    <row r="1" spans="1:21" ht="15.75" thickTop="1" x14ac:dyDescent="0.25">
      <c r="C1" s="22"/>
      <c r="R1" s="34" t="s">
        <v>0</v>
      </c>
      <c r="S1" s="35" t="s">
        <v>632</v>
      </c>
      <c r="T1" s="35" t="s">
        <v>4</v>
      </c>
      <c r="U1" s="36" t="s">
        <v>576</v>
      </c>
    </row>
    <row r="2" spans="1:21" x14ac:dyDescent="0.25">
      <c r="A2" s="1" t="s">
        <v>4</v>
      </c>
      <c r="C2" s="1" t="s">
        <v>2</v>
      </c>
      <c r="E2" s="1" t="s">
        <v>3</v>
      </c>
      <c r="H2" t="s">
        <v>5</v>
      </c>
      <c r="J2" s="21" t="s">
        <v>577</v>
      </c>
      <c r="L2" s="22" t="s">
        <v>632</v>
      </c>
      <c r="N2" s="28" t="s">
        <v>4</v>
      </c>
      <c r="P2" s="22" t="s">
        <v>576</v>
      </c>
      <c r="R2" s="37">
        <v>1</v>
      </c>
      <c r="S2" s="38">
        <v>1</v>
      </c>
      <c r="T2" s="38">
        <v>1</v>
      </c>
      <c r="U2" s="39">
        <v>1</v>
      </c>
    </row>
    <row r="3" spans="1:21" ht="15.75" thickBot="1" x14ac:dyDescent="0.3">
      <c r="A3" s="1" t="s">
        <v>308</v>
      </c>
      <c r="C3" s="1">
        <v>2020</v>
      </c>
      <c r="E3" s="1" t="s">
        <v>312</v>
      </c>
      <c r="F3" s="44" t="s">
        <v>319</v>
      </c>
      <c r="H3" s="1">
        <v>5</v>
      </c>
      <c r="J3" s="21" t="s">
        <v>652</v>
      </c>
      <c r="L3" s="22" t="s">
        <v>657</v>
      </c>
      <c r="N3" s="22" t="s">
        <v>659</v>
      </c>
      <c r="P3" s="22" t="s">
        <v>658</v>
      </c>
      <c r="R3" s="40" t="str">
        <f>INDEX(J3:J21,R2)</f>
        <v>Toutes les régions</v>
      </c>
      <c r="S3" s="41" t="str">
        <f>INDEX(L3:L38,S2)</f>
        <v>Toutes les années</v>
      </c>
      <c r="T3" s="41" t="str">
        <f>INDEX(N3:N7,T2)</f>
        <v>Toutes les bouteilles</v>
      </c>
      <c r="U3" s="42" t="str">
        <f>INDEX(P3:P82,U2)</f>
        <v>Tous les casiers</v>
      </c>
    </row>
    <row r="4" spans="1:21" ht="15.75" thickTop="1" x14ac:dyDescent="0.25">
      <c r="A4" s="1" t="s">
        <v>309</v>
      </c>
      <c r="C4" s="1">
        <v>2019</v>
      </c>
      <c r="E4" s="1" t="s">
        <v>311</v>
      </c>
      <c r="F4" s="44"/>
      <c r="H4" s="1">
        <v>4</v>
      </c>
      <c r="J4" s="25" t="s">
        <v>328</v>
      </c>
      <c r="L4" s="22">
        <v>1987</v>
      </c>
      <c r="N4" s="22" t="s">
        <v>309</v>
      </c>
      <c r="P4" s="22" t="s">
        <v>335</v>
      </c>
    </row>
    <row r="5" spans="1:21" x14ac:dyDescent="0.25">
      <c r="A5" s="1" t="s">
        <v>310</v>
      </c>
      <c r="C5" s="1">
        <v>2018</v>
      </c>
      <c r="E5" s="1" t="s">
        <v>313</v>
      </c>
      <c r="F5" s="44"/>
      <c r="H5" s="1">
        <v>3</v>
      </c>
      <c r="J5" s="25" t="s">
        <v>23</v>
      </c>
      <c r="L5" s="22">
        <v>1988</v>
      </c>
      <c r="N5" s="22" t="s">
        <v>308</v>
      </c>
      <c r="P5" s="22" t="s">
        <v>610</v>
      </c>
    </row>
    <row r="6" spans="1:21" x14ac:dyDescent="0.25">
      <c r="C6" s="1">
        <v>2017</v>
      </c>
      <c r="E6" s="1" t="s">
        <v>314</v>
      </c>
      <c r="F6" s="44" t="s">
        <v>320</v>
      </c>
      <c r="H6" s="1">
        <v>2</v>
      </c>
      <c r="J6" s="25" t="s">
        <v>16</v>
      </c>
      <c r="L6" s="22">
        <v>1989</v>
      </c>
      <c r="N6" s="22" t="s">
        <v>310</v>
      </c>
      <c r="P6" s="22" t="s">
        <v>337</v>
      </c>
    </row>
    <row r="7" spans="1:21" x14ac:dyDescent="0.25">
      <c r="C7" s="1">
        <v>2016</v>
      </c>
      <c r="E7" s="1" t="s">
        <v>315</v>
      </c>
      <c r="F7" s="44"/>
      <c r="H7" s="1">
        <v>1</v>
      </c>
      <c r="J7" s="25" t="s">
        <v>15</v>
      </c>
      <c r="L7" s="22">
        <v>1990</v>
      </c>
      <c r="P7" s="22" t="s">
        <v>602</v>
      </c>
    </row>
    <row r="8" spans="1:21" x14ac:dyDescent="0.25">
      <c r="C8" s="1">
        <v>2015</v>
      </c>
      <c r="E8" s="1" t="s">
        <v>316</v>
      </c>
      <c r="F8" s="44"/>
      <c r="J8" s="25" t="s">
        <v>24</v>
      </c>
      <c r="L8" s="22">
        <v>1991</v>
      </c>
      <c r="P8" s="22" t="s">
        <v>340</v>
      </c>
    </row>
    <row r="9" spans="1:21" x14ac:dyDescent="0.25">
      <c r="C9" s="1">
        <v>2014</v>
      </c>
      <c r="E9" s="1" t="s">
        <v>317</v>
      </c>
      <c r="F9" s="44"/>
      <c r="J9" s="25" t="s">
        <v>25</v>
      </c>
      <c r="L9" s="22">
        <v>1992</v>
      </c>
      <c r="P9" s="22" t="s">
        <v>341</v>
      </c>
    </row>
    <row r="10" spans="1:21" x14ac:dyDescent="0.25">
      <c r="C10" s="1">
        <v>2013</v>
      </c>
      <c r="E10" s="1" t="s">
        <v>318</v>
      </c>
      <c r="F10" s="44"/>
      <c r="J10" s="26" t="s">
        <v>27</v>
      </c>
      <c r="L10" s="22">
        <v>1993</v>
      </c>
      <c r="P10" s="22" t="s">
        <v>344</v>
      </c>
    </row>
    <row r="11" spans="1:21" x14ac:dyDescent="0.25">
      <c r="C11" s="1">
        <v>2012</v>
      </c>
      <c r="J11" s="25" t="s">
        <v>17</v>
      </c>
      <c r="L11" s="22">
        <v>1994</v>
      </c>
      <c r="P11" s="22" t="s">
        <v>348</v>
      </c>
    </row>
    <row r="12" spans="1:21" x14ac:dyDescent="0.25">
      <c r="C12" s="1">
        <v>2011</v>
      </c>
      <c r="J12" s="25" t="s">
        <v>28</v>
      </c>
      <c r="L12" s="22">
        <v>1995</v>
      </c>
      <c r="P12" s="22" t="s">
        <v>353</v>
      </c>
    </row>
    <row r="13" spans="1:21" x14ac:dyDescent="0.25">
      <c r="C13" s="1">
        <v>2010</v>
      </c>
      <c r="J13" s="25" t="s">
        <v>22</v>
      </c>
      <c r="L13" s="22">
        <v>1996</v>
      </c>
      <c r="P13" s="22" t="s">
        <v>622</v>
      </c>
    </row>
    <row r="14" spans="1:21" x14ac:dyDescent="0.25">
      <c r="C14" s="1">
        <v>2009</v>
      </c>
      <c r="J14" s="25" t="s">
        <v>18</v>
      </c>
      <c r="L14" s="22">
        <v>1997</v>
      </c>
      <c r="P14" s="22" t="s">
        <v>356</v>
      </c>
    </row>
    <row r="15" spans="1:21" x14ac:dyDescent="0.25">
      <c r="C15" s="1">
        <v>2008</v>
      </c>
      <c r="J15" s="25" t="s">
        <v>19</v>
      </c>
      <c r="L15" s="22">
        <v>1998</v>
      </c>
      <c r="P15" s="22" t="s">
        <v>633</v>
      </c>
    </row>
    <row r="16" spans="1:21" x14ac:dyDescent="0.25">
      <c r="C16" s="1">
        <v>2007</v>
      </c>
      <c r="J16" s="25" t="s">
        <v>26</v>
      </c>
      <c r="L16" s="22">
        <v>1999</v>
      </c>
      <c r="P16" s="22" t="s">
        <v>578</v>
      </c>
    </row>
    <row r="17" spans="3:16" x14ac:dyDescent="0.25">
      <c r="C17" s="1">
        <v>2006</v>
      </c>
      <c r="J17" s="25" t="s">
        <v>20</v>
      </c>
      <c r="L17" s="22">
        <v>2000</v>
      </c>
      <c r="P17" s="22" t="s">
        <v>364</v>
      </c>
    </row>
    <row r="18" spans="3:16" x14ac:dyDescent="0.25">
      <c r="C18" s="1">
        <v>2005</v>
      </c>
      <c r="J18" s="25" t="s">
        <v>21</v>
      </c>
      <c r="L18" s="22">
        <v>2001</v>
      </c>
      <c r="P18" s="22" t="s">
        <v>608</v>
      </c>
    </row>
    <row r="19" spans="3:16" x14ac:dyDescent="0.25">
      <c r="C19" s="1">
        <v>2004</v>
      </c>
      <c r="J19" s="25" t="s">
        <v>478</v>
      </c>
      <c r="L19" s="22">
        <v>2002</v>
      </c>
      <c r="P19" s="22" t="s">
        <v>370</v>
      </c>
    </row>
    <row r="20" spans="3:16" x14ac:dyDescent="0.25">
      <c r="C20" s="1">
        <v>2003</v>
      </c>
      <c r="L20" s="22">
        <v>2003</v>
      </c>
      <c r="P20" s="22" t="s">
        <v>372</v>
      </c>
    </row>
    <row r="21" spans="3:16" x14ac:dyDescent="0.25">
      <c r="C21" s="1">
        <v>2002</v>
      </c>
      <c r="L21" s="22">
        <v>2004</v>
      </c>
      <c r="P21" s="22" t="s">
        <v>374</v>
      </c>
    </row>
    <row r="22" spans="3:16" x14ac:dyDescent="0.25">
      <c r="C22" s="1">
        <v>2001</v>
      </c>
      <c r="L22" s="22">
        <v>2005</v>
      </c>
      <c r="P22" s="22" t="s">
        <v>377</v>
      </c>
    </row>
    <row r="23" spans="3:16" x14ac:dyDescent="0.25">
      <c r="C23" s="1">
        <v>2000</v>
      </c>
      <c r="L23" s="22">
        <v>2006</v>
      </c>
      <c r="P23" s="22" t="s">
        <v>381</v>
      </c>
    </row>
    <row r="24" spans="3:16" x14ac:dyDescent="0.25">
      <c r="C24" s="1">
        <v>1999</v>
      </c>
      <c r="L24" s="22">
        <v>2007</v>
      </c>
      <c r="P24" s="22" t="s">
        <v>384</v>
      </c>
    </row>
    <row r="25" spans="3:16" x14ac:dyDescent="0.25">
      <c r="C25" s="1">
        <v>1998</v>
      </c>
      <c r="L25" s="22">
        <v>2008</v>
      </c>
      <c r="P25" s="22" t="s">
        <v>634</v>
      </c>
    </row>
    <row r="26" spans="3:16" x14ac:dyDescent="0.25">
      <c r="C26" s="1">
        <v>1997</v>
      </c>
      <c r="L26" s="22">
        <v>2009</v>
      </c>
      <c r="P26" s="22" t="s">
        <v>635</v>
      </c>
    </row>
    <row r="27" spans="3:16" x14ac:dyDescent="0.25">
      <c r="C27" s="1">
        <v>1996</v>
      </c>
      <c r="L27" s="22">
        <v>2010</v>
      </c>
      <c r="P27" s="22" t="s">
        <v>636</v>
      </c>
    </row>
    <row r="28" spans="3:16" x14ac:dyDescent="0.25">
      <c r="C28" s="1">
        <v>1995</v>
      </c>
      <c r="L28" s="22">
        <v>2011</v>
      </c>
      <c r="P28" s="22" t="s">
        <v>637</v>
      </c>
    </row>
    <row r="29" spans="3:16" x14ac:dyDescent="0.25">
      <c r="L29" s="22">
        <v>2012</v>
      </c>
      <c r="P29" s="22" t="s">
        <v>638</v>
      </c>
    </row>
    <row r="30" spans="3:16" x14ac:dyDescent="0.25">
      <c r="L30" s="22">
        <v>2013</v>
      </c>
      <c r="P30" s="22" t="s">
        <v>639</v>
      </c>
    </row>
    <row r="31" spans="3:16" x14ac:dyDescent="0.25">
      <c r="L31" s="22">
        <v>2014</v>
      </c>
      <c r="P31" s="22" t="s">
        <v>401</v>
      </c>
    </row>
    <row r="32" spans="3:16" x14ac:dyDescent="0.25">
      <c r="L32" s="22">
        <v>2015</v>
      </c>
      <c r="P32" s="22" t="s">
        <v>405</v>
      </c>
    </row>
    <row r="33" spans="12:16" x14ac:dyDescent="0.25">
      <c r="L33" s="22">
        <v>2016</v>
      </c>
      <c r="P33" s="22" t="s">
        <v>406</v>
      </c>
    </row>
    <row r="34" spans="12:16" x14ac:dyDescent="0.25">
      <c r="L34" s="22">
        <v>2017</v>
      </c>
      <c r="P34" s="22" t="s">
        <v>562</v>
      </c>
    </row>
    <row r="35" spans="12:16" x14ac:dyDescent="0.25">
      <c r="L35" s="22">
        <v>2018</v>
      </c>
      <c r="P35" s="22" t="s">
        <v>413</v>
      </c>
    </row>
    <row r="36" spans="12:16" x14ac:dyDescent="0.25">
      <c r="L36" s="22">
        <v>2019</v>
      </c>
      <c r="P36" s="22" t="s">
        <v>414</v>
      </c>
    </row>
    <row r="37" spans="12:16" x14ac:dyDescent="0.25">
      <c r="P37" s="22" t="s">
        <v>417</v>
      </c>
    </row>
    <row r="38" spans="12:16" x14ac:dyDescent="0.25">
      <c r="P38" s="22" t="s">
        <v>420</v>
      </c>
    </row>
    <row r="39" spans="12:16" x14ac:dyDescent="0.25">
      <c r="P39" s="22" t="s">
        <v>423</v>
      </c>
    </row>
    <row r="40" spans="12:16" x14ac:dyDescent="0.25">
      <c r="P40" s="22" t="s">
        <v>428</v>
      </c>
    </row>
    <row r="41" spans="12:16" x14ac:dyDescent="0.25">
      <c r="P41" s="22" t="s">
        <v>640</v>
      </c>
    </row>
    <row r="42" spans="12:16" x14ac:dyDescent="0.25">
      <c r="P42" s="22" t="s">
        <v>641</v>
      </c>
    </row>
    <row r="43" spans="12:16" x14ac:dyDescent="0.25">
      <c r="P43" s="22" t="s">
        <v>642</v>
      </c>
    </row>
    <row r="44" spans="12:16" x14ac:dyDescent="0.25">
      <c r="P44" s="22" t="s">
        <v>643</v>
      </c>
    </row>
    <row r="45" spans="12:16" x14ac:dyDescent="0.25">
      <c r="P45" s="22" t="s">
        <v>473</v>
      </c>
    </row>
    <row r="46" spans="12:16" x14ac:dyDescent="0.25">
      <c r="P46" s="22" t="s">
        <v>626</v>
      </c>
    </row>
    <row r="47" spans="12:16" x14ac:dyDescent="0.25">
      <c r="P47" s="22" t="s">
        <v>475</v>
      </c>
    </row>
    <row r="48" spans="12:16" x14ac:dyDescent="0.25">
      <c r="P48" s="22" t="s">
        <v>480</v>
      </c>
    </row>
    <row r="49" spans="16:16" x14ac:dyDescent="0.25">
      <c r="P49" s="22" t="s">
        <v>484</v>
      </c>
    </row>
    <row r="50" spans="16:16" x14ac:dyDescent="0.25">
      <c r="P50" s="22" t="s">
        <v>485</v>
      </c>
    </row>
    <row r="51" spans="16:16" x14ac:dyDescent="0.25">
      <c r="P51" s="22" t="s">
        <v>619</v>
      </c>
    </row>
    <row r="52" spans="16:16" x14ac:dyDescent="0.25">
      <c r="P52" s="22" t="s">
        <v>490</v>
      </c>
    </row>
    <row r="53" spans="16:16" x14ac:dyDescent="0.25">
      <c r="P53" s="22" t="s">
        <v>494</v>
      </c>
    </row>
    <row r="54" spans="16:16" x14ac:dyDescent="0.25">
      <c r="P54" s="22" t="s">
        <v>503</v>
      </c>
    </row>
    <row r="55" spans="16:16" x14ac:dyDescent="0.25">
      <c r="P55" s="22" t="s">
        <v>518</v>
      </c>
    </row>
    <row r="56" spans="16:16" x14ac:dyDescent="0.25">
      <c r="P56" s="22" t="s">
        <v>644</v>
      </c>
    </row>
    <row r="57" spans="16:16" x14ac:dyDescent="0.25">
      <c r="P57" s="22" t="s">
        <v>645</v>
      </c>
    </row>
    <row r="58" spans="16:16" x14ac:dyDescent="0.25">
      <c r="P58" s="22" t="s">
        <v>646</v>
      </c>
    </row>
    <row r="59" spans="16:16" x14ac:dyDescent="0.25">
      <c r="P59" s="22" t="s">
        <v>647</v>
      </c>
    </row>
    <row r="60" spans="16:16" x14ac:dyDescent="0.25">
      <c r="P60" s="22" t="s">
        <v>648</v>
      </c>
    </row>
    <row r="61" spans="16:16" x14ac:dyDescent="0.25">
      <c r="P61" s="22" t="s">
        <v>521</v>
      </c>
    </row>
    <row r="62" spans="16:16" x14ac:dyDescent="0.25">
      <c r="P62" s="22" t="s">
        <v>527</v>
      </c>
    </row>
    <row r="63" spans="16:16" x14ac:dyDescent="0.25">
      <c r="P63" s="22" t="s">
        <v>528</v>
      </c>
    </row>
    <row r="64" spans="16:16" x14ac:dyDescent="0.25">
      <c r="P64" s="22" t="s">
        <v>529</v>
      </c>
    </row>
    <row r="65" spans="16:16" x14ac:dyDescent="0.25">
      <c r="P65" s="22" t="s">
        <v>532</v>
      </c>
    </row>
    <row r="66" spans="16:16" x14ac:dyDescent="0.25">
      <c r="P66" s="22" t="s">
        <v>533</v>
      </c>
    </row>
    <row r="67" spans="16:16" x14ac:dyDescent="0.25">
      <c r="P67" s="22" t="s">
        <v>536</v>
      </c>
    </row>
    <row r="68" spans="16:16" x14ac:dyDescent="0.25">
      <c r="P68" s="22" t="s">
        <v>540</v>
      </c>
    </row>
    <row r="69" spans="16:16" x14ac:dyDescent="0.25">
      <c r="P69" s="22" t="s">
        <v>542</v>
      </c>
    </row>
    <row r="70" spans="16:16" x14ac:dyDescent="0.25">
      <c r="P70" s="22" t="s">
        <v>544</v>
      </c>
    </row>
    <row r="71" spans="16:16" x14ac:dyDescent="0.25">
      <c r="P71" s="22" t="s">
        <v>559</v>
      </c>
    </row>
    <row r="72" spans="16:16" x14ac:dyDescent="0.25">
      <c r="P72" s="22" t="s">
        <v>555</v>
      </c>
    </row>
    <row r="73" spans="16:16" x14ac:dyDescent="0.25">
      <c r="P73" s="22" t="s">
        <v>560</v>
      </c>
    </row>
    <row r="74" spans="16:16" x14ac:dyDescent="0.25">
      <c r="P74" s="22" t="s">
        <v>649</v>
      </c>
    </row>
    <row r="75" spans="16:16" x14ac:dyDescent="0.25">
      <c r="P75" s="22" t="s">
        <v>561</v>
      </c>
    </row>
    <row r="76" spans="16:16" x14ac:dyDescent="0.25">
      <c r="P76" s="22" t="s">
        <v>650</v>
      </c>
    </row>
    <row r="77" spans="16:16" x14ac:dyDescent="0.25">
      <c r="P77" s="22" t="s">
        <v>651</v>
      </c>
    </row>
  </sheetData>
  <sortState xmlns:xlrd2="http://schemas.microsoft.com/office/spreadsheetml/2017/richdata2" ref="J4:J19">
    <sortCondition ref="J4"/>
  </sortState>
  <mergeCells count="2">
    <mergeCell ref="F3:F5"/>
    <mergeCell ref="F6:F10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C5614-091F-4660-8F76-90AD4F0D9828}">
  <sheetPr codeName="Feuil1"/>
  <dimension ref="A5:AK158"/>
  <sheetViews>
    <sheetView workbookViewId="0">
      <selection activeCell="A159" sqref="A159:XFD159"/>
    </sheetView>
  </sheetViews>
  <sheetFormatPr baseColWidth="10" defaultRowHeight="15" x14ac:dyDescent="0.25"/>
  <cols>
    <col min="1" max="1" width="37" style="27" bestFit="1" customWidth="1"/>
    <col min="2" max="2" width="24.140625" style="27" bestFit="1" customWidth="1"/>
    <col min="3" max="3" width="29.85546875" style="27" customWidth="1"/>
    <col min="4" max="4" width="11.140625" style="27" customWidth="1"/>
    <col min="5" max="5" width="12" style="27" customWidth="1"/>
    <col min="6" max="8" width="11.42578125" style="27"/>
    <col min="9" max="9" width="13.28515625" style="27" customWidth="1"/>
    <col min="10" max="10" width="25.140625" style="27" customWidth="1"/>
    <col min="11" max="11" width="16.28515625" style="27" customWidth="1"/>
    <col min="12" max="12" width="13" style="27" customWidth="1"/>
    <col min="13" max="13" width="11.42578125" style="27"/>
    <col min="14" max="14" width="13.5703125" style="27" customWidth="1"/>
    <col min="15" max="15" width="25" style="27" bestFit="1" customWidth="1"/>
    <col min="16" max="16" width="12.7109375" style="27" customWidth="1"/>
    <col min="17" max="17" width="0" style="27" hidden="1" customWidth="1"/>
    <col min="18" max="18" width="14.28515625" style="27" hidden="1" customWidth="1"/>
    <col min="19" max="19" width="11.5703125" style="27" hidden="1" customWidth="1"/>
    <col min="20" max="20" width="10.140625" style="27" hidden="1" customWidth="1"/>
    <col min="21" max="21" width="13" style="27" hidden="1" customWidth="1"/>
    <col min="22" max="22" width="16.7109375" style="27" hidden="1" customWidth="1"/>
    <col min="23" max="23" width="11.5703125" style="27" customWidth="1"/>
    <col min="24" max="28" width="11.42578125" style="27"/>
    <col min="29" max="29" width="4.42578125" style="27" customWidth="1"/>
    <col min="30" max="31" width="11.42578125" style="27"/>
    <col min="32" max="37" width="11.5703125" style="27" customWidth="1"/>
    <col min="38" max="16384" width="11.42578125" style="27"/>
  </cols>
  <sheetData>
    <row r="5" spans="1:37" x14ac:dyDescent="0.25">
      <c r="X5" s="27" t="s">
        <v>0</v>
      </c>
      <c r="Y5" s="27" t="s">
        <v>661</v>
      </c>
      <c r="Z5" s="27" t="s">
        <v>4</v>
      </c>
      <c r="AA5" s="27" t="s">
        <v>576</v>
      </c>
    </row>
    <row r="6" spans="1:37" x14ac:dyDescent="0.25">
      <c r="A6" s="27" t="s">
        <v>14</v>
      </c>
      <c r="B6" s="27" t="s">
        <v>0</v>
      </c>
      <c r="C6" s="27" t="s">
        <v>1</v>
      </c>
      <c r="D6" s="27" t="s">
        <v>3</v>
      </c>
      <c r="E6" s="27" t="s">
        <v>2</v>
      </c>
      <c r="F6" s="27" t="s">
        <v>4</v>
      </c>
      <c r="G6" s="27" t="s">
        <v>5</v>
      </c>
      <c r="H6" s="27" t="s">
        <v>576</v>
      </c>
      <c r="I6" s="27" t="s">
        <v>7</v>
      </c>
      <c r="J6" s="29" t="s">
        <v>664</v>
      </c>
      <c r="K6" s="27" t="s">
        <v>332</v>
      </c>
      <c r="L6" s="27" t="s">
        <v>6</v>
      </c>
      <c r="M6" s="27" t="s">
        <v>8</v>
      </c>
      <c r="N6" s="27" t="s">
        <v>9</v>
      </c>
      <c r="O6" s="27" t="s">
        <v>10</v>
      </c>
      <c r="P6" s="27" t="s">
        <v>11</v>
      </c>
      <c r="Q6" s="27" t="s">
        <v>12</v>
      </c>
      <c r="R6" s="27" t="s">
        <v>13</v>
      </c>
      <c r="S6" s="27" t="s">
        <v>321</v>
      </c>
      <c r="T6" s="27" t="s">
        <v>322</v>
      </c>
      <c r="U6" s="27" t="s">
        <v>323</v>
      </c>
      <c r="V6" s="27" t="s">
        <v>324</v>
      </c>
      <c r="W6" s="27" t="s">
        <v>665</v>
      </c>
      <c r="X6" s="27" t="s">
        <v>653</v>
      </c>
      <c r="Y6" s="27" t="s">
        <v>660</v>
      </c>
      <c r="Z6" s="27" t="s">
        <v>654</v>
      </c>
      <c r="AA6" s="27" t="s">
        <v>655</v>
      </c>
      <c r="AB6" s="27" t="s">
        <v>656</v>
      </c>
      <c r="AC6" s="27" t="s">
        <v>666</v>
      </c>
      <c r="AD6" s="27" t="s">
        <v>662</v>
      </c>
      <c r="AE6" s="27" t="s">
        <v>663</v>
      </c>
      <c r="AF6" s="27" t="s">
        <v>667</v>
      </c>
      <c r="AG6" s="27" t="s">
        <v>668</v>
      </c>
      <c r="AH6" s="27" t="s">
        <v>669</v>
      </c>
      <c r="AI6" s="27" t="s">
        <v>670</v>
      </c>
      <c r="AJ6" s="27" t="s">
        <v>671</v>
      </c>
      <c r="AK6" s="27" t="s">
        <v>672</v>
      </c>
    </row>
    <row r="7" spans="1:37" x14ac:dyDescent="0.25">
      <c r="A7" s="27" t="str">
        <f t="shared" ref="A7" si="0">CONCATENATE(C7," ",D7," ",E7)</f>
        <v xml:space="preserve">  </v>
      </c>
      <c r="C7" s="30"/>
      <c r="D7" s="30"/>
      <c r="E7" s="30"/>
      <c r="T7" s="27">
        <f t="shared" ref="T7:T38" si="1">ROW(T7)-7</f>
        <v>0</v>
      </c>
      <c r="U7" s="27" t="str">
        <f t="shared" ref="U7:U70" si="2">CONCATENATE(T7,".jpg")</f>
        <v>0.jpg</v>
      </c>
      <c r="V7" s="27" t="str">
        <f t="shared" ref="V7:V70" si="3">CONCATENATE($V$2,U7)</f>
        <v>0.jpg</v>
      </c>
      <c r="X7" s="27" t="b">
        <f>IF(Bdd_cave!$R$3="Toutes les regions",TRUE,Bdd_cave!$R$3=B7)</f>
        <v>0</v>
      </c>
      <c r="Y7" s="27" t="b">
        <f>IF(Bdd_cave!$S$3="Toutes les années",TRUE,Bdd_cave!$S$3=E7)</f>
        <v>1</v>
      </c>
      <c r="Z7" s="27" t="b">
        <f>IF(Bdd_cave!$T$3="Toutes les couleurs",TRUE,Bdd_cave!$T$3=F7)</f>
        <v>0</v>
      </c>
      <c r="AA7" s="27" t="b">
        <f>IF(Bdd_cave!$U$3="Tous les casiers ",TRUE,Bdd_cave!$U$3=H7)</f>
        <v>0</v>
      </c>
      <c r="AB7" s="27" t="b">
        <f t="shared" ref="AB7:AB38" si="4">AND(X7:Z7)</f>
        <v>0</v>
      </c>
      <c r="AD7" s="27" t="str">
        <f>IF(AB7,ROWS($AB$7:AB7),"")</f>
        <v/>
      </c>
      <c r="AE7" s="27" t="str">
        <f>IFERROR(SMALL($AD$7:$AD$297,ROWS(AD7:$AD$7)),"")</f>
        <v/>
      </c>
    </row>
    <row r="8" spans="1:37" x14ac:dyDescent="0.25">
      <c r="A8" s="27" t="str">
        <f t="shared" ref="A8:A39" si="5">CONCATENATE(C8," ",D8," ",E8)</f>
        <v>SAINT-AUBIN 1 er Cru 1987</v>
      </c>
      <c r="B8" s="5" t="s">
        <v>15</v>
      </c>
      <c r="C8" s="30" t="s">
        <v>298</v>
      </c>
      <c r="D8" s="30" t="s">
        <v>312</v>
      </c>
      <c r="E8" s="30">
        <v>1987</v>
      </c>
      <c r="F8" s="5" t="s">
        <v>309</v>
      </c>
      <c r="G8" s="5">
        <v>1</v>
      </c>
      <c r="H8" s="5" t="s">
        <v>578</v>
      </c>
      <c r="I8" s="6"/>
      <c r="J8" s="7"/>
      <c r="K8" s="7" t="s">
        <v>579</v>
      </c>
      <c r="L8" s="5" t="s">
        <v>580</v>
      </c>
      <c r="M8" s="5"/>
      <c r="N8" s="5">
        <v>21190</v>
      </c>
      <c r="O8" s="5" t="s">
        <v>280</v>
      </c>
      <c r="P8" s="5"/>
      <c r="Q8" s="5"/>
      <c r="R8" s="5"/>
      <c r="S8" s="5"/>
      <c r="T8" s="31">
        <f t="shared" si="1"/>
        <v>1</v>
      </c>
      <c r="U8" s="31" t="str">
        <f t="shared" si="2"/>
        <v>1.jpg</v>
      </c>
      <c r="V8" s="32" t="str">
        <f t="shared" si="3"/>
        <v>1.jpg</v>
      </c>
      <c r="X8" s="33" t="b">
        <f>IF(Bdd_cave!$R$3="Toutes les regions",TRUE,Bdd_cave!$R$3=B8)</f>
        <v>0</v>
      </c>
      <c r="Y8" s="33" t="b">
        <f>IF(Bdd_cave!$S$3="Toutes les années",TRUE,Bdd_cave!$S$3=E8)</f>
        <v>1</v>
      </c>
      <c r="Z8" s="27" t="b">
        <f>IF(Bdd_cave!$T$3="Toutes les couleurs",TRUE,Bdd_cave!$T$3=F8)</f>
        <v>0</v>
      </c>
      <c r="AA8" s="33" t="b">
        <f>IF(Bdd_cave!$U$3="Tous les casiers ",TRUE,Bdd_cave!$U$3=H8)</f>
        <v>0</v>
      </c>
      <c r="AB8" s="27" t="b">
        <f t="shared" si="4"/>
        <v>0</v>
      </c>
      <c r="AD8" s="27" t="str">
        <f>IF(AB8,ROWS($AB$7:AB8),"")</f>
        <v/>
      </c>
      <c r="AE8" s="27" t="str">
        <f>IFERROR(SMALL($AD$7:$AD$297,ROWS(AD$7:$AD8)),"")</f>
        <v/>
      </c>
    </row>
    <row r="9" spans="1:37" x14ac:dyDescent="0.25">
      <c r="A9" s="27" t="str">
        <f t="shared" si="5"/>
        <v>COTES DU JURA  1993</v>
      </c>
      <c r="B9" s="5" t="s">
        <v>22</v>
      </c>
      <c r="C9" s="30" t="s">
        <v>62</v>
      </c>
      <c r="D9" s="30"/>
      <c r="E9" s="30">
        <v>1993</v>
      </c>
      <c r="F9" s="5" t="s">
        <v>309</v>
      </c>
      <c r="G9" s="5">
        <v>1</v>
      </c>
      <c r="H9" s="5" t="s">
        <v>578</v>
      </c>
      <c r="I9" s="6"/>
      <c r="J9" s="7"/>
      <c r="K9" s="7"/>
      <c r="L9" s="5" t="s">
        <v>581</v>
      </c>
      <c r="M9" s="5"/>
      <c r="N9" s="5"/>
      <c r="O9" s="5" t="s">
        <v>582</v>
      </c>
      <c r="P9" s="5"/>
      <c r="Q9" s="5"/>
      <c r="R9" s="5"/>
      <c r="S9" s="5"/>
      <c r="T9" s="31">
        <f t="shared" si="1"/>
        <v>2</v>
      </c>
      <c r="U9" s="31" t="str">
        <f t="shared" si="2"/>
        <v>2.jpg</v>
      </c>
      <c r="V9" s="32" t="str">
        <f t="shared" si="3"/>
        <v>2.jpg</v>
      </c>
      <c r="X9" s="33" t="b">
        <f>IF(Bdd_cave!$R$3="Toutes les regions",TRUE,Bdd_cave!$R$3=B9)</f>
        <v>0</v>
      </c>
      <c r="Y9" s="33" t="b">
        <f>IF(Bdd_cave!$S$3="Toutes les années",TRUE,Bdd_cave!$S$3=E9)</f>
        <v>1</v>
      </c>
      <c r="Z9" s="27" t="b">
        <f>IF(Bdd_cave!$T$3="Toutes les couleurs",TRUE,Bdd_cave!$T$3=F9)</f>
        <v>0</v>
      </c>
      <c r="AA9" s="33" t="b">
        <f>IF(Bdd_cave!$U$3="Tous les casiers ",TRUE,Bdd_cave!$U$3=H9)</f>
        <v>0</v>
      </c>
      <c r="AB9" s="27" t="b">
        <f t="shared" si="4"/>
        <v>0</v>
      </c>
      <c r="AD9" s="27" t="str">
        <f>IF(AB9,ROWS($AB$7:AB9),"")</f>
        <v/>
      </c>
      <c r="AE9" s="27" t="str">
        <f>IFERROR(SMALL($AD$7:$AD$297,ROWS(AD$7:$AD9)),"")</f>
        <v/>
      </c>
    </row>
    <row r="10" spans="1:37" x14ac:dyDescent="0.25">
      <c r="A10" s="27" t="str">
        <f t="shared" si="5"/>
        <v>VOLNAY  1993</v>
      </c>
      <c r="B10" s="5" t="s">
        <v>15</v>
      </c>
      <c r="C10" s="30" t="s">
        <v>305</v>
      </c>
      <c r="D10" s="30"/>
      <c r="E10" s="30">
        <v>1993</v>
      </c>
      <c r="F10" s="5" t="s">
        <v>308</v>
      </c>
      <c r="G10" s="5">
        <v>1</v>
      </c>
      <c r="H10" s="5" t="s">
        <v>578</v>
      </c>
      <c r="I10" s="6"/>
      <c r="J10" s="7"/>
      <c r="K10" s="7"/>
      <c r="L10" s="5" t="s">
        <v>583</v>
      </c>
      <c r="M10" s="5"/>
      <c r="N10" s="5"/>
      <c r="O10" s="5" t="s">
        <v>305</v>
      </c>
      <c r="P10" s="5"/>
      <c r="Q10" s="5"/>
      <c r="R10" s="5"/>
      <c r="S10" s="5"/>
      <c r="T10" s="31">
        <f t="shared" si="1"/>
        <v>3</v>
      </c>
      <c r="U10" s="31" t="str">
        <f t="shared" si="2"/>
        <v>3.jpg</v>
      </c>
      <c r="V10" s="32" t="str">
        <f t="shared" si="3"/>
        <v>3.jpg</v>
      </c>
      <c r="X10" s="33" t="b">
        <f>IF(Bdd_cave!$R$3="Toutes les regions",TRUE,Bdd_cave!$R$3=B10)</f>
        <v>0</v>
      </c>
      <c r="Y10" s="33" t="b">
        <f>IF(Bdd_cave!$S$3="Toutes les années",TRUE,Bdd_cave!$S$3=E10)</f>
        <v>1</v>
      </c>
      <c r="Z10" s="27" t="b">
        <f>IF(Bdd_cave!$T$3="Toutes les couleurs",TRUE,Bdd_cave!$T$3=F10)</f>
        <v>0</v>
      </c>
      <c r="AA10" s="33" t="b">
        <f>IF(Bdd_cave!$U$3="Tous les casiers ",TRUE,Bdd_cave!$U$3=H10)</f>
        <v>0</v>
      </c>
      <c r="AB10" s="27" t="b">
        <f t="shared" si="4"/>
        <v>0</v>
      </c>
      <c r="AD10" s="27" t="str">
        <f>IF(AB10,ROWS($AB$7:AB10),"")</f>
        <v/>
      </c>
      <c r="AE10" s="27" t="str">
        <f>IFERROR(SMALL($AD$7:$AD$297,ROWS(AD$7:$AD10)),"")</f>
        <v/>
      </c>
    </row>
    <row r="11" spans="1:37" x14ac:dyDescent="0.25">
      <c r="A11" s="27" t="str">
        <f t="shared" si="5"/>
        <v>PERNAND-VERGELESSES  1994</v>
      </c>
      <c r="B11" s="5" t="s">
        <v>15</v>
      </c>
      <c r="C11" s="30" t="s">
        <v>286</v>
      </c>
      <c r="D11" s="30"/>
      <c r="E11" s="30">
        <v>1994</v>
      </c>
      <c r="F11" s="5" t="s">
        <v>308</v>
      </c>
      <c r="G11" s="5">
        <v>2</v>
      </c>
      <c r="H11" s="5" t="s">
        <v>578</v>
      </c>
      <c r="I11" s="6"/>
      <c r="J11" s="7"/>
      <c r="K11" s="7"/>
      <c r="L11" s="5" t="s">
        <v>584</v>
      </c>
      <c r="M11" s="5"/>
      <c r="N11" s="5"/>
      <c r="O11" s="5" t="s">
        <v>585</v>
      </c>
      <c r="P11" s="5"/>
      <c r="Q11" s="5"/>
      <c r="R11" s="5"/>
      <c r="S11" s="5"/>
      <c r="T11" s="31">
        <f t="shared" si="1"/>
        <v>4</v>
      </c>
      <c r="U11" s="31" t="str">
        <f t="shared" si="2"/>
        <v>4.jpg</v>
      </c>
      <c r="V11" s="32" t="str">
        <f t="shared" si="3"/>
        <v>4.jpg</v>
      </c>
      <c r="X11" s="33" t="b">
        <f>IF(Bdd_cave!$R$3="Toutes les regions",TRUE,Bdd_cave!$R$3=B11)</f>
        <v>0</v>
      </c>
      <c r="Y11" s="33" t="b">
        <f>IF(Bdd_cave!$S$3="Toutes les années",TRUE,Bdd_cave!$S$3=E11)</f>
        <v>1</v>
      </c>
      <c r="Z11" s="27" t="b">
        <f>IF(Bdd_cave!$T$3="Toutes les couleurs",TRUE,Bdd_cave!$T$3=F11)</f>
        <v>0</v>
      </c>
      <c r="AA11" s="33" t="b">
        <f>IF(Bdd_cave!$U$3="Tous les casiers ",TRUE,Bdd_cave!$U$3=H11)</f>
        <v>0</v>
      </c>
      <c r="AB11" s="27" t="b">
        <f t="shared" si="4"/>
        <v>0</v>
      </c>
      <c r="AD11" s="27" t="str">
        <f>IF(AB11,ROWS($AB$7:AB11),"")</f>
        <v/>
      </c>
      <c r="AE11" s="27" t="str">
        <f>IFERROR(SMALL($AD$7:$AD$297,ROWS(AD$7:$AD11)),"")</f>
        <v/>
      </c>
    </row>
    <row r="12" spans="1:37" x14ac:dyDescent="0.25">
      <c r="A12" s="27" t="str">
        <f t="shared" si="5"/>
        <v>BOURGOGNE  1994</v>
      </c>
      <c r="B12" s="5" t="s">
        <v>15</v>
      </c>
      <c r="C12" s="30" t="s">
        <v>15</v>
      </c>
      <c r="D12" s="30"/>
      <c r="E12" s="30">
        <v>1994</v>
      </c>
      <c r="F12" s="5" t="s">
        <v>308</v>
      </c>
      <c r="G12" s="5">
        <v>1</v>
      </c>
      <c r="H12" s="5" t="s">
        <v>578</v>
      </c>
      <c r="I12" s="6"/>
      <c r="J12" s="7"/>
      <c r="K12" s="7"/>
      <c r="L12" s="5" t="s">
        <v>583</v>
      </c>
      <c r="M12" s="5"/>
      <c r="N12" s="5"/>
      <c r="O12" s="5" t="s">
        <v>305</v>
      </c>
      <c r="P12" s="5"/>
      <c r="Q12" s="5"/>
      <c r="R12" s="5"/>
      <c r="S12" s="5"/>
      <c r="T12" s="31">
        <f t="shared" si="1"/>
        <v>5</v>
      </c>
      <c r="U12" s="31" t="str">
        <f t="shared" si="2"/>
        <v>5.jpg</v>
      </c>
      <c r="V12" s="32" t="str">
        <f t="shared" si="3"/>
        <v>5.jpg</v>
      </c>
      <c r="X12" s="33" t="b">
        <f>IF(Bdd_cave!$R$3="Toutes les regions",TRUE,Bdd_cave!$R$3=B12)</f>
        <v>0</v>
      </c>
      <c r="Y12" s="33" t="b">
        <f>IF(Bdd_cave!$S$3="Toutes les années",TRUE,Bdd_cave!$S$3=E12)</f>
        <v>1</v>
      </c>
      <c r="Z12" s="27" t="b">
        <f>IF(Bdd_cave!$T$3="Toutes les couleurs",TRUE,Bdd_cave!$T$3=F12)</f>
        <v>0</v>
      </c>
      <c r="AA12" s="33" t="b">
        <f>IF(Bdd_cave!$U$3="Tous les casiers ",TRUE,Bdd_cave!$U$3=H12)</f>
        <v>0</v>
      </c>
      <c r="AB12" s="27" t="b">
        <f t="shared" si="4"/>
        <v>0</v>
      </c>
      <c r="AD12" s="27" t="str">
        <f>IF(AB12,ROWS($AB$7:AB12),"")</f>
        <v/>
      </c>
      <c r="AE12" s="27" t="str">
        <f>IFERROR(SMALL($AD$7:$AD$297,ROWS(AD$7:$AD12)),"")</f>
        <v/>
      </c>
    </row>
    <row r="13" spans="1:37" x14ac:dyDescent="0.25">
      <c r="A13" s="27" t="str">
        <f t="shared" si="5"/>
        <v>HAUTES-COTES DE NUITS  1994</v>
      </c>
      <c r="B13" s="5" t="s">
        <v>15</v>
      </c>
      <c r="C13" s="30" t="s">
        <v>156</v>
      </c>
      <c r="D13" s="30"/>
      <c r="E13" s="30">
        <v>1994</v>
      </c>
      <c r="F13" s="5" t="s">
        <v>309</v>
      </c>
      <c r="G13" s="5">
        <v>1</v>
      </c>
      <c r="H13" s="5" t="s">
        <v>578</v>
      </c>
      <c r="I13" s="6"/>
      <c r="J13" s="7"/>
      <c r="K13" s="7" t="s">
        <v>586</v>
      </c>
      <c r="L13" s="5" t="s">
        <v>587</v>
      </c>
      <c r="M13" s="5"/>
      <c r="N13" s="5"/>
      <c r="O13" s="5" t="s">
        <v>588</v>
      </c>
      <c r="P13" s="5"/>
      <c r="Q13" s="5"/>
      <c r="R13" s="5"/>
      <c r="S13" s="5"/>
      <c r="T13" s="31">
        <f t="shared" si="1"/>
        <v>6</v>
      </c>
      <c r="U13" s="31" t="str">
        <f t="shared" si="2"/>
        <v>6.jpg</v>
      </c>
      <c r="V13" s="32" t="str">
        <f t="shared" si="3"/>
        <v>6.jpg</v>
      </c>
      <c r="X13" s="33" t="b">
        <f>IF(Bdd_cave!$R$3="Toutes les regions",TRUE,Bdd_cave!$R$3=B13)</f>
        <v>0</v>
      </c>
      <c r="Y13" s="33" t="b">
        <f>IF(Bdd_cave!$S$3="Toutes les années",TRUE,Bdd_cave!$S$3=E13)</f>
        <v>1</v>
      </c>
      <c r="Z13" s="27" t="b">
        <f>IF(Bdd_cave!$T$3="Toutes les couleurs",TRUE,Bdd_cave!$T$3=F13)</f>
        <v>0</v>
      </c>
      <c r="AA13" s="33" t="b">
        <f>IF(Bdd_cave!$U$3="Tous les casiers ",TRUE,Bdd_cave!$U$3=H13)</f>
        <v>0</v>
      </c>
      <c r="AB13" s="27" t="b">
        <f t="shared" si="4"/>
        <v>0</v>
      </c>
      <c r="AD13" s="27" t="str">
        <f>IF(AB13,ROWS($AB$7:AB13),"")</f>
        <v/>
      </c>
      <c r="AE13" s="27" t="str">
        <f>IFERROR(SMALL($AD$7:$AD$297,ROWS(AD$7:$AD13)),"")</f>
        <v/>
      </c>
    </row>
    <row r="14" spans="1:37" x14ac:dyDescent="0.25">
      <c r="A14" s="27" t="str">
        <f t="shared" si="5"/>
        <v>CHOREY-LES-BEAUNE  1994</v>
      </c>
      <c r="B14" s="5" t="s">
        <v>15</v>
      </c>
      <c r="C14" s="30" t="s">
        <v>226</v>
      </c>
      <c r="D14" s="30"/>
      <c r="E14" s="30">
        <v>1994</v>
      </c>
      <c r="F14" s="5" t="s">
        <v>308</v>
      </c>
      <c r="G14" s="5">
        <v>1</v>
      </c>
      <c r="H14" s="5" t="s">
        <v>578</v>
      </c>
      <c r="I14" s="6"/>
      <c r="J14" s="7"/>
      <c r="K14" s="7"/>
      <c r="L14" s="5" t="s">
        <v>584</v>
      </c>
      <c r="M14" s="5"/>
      <c r="N14" s="5"/>
      <c r="O14" s="5" t="s">
        <v>363</v>
      </c>
      <c r="P14" s="5"/>
      <c r="Q14" s="5"/>
      <c r="R14" s="5"/>
      <c r="S14" s="5"/>
      <c r="T14" s="31">
        <f t="shared" si="1"/>
        <v>7</v>
      </c>
      <c r="U14" s="31" t="str">
        <f t="shared" si="2"/>
        <v>7.jpg</v>
      </c>
      <c r="V14" s="32" t="str">
        <f t="shared" si="3"/>
        <v>7.jpg</v>
      </c>
      <c r="X14" s="33" t="b">
        <f>IF(Bdd_cave!$R$3="Toutes les regions",TRUE,Bdd_cave!$R$3=B14)</f>
        <v>0</v>
      </c>
      <c r="Y14" s="33" t="b">
        <f>IF(Bdd_cave!$S$3="Toutes les années",TRUE,Bdd_cave!$S$3=E14)</f>
        <v>1</v>
      </c>
      <c r="Z14" s="27" t="b">
        <f>IF(Bdd_cave!$T$3="Toutes les couleurs",TRUE,Bdd_cave!$T$3=F14)</f>
        <v>0</v>
      </c>
      <c r="AA14" s="33" t="b">
        <f>IF(Bdd_cave!$U$3="Tous les casiers ",TRUE,Bdd_cave!$U$3=H14)</f>
        <v>0</v>
      </c>
      <c r="AB14" s="27" t="b">
        <f t="shared" si="4"/>
        <v>0</v>
      </c>
      <c r="AD14" s="27" t="str">
        <f>IF(AB14,ROWS($AB$7:AB14),"")</f>
        <v/>
      </c>
      <c r="AE14" s="27" t="str">
        <f>IFERROR(SMALL($AD$7:$AD$297,ROWS(AD$7:$AD14)),"")</f>
        <v/>
      </c>
    </row>
    <row r="15" spans="1:37" x14ac:dyDescent="0.25">
      <c r="A15" s="27" t="str">
        <f t="shared" si="5"/>
        <v>PINOT NOIR  1994</v>
      </c>
      <c r="B15" s="5" t="s">
        <v>18</v>
      </c>
      <c r="C15" s="30" t="s">
        <v>325</v>
      </c>
      <c r="D15" s="30"/>
      <c r="E15" s="30">
        <v>1994</v>
      </c>
      <c r="F15" s="5" t="s">
        <v>308</v>
      </c>
      <c r="G15" s="5">
        <v>1</v>
      </c>
      <c r="H15" s="5" t="s">
        <v>578</v>
      </c>
      <c r="I15" s="6"/>
      <c r="J15" s="7"/>
      <c r="K15" s="7" t="s">
        <v>589</v>
      </c>
      <c r="L15" s="5"/>
      <c r="M15" s="5"/>
      <c r="N15" s="5"/>
      <c r="O15" s="5"/>
      <c r="P15" s="5"/>
      <c r="Q15" s="5"/>
      <c r="R15" s="5"/>
      <c r="S15" s="5"/>
      <c r="T15" s="31">
        <f t="shared" si="1"/>
        <v>8</v>
      </c>
      <c r="U15" s="31" t="str">
        <f t="shared" si="2"/>
        <v>8.jpg</v>
      </c>
      <c r="V15" s="32" t="str">
        <f t="shared" si="3"/>
        <v>8.jpg</v>
      </c>
      <c r="X15" s="33" t="b">
        <f>IF(Bdd_cave!$R$3="Toutes les regions",TRUE,Bdd_cave!$R$3=B15)</f>
        <v>0</v>
      </c>
      <c r="Y15" s="33" t="b">
        <f>IF(Bdd_cave!$S$3="Toutes les années",TRUE,Bdd_cave!$S$3=E15)</f>
        <v>1</v>
      </c>
      <c r="Z15" s="27" t="b">
        <f>IF(Bdd_cave!$T$3="Toutes les couleurs",TRUE,Bdd_cave!$T$3=F15)</f>
        <v>0</v>
      </c>
      <c r="AA15" s="33" t="b">
        <f>IF(Bdd_cave!$U$3="Tous les casiers ",TRUE,Bdd_cave!$U$3=H15)</f>
        <v>0</v>
      </c>
      <c r="AB15" s="27" t="b">
        <f t="shared" si="4"/>
        <v>0</v>
      </c>
      <c r="AD15" s="27" t="str">
        <f>IF(AB15,ROWS($AB$7:AB15),"")</f>
        <v/>
      </c>
      <c r="AE15" s="27" t="str">
        <f>IFERROR(SMALL($AD$7:$AD$297,ROWS(AD$7:$AD15)),"")</f>
        <v/>
      </c>
    </row>
    <row r="16" spans="1:37" x14ac:dyDescent="0.25">
      <c r="A16" s="27" t="str">
        <f t="shared" si="5"/>
        <v>CHABLIS 1 er Cru 1995</v>
      </c>
      <c r="B16" s="5" t="s">
        <v>15</v>
      </c>
      <c r="C16" s="30" t="s">
        <v>196</v>
      </c>
      <c r="D16" s="30" t="s">
        <v>312</v>
      </c>
      <c r="E16" s="30">
        <v>1995</v>
      </c>
      <c r="F16" s="5" t="s">
        <v>309</v>
      </c>
      <c r="G16" s="5">
        <v>1</v>
      </c>
      <c r="H16" s="5" t="s">
        <v>578</v>
      </c>
      <c r="I16" s="6"/>
      <c r="J16" s="7"/>
      <c r="K16" s="7" t="s">
        <v>590</v>
      </c>
      <c r="L16" s="5"/>
      <c r="M16" s="5"/>
      <c r="N16" s="5"/>
      <c r="O16" s="5"/>
      <c r="P16" s="5"/>
      <c r="Q16" s="5"/>
      <c r="R16" s="5"/>
      <c r="S16" s="5"/>
      <c r="T16" s="31">
        <f t="shared" si="1"/>
        <v>9</v>
      </c>
      <c r="U16" s="31" t="str">
        <f t="shared" si="2"/>
        <v>9.jpg</v>
      </c>
      <c r="V16" s="32" t="str">
        <f t="shared" si="3"/>
        <v>9.jpg</v>
      </c>
      <c r="X16" s="33" t="b">
        <f>IF(Bdd_cave!$R$3="Toutes les regions",TRUE,Bdd_cave!$R$3=B16)</f>
        <v>0</v>
      </c>
      <c r="Y16" s="33" t="b">
        <f>IF(Bdd_cave!$S$3="Toutes les années",TRUE,Bdd_cave!$S$3=E16)</f>
        <v>1</v>
      </c>
      <c r="Z16" s="27" t="b">
        <f>IF(Bdd_cave!$T$3="Toutes les couleurs",TRUE,Bdd_cave!$T$3=F16)</f>
        <v>0</v>
      </c>
      <c r="AA16" s="33" t="b">
        <f>IF(Bdd_cave!$U$3="Tous les casiers ",TRUE,Bdd_cave!$U$3=H16)</f>
        <v>0</v>
      </c>
      <c r="AB16" s="27" t="b">
        <f t="shared" si="4"/>
        <v>0</v>
      </c>
      <c r="AD16" s="27" t="str">
        <f>IF(AB16,ROWS($AB$7:AB16),"")</f>
        <v/>
      </c>
      <c r="AE16" s="27" t="str">
        <f>IFERROR(SMALL($AD$7:$AD$297,ROWS(AD$7:$AD16)),"")</f>
        <v/>
      </c>
    </row>
    <row r="17" spans="1:31" x14ac:dyDescent="0.25">
      <c r="A17" s="27" t="str">
        <f t="shared" si="5"/>
        <v>POMMARD 1 er Cru 1996</v>
      </c>
      <c r="B17" s="5" t="s">
        <v>15</v>
      </c>
      <c r="C17" s="30" t="s">
        <v>288</v>
      </c>
      <c r="D17" s="30" t="s">
        <v>312</v>
      </c>
      <c r="E17" s="30">
        <v>1996</v>
      </c>
      <c r="F17" s="5" t="s">
        <v>308</v>
      </c>
      <c r="G17" s="5">
        <v>1</v>
      </c>
      <c r="H17" s="5" t="s">
        <v>578</v>
      </c>
      <c r="I17" s="6"/>
      <c r="J17" s="7"/>
      <c r="K17" s="7" t="s">
        <v>591</v>
      </c>
      <c r="L17" s="5" t="s">
        <v>592</v>
      </c>
      <c r="M17" s="5"/>
      <c r="N17" s="5"/>
      <c r="O17" s="5" t="s">
        <v>305</v>
      </c>
      <c r="P17" s="5"/>
      <c r="Q17" s="5"/>
      <c r="R17" s="5"/>
      <c r="S17" s="5"/>
      <c r="T17" s="31">
        <f t="shared" si="1"/>
        <v>10</v>
      </c>
      <c r="U17" s="31" t="str">
        <f t="shared" si="2"/>
        <v>10.jpg</v>
      </c>
      <c r="V17" s="32" t="str">
        <f t="shared" si="3"/>
        <v>10.jpg</v>
      </c>
      <c r="X17" s="33" t="b">
        <f>IF(Bdd_cave!$R$3="Toutes les regions",TRUE,Bdd_cave!$R$3=B17)</f>
        <v>0</v>
      </c>
      <c r="Y17" s="33" t="b">
        <f>IF(Bdd_cave!$S$3="Toutes les années",TRUE,Bdd_cave!$S$3=E17)</f>
        <v>1</v>
      </c>
      <c r="Z17" s="27" t="b">
        <f>IF(Bdd_cave!$T$3="Toutes les couleurs",TRUE,Bdd_cave!$T$3=F17)</f>
        <v>0</v>
      </c>
      <c r="AA17" s="33" t="b">
        <f>IF(Bdd_cave!$U$3="Tous les casiers ",TRUE,Bdd_cave!$U$3=H17)</f>
        <v>0</v>
      </c>
      <c r="AB17" s="27" t="b">
        <f t="shared" si="4"/>
        <v>0</v>
      </c>
      <c r="AD17" s="27" t="str">
        <f>IF(AB17,ROWS($AB$7:AB17),"")</f>
        <v/>
      </c>
      <c r="AE17" s="27" t="str">
        <f>IFERROR(SMALL($AD$7:$AD$297,ROWS(AD$7:$AD17)),"")</f>
        <v/>
      </c>
    </row>
    <row r="18" spans="1:31" x14ac:dyDescent="0.25">
      <c r="A18" s="27" t="str">
        <f t="shared" si="5"/>
        <v>PERNAND-VERGELESSES  1997</v>
      </c>
      <c r="B18" s="5" t="s">
        <v>15</v>
      </c>
      <c r="C18" s="30" t="s">
        <v>286</v>
      </c>
      <c r="D18" s="30"/>
      <c r="E18" s="30">
        <v>1997</v>
      </c>
      <c r="F18" s="5" t="s">
        <v>308</v>
      </c>
      <c r="G18" s="5">
        <v>1</v>
      </c>
      <c r="H18" s="5" t="s">
        <v>578</v>
      </c>
      <c r="I18" s="6"/>
      <c r="J18" s="7"/>
      <c r="K18" s="7" t="s">
        <v>593</v>
      </c>
      <c r="L18" s="5" t="s">
        <v>594</v>
      </c>
      <c r="M18" s="5"/>
      <c r="N18" s="5"/>
      <c r="O18" s="5" t="s">
        <v>595</v>
      </c>
      <c r="P18" s="5"/>
      <c r="Q18" s="5"/>
      <c r="R18" s="5"/>
      <c r="S18" s="5"/>
      <c r="T18" s="31">
        <f t="shared" si="1"/>
        <v>11</v>
      </c>
      <c r="U18" s="31" t="str">
        <f t="shared" si="2"/>
        <v>11.jpg</v>
      </c>
      <c r="V18" s="32" t="str">
        <f t="shared" si="3"/>
        <v>11.jpg</v>
      </c>
      <c r="X18" s="33" t="b">
        <f>IF(Bdd_cave!$R$3="Toutes les regions",TRUE,Bdd_cave!$R$3=B18)</f>
        <v>0</v>
      </c>
      <c r="Y18" s="33" t="b">
        <f>IF(Bdd_cave!$S$3="Toutes les années",TRUE,Bdd_cave!$S$3=E18)</f>
        <v>1</v>
      </c>
      <c r="Z18" s="27" t="b">
        <f>IF(Bdd_cave!$T$3="Toutes les couleurs",TRUE,Bdd_cave!$T$3=F18)</f>
        <v>0</v>
      </c>
      <c r="AA18" s="33" t="b">
        <f>IF(Bdd_cave!$U$3="Tous les casiers ",TRUE,Bdd_cave!$U$3=H18)</f>
        <v>0</v>
      </c>
      <c r="AB18" s="27" t="b">
        <f t="shared" si="4"/>
        <v>0</v>
      </c>
      <c r="AD18" s="27" t="str">
        <f>IF(AB18,ROWS($AB$7:AB18),"")</f>
        <v/>
      </c>
      <c r="AE18" s="27" t="str">
        <f>IFERROR(SMALL($AD$7:$AD$297,ROWS(AD$7:$AD18)),"")</f>
        <v/>
      </c>
    </row>
    <row r="19" spans="1:31" x14ac:dyDescent="0.25">
      <c r="A19" s="27" t="str">
        <f t="shared" si="5"/>
        <v>MONTAGNE SAINT-EMILION  1997</v>
      </c>
      <c r="B19" s="5" t="s">
        <v>16</v>
      </c>
      <c r="C19" s="30" t="s">
        <v>194</v>
      </c>
      <c r="D19" s="30"/>
      <c r="E19" s="30">
        <v>1997</v>
      </c>
      <c r="F19" s="5" t="s">
        <v>308</v>
      </c>
      <c r="G19" s="5">
        <v>1</v>
      </c>
      <c r="H19" s="5" t="s">
        <v>578</v>
      </c>
      <c r="I19" s="6"/>
      <c r="J19" s="7"/>
      <c r="K19" s="7"/>
      <c r="L19" s="5" t="s">
        <v>596</v>
      </c>
      <c r="M19" s="5"/>
      <c r="N19" s="5"/>
      <c r="O19" s="5" t="s">
        <v>597</v>
      </c>
      <c r="P19" s="5"/>
      <c r="Q19" s="5"/>
      <c r="R19" s="5"/>
      <c r="S19" s="5"/>
      <c r="T19" s="31">
        <f t="shared" si="1"/>
        <v>12</v>
      </c>
      <c r="U19" s="31" t="str">
        <f t="shared" si="2"/>
        <v>12.jpg</v>
      </c>
      <c r="V19" s="32" t="str">
        <f t="shared" si="3"/>
        <v>12.jpg</v>
      </c>
      <c r="X19" s="33" t="b">
        <f>IF(Bdd_cave!$R$3="Toutes les regions",TRUE,Bdd_cave!$R$3=B19)</f>
        <v>0</v>
      </c>
      <c r="Y19" s="33" t="b">
        <f>IF(Bdd_cave!$S$3="Toutes les années",TRUE,Bdd_cave!$S$3=E19)</f>
        <v>1</v>
      </c>
      <c r="Z19" s="27" t="b">
        <f>IF(Bdd_cave!$T$3="Toutes les couleurs",TRUE,Bdd_cave!$T$3=F19)</f>
        <v>0</v>
      </c>
      <c r="AA19" s="33" t="b">
        <f>IF(Bdd_cave!$U$3="Tous les casiers ",TRUE,Bdd_cave!$U$3=H19)</f>
        <v>0</v>
      </c>
      <c r="AB19" s="27" t="b">
        <f t="shared" si="4"/>
        <v>0</v>
      </c>
      <c r="AD19" s="27" t="str">
        <f>IF(AB19,ROWS($AB$7:AB19),"")</f>
        <v/>
      </c>
      <c r="AE19" s="27" t="str">
        <f>IFERROR(SMALL($AD$7:$AD$297,ROWS(AD$7:$AD19)),"")</f>
        <v/>
      </c>
    </row>
    <row r="20" spans="1:31" x14ac:dyDescent="0.25">
      <c r="A20" s="27" t="str">
        <f t="shared" si="5"/>
        <v>LES HAUTS D'ESTIAC  1997</v>
      </c>
      <c r="B20" s="5" t="s">
        <v>16</v>
      </c>
      <c r="C20" s="30" t="s">
        <v>530</v>
      </c>
      <c r="D20" s="30"/>
      <c r="E20" s="30">
        <v>1997</v>
      </c>
      <c r="F20" s="5" t="s">
        <v>309</v>
      </c>
      <c r="G20" s="5">
        <v>1</v>
      </c>
      <c r="H20" s="5" t="s">
        <v>529</v>
      </c>
      <c r="I20" s="6"/>
      <c r="J20" s="7"/>
      <c r="K20" s="7"/>
      <c r="L20" s="5"/>
      <c r="M20" s="5"/>
      <c r="N20" s="5"/>
      <c r="O20" s="5"/>
      <c r="P20" s="5"/>
      <c r="Q20" s="5"/>
      <c r="R20" s="5"/>
      <c r="S20" s="5"/>
      <c r="T20" s="23">
        <f t="shared" si="1"/>
        <v>13</v>
      </c>
      <c r="U20" s="23" t="str">
        <f t="shared" si="2"/>
        <v>13.jpg</v>
      </c>
      <c r="V20" s="24" t="str">
        <f t="shared" si="3"/>
        <v>13.jpg</v>
      </c>
      <c r="X20" s="33" t="b">
        <f>IF(Bdd_cave!$R$3="Toutes les regions",TRUE,Bdd_cave!$R$3=B20)</f>
        <v>0</v>
      </c>
      <c r="Y20" s="33" t="b">
        <f>IF(Bdd_cave!$S$3="Toutes les années",TRUE,Bdd_cave!$S$3=E20)</f>
        <v>1</v>
      </c>
      <c r="Z20" s="27" t="b">
        <f>IF(Bdd_cave!$T$3="Toutes les couleurs",TRUE,Bdd_cave!$T$3=F20)</f>
        <v>0</v>
      </c>
      <c r="AA20" s="33" t="b">
        <f>IF(Bdd_cave!$U$3="Tous les casiers ",TRUE,Bdd_cave!$U$3=H20)</f>
        <v>0</v>
      </c>
      <c r="AB20" s="27" t="b">
        <f t="shared" si="4"/>
        <v>0</v>
      </c>
      <c r="AD20" s="27" t="str">
        <f>IF(AB20,ROWS($AB$7:AB20),"")</f>
        <v/>
      </c>
      <c r="AE20" s="27" t="str">
        <f>IFERROR(SMALL($AD$7:$AD$297,ROWS(AD$7:$AD20)),"")</f>
        <v/>
      </c>
    </row>
    <row r="21" spans="1:31" x14ac:dyDescent="0.25">
      <c r="A21" s="27" t="str">
        <f t="shared" si="5"/>
        <v>MOREY-SAINT-DENIS  1998</v>
      </c>
      <c r="B21" s="5" t="s">
        <v>15</v>
      </c>
      <c r="C21" s="30" t="s">
        <v>284</v>
      </c>
      <c r="D21" s="30"/>
      <c r="E21" s="30">
        <v>1998</v>
      </c>
      <c r="F21" s="5" t="s">
        <v>308</v>
      </c>
      <c r="G21" s="5">
        <v>1</v>
      </c>
      <c r="H21" s="5" t="s">
        <v>364</v>
      </c>
      <c r="I21" s="6"/>
      <c r="J21" s="7"/>
      <c r="K21" s="7"/>
      <c r="L21" s="5" t="s">
        <v>598</v>
      </c>
      <c r="M21" s="5"/>
      <c r="N21" s="5"/>
      <c r="O21" s="5"/>
      <c r="P21" s="5"/>
      <c r="Q21" s="5"/>
      <c r="R21" s="5"/>
      <c r="S21" s="5"/>
      <c r="T21" s="31">
        <f t="shared" si="1"/>
        <v>14</v>
      </c>
      <c r="U21" s="31" t="str">
        <f t="shared" si="2"/>
        <v>14.jpg</v>
      </c>
      <c r="V21" s="32" t="str">
        <f t="shared" si="3"/>
        <v>14.jpg</v>
      </c>
      <c r="X21" s="33" t="b">
        <f>IF(Bdd_cave!$R$3="Toutes les regions",TRUE,Bdd_cave!$R$3=B21)</f>
        <v>0</v>
      </c>
      <c r="Y21" s="33" t="b">
        <f>IF(Bdd_cave!$S$3="Toutes les années",TRUE,Bdd_cave!$S$3=E21)</f>
        <v>1</v>
      </c>
      <c r="Z21" s="27" t="b">
        <f>IF(Bdd_cave!$T$3="Toutes les couleurs",TRUE,Bdd_cave!$T$3=F21)</f>
        <v>0</v>
      </c>
      <c r="AA21" s="33" t="b">
        <f>IF(Bdd_cave!$U$3="Tous les casiers ",TRUE,Bdd_cave!$U$3=H21)</f>
        <v>0</v>
      </c>
      <c r="AB21" s="27" t="b">
        <f t="shared" si="4"/>
        <v>0</v>
      </c>
      <c r="AD21" s="27" t="str">
        <f>IF(AB21,ROWS($AB$7:AB21),"")</f>
        <v/>
      </c>
      <c r="AE21" s="27" t="str">
        <f>IFERROR(SMALL($AD$7:$AD$297,ROWS(AD$7:$AD21)),"")</f>
        <v/>
      </c>
    </row>
    <row r="22" spans="1:31" x14ac:dyDescent="0.25">
      <c r="A22" s="27" t="str">
        <f t="shared" si="5"/>
        <v>BEAUNE 1 er Cru 1998</v>
      </c>
      <c r="B22" s="5" t="s">
        <v>15</v>
      </c>
      <c r="C22" s="30" t="s">
        <v>55</v>
      </c>
      <c r="D22" s="30" t="s">
        <v>312</v>
      </c>
      <c r="E22" s="30">
        <v>1998</v>
      </c>
      <c r="F22" s="5" t="s">
        <v>308</v>
      </c>
      <c r="G22" s="5">
        <v>1</v>
      </c>
      <c r="H22" s="5" t="s">
        <v>364</v>
      </c>
      <c r="I22" s="6"/>
      <c r="J22" s="7"/>
      <c r="K22" s="7" t="s">
        <v>599</v>
      </c>
      <c r="L22" s="5" t="s">
        <v>598</v>
      </c>
      <c r="M22" s="5"/>
      <c r="N22" s="5"/>
      <c r="O22" s="5"/>
      <c r="P22" s="5"/>
      <c r="Q22" s="5"/>
      <c r="R22" s="5"/>
      <c r="S22" s="5"/>
      <c r="T22" s="31">
        <f t="shared" si="1"/>
        <v>15</v>
      </c>
      <c r="U22" s="31" t="str">
        <f t="shared" si="2"/>
        <v>15.jpg</v>
      </c>
      <c r="V22" s="32" t="str">
        <f t="shared" si="3"/>
        <v>15.jpg</v>
      </c>
      <c r="X22" s="33" t="b">
        <f>IF(Bdd_cave!$R$3="Toutes les regions",TRUE,Bdd_cave!$R$3=B22)</f>
        <v>0</v>
      </c>
      <c r="Y22" s="33" t="b">
        <f>IF(Bdd_cave!$S$3="Toutes les années",TRUE,Bdd_cave!$S$3=E22)</f>
        <v>1</v>
      </c>
      <c r="Z22" s="27" t="b">
        <f>IF(Bdd_cave!$T$3="Toutes les couleurs",TRUE,Bdd_cave!$T$3=F22)</f>
        <v>0</v>
      </c>
      <c r="AA22" s="33" t="b">
        <f>IF(Bdd_cave!$U$3="Tous les casiers ",TRUE,Bdd_cave!$U$3=H22)</f>
        <v>0</v>
      </c>
      <c r="AB22" s="27" t="b">
        <f t="shared" si="4"/>
        <v>0</v>
      </c>
      <c r="AD22" s="27" t="str">
        <f>IF(AB22,ROWS($AB$7:AB22),"")</f>
        <v/>
      </c>
      <c r="AE22" s="27" t="str">
        <f>IFERROR(SMALL($AD$7:$AD$297,ROWS(AD$7:$AD22)),"")</f>
        <v/>
      </c>
    </row>
    <row r="23" spans="1:31" x14ac:dyDescent="0.25">
      <c r="A23" s="27" t="str">
        <f t="shared" si="5"/>
        <v>HAUTES-COTES DE BEAUNE  1998</v>
      </c>
      <c r="B23" s="5" t="s">
        <v>15</v>
      </c>
      <c r="C23" s="30" t="s">
        <v>162</v>
      </c>
      <c r="D23" s="30"/>
      <c r="E23" s="30">
        <v>1998</v>
      </c>
      <c r="F23" s="5" t="s">
        <v>308</v>
      </c>
      <c r="G23" s="5">
        <v>1</v>
      </c>
      <c r="H23" s="5" t="s">
        <v>364</v>
      </c>
      <c r="I23" s="6"/>
      <c r="J23" s="7"/>
      <c r="K23" s="7"/>
      <c r="L23" s="5" t="s">
        <v>600</v>
      </c>
      <c r="M23" s="5"/>
      <c r="N23" s="5">
        <v>21640</v>
      </c>
      <c r="O23" s="5" t="s">
        <v>307</v>
      </c>
      <c r="P23" s="5"/>
      <c r="Q23" s="5"/>
      <c r="R23" s="5"/>
      <c r="S23" s="5"/>
      <c r="T23" s="31">
        <f t="shared" si="1"/>
        <v>16</v>
      </c>
      <c r="U23" s="31" t="str">
        <f t="shared" si="2"/>
        <v>16.jpg</v>
      </c>
      <c r="V23" s="32" t="str">
        <f t="shared" si="3"/>
        <v>16.jpg</v>
      </c>
      <c r="X23" s="33" t="b">
        <f>IF(Bdd_cave!$R$3="Toutes les regions",TRUE,Bdd_cave!$R$3=B23)</f>
        <v>0</v>
      </c>
      <c r="Y23" s="33" t="b">
        <f>IF(Bdd_cave!$S$3="Toutes les années",TRUE,Bdd_cave!$S$3=E23)</f>
        <v>1</v>
      </c>
      <c r="Z23" s="27" t="b">
        <f>IF(Bdd_cave!$T$3="Toutes les couleurs",TRUE,Bdd_cave!$T$3=F23)</f>
        <v>0</v>
      </c>
      <c r="AA23" s="33" t="b">
        <f>IF(Bdd_cave!$U$3="Tous les casiers ",TRUE,Bdd_cave!$U$3=H23)</f>
        <v>0</v>
      </c>
      <c r="AB23" s="27" t="b">
        <f t="shared" si="4"/>
        <v>0</v>
      </c>
      <c r="AD23" s="27" t="str">
        <f>IF(AB23,ROWS($AB$7:AB23),"")</f>
        <v/>
      </c>
      <c r="AE23" s="27" t="str">
        <f>IFERROR(SMALL($AD$7:$AD$297,ROWS(AD$7:$AD23)),"")</f>
        <v/>
      </c>
    </row>
    <row r="24" spans="1:31" x14ac:dyDescent="0.25">
      <c r="A24" s="27" t="str">
        <f t="shared" si="5"/>
        <v>COTES DU JURA  1998</v>
      </c>
      <c r="B24" s="5" t="s">
        <v>22</v>
      </c>
      <c r="C24" s="30" t="s">
        <v>62</v>
      </c>
      <c r="D24" s="30"/>
      <c r="E24" s="30">
        <v>1998</v>
      </c>
      <c r="F24" s="5" t="s">
        <v>308</v>
      </c>
      <c r="G24" s="5">
        <v>1</v>
      </c>
      <c r="H24" s="5" t="s">
        <v>428</v>
      </c>
      <c r="I24" s="6"/>
      <c r="J24" s="7"/>
      <c r="K24" s="7"/>
      <c r="L24" s="5" t="s">
        <v>601</v>
      </c>
      <c r="M24" s="5"/>
      <c r="N24" s="5"/>
      <c r="O24" s="5"/>
      <c r="P24" s="5"/>
      <c r="Q24" s="5"/>
      <c r="R24" s="5"/>
      <c r="S24" s="5"/>
      <c r="T24" s="23">
        <f t="shared" si="1"/>
        <v>17</v>
      </c>
      <c r="U24" s="23" t="str">
        <f t="shared" si="2"/>
        <v>17.jpg</v>
      </c>
      <c r="V24" s="24" t="str">
        <f t="shared" si="3"/>
        <v>17.jpg</v>
      </c>
      <c r="X24" s="33" t="b">
        <f>IF(Bdd_cave!$R$3="Toutes les regions",TRUE,Bdd_cave!$R$3=B24)</f>
        <v>0</v>
      </c>
      <c r="Y24" s="33" t="b">
        <f>IF(Bdd_cave!$S$3="Toutes les années",TRUE,Bdd_cave!$S$3=E24)</f>
        <v>1</v>
      </c>
      <c r="Z24" s="27" t="b">
        <f>IF(Bdd_cave!$T$3="Toutes les couleurs",TRUE,Bdd_cave!$T$3=F24)</f>
        <v>0</v>
      </c>
      <c r="AA24" s="33" t="b">
        <f>IF(Bdd_cave!$U$3="Tous les casiers ",TRUE,Bdd_cave!$U$3=H24)</f>
        <v>0</v>
      </c>
      <c r="AB24" s="27" t="b">
        <f t="shared" si="4"/>
        <v>0</v>
      </c>
      <c r="AD24" s="27" t="str">
        <f>IF(AB24,ROWS($AB$7:AB24),"")</f>
        <v/>
      </c>
      <c r="AE24" s="27" t="str">
        <f>IFERROR(SMALL($AD$7:$AD$297,ROWS(AD$7:$AD24)),"")</f>
        <v/>
      </c>
    </row>
    <row r="25" spans="1:31" x14ac:dyDescent="0.25">
      <c r="A25" s="27" t="str">
        <f t="shared" si="5"/>
        <v>MARSANNAY  1999</v>
      </c>
      <c r="B25" s="5" t="s">
        <v>15</v>
      </c>
      <c r="C25" s="30" t="s">
        <v>276</v>
      </c>
      <c r="D25" s="30"/>
      <c r="E25" s="30">
        <v>1999</v>
      </c>
      <c r="F25" s="5" t="s">
        <v>308</v>
      </c>
      <c r="G25" s="5">
        <v>2</v>
      </c>
      <c r="H25" s="5" t="s">
        <v>602</v>
      </c>
      <c r="I25" s="6"/>
      <c r="J25" s="7"/>
      <c r="K25" s="7"/>
      <c r="L25" s="5" t="s">
        <v>603</v>
      </c>
      <c r="M25" s="5"/>
      <c r="N25" s="5">
        <v>21260</v>
      </c>
      <c r="O25" s="5" t="s">
        <v>276</v>
      </c>
      <c r="P25" s="5"/>
      <c r="Q25" s="5"/>
      <c r="R25" s="5"/>
      <c r="S25" s="5"/>
      <c r="T25" s="31">
        <f t="shared" si="1"/>
        <v>18</v>
      </c>
      <c r="U25" s="31" t="str">
        <f t="shared" si="2"/>
        <v>18.jpg</v>
      </c>
      <c r="V25" s="32" t="str">
        <f t="shared" si="3"/>
        <v>18.jpg</v>
      </c>
      <c r="X25" s="33" t="b">
        <f>IF(Bdd_cave!$R$3="Toutes les regions",TRUE,Bdd_cave!$R$3=B25)</f>
        <v>0</v>
      </c>
      <c r="Y25" s="33" t="b">
        <f>IF(Bdd_cave!$S$3="Toutes les années",TRUE,Bdd_cave!$S$3=E25)</f>
        <v>1</v>
      </c>
      <c r="Z25" s="27" t="b">
        <f>IF(Bdd_cave!$T$3="Toutes les couleurs",TRUE,Bdd_cave!$T$3=F25)</f>
        <v>0</v>
      </c>
      <c r="AA25" s="33" t="b">
        <f>IF(Bdd_cave!$U$3="Tous les casiers ",TRUE,Bdd_cave!$U$3=H25)</f>
        <v>0</v>
      </c>
      <c r="AB25" s="27" t="b">
        <f t="shared" si="4"/>
        <v>0</v>
      </c>
      <c r="AD25" s="27" t="str">
        <f>IF(AB25,ROWS($AB$7:AB25),"")</f>
        <v/>
      </c>
      <c r="AE25" s="27" t="str">
        <f>IFERROR(SMALL($AD$7:$AD$297,ROWS(AD$7:$AD25)),"")</f>
        <v/>
      </c>
    </row>
    <row r="26" spans="1:31" x14ac:dyDescent="0.25">
      <c r="A26" s="27" t="str">
        <f t="shared" si="5"/>
        <v>BEAUNE 1 er Cru 1999</v>
      </c>
      <c r="B26" s="5" t="s">
        <v>15</v>
      </c>
      <c r="C26" s="30" t="s">
        <v>55</v>
      </c>
      <c r="D26" s="30" t="s">
        <v>312</v>
      </c>
      <c r="E26" s="30">
        <v>1999</v>
      </c>
      <c r="F26" s="5" t="s">
        <v>308</v>
      </c>
      <c r="G26" s="5">
        <v>2</v>
      </c>
      <c r="H26" s="5" t="s">
        <v>364</v>
      </c>
      <c r="I26" s="6"/>
      <c r="J26" s="7"/>
      <c r="K26" s="7"/>
      <c r="L26" s="5" t="s">
        <v>604</v>
      </c>
      <c r="M26" s="5"/>
      <c r="N26" s="5">
        <v>21630</v>
      </c>
      <c r="O26" s="5" t="s">
        <v>288</v>
      </c>
      <c r="P26" s="5"/>
      <c r="Q26" s="5"/>
      <c r="R26" s="5"/>
      <c r="S26" s="5"/>
      <c r="T26" s="31">
        <f t="shared" si="1"/>
        <v>19</v>
      </c>
      <c r="U26" s="31" t="str">
        <f t="shared" si="2"/>
        <v>19.jpg</v>
      </c>
      <c r="V26" s="32" t="str">
        <f t="shared" si="3"/>
        <v>19.jpg</v>
      </c>
      <c r="X26" s="33" t="b">
        <f>IF(Bdd_cave!$R$3="Toutes les regions",TRUE,Bdd_cave!$R$3=B26)</f>
        <v>0</v>
      </c>
      <c r="Y26" s="33" t="b">
        <f>IF(Bdd_cave!$S$3="Toutes les années",TRUE,Bdd_cave!$S$3=E26)</f>
        <v>1</v>
      </c>
      <c r="Z26" s="27" t="b">
        <f>IF(Bdd_cave!$T$3="Toutes les couleurs",TRUE,Bdd_cave!$T$3=F26)</f>
        <v>0</v>
      </c>
      <c r="AA26" s="33" t="b">
        <f>IF(Bdd_cave!$U$3="Tous les casiers ",TRUE,Bdd_cave!$U$3=H26)</f>
        <v>0</v>
      </c>
      <c r="AB26" s="27" t="b">
        <f t="shared" si="4"/>
        <v>0</v>
      </c>
      <c r="AD26" s="27" t="str">
        <f>IF(AB26,ROWS($AB$7:AB26),"")</f>
        <v/>
      </c>
      <c r="AE26" s="27" t="str">
        <f>IFERROR(SMALL($AD$7:$AD$297,ROWS(AD$7:$AD26)),"")</f>
        <v/>
      </c>
    </row>
    <row r="27" spans="1:31" x14ac:dyDescent="0.25">
      <c r="A27" s="27" t="str">
        <f t="shared" si="5"/>
        <v>MARANGES 1 er Cru 1999</v>
      </c>
      <c r="B27" s="5" t="s">
        <v>15</v>
      </c>
      <c r="C27" s="30" t="s">
        <v>275</v>
      </c>
      <c r="D27" s="30" t="s">
        <v>312</v>
      </c>
      <c r="E27" s="30">
        <v>1999</v>
      </c>
      <c r="F27" s="5" t="s">
        <v>308</v>
      </c>
      <c r="G27" s="5">
        <v>1</v>
      </c>
      <c r="H27" s="5" t="s">
        <v>364</v>
      </c>
      <c r="I27" s="6"/>
      <c r="J27" s="7"/>
      <c r="K27" s="7" t="s">
        <v>605</v>
      </c>
      <c r="L27" s="5" t="s">
        <v>606</v>
      </c>
      <c r="M27" s="5"/>
      <c r="N27" s="5">
        <v>71510</v>
      </c>
      <c r="O27" s="5" t="s">
        <v>607</v>
      </c>
      <c r="P27" s="5"/>
      <c r="Q27" s="5"/>
      <c r="R27" s="5"/>
      <c r="S27" s="5"/>
      <c r="T27" s="31">
        <f t="shared" si="1"/>
        <v>20</v>
      </c>
      <c r="U27" s="31" t="str">
        <f t="shared" si="2"/>
        <v>20.jpg</v>
      </c>
      <c r="V27" s="32" t="str">
        <f t="shared" si="3"/>
        <v>20.jpg</v>
      </c>
      <c r="X27" s="33" t="b">
        <f>IF(Bdd_cave!$R$3="Toutes les regions",TRUE,Bdd_cave!$R$3=B27)</f>
        <v>0</v>
      </c>
      <c r="Y27" s="33" t="b">
        <f>IF(Bdd_cave!$S$3="Toutes les années",TRUE,Bdd_cave!$S$3=E27)</f>
        <v>1</v>
      </c>
      <c r="Z27" s="27" t="b">
        <f>IF(Bdd_cave!$T$3="Toutes les couleurs",TRUE,Bdd_cave!$T$3=F27)</f>
        <v>0</v>
      </c>
      <c r="AA27" s="33" t="b">
        <f>IF(Bdd_cave!$U$3="Tous les casiers ",TRUE,Bdd_cave!$U$3=H27)</f>
        <v>0</v>
      </c>
      <c r="AB27" s="27" t="b">
        <f t="shared" si="4"/>
        <v>0</v>
      </c>
      <c r="AD27" s="27" t="str">
        <f>IF(AB27,ROWS($AB$7:AB27),"")</f>
        <v/>
      </c>
      <c r="AE27" s="27" t="str">
        <f>IFERROR(SMALL($AD$7:$AD$297,ROWS(AD$7:$AD27)),"")</f>
        <v/>
      </c>
    </row>
    <row r="28" spans="1:31" x14ac:dyDescent="0.25">
      <c r="A28" s="27" t="str">
        <f t="shared" si="5"/>
        <v>SAINT-JOSEPH  1999</v>
      </c>
      <c r="B28" s="5" t="s">
        <v>15</v>
      </c>
      <c r="C28" s="30" t="s">
        <v>158</v>
      </c>
      <c r="D28" s="30"/>
      <c r="E28" s="30">
        <v>1999</v>
      </c>
      <c r="F28" s="5" t="s">
        <v>308</v>
      </c>
      <c r="G28" s="5">
        <v>1</v>
      </c>
      <c r="H28" s="5" t="s">
        <v>364</v>
      </c>
      <c r="I28" s="6"/>
      <c r="J28" s="7"/>
      <c r="K28" s="7"/>
      <c r="L28" s="5" t="s">
        <v>598</v>
      </c>
      <c r="M28" s="5"/>
      <c r="N28" s="5"/>
      <c r="O28" s="5"/>
      <c r="P28" s="5"/>
      <c r="Q28" s="5"/>
      <c r="R28" s="5"/>
      <c r="S28" s="5"/>
      <c r="T28" s="31">
        <f t="shared" si="1"/>
        <v>21</v>
      </c>
      <c r="U28" s="31" t="str">
        <f t="shared" si="2"/>
        <v>21.jpg</v>
      </c>
      <c r="V28" s="32" t="str">
        <f t="shared" si="3"/>
        <v>21.jpg</v>
      </c>
      <c r="X28" s="33" t="b">
        <f>IF(Bdd_cave!$R$3="Toutes les regions",TRUE,Bdd_cave!$R$3=B28)</f>
        <v>0</v>
      </c>
      <c r="Y28" s="33" t="b">
        <f>IF(Bdd_cave!$S$3="Toutes les années",TRUE,Bdd_cave!$S$3=E28)</f>
        <v>1</v>
      </c>
      <c r="Z28" s="27" t="b">
        <f>IF(Bdd_cave!$T$3="Toutes les couleurs",TRUE,Bdd_cave!$T$3=F28)</f>
        <v>0</v>
      </c>
      <c r="AA28" s="33" t="b">
        <f>IF(Bdd_cave!$U$3="Tous les casiers ",TRUE,Bdd_cave!$U$3=H28)</f>
        <v>0</v>
      </c>
      <c r="AB28" s="27" t="b">
        <f t="shared" si="4"/>
        <v>0</v>
      </c>
      <c r="AD28" s="27" t="str">
        <f>IF(AB28,ROWS($AB$7:AB28),"")</f>
        <v/>
      </c>
      <c r="AE28" s="27" t="str">
        <f>IFERROR(SMALL($AD$7:$AD$297,ROWS(AD$7:$AD28)),"")</f>
        <v/>
      </c>
    </row>
    <row r="29" spans="1:31" x14ac:dyDescent="0.25">
      <c r="A29" s="27" t="str">
        <f t="shared" si="5"/>
        <v>ALOXE-CORTON 1 er Cru 1999</v>
      </c>
      <c r="B29" s="5" t="s">
        <v>15</v>
      </c>
      <c r="C29" s="30" t="s">
        <v>29</v>
      </c>
      <c r="D29" s="30" t="s">
        <v>312</v>
      </c>
      <c r="E29" s="30">
        <v>1999</v>
      </c>
      <c r="F29" s="5" t="s">
        <v>308</v>
      </c>
      <c r="G29" s="5">
        <v>4</v>
      </c>
      <c r="H29" s="5" t="s">
        <v>608</v>
      </c>
      <c r="I29" s="6"/>
      <c r="J29" s="7"/>
      <c r="K29" s="7" t="s">
        <v>609</v>
      </c>
      <c r="L29" s="5" t="s">
        <v>604</v>
      </c>
      <c r="M29" s="5"/>
      <c r="N29" s="5">
        <v>21</v>
      </c>
      <c r="O29" s="5" t="s">
        <v>288</v>
      </c>
      <c r="P29" s="5"/>
      <c r="Q29" s="5"/>
      <c r="R29" s="5"/>
      <c r="S29" s="5"/>
      <c r="T29" s="31">
        <f t="shared" si="1"/>
        <v>22</v>
      </c>
      <c r="U29" s="31" t="str">
        <f t="shared" si="2"/>
        <v>22.jpg</v>
      </c>
      <c r="V29" s="32" t="str">
        <f t="shared" si="3"/>
        <v>22.jpg</v>
      </c>
      <c r="X29" s="33" t="b">
        <f>IF(Bdd_cave!$R$3="Toutes les regions",TRUE,Bdd_cave!$R$3=B29)</f>
        <v>0</v>
      </c>
      <c r="Y29" s="33" t="b">
        <f>IF(Bdd_cave!$S$3="Toutes les années",TRUE,Bdd_cave!$S$3=E29)</f>
        <v>1</v>
      </c>
      <c r="Z29" s="27" t="b">
        <f>IF(Bdd_cave!$T$3="Toutes les couleurs",TRUE,Bdd_cave!$T$3=F29)</f>
        <v>0</v>
      </c>
      <c r="AA29" s="33" t="b">
        <f>IF(Bdd_cave!$U$3="Tous les casiers ",TRUE,Bdd_cave!$U$3=H29)</f>
        <v>0</v>
      </c>
      <c r="AB29" s="27" t="b">
        <f t="shared" si="4"/>
        <v>0</v>
      </c>
      <c r="AD29" s="27" t="str">
        <f>IF(AB29,ROWS($AB$7:AB29),"")</f>
        <v/>
      </c>
      <c r="AE29" s="27" t="str">
        <f>IFERROR(SMALL($AD$7:$AD$297,ROWS(AD$7:$AD29)),"")</f>
        <v/>
      </c>
    </row>
    <row r="30" spans="1:31" x14ac:dyDescent="0.25">
      <c r="A30" s="27" t="str">
        <f t="shared" si="5"/>
        <v>HAUTES-COTES DE NUITS  2000</v>
      </c>
      <c r="B30" s="5" t="s">
        <v>15</v>
      </c>
      <c r="C30" s="30" t="s">
        <v>156</v>
      </c>
      <c r="D30" s="30"/>
      <c r="E30" s="30">
        <v>2000</v>
      </c>
      <c r="F30" s="5" t="s">
        <v>308</v>
      </c>
      <c r="G30" s="5">
        <v>9</v>
      </c>
      <c r="H30" s="5" t="s">
        <v>610</v>
      </c>
      <c r="I30" s="6"/>
      <c r="J30" s="7"/>
      <c r="K30" s="7"/>
      <c r="L30" s="5" t="s">
        <v>611</v>
      </c>
      <c r="M30" s="5"/>
      <c r="N30" s="5"/>
      <c r="O30" s="5"/>
      <c r="P30" s="5" t="s">
        <v>612</v>
      </c>
      <c r="Q30" s="5"/>
      <c r="R30" s="5" t="s">
        <v>613</v>
      </c>
      <c r="S30" s="5"/>
      <c r="T30" s="31">
        <f t="shared" si="1"/>
        <v>23</v>
      </c>
      <c r="U30" s="31" t="str">
        <f t="shared" si="2"/>
        <v>23.jpg</v>
      </c>
      <c r="V30" s="32" t="str">
        <f t="shared" si="3"/>
        <v>23.jpg</v>
      </c>
      <c r="X30" s="33" t="b">
        <f>IF(Bdd_cave!$R$3="Toutes les regions",TRUE,Bdd_cave!$R$3=B30)</f>
        <v>0</v>
      </c>
      <c r="Y30" s="33" t="b">
        <f>IF(Bdd_cave!$S$3="Toutes les années",TRUE,Bdd_cave!$S$3=E30)</f>
        <v>1</v>
      </c>
      <c r="Z30" s="27" t="b">
        <f>IF(Bdd_cave!$T$3="Toutes les couleurs",TRUE,Bdd_cave!$T$3=F30)</f>
        <v>0</v>
      </c>
      <c r="AA30" s="33" t="b">
        <f>IF(Bdd_cave!$U$3="Tous les casiers ",TRUE,Bdd_cave!$U$3=H30)</f>
        <v>0</v>
      </c>
      <c r="AB30" s="27" t="b">
        <f t="shared" si="4"/>
        <v>0</v>
      </c>
      <c r="AD30" s="27" t="str">
        <f>IF(AB30,ROWS($AB$7:AB30),"")</f>
        <v/>
      </c>
      <c r="AE30" s="27" t="str">
        <f>IFERROR(SMALL($AD$7:$AD$297,ROWS(AD$7:$AD30)),"")</f>
        <v/>
      </c>
    </row>
    <row r="31" spans="1:31" x14ac:dyDescent="0.25">
      <c r="A31" s="27" t="str">
        <f t="shared" si="5"/>
        <v>FIXIN  2000</v>
      </c>
      <c r="B31" s="5" t="s">
        <v>15</v>
      </c>
      <c r="C31" s="30" t="s">
        <v>259</v>
      </c>
      <c r="D31" s="30"/>
      <c r="E31" s="30">
        <v>2000</v>
      </c>
      <c r="F31" s="5" t="s">
        <v>308</v>
      </c>
      <c r="G31" s="5">
        <v>3</v>
      </c>
      <c r="H31" s="5" t="s">
        <v>340</v>
      </c>
      <c r="I31" s="6"/>
      <c r="J31" s="7"/>
      <c r="K31" s="7"/>
      <c r="L31" s="5" t="s">
        <v>603</v>
      </c>
      <c r="M31" s="5"/>
      <c r="N31" s="5">
        <v>21260</v>
      </c>
      <c r="O31" s="5" t="s">
        <v>276</v>
      </c>
      <c r="P31" s="5"/>
      <c r="Q31" s="5"/>
      <c r="R31" s="5"/>
      <c r="S31" s="5"/>
      <c r="T31" s="31">
        <f t="shared" si="1"/>
        <v>24</v>
      </c>
      <c r="U31" s="31" t="str">
        <f t="shared" si="2"/>
        <v>24.jpg</v>
      </c>
      <c r="V31" s="32" t="str">
        <f t="shared" si="3"/>
        <v>24.jpg</v>
      </c>
      <c r="X31" s="33" t="b">
        <f>IF(Bdd_cave!$R$3="Toutes les regions",TRUE,Bdd_cave!$R$3=B31)</f>
        <v>0</v>
      </c>
      <c r="Y31" s="33" t="b">
        <f>IF(Bdd_cave!$S$3="Toutes les années",TRUE,Bdd_cave!$S$3=E31)</f>
        <v>1</v>
      </c>
      <c r="Z31" s="27" t="b">
        <f>IF(Bdd_cave!$T$3="Toutes les couleurs",TRUE,Bdd_cave!$T$3=F31)</f>
        <v>0</v>
      </c>
      <c r="AA31" s="33" t="b">
        <f>IF(Bdd_cave!$U$3="Tous les casiers ",TRUE,Bdd_cave!$U$3=H31)</f>
        <v>0</v>
      </c>
      <c r="AB31" s="27" t="b">
        <f t="shared" si="4"/>
        <v>0</v>
      </c>
      <c r="AD31" s="27" t="str">
        <f>IF(AB31,ROWS($AB$7:AB31),"")</f>
        <v/>
      </c>
      <c r="AE31" s="27" t="str">
        <f>IFERROR(SMALL($AD$7:$AD$297,ROWS(AD$7:$AD31)),"")</f>
        <v/>
      </c>
    </row>
    <row r="32" spans="1:31" x14ac:dyDescent="0.25">
      <c r="A32" s="27" t="str">
        <f t="shared" si="5"/>
        <v>COTE DE NUITS-VILLAGES  2000</v>
      </c>
      <c r="B32" s="5" t="s">
        <v>15</v>
      </c>
      <c r="C32" s="30" t="s">
        <v>251</v>
      </c>
      <c r="D32" s="30"/>
      <c r="E32" s="30">
        <v>2000</v>
      </c>
      <c r="F32" s="5" t="s">
        <v>308</v>
      </c>
      <c r="G32" s="5">
        <v>1</v>
      </c>
      <c r="H32" s="5" t="s">
        <v>364</v>
      </c>
      <c r="I32" s="6"/>
      <c r="J32" s="7"/>
      <c r="K32" s="7"/>
      <c r="L32" s="5" t="s">
        <v>603</v>
      </c>
      <c r="M32" s="5"/>
      <c r="N32" s="5">
        <v>21160</v>
      </c>
      <c r="O32" s="5" t="s">
        <v>614</v>
      </c>
      <c r="P32" s="5"/>
      <c r="Q32" s="5"/>
      <c r="R32" s="5"/>
      <c r="S32" s="5"/>
      <c r="T32" s="31">
        <f t="shared" si="1"/>
        <v>25</v>
      </c>
      <c r="U32" s="31" t="str">
        <f t="shared" si="2"/>
        <v>25.jpg</v>
      </c>
      <c r="V32" s="32" t="str">
        <f t="shared" si="3"/>
        <v>25.jpg</v>
      </c>
      <c r="X32" s="33" t="b">
        <f>IF(Bdd_cave!$R$3="Toutes les regions",TRUE,Bdd_cave!$R$3=B32)</f>
        <v>0</v>
      </c>
      <c r="Y32" s="33" t="b">
        <f>IF(Bdd_cave!$S$3="Toutes les années",TRUE,Bdd_cave!$S$3=E32)</f>
        <v>1</v>
      </c>
      <c r="Z32" s="27" t="b">
        <f>IF(Bdd_cave!$T$3="Toutes les couleurs",TRUE,Bdd_cave!$T$3=F32)</f>
        <v>0</v>
      </c>
      <c r="AA32" s="33" t="b">
        <f>IF(Bdd_cave!$U$3="Tous les casiers ",TRUE,Bdd_cave!$U$3=H32)</f>
        <v>0</v>
      </c>
      <c r="AB32" s="27" t="b">
        <f t="shared" si="4"/>
        <v>0</v>
      </c>
      <c r="AD32" s="27" t="str">
        <f>IF(AB32,ROWS($AB$7:AB32),"")</f>
        <v/>
      </c>
      <c r="AE32" s="27" t="str">
        <f>IFERROR(SMALL($AD$7:$AD$297,ROWS(AD$7:$AD32)),"")</f>
        <v/>
      </c>
    </row>
    <row r="33" spans="1:31" x14ac:dyDescent="0.25">
      <c r="A33" s="27" t="str">
        <f t="shared" si="5"/>
        <v>NUIT-SAINT-GEORGES  2000</v>
      </c>
      <c r="B33" s="5" t="s">
        <v>15</v>
      </c>
      <c r="C33" s="30" t="s">
        <v>285</v>
      </c>
      <c r="D33" s="30"/>
      <c r="E33" s="30">
        <v>2000</v>
      </c>
      <c r="F33" s="5" t="s">
        <v>308</v>
      </c>
      <c r="G33" s="5">
        <v>1</v>
      </c>
      <c r="H33" s="5" t="s">
        <v>364</v>
      </c>
      <c r="I33" s="6"/>
      <c r="J33" s="7"/>
      <c r="K33" s="7" t="s">
        <v>615</v>
      </c>
      <c r="L33" s="5"/>
      <c r="M33" s="5"/>
      <c r="N33" s="5"/>
      <c r="O33" s="5"/>
      <c r="P33" s="5"/>
      <c r="Q33" s="5"/>
      <c r="R33" s="5"/>
      <c r="S33" s="5"/>
      <c r="T33" s="31">
        <f t="shared" si="1"/>
        <v>26</v>
      </c>
      <c r="U33" s="31" t="str">
        <f t="shared" si="2"/>
        <v>26.jpg</v>
      </c>
      <c r="V33" s="32" t="str">
        <f t="shared" si="3"/>
        <v>26.jpg</v>
      </c>
      <c r="X33" s="33" t="b">
        <f>IF(Bdd_cave!$R$3="Toutes les regions",TRUE,Bdd_cave!$R$3=B33)</f>
        <v>0</v>
      </c>
      <c r="Y33" s="33" t="b">
        <f>IF(Bdd_cave!$S$3="Toutes les années",TRUE,Bdd_cave!$S$3=E33)</f>
        <v>1</v>
      </c>
      <c r="Z33" s="27" t="b">
        <f>IF(Bdd_cave!$T$3="Toutes les couleurs",TRUE,Bdd_cave!$T$3=F33)</f>
        <v>0</v>
      </c>
      <c r="AA33" s="33" t="b">
        <f>IF(Bdd_cave!$U$3="Tous les casiers ",TRUE,Bdd_cave!$U$3=H33)</f>
        <v>0</v>
      </c>
      <c r="AB33" s="27" t="b">
        <f t="shared" si="4"/>
        <v>0</v>
      </c>
      <c r="AD33" s="27" t="str">
        <f>IF(AB33,ROWS($AB$7:AB33),"")</f>
        <v/>
      </c>
      <c r="AE33" s="27" t="str">
        <f>IFERROR(SMALL($AD$7:$AD$297,ROWS(AD$7:$AD33)),"")</f>
        <v/>
      </c>
    </row>
    <row r="34" spans="1:31" x14ac:dyDescent="0.25">
      <c r="A34" s="27" t="str">
        <f t="shared" si="5"/>
        <v>L'ETOILE (JURA)  2000</v>
      </c>
      <c r="B34" s="5" t="s">
        <v>22</v>
      </c>
      <c r="C34" s="30" t="s">
        <v>79</v>
      </c>
      <c r="D34" s="30"/>
      <c r="E34" s="30">
        <v>2000</v>
      </c>
      <c r="F34" s="5" t="s">
        <v>309</v>
      </c>
      <c r="G34" s="5">
        <v>1</v>
      </c>
      <c r="H34" s="5" t="s">
        <v>364</v>
      </c>
      <c r="I34" s="6"/>
      <c r="J34" s="7"/>
      <c r="K34" s="7"/>
      <c r="L34" s="5" t="s">
        <v>616</v>
      </c>
      <c r="M34" s="5" t="s">
        <v>617</v>
      </c>
      <c r="N34" s="5">
        <v>39000</v>
      </c>
      <c r="O34" s="5" t="s">
        <v>618</v>
      </c>
      <c r="P34" s="5"/>
      <c r="Q34" s="5"/>
      <c r="R34" s="5"/>
      <c r="S34" s="5"/>
      <c r="T34" s="31">
        <f t="shared" si="1"/>
        <v>27</v>
      </c>
      <c r="U34" s="31" t="str">
        <f t="shared" si="2"/>
        <v>27.jpg</v>
      </c>
      <c r="V34" s="32" t="str">
        <f t="shared" si="3"/>
        <v>27.jpg</v>
      </c>
      <c r="X34" s="33" t="b">
        <f>IF(Bdd_cave!$R$3="Toutes les regions",TRUE,Bdd_cave!$R$3=B34)</f>
        <v>0</v>
      </c>
      <c r="Y34" s="33" t="b">
        <f>IF(Bdd_cave!$S$3="Toutes les années",TRUE,Bdd_cave!$S$3=E34)</f>
        <v>1</v>
      </c>
      <c r="Z34" s="27" t="b">
        <f>IF(Bdd_cave!$T$3="Toutes les couleurs",TRUE,Bdd_cave!$T$3=F34)</f>
        <v>0</v>
      </c>
      <c r="AA34" s="33" t="b">
        <f>IF(Bdd_cave!$U$3="Tous les casiers ",TRUE,Bdd_cave!$U$3=H34)</f>
        <v>0</v>
      </c>
      <c r="AB34" s="27" t="b">
        <f t="shared" si="4"/>
        <v>0</v>
      </c>
      <c r="AD34" s="27" t="str">
        <f>IF(AB34,ROWS($AB$7:AB34),"")</f>
        <v/>
      </c>
      <c r="AE34" s="27" t="str">
        <f>IFERROR(SMALL($AD$7:$AD$297,ROWS(AD$7:$AD34)),"")</f>
        <v/>
      </c>
    </row>
    <row r="35" spans="1:31" x14ac:dyDescent="0.25">
      <c r="A35" s="27" t="str">
        <f t="shared" si="5"/>
        <v>HAUTES-COTES DE NUITS  2000</v>
      </c>
      <c r="B35" s="5" t="s">
        <v>15</v>
      </c>
      <c r="C35" s="30" t="s">
        <v>156</v>
      </c>
      <c r="D35" s="30"/>
      <c r="E35" s="30">
        <v>2000</v>
      </c>
      <c r="F35" s="5" t="s">
        <v>309</v>
      </c>
      <c r="G35" s="5">
        <v>3</v>
      </c>
      <c r="H35" s="5" t="s">
        <v>619</v>
      </c>
      <c r="I35" s="6"/>
      <c r="J35" s="7"/>
      <c r="K35" s="7" t="s">
        <v>620</v>
      </c>
      <c r="L35" s="5" t="s">
        <v>611</v>
      </c>
      <c r="M35" s="5"/>
      <c r="N35" s="5">
        <v>21</v>
      </c>
      <c r="O35" s="5" t="s">
        <v>621</v>
      </c>
      <c r="P35" s="5"/>
      <c r="Q35" s="5"/>
      <c r="R35" s="5"/>
      <c r="S35" s="5"/>
      <c r="T35" s="23">
        <f t="shared" si="1"/>
        <v>28</v>
      </c>
      <c r="U35" s="23" t="str">
        <f t="shared" si="2"/>
        <v>28.jpg</v>
      </c>
      <c r="V35" s="24" t="str">
        <f t="shared" si="3"/>
        <v>28.jpg</v>
      </c>
      <c r="X35" s="33" t="b">
        <f>IF(Bdd_cave!$R$3="Toutes les regions",TRUE,Bdd_cave!$R$3=B35)</f>
        <v>0</v>
      </c>
      <c r="Y35" s="33" t="b">
        <f>IF(Bdd_cave!$S$3="Toutes les années",TRUE,Bdd_cave!$S$3=E35)</f>
        <v>1</v>
      </c>
      <c r="Z35" s="27" t="b">
        <f>IF(Bdd_cave!$T$3="Toutes les couleurs",TRUE,Bdd_cave!$T$3=F35)</f>
        <v>0</v>
      </c>
      <c r="AA35" s="33" t="b">
        <f>IF(Bdd_cave!$U$3="Tous les casiers ",TRUE,Bdd_cave!$U$3=H35)</f>
        <v>0</v>
      </c>
      <c r="AB35" s="27" t="b">
        <f t="shared" si="4"/>
        <v>0</v>
      </c>
      <c r="AD35" s="27" t="str">
        <f>IF(AB35,ROWS($AB$7:AB35),"")</f>
        <v/>
      </c>
      <c r="AE35" s="27" t="str">
        <f>IFERROR(SMALL($AD$7:$AD$297,ROWS(AD$7:$AD35)),"")</f>
        <v/>
      </c>
    </row>
    <row r="36" spans="1:31" x14ac:dyDescent="0.25">
      <c r="A36" s="27" t="str">
        <f t="shared" si="5"/>
        <v>HAUTES-COTES DE NUITS  2001</v>
      </c>
      <c r="B36" s="5" t="s">
        <v>15</v>
      </c>
      <c r="C36" s="30" t="s">
        <v>156</v>
      </c>
      <c r="D36" s="30"/>
      <c r="E36" s="30">
        <v>2001</v>
      </c>
      <c r="F36" s="5" t="s">
        <v>308</v>
      </c>
      <c r="G36" s="5">
        <v>3</v>
      </c>
      <c r="H36" s="5" t="s">
        <v>622</v>
      </c>
      <c r="I36" s="6"/>
      <c r="J36" s="7"/>
      <c r="K36" s="7"/>
      <c r="L36" s="5" t="s">
        <v>611</v>
      </c>
      <c r="M36" s="5"/>
      <c r="N36" s="5"/>
      <c r="O36" s="5" t="s">
        <v>588</v>
      </c>
      <c r="P36" s="5" t="s">
        <v>612</v>
      </c>
      <c r="Q36" s="5"/>
      <c r="R36" s="5" t="s">
        <v>623</v>
      </c>
      <c r="S36" s="5"/>
      <c r="T36" s="31">
        <f t="shared" si="1"/>
        <v>29</v>
      </c>
      <c r="U36" s="31" t="str">
        <f t="shared" si="2"/>
        <v>29.jpg</v>
      </c>
      <c r="V36" s="32" t="str">
        <f t="shared" si="3"/>
        <v>29.jpg</v>
      </c>
      <c r="X36" s="33" t="b">
        <f>IF(Bdd_cave!$R$3="Toutes les regions",TRUE,Bdd_cave!$R$3=B36)</f>
        <v>0</v>
      </c>
      <c r="Y36" s="33" t="b">
        <f>IF(Bdd_cave!$S$3="Toutes les années",TRUE,Bdd_cave!$S$3=E36)</f>
        <v>1</v>
      </c>
      <c r="Z36" s="27" t="b">
        <f>IF(Bdd_cave!$T$3="Toutes les couleurs",TRUE,Bdd_cave!$T$3=F36)</f>
        <v>0</v>
      </c>
      <c r="AA36" s="33" t="b">
        <f>IF(Bdd_cave!$U$3="Tous les casiers ",TRUE,Bdd_cave!$U$3=H36)</f>
        <v>0</v>
      </c>
      <c r="AB36" s="27" t="b">
        <f t="shared" si="4"/>
        <v>0</v>
      </c>
      <c r="AD36" s="27" t="str">
        <f>IF(AB36,ROWS($AB$7:AB36),"")</f>
        <v/>
      </c>
      <c r="AE36" s="27" t="str">
        <f>IFERROR(SMALL($AD$7:$AD$297,ROWS(AD$7:$AD36)),"")</f>
        <v/>
      </c>
    </row>
    <row r="37" spans="1:31" x14ac:dyDescent="0.25">
      <c r="A37" s="27" t="str">
        <f t="shared" si="5"/>
        <v>BEAUNE 1 er Cru 2001</v>
      </c>
      <c r="B37" s="5" t="s">
        <v>15</v>
      </c>
      <c r="C37" s="30" t="s">
        <v>55</v>
      </c>
      <c r="D37" s="30" t="s">
        <v>312</v>
      </c>
      <c r="E37" s="30">
        <v>2001</v>
      </c>
      <c r="F37" s="5" t="s">
        <v>308</v>
      </c>
      <c r="G37" s="5">
        <v>1</v>
      </c>
      <c r="H37" s="5" t="s">
        <v>364</v>
      </c>
      <c r="I37" s="6"/>
      <c r="J37" s="7"/>
      <c r="K37" s="7" t="s">
        <v>624</v>
      </c>
      <c r="L37" s="5" t="s">
        <v>365</v>
      </c>
      <c r="M37" s="5"/>
      <c r="N37" s="5">
        <v>21</v>
      </c>
      <c r="O37" s="5" t="s">
        <v>366</v>
      </c>
      <c r="P37" s="5"/>
      <c r="Q37" s="5"/>
      <c r="R37" s="5"/>
      <c r="S37" s="5"/>
      <c r="T37" s="31">
        <f t="shared" si="1"/>
        <v>30</v>
      </c>
      <c r="U37" s="31" t="str">
        <f t="shared" si="2"/>
        <v>30.jpg</v>
      </c>
      <c r="V37" s="32" t="str">
        <f t="shared" si="3"/>
        <v>30.jpg</v>
      </c>
      <c r="X37" s="33" t="b">
        <f>IF(Bdd_cave!$R$3="Toutes les regions",TRUE,Bdd_cave!$R$3=B37)</f>
        <v>0</v>
      </c>
      <c r="Y37" s="33" t="b">
        <f>IF(Bdd_cave!$S$3="Toutes les années",TRUE,Bdd_cave!$S$3=E37)</f>
        <v>1</v>
      </c>
      <c r="Z37" s="27" t="b">
        <f>IF(Bdd_cave!$T$3="Toutes les couleurs",TRUE,Bdd_cave!$T$3=F37)</f>
        <v>0</v>
      </c>
      <c r="AA37" s="33" t="b">
        <f>IF(Bdd_cave!$U$3="Tous les casiers ",TRUE,Bdd_cave!$U$3=H37)</f>
        <v>0</v>
      </c>
      <c r="AB37" s="27" t="b">
        <f t="shared" si="4"/>
        <v>0</v>
      </c>
      <c r="AD37" s="27" t="str">
        <f>IF(AB37,ROWS($AB$7:AB37),"")</f>
        <v/>
      </c>
      <c r="AE37" s="27" t="str">
        <f>IFERROR(SMALL($AD$7:$AD$297,ROWS(AD$7:$AD37)),"")</f>
        <v/>
      </c>
    </row>
    <row r="38" spans="1:31" x14ac:dyDescent="0.25">
      <c r="A38" s="27" t="str">
        <f t="shared" si="5"/>
        <v>BOURGOGNE  2001</v>
      </c>
      <c r="B38" s="5" t="s">
        <v>15</v>
      </c>
      <c r="C38" s="30" t="s">
        <v>15</v>
      </c>
      <c r="D38" s="30"/>
      <c r="E38" s="30">
        <v>2001</v>
      </c>
      <c r="F38" s="5" t="s">
        <v>308</v>
      </c>
      <c r="G38" s="5">
        <v>1</v>
      </c>
      <c r="H38" s="5" t="s">
        <v>364</v>
      </c>
      <c r="I38" s="6"/>
      <c r="J38" s="7"/>
      <c r="K38" s="7" t="s">
        <v>625</v>
      </c>
      <c r="L38" s="5"/>
      <c r="M38" s="5"/>
      <c r="N38" s="5"/>
      <c r="O38" s="5"/>
      <c r="P38" s="5"/>
      <c r="Q38" s="5"/>
      <c r="R38" s="5"/>
      <c r="S38" s="5"/>
      <c r="T38" s="31">
        <f t="shared" si="1"/>
        <v>31</v>
      </c>
      <c r="U38" s="31" t="str">
        <f t="shared" si="2"/>
        <v>31.jpg</v>
      </c>
      <c r="V38" s="32" t="str">
        <f t="shared" si="3"/>
        <v>31.jpg</v>
      </c>
      <c r="X38" s="33" t="b">
        <f>IF(Bdd_cave!$R$3="Toutes les regions",TRUE,Bdd_cave!$R$3=B38)</f>
        <v>0</v>
      </c>
      <c r="Y38" s="33" t="b">
        <f>IF(Bdd_cave!$S$3="Toutes les années",TRUE,Bdd_cave!$S$3=E38)</f>
        <v>1</v>
      </c>
      <c r="Z38" s="27" t="b">
        <f>IF(Bdd_cave!$T$3="Toutes les couleurs",TRUE,Bdd_cave!$T$3=F38)</f>
        <v>0</v>
      </c>
      <c r="AA38" s="33" t="b">
        <f>IF(Bdd_cave!$U$3="Tous les casiers ",TRUE,Bdd_cave!$U$3=H38)</f>
        <v>0</v>
      </c>
      <c r="AB38" s="27" t="b">
        <f t="shared" si="4"/>
        <v>0</v>
      </c>
      <c r="AD38" s="27" t="str">
        <f>IF(AB38,ROWS($AB$7:AB38),"")</f>
        <v/>
      </c>
      <c r="AE38" s="27" t="str">
        <f>IFERROR(SMALL($AD$7:$AD$297,ROWS(AD$7:$AD38)),"")</f>
        <v/>
      </c>
    </row>
    <row r="39" spans="1:31" x14ac:dyDescent="0.25">
      <c r="A39" s="27" t="str">
        <f t="shared" si="5"/>
        <v>HAUTES-COTES DE NUITS  2001</v>
      </c>
      <c r="B39" s="5" t="s">
        <v>15</v>
      </c>
      <c r="C39" s="30" t="s">
        <v>156</v>
      </c>
      <c r="D39" s="30"/>
      <c r="E39" s="30">
        <v>2001</v>
      </c>
      <c r="F39" s="5" t="s">
        <v>309</v>
      </c>
      <c r="G39" s="5">
        <v>4</v>
      </c>
      <c r="H39" s="5" t="s">
        <v>626</v>
      </c>
      <c r="I39" s="6"/>
      <c r="J39" s="7"/>
      <c r="K39" s="7" t="s">
        <v>620</v>
      </c>
      <c r="L39" s="5" t="s">
        <v>627</v>
      </c>
      <c r="M39" s="5"/>
      <c r="N39" s="5">
        <v>21</v>
      </c>
      <c r="O39" s="5"/>
      <c r="P39" s="5"/>
      <c r="Q39" s="5"/>
      <c r="R39" s="5"/>
      <c r="S39" s="5"/>
      <c r="T39" s="23">
        <f t="shared" ref="T39:T70" si="6">ROW(T39)-7</f>
        <v>32</v>
      </c>
      <c r="U39" s="23" t="str">
        <f t="shared" si="2"/>
        <v>32.jpg</v>
      </c>
      <c r="V39" s="24" t="str">
        <f t="shared" si="3"/>
        <v>32.jpg</v>
      </c>
      <c r="X39" s="33" t="b">
        <f>IF(Bdd_cave!$R$3="Toutes les regions",TRUE,Bdd_cave!$R$3=B39)</f>
        <v>0</v>
      </c>
      <c r="Y39" s="33" t="b">
        <f>IF(Bdd_cave!$S$3="Toutes les années",TRUE,Bdd_cave!$S$3=E39)</f>
        <v>1</v>
      </c>
      <c r="Z39" s="27" t="b">
        <f>IF(Bdd_cave!$T$3="Toutes les couleurs",TRUE,Bdd_cave!$T$3=F39)</f>
        <v>0</v>
      </c>
      <c r="AA39" s="33" t="b">
        <f>IF(Bdd_cave!$U$3="Tous les casiers ",TRUE,Bdd_cave!$U$3=H39)</f>
        <v>0</v>
      </c>
      <c r="AB39" s="27" t="b">
        <f t="shared" ref="AB39:AB70" si="7">AND(X39:Z39)</f>
        <v>0</v>
      </c>
      <c r="AD39" s="27" t="str">
        <f>IF(AB39,ROWS($AB$7:AB39),"")</f>
        <v/>
      </c>
      <c r="AE39" s="27" t="str">
        <f>IFERROR(SMALL($AD$7:$AD$297,ROWS(AD$7:$AD39)),"")</f>
        <v/>
      </c>
    </row>
    <row r="40" spans="1:31" x14ac:dyDescent="0.25">
      <c r="A40" s="27" t="str">
        <f t="shared" ref="A40:A71" si="8">CONCATENATE(C40," ",D40," ",E40)</f>
        <v>BERGERAC  2002</v>
      </c>
      <c r="B40" s="5" t="s">
        <v>21</v>
      </c>
      <c r="C40" s="30" t="s">
        <v>44</v>
      </c>
      <c r="D40" s="30"/>
      <c r="E40" s="30">
        <v>2002</v>
      </c>
      <c r="F40" s="5" t="s">
        <v>308</v>
      </c>
      <c r="G40" s="5">
        <v>1</v>
      </c>
      <c r="H40" s="5" t="s">
        <v>364</v>
      </c>
      <c r="I40" s="6"/>
      <c r="J40" s="7"/>
      <c r="K40" s="7"/>
      <c r="L40" s="5" t="s">
        <v>628</v>
      </c>
      <c r="M40" s="5"/>
      <c r="N40" s="5">
        <v>24</v>
      </c>
      <c r="O40" s="5" t="s">
        <v>629</v>
      </c>
      <c r="P40" s="5"/>
      <c r="Q40" s="5"/>
      <c r="R40" s="5"/>
      <c r="S40" s="5"/>
      <c r="T40" s="31">
        <f t="shared" si="6"/>
        <v>33</v>
      </c>
      <c r="U40" s="31" t="str">
        <f t="shared" si="2"/>
        <v>33.jpg</v>
      </c>
      <c r="V40" s="32" t="str">
        <f t="shared" si="3"/>
        <v>33.jpg</v>
      </c>
      <c r="X40" s="33" t="b">
        <f>IF(Bdd_cave!$R$3="Toutes les regions",TRUE,Bdd_cave!$R$3=B40)</f>
        <v>0</v>
      </c>
      <c r="Y40" s="33" t="b">
        <f>IF(Bdd_cave!$S$3="Toutes les années",TRUE,Bdd_cave!$S$3=E40)</f>
        <v>1</v>
      </c>
      <c r="Z40" s="27" t="b">
        <f>IF(Bdd_cave!$T$3="Toutes les couleurs",TRUE,Bdd_cave!$T$3=F40)</f>
        <v>0</v>
      </c>
      <c r="AA40" s="33" t="b">
        <f>IF(Bdd_cave!$U$3="Tous les casiers ",TRUE,Bdd_cave!$U$3=H40)</f>
        <v>0</v>
      </c>
      <c r="AB40" s="27" t="b">
        <f t="shared" si="7"/>
        <v>0</v>
      </c>
      <c r="AD40" s="27" t="str">
        <f>IF(AB40,ROWS($AB$7:AB40),"")</f>
        <v/>
      </c>
      <c r="AE40" s="27" t="str">
        <f>IFERROR(SMALL($AD$7:$AD$297,ROWS(AD$7:$AD40)),"")</f>
        <v/>
      </c>
    </row>
    <row r="41" spans="1:31" x14ac:dyDescent="0.25">
      <c r="A41" s="27" t="str">
        <f t="shared" si="8"/>
        <v>MORGON  2003</v>
      </c>
      <c r="B41" s="5" t="s">
        <v>23</v>
      </c>
      <c r="C41" s="30" t="s">
        <v>367</v>
      </c>
      <c r="D41" s="30"/>
      <c r="E41" s="30">
        <v>2003</v>
      </c>
      <c r="F41" s="5" t="s">
        <v>308</v>
      </c>
      <c r="G41" s="5">
        <v>1</v>
      </c>
      <c r="H41" s="5" t="s">
        <v>364</v>
      </c>
      <c r="I41" s="6"/>
      <c r="J41" s="7"/>
      <c r="K41" s="7"/>
      <c r="L41" s="5" t="s">
        <v>630</v>
      </c>
      <c r="M41" s="5"/>
      <c r="N41" s="5">
        <v>69910</v>
      </c>
      <c r="O41" s="5" t="s">
        <v>631</v>
      </c>
      <c r="P41" s="5"/>
      <c r="Q41" s="5"/>
      <c r="R41" s="5"/>
      <c r="S41" s="5"/>
      <c r="T41" s="31">
        <f t="shared" si="6"/>
        <v>34</v>
      </c>
      <c r="U41" s="31" t="str">
        <f t="shared" si="2"/>
        <v>34.jpg</v>
      </c>
      <c r="V41" s="32" t="str">
        <f t="shared" si="3"/>
        <v>34.jpg</v>
      </c>
      <c r="X41" s="33" t="b">
        <f>IF(Bdd_cave!$R$3="Toutes les regions",TRUE,Bdd_cave!$R$3=B41)</f>
        <v>0</v>
      </c>
      <c r="Y41" s="33" t="b">
        <f>IF(Bdd_cave!$S$3="Toutes les années",TRUE,Bdd_cave!$S$3=E41)</f>
        <v>1</v>
      </c>
      <c r="Z41" s="27" t="b">
        <f>IF(Bdd_cave!$T$3="Toutes les couleurs",TRUE,Bdd_cave!$T$3=F41)</f>
        <v>0</v>
      </c>
      <c r="AA41" s="33" t="b">
        <f>IF(Bdd_cave!$U$3="Tous les casiers ",TRUE,Bdd_cave!$U$3=H41)</f>
        <v>0</v>
      </c>
      <c r="AB41" s="27" t="b">
        <f t="shared" si="7"/>
        <v>0</v>
      </c>
      <c r="AD41" s="27" t="str">
        <f>IF(AB41,ROWS($AB$7:AB41),"")</f>
        <v/>
      </c>
      <c r="AE41" s="27" t="str">
        <f>IFERROR(SMALL($AD$7:$AD$297,ROWS(AD$7:$AD41)),"")</f>
        <v/>
      </c>
    </row>
    <row r="42" spans="1:31" x14ac:dyDescent="0.25">
      <c r="A42" s="27" t="str">
        <f t="shared" si="8"/>
        <v>BORDEAUX SUPERIEUR  2003</v>
      </c>
      <c r="B42" s="5" t="s">
        <v>16</v>
      </c>
      <c r="C42" s="30" t="s">
        <v>87</v>
      </c>
      <c r="D42" s="30"/>
      <c r="E42" s="30">
        <v>2003</v>
      </c>
      <c r="F42" s="5" t="s">
        <v>308</v>
      </c>
      <c r="G42" s="5">
        <v>2</v>
      </c>
      <c r="H42" s="5" t="s">
        <v>364</v>
      </c>
      <c r="I42" s="6"/>
      <c r="J42" s="7"/>
      <c r="K42" s="7" t="s">
        <v>368</v>
      </c>
      <c r="L42" s="5"/>
      <c r="M42" s="5"/>
      <c r="N42" s="5">
        <v>33</v>
      </c>
      <c r="O42" s="5" t="s">
        <v>369</v>
      </c>
      <c r="P42" s="5"/>
      <c r="Q42" s="5"/>
      <c r="R42" s="5"/>
      <c r="S42" s="5"/>
      <c r="T42" s="31">
        <f t="shared" si="6"/>
        <v>35</v>
      </c>
      <c r="U42" s="31" t="str">
        <f t="shared" si="2"/>
        <v>35.jpg</v>
      </c>
      <c r="V42" s="32" t="str">
        <f t="shared" si="3"/>
        <v>35.jpg</v>
      </c>
      <c r="X42" s="33" t="b">
        <f>IF(Bdd_cave!$R$3="Toutes les regions",TRUE,Bdd_cave!$R$3=B42)</f>
        <v>0</v>
      </c>
      <c r="Y42" s="33" t="b">
        <f>IF(Bdd_cave!$S$3="Toutes les années",TRUE,Bdd_cave!$S$3=E42)</f>
        <v>1</v>
      </c>
      <c r="Z42" s="27" t="b">
        <f>IF(Bdd_cave!$T$3="Toutes les couleurs",TRUE,Bdd_cave!$T$3=F42)</f>
        <v>0</v>
      </c>
      <c r="AA42" s="33" t="b">
        <f>IF(Bdd_cave!$U$3="Tous les casiers ",TRUE,Bdd_cave!$U$3=H42)</f>
        <v>0</v>
      </c>
      <c r="AB42" s="27" t="b">
        <f t="shared" si="7"/>
        <v>0</v>
      </c>
      <c r="AD42" s="27" t="str">
        <f>IF(AB42,ROWS($AB$7:AB42),"")</f>
        <v/>
      </c>
      <c r="AE42" s="27" t="str">
        <f>IFERROR(SMALL($AD$7:$AD$297,ROWS(AD$7:$AD42)),"")</f>
        <v/>
      </c>
    </row>
    <row r="43" spans="1:31" x14ac:dyDescent="0.25">
      <c r="A43" s="27" t="str">
        <f t="shared" si="8"/>
        <v>SAVIGNY-LES-BEAUNE  2004</v>
      </c>
      <c r="B43" s="5" t="s">
        <v>15</v>
      </c>
      <c r="C43" s="30" t="s">
        <v>303</v>
      </c>
      <c r="D43" s="30"/>
      <c r="E43" s="30">
        <v>2004</v>
      </c>
      <c r="F43" s="5" t="s">
        <v>308</v>
      </c>
      <c r="G43" s="5">
        <v>1</v>
      </c>
      <c r="H43" s="5" t="s">
        <v>377</v>
      </c>
      <c r="I43" s="6"/>
      <c r="J43" s="7"/>
      <c r="K43" s="7"/>
      <c r="L43" s="5" t="s">
        <v>380</v>
      </c>
      <c r="M43" s="5"/>
      <c r="N43" s="5">
        <v>21</v>
      </c>
      <c r="O43" s="5" t="s">
        <v>55</v>
      </c>
      <c r="P43" s="5"/>
      <c r="Q43" s="5"/>
      <c r="R43" s="5"/>
      <c r="S43" s="5"/>
      <c r="T43" s="31">
        <f t="shared" si="6"/>
        <v>36</v>
      </c>
      <c r="U43" s="31" t="str">
        <f t="shared" si="2"/>
        <v>36.jpg</v>
      </c>
      <c r="V43" s="32" t="str">
        <f t="shared" si="3"/>
        <v>36.jpg</v>
      </c>
      <c r="X43" s="33" t="b">
        <f>IF(Bdd_cave!$R$3="Toutes les regions",TRUE,Bdd_cave!$R$3=B43)</f>
        <v>0</v>
      </c>
      <c r="Y43" s="33" t="b">
        <f>IF(Bdd_cave!$S$3="Toutes les années",TRUE,Bdd_cave!$S$3=E43)</f>
        <v>1</v>
      </c>
      <c r="Z43" s="27" t="b">
        <f>IF(Bdd_cave!$T$3="Toutes les couleurs",TRUE,Bdd_cave!$T$3=F43)</f>
        <v>0</v>
      </c>
      <c r="AA43" s="33" t="b">
        <f>IF(Bdd_cave!$U$3="Tous les casiers ",TRUE,Bdd_cave!$U$3=H43)</f>
        <v>0</v>
      </c>
      <c r="AB43" s="27" t="b">
        <f t="shared" si="7"/>
        <v>0</v>
      </c>
      <c r="AD43" s="27" t="str">
        <f>IF(AB43,ROWS($AB$7:AB43),"")</f>
        <v/>
      </c>
      <c r="AE43" s="27" t="str">
        <f>IFERROR(SMALL($AD$7:$AD$297,ROWS(AD$7:$AD43)),"")</f>
        <v/>
      </c>
    </row>
    <row r="44" spans="1:31" x14ac:dyDescent="0.25">
      <c r="A44" s="27" t="str">
        <f t="shared" si="8"/>
        <v>BOURGOGNE  2004</v>
      </c>
      <c r="B44" s="5" t="s">
        <v>15</v>
      </c>
      <c r="C44" s="30" t="s">
        <v>15</v>
      </c>
      <c r="D44" s="30"/>
      <c r="E44" s="30">
        <v>2004</v>
      </c>
      <c r="F44" s="5" t="s">
        <v>308</v>
      </c>
      <c r="G44" s="5">
        <v>9</v>
      </c>
      <c r="H44" s="5" t="s">
        <v>381</v>
      </c>
      <c r="I44" s="6"/>
      <c r="J44" s="7"/>
      <c r="K44" s="7"/>
      <c r="L44" s="5" t="s">
        <v>382</v>
      </c>
      <c r="M44" s="5"/>
      <c r="N44" s="5">
        <v>21</v>
      </c>
      <c r="O44" s="5" t="s">
        <v>383</v>
      </c>
      <c r="P44" s="5"/>
      <c r="Q44" s="5"/>
      <c r="R44" s="5"/>
      <c r="S44" s="5"/>
      <c r="T44" s="31">
        <f t="shared" si="6"/>
        <v>37</v>
      </c>
      <c r="U44" s="31" t="str">
        <f t="shared" si="2"/>
        <v>37.jpg</v>
      </c>
      <c r="V44" s="32" t="str">
        <f t="shared" si="3"/>
        <v>37.jpg</v>
      </c>
      <c r="X44" s="33" t="b">
        <f>IF(Bdd_cave!$R$3="Toutes les regions",TRUE,Bdd_cave!$R$3=B44)</f>
        <v>0</v>
      </c>
      <c r="Y44" s="33" t="b">
        <f>IF(Bdd_cave!$S$3="Toutes les années",TRUE,Bdd_cave!$S$3=E44)</f>
        <v>1</v>
      </c>
      <c r="Z44" s="27" t="b">
        <f>IF(Bdd_cave!$T$3="Toutes les couleurs",TRUE,Bdd_cave!$T$3=F44)</f>
        <v>0</v>
      </c>
      <c r="AA44" s="33" t="b">
        <f>IF(Bdd_cave!$U$3="Tous les casiers ",TRUE,Bdd_cave!$U$3=H44)</f>
        <v>0</v>
      </c>
      <c r="AB44" s="27" t="b">
        <f t="shared" si="7"/>
        <v>0</v>
      </c>
      <c r="AD44" s="27" t="str">
        <f>IF(AB44,ROWS($AB$7:AB44),"")</f>
        <v/>
      </c>
      <c r="AE44" s="27" t="str">
        <f>IFERROR(SMALL($AD$7:$AD$297,ROWS(AD$7:$AD44)),"")</f>
        <v/>
      </c>
    </row>
    <row r="45" spans="1:31" x14ac:dyDescent="0.25">
      <c r="A45" s="27" t="str">
        <f t="shared" si="8"/>
        <v>COTE DU RHONE  2004</v>
      </c>
      <c r="B45" s="5" t="s">
        <v>17</v>
      </c>
      <c r="C45" s="30" t="s">
        <v>17</v>
      </c>
      <c r="D45" s="30"/>
      <c r="E45" s="30">
        <v>2004</v>
      </c>
      <c r="F45" s="5" t="s">
        <v>310</v>
      </c>
      <c r="G45" s="5">
        <v>1</v>
      </c>
      <c r="H45" s="5" t="s">
        <v>521</v>
      </c>
      <c r="I45" s="6"/>
      <c r="J45" s="7"/>
      <c r="K45" s="7"/>
      <c r="L45" s="5" t="s">
        <v>523</v>
      </c>
      <c r="M45" s="5"/>
      <c r="N45" s="5">
        <v>30760</v>
      </c>
      <c r="O45" s="5" t="s">
        <v>524</v>
      </c>
      <c r="P45" s="5"/>
      <c r="Q45" s="5"/>
      <c r="R45" s="5"/>
      <c r="S45" s="5"/>
      <c r="T45" s="23">
        <f t="shared" si="6"/>
        <v>38</v>
      </c>
      <c r="U45" s="23" t="str">
        <f t="shared" si="2"/>
        <v>38.jpg</v>
      </c>
      <c r="V45" s="24" t="str">
        <f t="shared" si="3"/>
        <v>38.jpg</v>
      </c>
      <c r="X45" s="33" t="b">
        <f>IF(Bdd_cave!$R$3="Toutes les regions",TRUE,Bdd_cave!$R$3=B45)</f>
        <v>0</v>
      </c>
      <c r="Y45" s="33" t="b">
        <f>IF(Bdd_cave!$S$3="Toutes les années",TRUE,Bdd_cave!$S$3=E45)</f>
        <v>1</v>
      </c>
      <c r="Z45" s="27" t="b">
        <f>IF(Bdd_cave!$T$3="Toutes les couleurs",TRUE,Bdd_cave!$T$3=F45)</f>
        <v>0</v>
      </c>
      <c r="AA45" s="33" t="b">
        <f>IF(Bdd_cave!$U$3="Tous les casiers ",TRUE,Bdd_cave!$U$3=H45)</f>
        <v>0</v>
      </c>
      <c r="AB45" s="27" t="b">
        <f t="shared" si="7"/>
        <v>0</v>
      </c>
      <c r="AD45" s="27" t="str">
        <f>IF(AB45,ROWS($AB$7:AB45),"")</f>
        <v/>
      </c>
      <c r="AE45" s="27" t="str">
        <f>IFERROR(SMALL($AD$7:$AD$297,ROWS(AD$7:$AD45)),"")</f>
        <v/>
      </c>
    </row>
    <row r="46" spans="1:31" x14ac:dyDescent="0.25">
      <c r="A46" s="27" t="str">
        <f t="shared" si="8"/>
        <v>PATRIMONIO  2004</v>
      </c>
      <c r="B46" s="5" t="s">
        <v>27</v>
      </c>
      <c r="C46" s="30" t="s">
        <v>54</v>
      </c>
      <c r="D46" s="30"/>
      <c r="E46" s="30">
        <v>2004</v>
      </c>
      <c r="F46" s="5" t="s">
        <v>310</v>
      </c>
      <c r="G46" s="5">
        <v>1</v>
      </c>
      <c r="H46" s="5" t="s">
        <v>521</v>
      </c>
      <c r="I46" s="6"/>
      <c r="J46" s="7"/>
      <c r="K46" s="7" t="s">
        <v>525</v>
      </c>
      <c r="L46" s="5"/>
      <c r="M46" s="5"/>
      <c r="N46" s="5"/>
      <c r="O46" s="5"/>
      <c r="P46" s="5"/>
      <c r="Q46" s="5"/>
      <c r="R46" s="5"/>
      <c r="S46" s="5"/>
      <c r="T46" s="23">
        <f t="shared" si="6"/>
        <v>39</v>
      </c>
      <c r="U46" s="23" t="str">
        <f t="shared" si="2"/>
        <v>39.jpg</v>
      </c>
      <c r="V46" s="24" t="str">
        <f t="shared" si="3"/>
        <v>39.jpg</v>
      </c>
      <c r="X46" s="33" t="b">
        <f>IF(Bdd_cave!$R$3="Toutes les regions",TRUE,Bdd_cave!$R$3=B46)</f>
        <v>0</v>
      </c>
      <c r="Y46" s="33" t="b">
        <f>IF(Bdd_cave!$S$3="Toutes les années",TRUE,Bdd_cave!$S$3=E46)</f>
        <v>1</v>
      </c>
      <c r="Z46" s="27" t="b">
        <f>IF(Bdd_cave!$T$3="Toutes les couleurs",TRUE,Bdd_cave!$T$3=F46)</f>
        <v>0</v>
      </c>
      <c r="AA46" s="33" t="b">
        <f>IF(Bdd_cave!$U$3="Tous les casiers ",TRUE,Bdd_cave!$U$3=H46)</f>
        <v>0</v>
      </c>
      <c r="AB46" s="27" t="b">
        <f t="shared" si="7"/>
        <v>0</v>
      </c>
      <c r="AD46" s="27" t="str">
        <f>IF(AB46,ROWS($AB$7:AB46),"")</f>
        <v/>
      </c>
      <c r="AE46" s="27" t="str">
        <f>IFERROR(SMALL($AD$7:$AD$297,ROWS(AD$7:$AD46)),"")</f>
        <v/>
      </c>
    </row>
    <row r="47" spans="1:31" x14ac:dyDescent="0.25">
      <c r="A47" s="27" t="str">
        <f t="shared" si="8"/>
        <v>MACON AZE  2005</v>
      </c>
      <c r="B47" s="5" t="s">
        <v>15</v>
      </c>
      <c r="C47" s="30" t="s">
        <v>326</v>
      </c>
      <c r="D47" s="30"/>
      <c r="E47" s="30">
        <v>2005</v>
      </c>
      <c r="F47" s="5" t="s">
        <v>309</v>
      </c>
      <c r="G47" s="5">
        <v>1</v>
      </c>
      <c r="H47" s="5" t="s">
        <v>384</v>
      </c>
      <c r="I47" s="6"/>
      <c r="J47" s="7"/>
      <c r="K47" s="7"/>
      <c r="L47" s="5" t="s">
        <v>392</v>
      </c>
      <c r="M47" s="5"/>
      <c r="N47" s="5">
        <v>71</v>
      </c>
      <c r="O47" s="5" t="s">
        <v>393</v>
      </c>
      <c r="P47" s="5"/>
      <c r="Q47" s="5"/>
      <c r="R47" s="5"/>
      <c r="S47" s="5"/>
      <c r="T47" s="31">
        <f t="shared" si="6"/>
        <v>40</v>
      </c>
      <c r="U47" s="31" t="str">
        <f t="shared" si="2"/>
        <v>40.jpg</v>
      </c>
      <c r="V47" s="32" t="str">
        <f t="shared" si="3"/>
        <v>40.jpg</v>
      </c>
      <c r="X47" s="33" t="b">
        <f>IF(Bdd_cave!$R$3="Toutes les regions",TRUE,Bdd_cave!$R$3=B47)</f>
        <v>0</v>
      </c>
      <c r="Y47" s="33" t="b">
        <f>IF(Bdd_cave!$S$3="Toutes les années",TRUE,Bdd_cave!$S$3=E47)</f>
        <v>1</v>
      </c>
      <c r="Z47" s="27" t="b">
        <f>IF(Bdd_cave!$T$3="Toutes les couleurs",TRUE,Bdd_cave!$T$3=F47)</f>
        <v>0</v>
      </c>
      <c r="AA47" s="33" t="b">
        <f>IF(Bdd_cave!$U$3="Tous les casiers ",TRUE,Bdd_cave!$U$3=H47)</f>
        <v>0</v>
      </c>
      <c r="AB47" s="27" t="b">
        <f t="shared" si="7"/>
        <v>0</v>
      </c>
      <c r="AD47" s="27" t="str">
        <f>IF(AB47,ROWS($AB$7:AB47),"")</f>
        <v/>
      </c>
      <c r="AE47" s="27" t="str">
        <f>IFERROR(SMALL($AD$7:$AD$297,ROWS(AD$7:$AD47)),"")</f>
        <v/>
      </c>
    </row>
    <row r="48" spans="1:31" x14ac:dyDescent="0.25">
      <c r="A48" s="27" t="str">
        <f t="shared" si="8"/>
        <v>ESPAGNE  2005</v>
      </c>
      <c r="B48" s="5" t="s">
        <v>28</v>
      </c>
      <c r="C48" s="30" t="s">
        <v>396</v>
      </c>
      <c r="D48" s="30"/>
      <c r="E48" s="30">
        <v>2005</v>
      </c>
      <c r="F48" s="5" t="s">
        <v>308</v>
      </c>
      <c r="G48" s="5">
        <v>1</v>
      </c>
      <c r="H48" s="5" t="s">
        <v>384</v>
      </c>
      <c r="I48" s="6"/>
      <c r="J48" s="7"/>
      <c r="K48" s="7"/>
      <c r="L48" s="5"/>
      <c r="M48" s="5"/>
      <c r="N48" s="5"/>
      <c r="O48" s="5"/>
      <c r="P48" s="5"/>
      <c r="Q48" s="5"/>
      <c r="R48" s="5"/>
      <c r="S48" s="5"/>
      <c r="T48" s="23">
        <f t="shared" si="6"/>
        <v>41</v>
      </c>
      <c r="U48" s="23" t="str">
        <f t="shared" si="2"/>
        <v>41.jpg</v>
      </c>
      <c r="V48" s="24" t="str">
        <f t="shared" si="3"/>
        <v>41.jpg</v>
      </c>
      <c r="X48" s="33" t="b">
        <f>IF(Bdd_cave!$R$3="Toutes les regions",TRUE,Bdd_cave!$R$3=B48)</f>
        <v>0</v>
      </c>
      <c r="Y48" s="33" t="b">
        <f>IF(Bdd_cave!$S$3="Toutes les années",TRUE,Bdd_cave!$S$3=E48)</f>
        <v>1</v>
      </c>
      <c r="Z48" s="27" t="b">
        <f>IF(Bdd_cave!$T$3="Toutes les couleurs",TRUE,Bdd_cave!$T$3=F48)</f>
        <v>0</v>
      </c>
      <c r="AA48" s="33" t="b">
        <f>IF(Bdd_cave!$U$3="Tous les casiers ",TRUE,Bdd_cave!$U$3=H48)</f>
        <v>0</v>
      </c>
      <c r="AB48" s="27" t="b">
        <f t="shared" si="7"/>
        <v>0</v>
      </c>
      <c r="AD48" s="27" t="str">
        <f>IF(AB48,ROWS($AB$7:AB48),"")</f>
        <v/>
      </c>
      <c r="AE48" s="27" t="str">
        <f>IFERROR(SMALL($AD$7:$AD$297,ROWS(AD$7:$AD48)),"")</f>
        <v/>
      </c>
    </row>
    <row r="49" spans="1:31" x14ac:dyDescent="0.25">
      <c r="A49" s="27" t="str">
        <f t="shared" si="8"/>
        <v>ARBOIS (JURA)  2005</v>
      </c>
      <c r="B49" s="5" t="s">
        <v>22</v>
      </c>
      <c r="C49" s="30" t="s">
        <v>36</v>
      </c>
      <c r="D49" s="30"/>
      <c r="E49" s="30">
        <v>2005</v>
      </c>
      <c r="F49" s="5" t="s">
        <v>308</v>
      </c>
      <c r="G49" s="5">
        <v>2</v>
      </c>
      <c r="H49" s="5" t="s">
        <v>384</v>
      </c>
      <c r="I49" s="6"/>
      <c r="J49" s="7"/>
      <c r="K49" s="7"/>
      <c r="L49" s="5" t="s">
        <v>399</v>
      </c>
      <c r="M49" s="5"/>
      <c r="N49" s="5">
        <v>39600</v>
      </c>
      <c r="O49" s="5" t="s">
        <v>400</v>
      </c>
      <c r="P49" s="5"/>
      <c r="Q49" s="5"/>
      <c r="R49" s="5"/>
      <c r="S49" s="5"/>
      <c r="T49" s="23">
        <f t="shared" si="6"/>
        <v>42</v>
      </c>
      <c r="U49" s="23" t="str">
        <f t="shared" si="2"/>
        <v>42.jpg</v>
      </c>
      <c r="V49" s="24" t="str">
        <f t="shared" si="3"/>
        <v>42.jpg</v>
      </c>
      <c r="X49" s="33" t="b">
        <f>IF(Bdd_cave!$R$3="Toutes les regions",TRUE,Bdd_cave!$R$3=B49)</f>
        <v>0</v>
      </c>
      <c r="Y49" s="33" t="b">
        <f>IF(Bdd_cave!$S$3="Toutes les années",TRUE,Bdd_cave!$S$3=E49)</f>
        <v>1</v>
      </c>
      <c r="Z49" s="27" t="b">
        <f>IF(Bdd_cave!$T$3="Toutes les couleurs",TRUE,Bdd_cave!$T$3=F49)</f>
        <v>0</v>
      </c>
      <c r="AA49" s="33" t="b">
        <f>IF(Bdd_cave!$U$3="Tous les casiers ",TRUE,Bdd_cave!$U$3=H49)</f>
        <v>0</v>
      </c>
      <c r="AB49" s="27" t="b">
        <f t="shared" si="7"/>
        <v>0</v>
      </c>
      <c r="AD49" s="27" t="str">
        <f>IF(AB49,ROWS($AB$7:AB49),"")</f>
        <v/>
      </c>
      <c r="AE49" s="27" t="str">
        <f>IFERROR(SMALL($AD$7:$AD$297,ROWS(AD$7:$AD49)),"")</f>
        <v/>
      </c>
    </row>
    <row r="50" spans="1:31" x14ac:dyDescent="0.25">
      <c r="A50" s="27" t="str">
        <f t="shared" si="8"/>
        <v>SAVIGNY-LES-BEAUNE  2006</v>
      </c>
      <c r="B50" s="5" t="s">
        <v>15</v>
      </c>
      <c r="C50" s="30" t="s">
        <v>303</v>
      </c>
      <c r="D50" s="30"/>
      <c r="E50" s="30">
        <v>2006</v>
      </c>
      <c r="F50" s="5" t="s">
        <v>308</v>
      </c>
      <c r="G50" s="5">
        <v>2</v>
      </c>
      <c r="H50" s="5" t="s">
        <v>372</v>
      </c>
      <c r="I50" s="6"/>
      <c r="J50" s="7"/>
      <c r="K50" s="7"/>
      <c r="L50" s="5" t="s">
        <v>373</v>
      </c>
      <c r="M50" s="5"/>
      <c r="N50" s="5">
        <v>21</v>
      </c>
      <c r="O50" s="5" t="s">
        <v>303</v>
      </c>
      <c r="P50" s="5"/>
      <c r="Q50" s="5"/>
      <c r="R50" s="5"/>
      <c r="S50" s="5"/>
      <c r="T50" s="31">
        <f t="shared" si="6"/>
        <v>43</v>
      </c>
      <c r="U50" s="31" t="str">
        <f t="shared" si="2"/>
        <v>43.jpg</v>
      </c>
      <c r="V50" s="32" t="str">
        <f t="shared" si="3"/>
        <v>43.jpg</v>
      </c>
      <c r="X50" s="33" t="b">
        <f>IF(Bdd_cave!$R$3="Toutes les regions",TRUE,Bdd_cave!$R$3=B50)</f>
        <v>0</v>
      </c>
      <c r="Y50" s="33" t="b">
        <f>IF(Bdd_cave!$S$3="Toutes les années",TRUE,Bdd_cave!$S$3=E50)</f>
        <v>1</v>
      </c>
      <c r="Z50" s="27" t="b">
        <f>IF(Bdd_cave!$T$3="Toutes les couleurs",TRUE,Bdd_cave!$T$3=F50)</f>
        <v>0</v>
      </c>
      <c r="AA50" s="33" t="b">
        <f>IF(Bdd_cave!$U$3="Tous les casiers ",TRUE,Bdd_cave!$U$3=H50)</f>
        <v>0</v>
      </c>
      <c r="AB50" s="27" t="b">
        <f t="shared" si="7"/>
        <v>0</v>
      </c>
      <c r="AD50" s="27" t="str">
        <f>IF(AB50,ROWS($AB$7:AB50),"")</f>
        <v/>
      </c>
      <c r="AE50" s="27" t="str">
        <f>IFERROR(SMALL($AD$7:$AD$297,ROWS(AD$7:$AD50)),"")</f>
        <v/>
      </c>
    </row>
    <row r="51" spans="1:31" x14ac:dyDescent="0.25">
      <c r="A51" s="27" t="str">
        <f t="shared" si="8"/>
        <v>MONTHELIE 1 er Cru 2006</v>
      </c>
      <c r="B51" s="5" t="s">
        <v>15</v>
      </c>
      <c r="C51" s="30" t="s">
        <v>282</v>
      </c>
      <c r="D51" s="30" t="s">
        <v>312</v>
      </c>
      <c r="E51" s="30">
        <v>2006</v>
      </c>
      <c r="F51" s="5" t="s">
        <v>308</v>
      </c>
      <c r="G51" s="5">
        <v>3</v>
      </c>
      <c r="H51" s="5" t="s">
        <v>401</v>
      </c>
      <c r="I51" s="6"/>
      <c r="J51" s="7"/>
      <c r="K51" s="7" t="s">
        <v>402</v>
      </c>
      <c r="L51" s="5" t="s">
        <v>403</v>
      </c>
      <c r="M51" s="5"/>
      <c r="N51" s="5">
        <v>21</v>
      </c>
      <c r="O51" s="5" t="s">
        <v>404</v>
      </c>
      <c r="P51" s="5"/>
      <c r="Q51" s="5"/>
      <c r="R51" s="5"/>
      <c r="S51" s="5"/>
      <c r="T51" s="23">
        <f t="shared" si="6"/>
        <v>44</v>
      </c>
      <c r="U51" s="23" t="str">
        <f t="shared" si="2"/>
        <v>44.jpg</v>
      </c>
      <c r="V51" s="24" t="str">
        <f t="shared" si="3"/>
        <v>44.jpg</v>
      </c>
      <c r="X51" s="33" t="b">
        <f>IF(Bdd_cave!$R$3="Toutes les regions",TRUE,Bdd_cave!$R$3=B51)</f>
        <v>0</v>
      </c>
      <c r="Y51" s="33" t="b">
        <f>IF(Bdd_cave!$S$3="Toutes les années",TRUE,Bdd_cave!$S$3=E51)</f>
        <v>1</v>
      </c>
      <c r="Z51" s="27" t="b">
        <f>IF(Bdd_cave!$T$3="Toutes les couleurs",TRUE,Bdd_cave!$T$3=F51)</f>
        <v>0</v>
      </c>
      <c r="AA51" s="33" t="b">
        <f>IF(Bdd_cave!$U$3="Tous les casiers ",TRUE,Bdd_cave!$U$3=H51)</f>
        <v>0</v>
      </c>
      <c r="AB51" s="27" t="b">
        <f t="shared" si="7"/>
        <v>0</v>
      </c>
      <c r="AD51" s="27" t="str">
        <f>IF(AB51,ROWS($AB$7:AB51),"")</f>
        <v/>
      </c>
      <c r="AE51" s="27" t="str">
        <f>IFERROR(SMALL($AD$7:$AD$297,ROWS(AD$7:$AD51)),"")</f>
        <v/>
      </c>
    </row>
    <row r="52" spans="1:31" x14ac:dyDescent="0.25">
      <c r="A52" s="27" t="str">
        <f t="shared" si="8"/>
        <v>COTE DU RHONE  2006</v>
      </c>
      <c r="B52" s="5" t="s">
        <v>17</v>
      </c>
      <c r="C52" s="30" t="s">
        <v>17</v>
      </c>
      <c r="D52" s="30"/>
      <c r="E52" s="30">
        <v>2006</v>
      </c>
      <c r="F52" s="5" t="s">
        <v>310</v>
      </c>
      <c r="G52" s="5">
        <v>2</v>
      </c>
      <c r="H52" s="5" t="s">
        <v>527</v>
      </c>
      <c r="I52" s="6"/>
      <c r="J52" s="7"/>
      <c r="K52" s="7"/>
      <c r="L52" s="5" t="s">
        <v>522</v>
      </c>
      <c r="M52" s="5"/>
      <c r="N52" s="5">
        <v>7700</v>
      </c>
      <c r="O52" s="5" t="s">
        <v>432</v>
      </c>
      <c r="P52" s="5"/>
      <c r="Q52" s="5"/>
      <c r="R52" s="5"/>
      <c r="S52" s="5"/>
      <c r="T52" s="23">
        <f t="shared" si="6"/>
        <v>45</v>
      </c>
      <c r="U52" s="23" t="str">
        <f t="shared" si="2"/>
        <v>45.jpg</v>
      </c>
      <c r="V52" s="24" t="str">
        <f t="shared" si="3"/>
        <v>45.jpg</v>
      </c>
      <c r="X52" s="33" t="b">
        <f>IF(Bdd_cave!$R$3="Toutes les regions",TRUE,Bdd_cave!$R$3=B52)</f>
        <v>0</v>
      </c>
      <c r="Y52" s="33" t="b">
        <f>IF(Bdd_cave!$S$3="Toutes les années",TRUE,Bdd_cave!$S$3=E52)</f>
        <v>1</v>
      </c>
      <c r="Z52" s="27" t="b">
        <f>IF(Bdd_cave!$T$3="Toutes les couleurs",TRUE,Bdd_cave!$T$3=F52)</f>
        <v>0</v>
      </c>
      <c r="AA52" s="33" t="b">
        <f>IF(Bdd_cave!$U$3="Tous les casiers ",TRUE,Bdd_cave!$U$3=H52)</f>
        <v>0</v>
      </c>
      <c r="AB52" s="27" t="b">
        <f t="shared" si="7"/>
        <v>0</v>
      </c>
      <c r="AD52" s="27" t="str">
        <f>IF(AB52,ROWS($AB$7:AB52),"")</f>
        <v/>
      </c>
      <c r="AE52" s="27" t="str">
        <f>IFERROR(SMALL($AD$7:$AD$297,ROWS(AD$7:$AD52)),"")</f>
        <v/>
      </c>
    </row>
    <row r="53" spans="1:31" x14ac:dyDescent="0.25">
      <c r="A53" s="27" t="str">
        <f t="shared" si="8"/>
        <v>ALIGOTE  2007</v>
      </c>
      <c r="B53" s="5" t="s">
        <v>15</v>
      </c>
      <c r="C53" s="30" t="s">
        <v>91</v>
      </c>
      <c r="D53" s="30"/>
      <c r="E53" s="30">
        <v>2007</v>
      </c>
      <c r="F53" s="5" t="s">
        <v>309</v>
      </c>
      <c r="G53" s="5">
        <v>1</v>
      </c>
      <c r="H53" s="5" t="s">
        <v>384</v>
      </c>
      <c r="I53" s="6"/>
      <c r="J53" s="7"/>
      <c r="K53" s="7" t="s">
        <v>387</v>
      </c>
      <c r="L53" s="5"/>
      <c r="M53" s="5"/>
      <c r="N53" s="5"/>
      <c r="O53" s="5"/>
      <c r="P53" s="5"/>
      <c r="Q53" s="5"/>
      <c r="R53" s="5"/>
      <c r="S53" s="5"/>
      <c r="T53" s="31">
        <f t="shared" si="6"/>
        <v>46</v>
      </c>
      <c r="U53" s="31" t="str">
        <f t="shared" si="2"/>
        <v>46.jpg</v>
      </c>
      <c r="V53" s="32" t="str">
        <f t="shared" si="3"/>
        <v>46.jpg</v>
      </c>
      <c r="X53" s="33" t="b">
        <f>IF(Bdd_cave!$R$3="Toutes les regions",TRUE,Bdd_cave!$R$3=B53)</f>
        <v>0</v>
      </c>
      <c r="Y53" s="33" t="b">
        <f>IF(Bdd_cave!$S$3="Toutes les années",TRUE,Bdd_cave!$S$3=E53)</f>
        <v>1</v>
      </c>
      <c r="Z53" s="27" t="b">
        <f>IF(Bdd_cave!$T$3="Toutes les couleurs",TRUE,Bdd_cave!$T$3=F53)</f>
        <v>0</v>
      </c>
      <c r="AA53" s="33" t="b">
        <f>IF(Bdd_cave!$U$3="Tous les casiers ",TRUE,Bdd_cave!$U$3=H53)</f>
        <v>0</v>
      </c>
      <c r="AB53" s="27" t="b">
        <f t="shared" si="7"/>
        <v>0</v>
      </c>
      <c r="AD53" s="27" t="str">
        <f>IF(AB53,ROWS($AB$7:AB53),"")</f>
        <v/>
      </c>
      <c r="AE53" s="27" t="str">
        <f>IFERROR(SMALL($AD$7:$AD$297,ROWS(AD$7:$AD53)),"")</f>
        <v/>
      </c>
    </row>
    <row r="54" spans="1:31" x14ac:dyDescent="0.25">
      <c r="A54" s="27" t="str">
        <f t="shared" si="8"/>
        <v>ALIGOTE  2007</v>
      </c>
      <c r="B54" s="5" t="s">
        <v>15</v>
      </c>
      <c r="C54" s="30" t="s">
        <v>91</v>
      </c>
      <c r="D54" s="30"/>
      <c r="E54" s="30">
        <v>2007</v>
      </c>
      <c r="F54" s="5" t="s">
        <v>309</v>
      </c>
      <c r="G54" s="5">
        <v>1</v>
      </c>
      <c r="H54" s="5" t="s">
        <v>384</v>
      </c>
      <c r="I54" s="6"/>
      <c r="J54" s="7"/>
      <c r="K54" s="7"/>
      <c r="L54" s="5" t="s">
        <v>388</v>
      </c>
      <c r="M54" s="5"/>
      <c r="N54" s="5">
        <v>71150</v>
      </c>
      <c r="O54" s="5" t="s">
        <v>389</v>
      </c>
      <c r="P54" s="5"/>
      <c r="Q54" s="5"/>
      <c r="R54" s="5"/>
      <c r="S54" s="5"/>
      <c r="T54" s="31">
        <f t="shared" si="6"/>
        <v>47</v>
      </c>
      <c r="U54" s="31" t="str">
        <f t="shared" si="2"/>
        <v>47.jpg</v>
      </c>
      <c r="V54" s="32" t="str">
        <f t="shared" si="3"/>
        <v>47.jpg</v>
      </c>
      <c r="X54" s="33" t="b">
        <f>IF(Bdd_cave!$R$3="Toutes les regions",TRUE,Bdd_cave!$R$3=B54)</f>
        <v>0</v>
      </c>
      <c r="Y54" s="33" t="b">
        <f>IF(Bdd_cave!$S$3="Toutes les années",TRUE,Bdd_cave!$S$3=E54)</f>
        <v>1</v>
      </c>
      <c r="Z54" s="27" t="b">
        <f>IF(Bdd_cave!$T$3="Toutes les couleurs",TRUE,Bdd_cave!$T$3=F54)</f>
        <v>0</v>
      </c>
      <c r="AA54" s="33" t="b">
        <f>IF(Bdd_cave!$U$3="Tous les casiers ",TRUE,Bdd_cave!$U$3=H54)</f>
        <v>0</v>
      </c>
      <c r="AB54" s="27" t="b">
        <f t="shared" si="7"/>
        <v>0</v>
      </c>
      <c r="AD54" s="27" t="str">
        <f>IF(AB54,ROWS($AB$7:AB54),"")</f>
        <v/>
      </c>
      <c r="AE54" s="27" t="str">
        <f>IFERROR(SMALL($AD$7:$AD$297,ROWS(AD$7:$AD54)),"")</f>
        <v/>
      </c>
    </row>
    <row r="55" spans="1:31" x14ac:dyDescent="0.25">
      <c r="A55" s="27" t="str">
        <f t="shared" si="8"/>
        <v>MERCUREY  2008</v>
      </c>
      <c r="B55" s="5" t="s">
        <v>15</v>
      </c>
      <c r="C55" s="30" t="s">
        <v>279</v>
      </c>
      <c r="D55" s="30"/>
      <c r="E55" s="30">
        <v>2008</v>
      </c>
      <c r="F55" s="5" t="s">
        <v>308</v>
      </c>
      <c r="G55" s="5">
        <v>3</v>
      </c>
      <c r="H55" s="5" t="s">
        <v>353</v>
      </c>
      <c r="I55" s="6"/>
      <c r="J55" s="7"/>
      <c r="K55" s="7"/>
      <c r="L55" s="5" t="s">
        <v>354</v>
      </c>
      <c r="M55" s="5"/>
      <c r="N55" s="5"/>
      <c r="O55" s="5"/>
      <c r="P55" s="5"/>
      <c r="Q55" s="5"/>
      <c r="R55" s="5" t="s">
        <v>355</v>
      </c>
      <c r="S55" s="5"/>
      <c r="T55" s="31">
        <f t="shared" si="6"/>
        <v>48</v>
      </c>
      <c r="U55" s="31" t="str">
        <f t="shared" si="2"/>
        <v>48.jpg</v>
      </c>
      <c r="V55" s="32" t="str">
        <f t="shared" si="3"/>
        <v>48.jpg</v>
      </c>
      <c r="X55" s="33" t="b">
        <f>IF(Bdd_cave!$R$3="Toutes les regions",TRUE,Bdd_cave!$R$3=B55)</f>
        <v>0</v>
      </c>
      <c r="Y55" s="33" t="b">
        <f>IF(Bdd_cave!$S$3="Toutes les années",TRUE,Bdd_cave!$S$3=E55)</f>
        <v>1</v>
      </c>
      <c r="Z55" s="27" t="b">
        <f>IF(Bdd_cave!$T$3="Toutes les couleurs",TRUE,Bdd_cave!$T$3=F55)</f>
        <v>0</v>
      </c>
      <c r="AA55" s="33" t="b">
        <f>IF(Bdd_cave!$U$3="Tous les casiers ",TRUE,Bdd_cave!$U$3=H55)</f>
        <v>0</v>
      </c>
      <c r="AB55" s="27" t="b">
        <f t="shared" si="7"/>
        <v>0</v>
      </c>
      <c r="AD55" s="27" t="str">
        <f>IF(AB55,ROWS($AB$7:AB55),"")</f>
        <v/>
      </c>
      <c r="AE55" s="27" t="str">
        <f>IFERROR(SMALL($AD$7:$AD$297,ROWS(AD$7:$AD55)),"")</f>
        <v/>
      </c>
    </row>
    <row r="56" spans="1:31" x14ac:dyDescent="0.25">
      <c r="A56" s="27" t="str">
        <f t="shared" si="8"/>
        <v>ALIGOTE  2008</v>
      </c>
      <c r="B56" s="5" t="s">
        <v>15</v>
      </c>
      <c r="C56" s="30" t="s">
        <v>91</v>
      </c>
      <c r="D56" s="30"/>
      <c r="E56" s="30">
        <v>2008</v>
      </c>
      <c r="F56" s="5" t="s">
        <v>309</v>
      </c>
      <c r="G56" s="5">
        <v>2</v>
      </c>
      <c r="H56" s="5" t="s">
        <v>384</v>
      </c>
      <c r="I56" s="6"/>
      <c r="J56" s="7"/>
      <c r="K56" s="7"/>
      <c r="L56" s="5" t="s">
        <v>385</v>
      </c>
      <c r="M56" s="5"/>
      <c r="N56" s="5">
        <v>71960</v>
      </c>
      <c r="O56" s="5" t="s">
        <v>386</v>
      </c>
      <c r="P56" s="5"/>
      <c r="Q56" s="5"/>
      <c r="R56" s="5"/>
      <c r="S56" s="5"/>
      <c r="T56" s="31">
        <f t="shared" si="6"/>
        <v>49</v>
      </c>
      <c r="U56" s="31" t="str">
        <f t="shared" si="2"/>
        <v>49.jpg</v>
      </c>
      <c r="V56" s="32" t="str">
        <f t="shared" si="3"/>
        <v>49.jpg</v>
      </c>
      <c r="X56" s="33" t="b">
        <f>IF(Bdd_cave!$R$3="Toutes les regions",TRUE,Bdd_cave!$R$3=B56)</f>
        <v>0</v>
      </c>
      <c r="Y56" s="33" t="b">
        <f>IF(Bdd_cave!$S$3="Toutes les années",TRUE,Bdd_cave!$S$3=E56)</f>
        <v>1</v>
      </c>
      <c r="Z56" s="27" t="b">
        <f>IF(Bdd_cave!$T$3="Toutes les couleurs",TRUE,Bdd_cave!$T$3=F56)</f>
        <v>0</v>
      </c>
      <c r="AA56" s="33" t="b">
        <f>IF(Bdd_cave!$U$3="Tous les casiers ",TRUE,Bdd_cave!$U$3=H56)</f>
        <v>0</v>
      </c>
      <c r="AB56" s="27" t="b">
        <f t="shared" si="7"/>
        <v>0</v>
      </c>
      <c r="AD56" s="27" t="str">
        <f>IF(AB56,ROWS($AB$7:AB56),"")</f>
        <v/>
      </c>
      <c r="AE56" s="27" t="str">
        <f>IFERROR(SMALL($AD$7:$AD$297,ROWS(AD$7:$AD56)),"")</f>
        <v/>
      </c>
    </row>
    <row r="57" spans="1:31" x14ac:dyDescent="0.25">
      <c r="A57" s="27" t="str">
        <f t="shared" si="8"/>
        <v>MACON VILLAGE  2008</v>
      </c>
      <c r="B57" s="5" t="s">
        <v>15</v>
      </c>
      <c r="C57" s="30" t="s">
        <v>327</v>
      </c>
      <c r="D57" s="30"/>
      <c r="E57" s="30">
        <v>2008</v>
      </c>
      <c r="F57" s="5" t="s">
        <v>309</v>
      </c>
      <c r="G57" s="5">
        <v>1</v>
      </c>
      <c r="H57" s="5" t="s">
        <v>384</v>
      </c>
      <c r="I57" s="6"/>
      <c r="J57" s="7"/>
      <c r="K57" s="7"/>
      <c r="L57" s="5"/>
      <c r="M57" s="5"/>
      <c r="N57" s="5"/>
      <c r="O57" s="5"/>
      <c r="P57" s="5"/>
      <c r="Q57" s="5"/>
      <c r="R57" s="5"/>
      <c r="S57" s="5"/>
      <c r="T57" s="31">
        <f t="shared" si="6"/>
        <v>50</v>
      </c>
      <c r="U57" s="31" t="str">
        <f t="shared" si="2"/>
        <v>50.jpg</v>
      </c>
      <c r="V57" s="32" t="str">
        <f t="shared" si="3"/>
        <v>50.jpg</v>
      </c>
      <c r="X57" s="33" t="b">
        <f>IF(Bdd_cave!$R$3="Toutes les regions",TRUE,Bdd_cave!$R$3=B57)</f>
        <v>0</v>
      </c>
      <c r="Y57" s="33" t="b">
        <f>IF(Bdd_cave!$S$3="Toutes les années",TRUE,Bdd_cave!$S$3=E57)</f>
        <v>1</v>
      </c>
      <c r="Z57" s="27" t="b">
        <f>IF(Bdd_cave!$T$3="Toutes les couleurs",TRUE,Bdd_cave!$T$3=F57)</f>
        <v>0</v>
      </c>
      <c r="AA57" s="33" t="b">
        <f>IF(Bdd_cave!$U$3="Tous les casiers ",TRUE,Bdd_cave!$U$3=H57)</f>
        <v>0</v>
      </c>
      <c r="AB57" s="27" t="b">
        <f t="shared" si="7"/>
        <v>0</v>
      </c>
      <c r="AD57" s="27" t="str">
        <f>IF(AB57,ROWS($AB$7:AB57),"")</f>
        <v/>
      </c>
      <c r="AE57" s="27" t="str">
        <f>IFERROR(SMALL($AD$7:$AD$297,ROWS(AD$7:$AD57)),"")</f>
        <v/>
      </c>
    </row>
    <row r="58" spans="1:31" x14ac:dyDescent="0.25">
      <c r="A58" s="27" t="str">
        <f t="shared" si="8"/>
        <v>COTE DE NUITS-VILLAGES  2008</v>
      </c>
      <c r="B58" s="5" t="s">
        <v>15</v>
      </c>
      <c r="C58" s="30" t="s">
        <v>251</v>
      </c>
      <c r="D58" s="30"/>
      <c r="E58" s="30">
        <v>2008</v>
      </c>
      <c r="F58" s="5" t="s">
        <v>308</v>
      </c>
      <c r="G58" s="5">
        <v>1</v>
      </c>
      <c r="H58" s="5" t="s">
        <v>384</v>
      </c>
      <c r="I58" s="6"/>
      <c r="J58" s="7"/>
      <c r="K58" s="7"/>
      <c r="L58" s="5"/>
      <c r="M58" s="5"/>
      <c r="N58" s="5"/>
      <c r="O58" s="5"/>
      <c r="P58" s="5"/>
      <c r="Q58" s="5"/>
      <c r="R58" s="5"/>
      <c r="S58" s="5"/>
      <c r="T58" s="31">
        <f t="shared" si="6"/>
        <v>51</v>
      </c>
      <c r="U58" s="31" t="str">
        <f t="shared" si="2"/>
        <v>51.jpg</v>
      </c>
      <c r="V58" s="32" t="str">
        <f t="shared" si="3"/>
        <v>51.jpg</v>
      </c>
      <c r="X58" s="33" t="b">
        <f>IF(Bdd_cave!$R$3="Toutes les regions",TRUE,Bdd_cave!$R$3=B58)</f>
        <v>0</v>
      </c>
      <c r="Y58" s="33" t="b">
        <f>IF(Bdd_cave!$S$3="Toutes les années",TRUE,Bdd_cave!$S$3=E58)</f>
        <v>1</v>
      </c>
      <c r="Z58" s="27" t="b">
        <f>IF(Bdd_cave!$T$3="Toutes les couleurs",TRUE,Bdd_cave!$T$3=F58)</f>
        <v>0</v>
      </c>
      <c r="AA58" s="33" t="b">
        <f>IF(Bdd_cave!$U$3="Tous les casiers ",TRUE,Bdd_cave!$U$3=H58)</f>
        <v>0</v>
      </c>
      <c r="AB58" s="27" t="b">
        <f t="shared" si="7"/>
        <v>0</v>
      </c>
      <c r="AD58" s="27" t="str">
        <f>IF(AB58,ROWS($AB$7:AB58),"")</f>
        <v/>
      </c>
      <c r="AE58" s="27" t="str">
        <f>IFERROR(SMALL($AD$7:$AD$297,ROWS(AD$7:$AD58)),"")</f>
        <v/>
      </c>
    </row>
    <row r="59" spans="1:31" x14ac:dyDescent="0.25">
      <c r="A59" s="27" t="str">
        <f t="shared" si="8"/>
        <v>COTE DU RHONE  2008</v>
      </c>
      <c r="B59" s="5" t="s">
        <v>17</v>
      </c>
      <c r="C59" s="30" t="s">
        <v>17</v>
      </c>
      <c r="D59" s="30"/>
      <c r="E59" s="30">
        <v>2008</v>
      </c>
      <c r="F59" s="5" t="s">
        <v>310</v>
      </c>
      <c r="G59" s="5">
        <v>1</v>
      </c>
      <c r="H59" s="5" t="s">
        <v>521</v>
      </c>
      <c r="I59" s="6"/>
      <c r="J59" s="7"/>
      <c r="K59" s="7"/>
      <c r="L59" s="5" t="s">
        <v>522</v>
      </c>
      <c r="M59" s="5"/>
      <c r="N59" s="5">
        <v>7700</v>
      </c>
      <c r="O59" s="5" t="s">
        <v>432</v>
      </c>
      <c r="P59" s="5"/>
      <c r="Q59" s="5"/>
      <c r="R59" s="5"/>
      <c r="S59" s="5"/>
      <c r="T59" s="23">
        <f t="shared" si="6"/>
        <v>52</v>
      </c>
      <c r="U59" s="23" t="str">
        <f t="shared" si="2"/>
        <v>52.jpg</v>
      </c>
      <c r="V59" s="24" t="str">
        <f t="shared" si="3"/>
        <v>52.jpg</v>
      </c>
      <c r="X59" s="33" t="b">
        <f>IF(Bdd_cave!$R$3="Toutes les regions",TRUE,Bdd_cave!$R$3=B59)</f>
        <v>0</v>
      </c>
      <c r="Y59" s="33" t="b">
        <f>IF(Bdd_cave!$S$3="Toutes les années",TRUE,Bdd_cave!$S$3=E59)</f>
        <v>1</v>
      </c>
      <c r="Z59" s="27" t="b">
        <f>IF(Bdd_cave!$T$3="Toutes les couleurs",TRUE,Bdd_cave!$T$3=F59)</f>
        <v>0</v>
      </c>
      <c r="AA59" s="33" t="b">
        <f>IF(Bdd_cave!$U$3="Tous les casiers ",TRUE,Bdd_cave!$U$3=H59)</f>
        <v>0</v>
      </c>
      <c r="AB59" s="27" t="b">
        <f t="shared" si="7"/>
        <v>0</v>
      </c>
      <c r="AD59" s="27" t="str">
        <f>IF(AB59,ROWS($AB$7:AB59),"")</f>
        <v/>
      </c>
      <c r="AE59" s="27" t="str">
        <f>IFERROR(SMALL($AD$7:$AD$297,ROWS(AD$7:$AD59)),"")</f>
        <v/>
      </c>
    </row>
    <row r="60" spans="1:31" x14ac:dyDescent="0.25">
      <c r="A60" s="27" t="str">
        <f t="shared" si="8"/>
        <v>PATRIMONIO  2008</v>
      </c>
      <c r="B60" s="5" t="s">
        <v>27</v>
      </c>
      <c r="C60" s="30" t="s">
        <v>54</v>
      </c>
      <c r="D60" s="30"/>
      <c r="E60" s="30">
        <v>2008</v>
      </c>
      <c r="F60" s="5" t="s">
        <v>310</v>
      </c>
      <c r="G60" s="5">
        <v>1</v>
      </c>
      <c r="H60" s="5" t="s">
        <v>521</v>
      </c>
      <c r="I60" s="6"/>
      <c r="J60" s="7"/>
      <c r="K60" s="7" t="s">
        <v>526</v>
      </c>
      <c r="L60" s="5"/>
      <c r="M60" s="5"/>
      <c r="N60" s="5"/>
      <c r="O60" s="5"/>
      <c r="P60" s="5"/>
      <c r="Q60" s="5"/>
      <c r="R60" s="5"/>
      <c r="S60" s="5"/>
      <c r="T60" s="23">
        <f t="shared" si="6"/>
        <v>53</v>
      </c>
      <c r="U60" s="23" t="str">
        <f t="shared" si="2"/>
        <v>53.jpg</v>
      </c>
      <c r="V60" s="24" t="str">
        <f t="shared" si="3"/>
        <v>53.jpg</v>
      </c>
      <c r="X60" s="33" t="b">
        <f>IF(Bdd_cave!$R$3="Toutes les regions",TRUE,Bdd_cave!$R$3=B60)</f>
        <v>0</v>
      </c>
      <c r="Y60" s="33" t="b">
        <f>IF(Bdd_cave!$S$3="Toutes les années",TRUE,Bdd_cave!$S$3=E60)</f>
        <v>1</v>
      </c>
      <c r="Z60" s="27" t="b">
        <f>IF(Bdd_cave!$T$3="Toutes les couleurs",TRUE,Bdd_cave!$T$3=F60)</f>
        <v>0</v>
      </c>
      <c r="AA60" s="33" t="b">
        <f>IF(Bdd_cave!$U$3="Tous les casiers ",TRUE,Bdd_cave!$U$3=H60)</f>
        <v>0</v>
      </c>
      <c r="AB60" s="27" t="b">
        <f t="shared" si="7"/>
        <v>0</v>
      </c>
      <c r="AD60" s="27" t="str">
        <f>IF(AB60,ROWS($AB$7:AB60),"")</f>
        <v/>
      </c>
      <c r="AE60" s="27" t="str">
        <f>IFERROR(SMALL($AD$7:$AD$297,ROWS(AD$7:$AD60)),"")</f>
        <v/>
      </c>
    </row>
    <row r="61" spans="1:31" x14ac:dyDescent="0.25">
      <c r="A61" s="27" t="str">
        <f t="shared" si="8"/>
        <v>FIXIN  2009</v>
      </c>
      <c r="B61" s="5" t="s">
        <v>15</v>
      </c>
      <c r="C61" s="30" t="s">
        <v>259</v>
      </c>
      <c r="D61" s="30"/>
      <c r="E61" s="30">
        <v>2009</v>
      </c>
      <c r="F61" s="5" t="s">
        <v>308</v>
      </c>
      <c r="G61" s="5">
        <v>3</v>
      </c>
      <c r="H61" s="5" t="s">
        <v>340</v>
      </c>
      <c r="I61" s="6"/>
      <c r="J61" s="7"/>
      <c r="K61" s="7"/>
      <c r="L61" s="5"/>
      <c r="M61" s="5"/>
      <c r="N61" s="5"/>
      <c r="O61" s="5"/>
      <c r="P61" s="5"/>
      <c r="Q61" s="5"/>
      <c r="R61" s="5"/>
      <c r="S61" s="5"/>
      <c r="T61" s="31">
        <f t="shared" si="6"/>
        <v>54</v>
      </c>
      <c r="U61" s="31" t="str">
        <f t="shared" si="2"/>
        <v>54.jpg</v>
      </c>
      <c r="V61" s="32" t="str">
        <f t="shared" si="3"/>
        <v>54.jpg</v>
      </c>
      <c r="X61" s="33" t="b">
        <f>IF(Bdd_cave!$R$3="Toutes les regions",TRUE,Bdd_cave!$R$3=B61)</f>
        <v>0</v>
      </c>
      <c r="Y61" s="33" t="b">
        <f>IF(Bdd_cave!$S$3="Toutes les années",TRUE,Bdd_cave!$S$3=E61)</f>
        <v>1</v>
      </c>
      <c r="Z61" s="27" t="b">
        <f>IF(Bdd_cave!$T$3="Toutes les couleurs",TRUE,Bdd_cave!$T$3=F61)</f>
        <v>0</v>
      </c>
      <c r="AA61" s="33" t="b">
        <f>IF(Bdd_cave!$U$3="Tous les casiers ",TRUE,Bdd_cave!$U$3=H61)</f>
        <v>0</v>
      </c>
      <c r="AB61" s="27" t="b">
        <f t="shared" si="7"/>
        <v>0</v>
      </c>
      <c r="AD61" s="27" t="str">
        <f>IF(AB61,ROWS($AB$7:AB61),"")</f>
        <v/>
      </c>
      <c r="AE61" s="27" t="str">
        <f>IFERROR(SMALL($AD$7:$AD$297,ROWS(AD$7:$AD61)),"")</f>
        <v/>
      </c>
    </row>
    <row r="62" spans="1:31" x14ac:dyDescent="0.25">
      <c r="A62" s="27" t="str">
        <f t="shared" si="8"/>
        <v>SAVIGNY-LES-BEAUNE 1 er Cru 2009</v>
      </c>
      <c r="B62" s="5" t="s">
        <v>15</v>
      </c>
      <c r="C62" s="30" t="s">
        <v>303</v>
      </c>
      <c r="D62" s="30" t="s">
        <v>312</v>
      </c>
      <c r="E62" s="30">
        <v>2009</v>
      </c>
      <c r="F62" s="5" t="s">
        <v>308</v>
      </c>
      <c r="G62" s="5">
        <v>3</v>
      </c>
      <c r="H62" s="5" t="s">
        <v>356</v>
      </c>
      <c r="I62" s="6"/>
      <c r="J62" s="7"/>
      <c r="K62" s="7" t="s">
        <v>360</v>
      </c>
      <c r="L62" s="5" t="s">
        <v>361</v>
      </c>
      <c r="M62" s="5"/>
      <c r="N62" s="5"/>
      <c r="O62" s="5" t="s">
        <v>362</v>
      </c>
      <c r="P62" s="5"/>
      <c r="Q62" s="5"/>
      <c r="R62" s="5"/>
      <c r="S62" s="5"/>
      <c r="T62" s="31">
        <f t="shared" si="6"/>
        <v>55</v>
      </c>
      <c r="U62" s="31" t="str">
        <f t="shared" si="2"/>
        <v>55.jpg</v>
      </c>
      <c r="V62" s="32" t="str">
        <f t="shared" si="3"/>
        <v>55.jpg</v>
      </c>
      <c r="X62" s="33" t="b">
        <f>IF(Bdd_cave!$R$3="Toutes les regions",TRUE,Bdd_cave!$R$3=B62)</f>
        <v>0</v>
      </c>
      <c r="Y62" s="33" t="b">
        <f>IF(Bdd_cave!$S$3="Toutes les années",TRUE,Bdd_cave!$S$3=E62)</f>
        <v>1</v>
      </c>
      <c r="Z62" s="27" t="b">
        <f>IF(Bdd_cave!$T$3="Toutes les couleurs",TRUE,Bdd_cave!$T$3=F62)</f>
        <v>0</v>
      </c>
      <c r="AA62" s="33" t="b">
        <f>IF(Bdd_cave!$U$3="Tous les casiers ",TRUE,Bdd_cave!$U$3=H62)</f>
        <v>0</v>
      </c>
      <c r="AB62" s="27" t="b">
        <f t="shared" si="7"/>
        <v>0</v>
      </c>
      <c r="AD62" s="27" t="str">
        <f>IF(AB62,ROWS($AB$7:AB62),"")</f>
        <v/>
      </c>
      <c r="AE62" s="27" t="str">
        <f>IFERROR(SMALL($AD$7:$AD$297,ROWS(AD$7:$AD62)),"")</f>
        <v/>
      </c>
    </row>
    <row r="63" spans="1:31" x14ac:dyDescent="0.25">
      <c r="A63" s="27" t="str">
        <f t="shared" si="8"/>
        <v>SAINT-VERAN  2009</v>
      </c>
      <c r="B63" s="5" t="s">
        <v>15</v>
      </c>
      <c r="C63" s="30" t="s">
        <v>301</v>
      </c>
      <c r="D63" s="30"/>
      <c r="E63" s="30">
        <v>2009</v>
      </c>
      <c r="F63" s="5" t="s">
        <v>309</v>
      </c>
      <c r="G63" s="5">
        <v>1</v>
      </c>
      <c r="H63" s="5" t="s">
        <v>384</v>
      </c>
      <c r="I63" s="6"/>
      <c r="J63" s="7"/>
      <c r="K63" s="7"/>
      <c r="L63" s="5" t="s">
        <v>390</v>
      </c>
      <c r="M63" s="5"/>
      <c r="N63" s="5">
        <v>71570</v>
      </c>
      <c r="O63" s="5" t="s">
        <v>391</v>
      </c>
      <c r="P63" s="5"/>
      <c r="Q63" s="5"/>
      <c r="R63" s="5"/>
      <c r="S63" s="5"/>
      <c r="T63" s="31">
        <f t="shared" si="6"/>
        <v>56</v>
      </c>
      <c r="U63" s="31" t="str">
        <f t="shared" si="2"/>
        <v>56.jpg</v>
      </c>
      <c r="V63" s="32" t="str">
        <f t="shared" si="3"/>
        <v>56.jpg</v>
      </c>
      <c r="X63" s="33" t="b">
        <f>IF(Bdd_cave!$R$3="Toutes les regions",TRUE,Bdd_cave!$R$3=B63)</f>
        <v>0</v>
      </c>
      <c r="Y63" s="33" t="b">
        <f>IF(Bdd_cave!$S$3="Toutes les années",TRUE,Bdd_cave!$S$3=E63)</f>
        <v>1</v>
      </c>
      <c r="Z63" s="27" t="b">
        <f>IF(Bdd_cave!$T$3="Toutes les couleurs",TRUE,Bdd_cave!$T$3=F63)</f>
        <v>0</v>
      </c>
      <c r="AA63" s="33" t="b">
        <f>IF(Bdd_cave!$U$3="Tous les casiers ",TRUE,Bdd_cave!$U$3=H63)</f>
        <v>0</v>
      </c>
      <c r="AB63" s="27" t="b">
        <f t="shared" si="7"/>
        <v>0</v>
      </c>
      <c r="AD63" s="27" t="str">
        <f>IF(AB63,ROWS($AB$7:AB63),"")</f>
        <v/>
      </c>
      <c r="AE63" s="27" t="str">
        <f>IFERROR(SMALL($AD$7:$AD$297,ROWS(AD$7:$AD63)),"")</f>
        <v/>
      </c>
    </row>
    <row r="64" spans="1:31" x14ac:dyDescent="0.25">
      <c r="A64" s="27" t="str">
        <f t="shared" si="8"/>
        <v>RIESLING  2009</v>
      </c>
      <c r="B64" s="5" t="s">
        <v>328</v>
      </c>
      <c r="C64" s="30" t="s">
        <v>329</v>
      </c>
      <c r="D64" s="30"/>
      <c r="E64" s="30">
        <v>2009</v>
      </c>
      <c r="F64" s="5" t="s">
        <v>309</v>
      </c>
      <c r="G64" s="5">
        <v>1</v>
      </c>
      <c r="H64" s="5" t="s">
        <v>384</v>
      </c>
      <c r="I64" s="6"/>
      <c r="J64" s="7"/>
      <c r="K64" s="7"/>
      <c r="L64" s="5" t="s">
        <v>394</v>
      </c>
      <c r="M64" s="5"/>
      <c r="N64" s="5">
        <v>68630</v>
      </c>
      <c r="O64" s="5" t="s">
        <v>395</v>
      </c>
      <c r="P64" s="5"/>
      <c r="Q64" s="5"/>
      <c r="R64" s="5"/>
      <c r="S64" s="5"/>
      <c r="T64" s="31">
        <f t="shared" si="6"/>
        <v>57</v>
      </c>
      <c r="U64" s="31" t="str">
        <f t="shared" si="2"/>
        <v>57.jpg</v>
      </c>
      <c r="V64" s="32" t="str">
        <f t="shared" si="3"/>
        <v>57.jpg</v>
      </c>
      <c r="X64" s="33" t="b">
        <f>IF(Bdd_cave!$R$3="Toutes les regions",TRUE,Bdd_cave!$R$3=B64)</f>
        <v>0</v>
      </c>
      <c r="Y64" s="33" t="b">
        <f>IF(Bdd_cave!$S$3="Toutes les années",TRUE,Bdd_cave!$S$3=E64)</f>
        <v>1</v>
      </c>
      <c r="Z64" s="27" t="b">
        <f>IF(Bdd_cave!$T$3="Toutes les couleurs",TRUE,Bdd_cave!$T$3=F64)</f>
        <v>0</v>
      </c>
      <c r="AA64" s="33" t="b">
        <f>IF(Bdd_cave!$U$3="Tous les casiers ",TRUE,Bdd_cave!$U$3=H64)</f>
        <v>0</v>
      </c>
      <c r="AB64" s="27" t="b">
        <f t="shared" si="7"/>
        <v>0</v>
      </c>
      <c r="AD64" s="27" t="str">
        <f>IF(AB64,ROWS($AB$7:AB64),"")</f>
        <v/>
      </c>
      <c r="AE64" s="27" t="str">
        <f>IFERROR(SMALL($AD$7:$AD$297,ROWS(AD$7:$AD64)),"")</f>
        <v/>
      </c>
    </row>
    <row r="65" spans="1:31" x14ac:dyDescent="0.25">
      <c r="A65" s="27" t="str">
        <f t="shared" si="8"/>
        <v>ESPAGNE  2009</v>
      </c>
      <c r="B65" s="5" t="s">
        <v>28</v>
      </c>
      <c r="C65" s="30" t="s">
        <v>396</v>
      </c>
      <c r="D65" s="30"/>
      <c r="E65" s="30">
        <v>2009</v>
      </c>
      <c r="F65" s="5" t="s">
        <v>308</v>
      </c>
      <c r="G65" s="5">
        <v>1</v>
      </c>
      <c r="H65" s="5" t="s">
        <v>384</v>
      </c>
      <c r="I65" s="6"/>
      <c r="J65" s="7"/>
      <c r="K65" s="7"/>
      <c r="L65" s="5"/>
      <c r="M65" s="5"/>
      <c r="N65" s="5"/>
      <c r="O65" s="5"/>
      <c r="P65" s="5"/>
      <c r="Q65" s="5"/>
      <c r="R65" s="5"/>
      <c r="S65" s="5"/>
      <c r="T65" s="23">
        <f t="shared" si="6"/>
        <v>58</v>
      </c>
      <c r="U65" s="23" t="str">
        <f t="shared" si="2"/>
        <v>58.jpg</v>
      </c>
      <c r="V65" s="24" t="str">
        <f t="shared" si="3"/>
        <v>58.jpg</v>
      </c>
      <c r="X65" s="33" t="b">
        <f>IF(Bdd_cave!$R$3="Toutes les regions",TRUE,Bdd_cave!$R$3=B65)</f>
        <v>0</v>
      </c>
      <c r="Y65" s="33" t="b">
        <f>IF(Bdd_cave!$S$3="Toutes les années",TRUE,Bdd_cave!$S$3=E65)</f>
        <v>1</v>
      </c>
      <c r="Z65" s="27" t="b">
        <f>IF(Bdd_cave!$T$3="Toutes les couleurs",TRUE,Bdd_cave!$T$3=F65)</f>
        <v>0</v>
      </c>
      <c r="AA65" s="33" t="b">
        <f>IF(Bdd_cave!$U$3="Tous les casiers ",TRUE,Bdd_cave!$U$3=H65)</f>
        <v>0</v>
      </c>
      <c r="AB65" s="27" t="b">
        <f t="shared" si="7"/>
        <v>0</v>
      </c>
      <c r="AD65" s="27" t="str">
        <f>IF(AB65,ROWS($AB$7:AB65),"")</f>
        <v/>
      </c>
      <c r="AE65" s="27" t="str">
        <f>IFERROR(SMALL($AD$7:$AD$297,ROWS(AD$7:$AD65)),"")</f>
        <v/>
      </c>
    </row>
    <row r="66" spans="1:31" x14ac:dyDescent="0.25">
      <c r="A66" s="27" t="str">
        <f t="shared" si="8"/>
        <v>COTE DU RHONE  2009</v>
      </c>
      <c r="B66" s="5" t="s">
        <v>17</v>
      </c>
      <c r="C66" s="30" t="s">
        <v>17</v>
      </c>
      <c r="D66" s="30"/>
      <c r="E66" s="30">
        <v>2009</v>
      </c>
      <c r="F66" s="5" t="s">
        <v>310</v>
      </c>
      <c r="G66" s="5">
        <v>1</v>
      </c>
      <c r="H66" s="5" t="s">
        <v>521</v>
      </c>
      <c r="I66" s="6"/>
      <c r="J66" s="7"/>
      <c r="K66" s="7"/>
      <c r="L66" s="5" t="s">
        <v>522</v>
      </c>
      <c r="M66" s="5"/>
      <c r="N66" s="5">
        <v>7700</v>
      </c>
      <c r="O66" s="5" t="s">
        <v>432</v>
      </c>
      <c r="P66" s="5"/>
      <c r="Q66" s="5"/>
      <c r="R66" s="5"/>
      <c r="S66" s="5"/>
      <c r="T66" s="23">
        <f t="shared" si="6"/>
        <v>59</v>
      </c>
      <c r="U66" s="23" t="str">
        <f t="shared" si="2"/>
        <v>59.jpg</v>
      </c>
      <c r="V66" s="24" t="str">
        <f t="shared" si="3"/>
        <v>59.jpg</v>
      </c>
      <c r="X66" s="33" t="b">
        <f>IF(Bdd_cave!$R$3="Toutes les regions",TRUE,Bdd_cave!$R$3=B66)</f>
        <v>0</v>
      </c>
      <c r="Y66" s="33" t="b">
        <f>IF(Bdd_cave!$S$3="Toutes les années",TRUE,Bdd_cave!$S$3=E66)</f>
        <v>1</v>
      </c>
      <c r="Z66" s="27" t="b">
        <f>IF(Bdd_cave!$T$3="Toutes les couleurs",TRUE,Bdd_cave!$T$3=F66)</f>
        <v>0</v>
      </c>
      <c r="AA66" s="33" t="b">
        <f>IF(Bdd_cave!$U$3="Tous les casiers ",TRUE,Bdd_cave!$U$3=H66)</f>
        <v>0</v>
      </c>
      <c r="AB66" s="27" t="b">
        <f t="shared" si="7"/>
        <v>0</v>
      </c>
      <c r="AD66" s="27" t="str">
        <f>IF(AB66,ROWS($AB$7:AB66),"")</f>
        <v/>
      </c>
      <c r="AE66" s="27" t="str">
        <f>IFERROR(SMALL($AD$7:$AD$297,ROWS(AD$7:$AD66)),"")</f>
        <v/>
      </c>
    </row>
    <row r="67" spans="1:31" x14ac:dyDescent="0.25">
      <c r="A67" s="27" t="str">
        <f t="shared" si="8"/>
        <v>CHOREY-LES-BEAUNE  2010</v>
      </c>
      <c r="B67" s="5" t="s">
        <v>15</v>
      </c>
      <c r="C67" s="30" t="s">
        <v>226</v>
      </c>
      <c r="D67" s="30"/>
      <c r="E67" s="30">
        <v>2010</v>
      </c>
      <c r="F67" s="5" t="s">
        <v>308</v>
      </c>
      <c r="G67" s="5">
        <v>2</v>
      </c>
      <c r="H67" s="5" t="s">
        <v>335</v>
      </c>
      <c r="I67" s="6"/>
      <c r="J67" s="7"/>
      <c r="K67" s="7"/>
      <c r="L67" s="5" t="s">
        <v>336</v>
      </c>
      <c r="M67" s="5"/>
      <c r="N67" s="5"/>
      <c r="O67" s="5"/>
      <c r="P67" s="5"/>
      <c r="Q67" s="5"/>
      <c r="R67" s="5"/>
      <c r="S67" s="5"/>
      <c r="T67" s="31">
        <f t="shared" si="6"/>
        <v>60</v>
      </c>
      <c r="U67" s="31" t="str">
        <f t="shared" si="2"/>
        <v>60.jpg</v>
      </c>
      <c r="V67" s="32" t="str">
        <f t="shared" si="3"/>
        <v>60.jpg</v>
      </c>
      <c r="X67" s="33" t="b">
        <f>IF(Bdd_cave!$R$3="Toutes les regions",TRUE,Bdd_cave!$R$3=B67)</f>
        <v>0</v>
      </c>
      <c r="Y67" s="33" t="b">
        <f>IF(Bdd_cave!$S$3="Toutes les années",TRUE,Bdd_cave!$S$3=E67)</f>
        <v>1</v>
      </c>
      <c r="Z67" s="27" t="b">
        <f>IF(Bdd_cave!$T$3="Toutes les couleurs",TRUE,Bdd_cave!$T$3=F67)</f>
        <v>0</v>
      </c>
      <c r="AA67" s="33" t="b">
        <f>IF(Bdd_cave!$U$3="Tous les casiers ",TRUE,Bdd_cave!$U$3=H67)</f>
        <v>0</v>
      </c>
      <c r="AB67" s="27" t="b">
        <f t="shared" si="7"/>
        <v>0</v>
      </c>
      <c r="AD67" s="27" t="str">
        <f>IF(AB67,ROWS($AB$7:AB67),"")</f>
        <v/>
      </c>
      <c r="AE67" s="27" t="str">
        <f>IFERROR(SMALL($AD$7:$AD$297,ROWS(AD$7:$AD67)),"")</f>
        <v/>
      </c>
    </row>
    <row r="68" spans="1:31" x14ac:dyDescent="0.25">
      <c r="A68" s="27" t="str">
        <f t="shared" si="8"/>
        <v>IRANCY  2010</v>
      </c>
      <c r="B68" s="5" t="s">
        <v>15</v>
      </c>
      <c r="C68" s="30" t="s">
        <v>266</v>
      </c>
      <c r="D68" s="30"/>
      <c r="E68" s="30">
        <v>2010</v>
      </c>
      <c r="F68" s="5" t="s">
        <v>308</v>
      </c>
      <c r="G68" s="5">
        <v>1</v>
      </c>
      <c r="H68" s="5" t="s">
        <v>377</v>
      </c>
      <c r="I68" s="6"/>
      <c r="J68" s="7"/>
      <c r="K68" s="7"/>
      <c r="L68" s="5" t="s">
        <v>378</v>
      </c>
      <c r="M68" s="5"/>
      <c r="N68" s="5">
        <v>89530</v>
      </c>
      <c r="O68" s="5" t="s">
        <v>103</v>
      </c>
      <c r="P68" s="5"/>
      <c r="Q68" s="5"/>
      <c r="R68" s="5" t="s">
        <v>379</v>
      </c>
      <c r="S68" s="5"/>
      <c r="T68" s="31">
        <f t="shared" si="6"/>
        <v>61</v>
      </c>
      <c r="U68" s="31" t="str">
        <f t="shared" si="2"/>
        <v>61.jpg</v>
      </c>
      <c r="V68" s="32" t="str">
        <f t="shared" si="3"/>
        <v>61.jpg</v>
      </c>
      <c r="X68" s="33" t="b">
        <f>IF(Bdd_cave!$R$3="Toutes les regions",TRUE,Bdd_cave!$R$3=B68)</f>
        <v>0</v>
      </c>
      <c r="Y68" s="33" t="b">
        <f>IF(Bdd_cave!$S$3="Toutes les années",TRUE,Bdd_cave!$S$3=E68)</f>
        <v>1</v>
      </c>
      <c r="Z68" s="27" t="b">
        <f>IF(Bdd_cave!$T$3="Toutes les couleurs",TRUE,Bdd_cave!$T$3=F68)</f>
        <v>0</v>
      </c>
      <c r="AA68" s="33" t="b">
        <f>IF(Bdd_cave!$U$3="Tous les casiers ",TRUE,Bdd_cave!$U$3=H68)</f>
        <v>0</v>
      </c>
      <c r="AB68" s="27" t="b">
        <f t="shared" si="7"/>
        <v>0</v>
      </c>
      <c r="AD68" s="27" t="str">
        <f>IF(AB68,ROWS($AB$7:AB68),"")</f>
        <v/>
      </c>
      <c r="AE68" s="27" t="str">
        <f>IFERROR(SMALL($AD$7:$AD$297,ROWS(AD$7:$AD68)),"")</f>
        <v/>
      </c>
    </row>
    <row r="69" spans="1:31" x14ac:dyDescent="0.25">
      <c r="A69" s="27" t="str">
        <f t="shared" si="8"/>
        <v>ALIGOTE  2010</v>
      </c>
      <c r="B69" s="5" t="s">
        <v>15</v>
      </c>
      <c r="C69" s="30" t="s">
        <v>91</v>
      </c>
      <c r="D69" s="30"/>
      <c r="E69" s="30">
        <v>2010</v>
      </c>
      <c r="F69" s="5" t="s">
        <v>309</v>
      </c>
      <c r="G69" s="5">
        <v>1</v>
      </c>
      <c r="H69" s="5" t="s">
        <v>384</v>
      </c>
      <c r="I69" s="6"/>
      <c r="J69" s="7"/>
      <c r="K69" s="7"/>
      <c r="L69" s="5"/>
      <c r="M69" s="5"/>
      <c r="N69" s="5"/>
      <c r="O69" s="5"/>
      <c r="P69" s="5"/>
      <c r="Q69" s="5"/>
      <c r="R69" s="5"/>
      <c r="S69" s="5"/>
      <c r="T69" s="31">
        <f t="shared" si="6"/>
        <v>62</v>
      </c>
      <c r="U69" s="31" t="str">
        <f t="shared" si="2"/>
        <v>62.jpg</v>
      </c>
      <c r="V69" s="32" t="str">
        <f t="shared" si="3"/>
        <v>62.jpg</v>
      </c>
      <c r="X69" s="33" t="b">
        <f>IF(Bdd_cave!$R$3="Toutes les regions",TRUE,Bdd_cave!$R$3=B69)</f>
        <v>0</v>
      </c>
      <c r="Y69" s="33" t="b">
        <f>IF(Bdd_cave!$S$3="Toutes les années",TRUE,Bdd_cave!$S$3=E69)</f>
        <v>1</v>
      </c>
      <c r="Z69" s="27" t="b">
        <f>IF(Bdd_cave!$T$3="Toutes les couleurs",TRUE,Bdd_cave!$T$3=F69)</f>
        <v>0</v>
      </c>
      <c r="AA69" s="33" t="b">
        <f>IF(Bdd_cave!$U$3="Tous les casiers ",TRUE,Bdd_cave!$U$3=H69)</f>
        <v>0</v>
      </c>
      <c r="AB69" s="27" t="b">
        <f t="shared" si="7"/>
        <v>0</v>
      </c>
      <c r="AD69" s="27" t="str">
        <f>IF(AB69,ROWS($AB$7:AB69),"")</f>
        <v/>
      </c>
      <c r="AE69" s="27" t="str">
        <f>IFERROR(SMALL($AD$7:$AD$297,ROWS(AD$7:$AD69)),"")</f>
        <v/>
      </c>
    </row>
    <row r="70" spans="1:31" x14ac:dyDescent="0.25">
      <c r="A70" s="27" t="str">
        <f t="shared" si="8"/>
        <v>COTE DU RHONE  2010</v>
      </c>
      <c r="B70" s="5" t="s">
        <v>17</v>
      </c>
      <c r="C70" s="30" t="s">
        <v>17</v>
      </c>
      <c r="D70" s="30"/>
      <c r="E70" s="30">
        <v>2010</v>
      </c>
      <c r="F70" s="5" t="s">
        <v>310</v>
      </c>
      <c r="G70" s="5">
        <v>1</v>
      </c>
      <c r="H70" s="5" t="s">
        <v>521</v>
      </c>
      <c r="I70" s="6"/>
      <c r="J70" s="7"/>
      <c r="K70" s="7"/>
      <c r="L70" s="5" t="s">
        <v>431</v>
      </c>
      <c r="M70" s="5"/>
      <c r="N70" s="5">
        <v>7700</v>
      </c>
      <c r="O70" s="5" t="s">
        <v>432</v>
      </c>
      <c r="P70" s="5"/>
      <c r="Q70" s="5"/>
      <c r="R70" s="5"/>
      <c r="S70" s="5"/>
      <c r="T70" s="23">
        <f t="shared" si="6"/>
        <v>63</v>
      </c>
      <c r="U70" s="23" t="str">
        <f t="shared" si="2"/>
        <v>63.jpg</v>
      </c>
      <c r="V70" s="24" t="str">
        <f t="shared" si="3"/>
        <v>63.jpg</v>
      </c>
      <c r="X70" s="33" t="b">
        <f>IF(Bdd_cave!$R$3="Toutes les regions",TRUE,Bdd_cave!$R$3=B70)</f>
        <v>0</v>
      </c>
      <c r="Y70" s="33" t="b">
        <f>IF(Bdd_cave!$S$3="Toutes les années",TRUE,Bdd_cave!$S$3=E70)</f>
        <v>1</v>
      </c>
      <c r="Z70" s="27" t="b">
        <f>IF(Bdd_cave!$T$3="Toutes les couleurs",TRUE,Bdd_cave!$T$3=F70)</f>
        <v>0</v>
      </c>
      <c r="AA70" s="33" t="b">
        <f>IF(Bdd_cave!$U$3="Tous les casiers ",TRUE,Bdd_cave!$U$3=H70)</f>
        <v>0</v>
      </c>
      <c r="AB70" s="27" t="b">
        <f t="shared" si="7"/>
        <v>0</v>
      </c>
      <c r="AD70" s="27" t="str">
        <f>IF(AB70,ROWS($AB$7:AB70),"")</f>
        <v/>
      </c>
      <c r="AE70" s="27" t="str">
        <f>IFERROR(SMALL($AD$7:$AD$297,ROWS(AD$7:$AD70)),"")</f>
        <v/>
      </c>
    </row>
    <row r="71" spans="1:31" x14ac:dyDescent="0.25">
      <c r="A71" s="27" t="str">
        <f t="shared" si="8"/>
        <v>COTES DE BORDEAUX  2010</v>
      </c>
      <c r="B71" s="5" t="s">
        <v>16</v>
      </c>
      <c r="C71" s="30" t="s">
        <v>516</v>
      </c>
      <c r="D71" s="30"/>
      <c r="E71" s="30">
        <v>2010</v>
      </c>
      <c r="F71" s="5" t="s">
        <v>308</v>
      </c>
      <c r="G71" s="5">
        <v>1</v>
      </c>
      <c r="H71" s="5" t="s">
        <v>533</v>
      </c>
      <c r="I71" s="6"/>
      <c r="J71" s="7"/>
      <c r="K71" s="7" t="s">
        <v>534</v>
      </c>
      <c r="L71" s="5" t="s">
        <v>535</v>
      </c>
      <c r="M71" s="5"/>
      <c r="N71" s="5"/>
      <c r="O71" s="5"/>
      <c r="P71" s="5"/>
      <c r="Q71" s="5"/>
      <c r="R71" s="5"/>
      <c r="S71" s="5"/>
      <c r="T71" s="23">
        <f t="shared" ref="T71:T102" si="9">ROW(T71)-7</f>
        <v>64</v>
      </c>
      <c r="U71" s="23" t="str">
        <f t="shared" ref="U71:U134" si="10">CONCATENATE(T71,".jpg")</f>
        <v>64.jpg</v>
      </c>
      <c r="V71" s="24" t="str">
        <f t="shared" ref="V71:V134" si="11">CONCATENATE($V$2,U71)</f>
        <v>64.jpg</v>
      </c>
      <c r="X71" s="33" t="b">
        <f>IF(Bdd_cave!$R$3="Toutes les regions",TRUE,Bdd_cave!$R$3=B71)</f>
        <v>0</v>
      </c>
      <c r="Y71" s="33" t="b">
        <f>IF(Bdd_cave!$S$3="Toutes les années",TRUE,Bdd_cave!$S$3=E71)</f>
        <v>1</v>
      </c>
      <c r="Z71" s="27" t="b">
        <f>IF(Bdd_cave!$T$3="Toutes les couleurs",TRUE,Bdd_cave!$T$3=F71)</f>
        <v>0</v>
      </c>
      <c r="AA71" s="33" t="b">
        <f>IF(Bdd_cave!$U$3="Tous les casiers ",TRUE,Bdd_cave!$U$3=H71)</f>
        <v>0</v>
      </c>
      <c r="AB71" s="27" t="b">
        <f t="shared" ref="AB71:AB102" si="12">AND(X71:Z71)</f>
        <v>0</v>
      </c>
      <c r="AD71" s="27" t="str">
        <f>IF(AB71,ROWS($AB$7:AB71),"")</f>
        <v/>
      </c>
      <c r="AE71" s="27" t="str">
        <f>IFERROR(SMALL($AD$7:$AD$297,ROWS(AD$7:$AD71)),"")</f>
        <v/>
      </c>
    </row>
    <row r="72" spans="1:31" x14ac:dyDescent="0.25">
      <c r="A72" s="27" t="str">
        <f t="shared" ref="A72:A103" si="13">CONCATENATE(C72," ",D72," ",E72)</f>
        <v>CHABLIS-VAILLONS 1 er Cru 2011</v>
      </c>
      <c r="B72" s="5" t="s">
        <v>15</v>
      </c>
      <c r="C72" s="30" t="s">
        <v>427</v>
      </c>
      <c r="D72" s="30" t="s">
        <v>312</v>
      </c>
      <c r="E72" s="30">
        <v>2011</v>
      </c>
      <c r="F72" s="5" t="s">
        <v>309</v>
      </c>
      <c r="G72" s="5">
        <v>1</v>
      </c>
      <c r="H72" s="5" t="s">
        <v>428</v>
      </c>
      <c r="I72" s="6"/>
      <c r="J72" s="7"/>
      <c r="K72" s="7"/>
      <c r="L72" s="5"/>
      <c r="M72" s="5"/>
      <c r="N72" s="5"/>
      <c r="O72" s="5"/>
      <c r="P72" s="5"/>
      <c r="Q72" s="5"/>
      <c r="R72" s="5"/>
      <c r="S72" s="5"/>
      <c r="T72" s="31">
        <f t="shared" si="9"/>
        <v>65</v>
      </c>
      <c r="U72" s="31" t="str">
        <f t="shared" si="10"/>
        <v>65.jpg</v>
      </c>
      <c r="V72" s="32" t="str">
        <f t="shared" si="11"/>
        <v>65.jpg</v>
      </c>
      <c r="X72" s="33" t="b">
        <f>IF(Bdd_cave!$R$3="Toutes les regions",TRUE,Bdd_cave!$R$3=B72)</f>
        <v>0</v>
      </c>
      <c r="Y72" s="33" t="b">
        <f>IF(Bdd_cave!$S$3="Toutes les années",TRUE,Bdd_cave!$S$3=E72)</f>
        <v>1</v>
      </c>
      <c r="Z72" s="27" t="b">
        <f>IF(Bdd_cave!$T$3="Toutes les couleurs",TRUE,Bdd_cave!$T$3=F72)</f>
        <v>0</v>
      </c>
      <c r="AA72" s="33" t="b">
        <f>IF(Bdd_cave!$U$3="Tous les casiers ",TRUE,Bdd_cave!$U$3=H72)</f>
        <v>0</v>
      </c>
      <c r="AB72" s="27" t="b">
        <f t="shared" si="12"/>
        <v>0</v>
      </c>
      <c r="AD72" s="27" t="str">
        <f>IF(AB72,ROWS($AB$7:AB72),"")</f>
        <v/>
      </c>
      <c r="AE72" s="27" t="str">
        <f>IFERROR(SMALL($AD$7:$AD$297,ROWS(AD$7:$AD72)),"")</f>
        <v/>
      </c>
    </row>
    <row r="73" spans="1:31" x14ac:dyDescent="0.25">
      <c r="A73" s="27" t="str">
        <f t="shared" si="13"/>
        <v>CORTON Grand Cru 2011</v>
      </c>
      <c r="B73" s="5" t="s">
        <v>15</v>
      </c>
      <c r="C73" s="30" t="s">
        <v>243</v>
      </c>
      <c r="D73" s="30" t="s">
        <v>311</v>
      </c>
      <c r="E73" s="30">
        <v>2011</v>
      </c>
      <c r="F73" s="5" t="s">
        <v>308</v>
      </c>
      <c r="G73" s="5">
        <v>1</v>
      </c>
      <c r="H73" s="5" t="s">
        <v>428</v>
      </c>
      <c r="I73" s="6"/>
      <c r="J73" s="7"/>
      <c r="K73" s="7"/>
      <c r="L73" s="5" t="s">
        <v>451</v>
      </c>
      <c r="M73" s="5"/>
      <c r="N73" s="5"/>
      <c r="O73" s="5"/>
      <c r="P73" s="5"/>
      <c r="Q73" s="5"/>
      <c r="R73" s="5"/>
      <c r="S73" s="5"/>
      <c r="T73" s="31">
        <f t="shared" si="9"/>
        <v>66</v>
      </c>
      <c r="U73" s="31" t="str">
        <f t="shared" si="10"/>
        <v>66.jpg</v>
      </c>
      <c r="V73" s="32" t="str">
        <f t="shared" si="11"/>
        <v>66.jpg</v>
      </c>
      <c r="X73" s="33" t="b">
        <f>IF(Bdd_cave!$R$3="Toutes les regions",TRUE,Bdd_cave!$R$3=B73)</f>
        <v>0</v>
      </c>
      <c r="Y73" s="33" t="b">
        <f>IF(Bdd_cave!$S$3="Toutes les années",TRUE,Bdd_cave!$S$3=E73)</f>
        <v>1</v>
      </c>
      <c r="Z73" s="27" t="b">
        <f>IF(Bdd_cave!$T$3="Toutes les couleurs",TRUE,Bdd_cave!$T$3=F73)</f>
        <v>0</v>
      </c>
      <c r="AA73" s="33" t="b">
        <f>IF(Bdd_cave!$U$3="Tous les casiers ",TRUE,Bdd_cave!$U$3=H73)</f>
        <v>0</v>
      </c>
      <c r="AB73" s="27" t="b">
        <f t="shared" si="12"/>
        <v>0</v>
      </c>
      <c r="AD73" s="27" t="str">
        <f>IF(AB73,ROWS($AB$7:AB73),"")</f>
        <v/>
      </c>
      <c r="AE73" s="27" t="str">
        <f>IFERROR(SMALL($AD$7:$AD$297,ROWS(AD$7:$AD73)),"")</f>
        <v/>
      </c>
    </row>
    <row r="74" spans="1:31" x14ac:dyDescent="0.25">
      <c r="A74" s="27" t="str">
        <f t="shared" si="13"/>
        <v>CHASSAGNE-MONTRACHET  2011</v>
      </c>
      <c r="B74" s="5" t="s">
        <v>15</v>
      </c>
      <c r="C74" s="30" t="s">
        <v>220</v>
      </c>
      <c r="D74" s="30"/>
      <c r="E74" s="30">
        <v>2011</v>
      </c>
      <c r="F74" s="5" t="s">
        <v>308</v>
      </c>
      <c r="G74" s="5">
        <v>1</v>
      </c>
      <c r="H74" s="5" t="s">
        <v>428</v>
      </c>
      <c r="I74" s="6"/>
      <c r="J74" s="7"/>
      <c r="K74" s="7" t="s">
        <v>453</v>
      </c>
      <c r="L74" s="5" t="s">
        <v>457</v>
      </c>
      <c r="M74" s="5"/>
      <c r="N74" s="5"/>
      <c r="O74" s="5"/>
      <c r="P74" s="5"/>
      <c r="Q74" s="5"/>
      <c r="R74" s="5"/>
      <c r="S74" s="5"/>
      <c r="T74" s="31">
        <f t="shared" si="9"/>
        <v>67</v>
      </c>
      <c r="U74" s="31" t="str">
        <f t="shared" si="10"/>
        <v>67.jpg</v>
      </c>
      <c r="V74" s="32" t="str">
        <f t="shared" si="11"/>
        <v>67.jpg</v>
      </c>
      <c r="X74" s="33" t="b">
        <f>IF(Bdd_cave!$R$3="Toutes les regions",TRUE,Bdd_cave!$R$3=B74)</f>
        <v>0</v>
      </c>
      <c r="Y74" s="33" t="b">
        <f>IF(Bdd_cave!$S$3="Toutes les années",TRUE,Bdd_cave!$S$3=E74)</f>
        <v>1</v>
      </c>
      <c r="Z74" s="27" t="b">
        <f>IF(Bdd_cave!$T$3="Toutes les couleurs",TRUE,Bdd_cave!$T$3=F74)</f>
        <v>0</v>
      </c>
      <c r="AA74" s="33" t="b">
        <f>IF(Bdd_cave!$U$3="Tous les casiers ",TRUE,Bdd_cave!$U$3=H74)</f>
        <v>0</v>
      </c>
      <c r="AB74" s="27" t="b">
        <f t="shared" si="12"/>
        <v>0</v>
      </c>
      <c r="AD74" s="27" t="str">
        <f>IF(AB74,ROWS($AB$7:AB74),"")</f>
        <v/>
      </c>
      <c r="AE74" s="27" t="str">
        <f>IFERROR(SMALL($AD$7:$AD$297,ROWS(AD$7:$AD74)),"")</f>
        <v/>
      </c>
    </row>
    <row r="75" spans="1:31" x14ac:dyDescent="0.25">
      <c r="A75" s="27" t="str">
        <f t="shared" si="13"/>
        <v>DOURTHE  2011</v>
      </c>
      <c r="B75" s="5" t="s">
        <v>16</v>
      </c>
      <c r="C75" s="30" t="s">
        <v>458</v>
      </c>
      <c r="D75" s="30"/>
      <c r="E75" s="30">
        <v>2011</v>
      </c>
      <c r="F75" s="5" t="s">
        <v>308</v>
      </c>
      <c r="G75" s="5">
        <v>1</v>
      </c>
      <c r="H75" s="5" t="s">
        <v>428</v>
      </c>
      <c r="I75" s="6"/>
      <c r="J75" s="7"/>
      <c r="K75" s="7"/>
      <c r="L75" s="5"/>
      <c r="M75" s="5"/>
      <c r="N75" s="5"/>
      <c r="O75" s="5"/>
      <c r="P75" s="5"/>
      <c r="Q75" s="5"/>
      <c r="R75" s="5" t="s">
        <v>459</v>
      </c>
      <c r="S75" s="5"/>
      <c r="T75" s="31">
        <f t="shared" si="9"/>
        <v>68</v>
      </c>
      <c r="U75" s="31" t="str">
        <f t="shared" si="10"/>
        <v>68.jpg</v>
      </c>
      <c r="V75" s="32" t="str">
        <f t="shared" si="11"/>
        <v>68.jpg</v>
      </c>
      <c r="X75" s="33" t="b">
        <f>IF(Bdd_cave!$R$3="Toutes les regions",TRUE,Bdd_cave!$R$3=B75)</f>
        <v>0</v>
      </c>
      <c r="Y75" s="33" t="b">
        <f>IF(Bdd_cave!$S$3="Toutes les années",TRUE,Bdd_cave!$S$3=E75)</f>
        <v>1</v>
      </c>
      <c r="Z75" s="27" t="b">
        <f>IF(Bdd_cave!$T$3="Toutes les couleurs",TRUE,Bdd_cave!$T$3=F75)</f>
        <v>0</v>
      </c>
      <c r="AA75" s="33" t="b">
        <f>IF(Bdd_cave!$U$3="Tous les casiers ",TRUE,Bdd_cave!$U$3=H75)</f>
        <v>0</v>
      </c>
      <c r="AB75" s="27" t="b">
        <f t="shared" si="12"/>
        <v>0</v>
      </c>
      <c r="AD75" s="27" t="str">
        <f>IF(AB75,ROWS($AB$7:AB75),"")</f>
        <v/>
      </c>
      <c r="AE75" s="27" t="str">
        <f>IFERROR(SMALL($AD$7:$AD$297,ROWS(AD$7:$AD75)),"")</f>
        <v/>
      </c>
    </row>
    <row r="76" spans="1:31" x14ac:dyDescent="0.25">
      <c r="A76" s="27" t="str">
        <f t="shared" si="13"/>
        <v>COTEAUX DE L'ARDECHE  2011</v>
      </c>
      <c r="B76" s="5" t="s">
        <v>478</v>
      </c>
      <c r="C76" s="30" t="s">
        <v>479</v>
      </c>
      <c r="D76" s="30"/>
      <c r="E76" s="30">
        <v>2011</v>
      </c>
      <c r="F76" s="5" t="s">
        <v>308</v>
      </c>
      <c r="G76" s="5">
        <v>5</v>
      </c>
      <c r="H76" s="5" t="s">
        <v>480</v>
      </c>
      <c r="I76" s="6"/>
      <c r="J76" s="7"/>
      <c r="K76" s="7" t="s">
        <v>481</v>
      </c>
      <c r="L76" s="5" t="s">
        <v>482</v>
      </c>
      <c r="M76" s="5"/>
      <c r="N76" s="5">
        <v>7120</v>
      </c>
      <c r="O76" s="5" t="s">
        <v>483</v>
      </c>
      <c r="P76" s="5"/>
      <c r="Q76" s="5"/>
      <c r="R76" s="5"/>
      <c r="S76" s="5"/>
      <c r="T76" s="23">
        <f t="shared" si="9"/>
        <v>69</v>
      </c>
      <c r="U76" s="23" t="str">
        <f t="shared" si="10"/>
        <v>69.jpg</v>
      </c>
      <c r="V76" s="24" t="str">
        <f t="shared" si="11"/>
        <v>69.jpg</v>
      </c>
      <c r="X76" s="33" t="b">
        <f>IF(Bdd_cave!$R$3="Toutes les regions",TRUE,Bdd_cave!$R$3=B76)</f>
        <v>0</v>
      </c>
      <c r="Y76" s="33" t="b">
        <f>IF(Bdd_cave!$S$3="Toutes les années",TRUE,Bdd_cave!$S$3=E76)</f>
        <v>1</v>
      </c>
      <c r="Z76" s="27" t="b">
        <f>IF(Bdd_cave!$T$3="Toutes les couleurs",TRUE,Bdd_cave!$T$3=F76)</f>
        <v>0</v>
      </c>
      <c r="AA76" s="33" t="b">
        <f>IF(Bdd_cave!$U$3="Tous les casiers ",TRUE,Bdd_cave!$U$3=H76)</f>
        <v>0</v>
      </c>
      <c r="AB76" s="27" t="b">
        <f t="shared" si="12"/>
        <v>0</v>
      </c>
      <c r="AD76" s="27" t="str">
        <f>IF(AB76,ROWS($AB$7:AB76),"")</f>
        <v/>
      </c>
      <c r="AE76" s="27" t="str">
        <f>IFERROR(SMALL($AD$7:$AD$297,ROWS(AD$7:$AD76)),"")</f>
        <v/>
      </c>
    </row>
    <row r="77" spans="1:31" x14ac:dyDescent="0.25">
      <c r="A77" s="27" t="str">
        <f t="shared" si="13"/>
        <v>BOURGOGNE  2012</v>
      </c>
      <c r="B77" s="5" t="s">
        <v>15</v>
      </c>
      <c r="C77" s="30" t="s">
        <v>15</v>
      </c>
      <c r="D77" s="30"/>
      <c r="E77" s="30">
        <v>2012</v>
      </c>
      <c r="F77" s="5" t="s">
        <v>308</v>
      </c>
      <c r="G77" s="5">
        <v>5</v>
      </c>
      <c r="H77" s="5" t="s">
        <v>370</v>
      </c>
      <c r="I77" s="6"/>
      <c r="J77" s="7"/>
      <c r="K77" s="7"/>
      <c r="L77" s="5" t="s">
        <v>371</v>
      </c>
      <c r="M77" s="5"/>
      <c r="N77" s="5">
        <v>21</v>
      </c>
      <c r="O77" s="5" t="s">
        <v>306</v>
      </c>
      <c r="P77" s="5"/>
      <c r="Q77" s="5"/>
      <c r="R77" s="5"/>
      <c r="S77" s="5"/>
      <c r="T77" s="31">
        <f t="shared" si="9"/>
        <v>70</v>
      </c>
      <c r="U77" s="31" t="str">
        <f t="shared" si="10"/>
        <v>70.jpg</v>
      </c>
      <c r="V77" s="32" t="str">
        <f t="shared" si="11"/>
        <v>70.jpg</v>
      </c>
      <c r="X77" s="33" t="b">
        <f>IF(Bdd_cave!$R$3="Toutes les regions",TRUE,Bdd_cave!$R$3=B77)</f>
        <v>0</v>
      </c>
      <c r="Y77" s="33" t="b">
        <f>IF(Bdd_cave!$S$3="Toutes les années",TRUE,Bdd_cave!$S$3=E77)</f>
        <v>1</v>
      </c>
      <c r="Z77" s="27" t="b">
        <f>IF(Bdd_cave!$T$3="Toutes les couleurs",TRUE,Bdd_cave!$T$3=F77)</f>
        <v>0</v>
      </c>
      <c r="AA77" s="33" t="b">
        <f>IF(Bdd_cave!$U$3="Tous les casiers ",TRUE,Bdd_cave!$U$3=H77)</f>
        <v>0</v>
      </c>
      <c r="AB77" s="27" t="b">
        <f t="shared" si="12"/>
        <v>0</v>
      </c>
      <c r="AD77" s="27" t="str">
        <f>IF(AB77,ROWS($AB$7:AB77),"")</f>
        <v/>
      </c>
      <c r="AE77" s="27" t="str">
        <f>IFERROR(SMALL($AD$7:$AD$297,ROWS(AD$7:$AD77)),"")</f>
        <v/>
      </c>
    </row>
    <row r="78" spans="1:31" x14ac:dyDescent="0.25">
      <c r="A78" s="27" t="str">
        <f t="shared" si="13"/>
        <v>LE LOUVETEAU  2012</v>
      </c>
      <c r="B78" s="5" t="s">
        <v>16</v>
      </c>
      <c r="C78" s="30" t="s">
        <v>331</v>
      </c>
      <c r="D78" s="30"/>
      <c r="E78" s="30">
        <v>2012</v>
      </c>
      <c r="F78" s="5" t="s">
        <v>308</v>
      </c>
      <c r="G78" s="5">
        <v>1</v>
      </c>
      <c r="H78" s="5" t="s">
        <v>384</v>
      </c>
      <c r="I78" s="6"/>
      <c r="J78" s="7"/>
      <c r="K78" s="7"/>
      <c r="L78" s="5" t="s">
        <v>397</v>
      </c>
      <c r="M78" s="5"/>
      <c r="N78" s="5">
        <v>33860</v>
      </c>
      <c r="O78" s="5" t="s">
        <v>398</v>
      </c>
      <c r="P78" s="5"/>
      <c r="Q78" s="5"/>
      <c r="R78" s="5"/>
      <c r="S78" s="5"/>
      <c r="T78" s="23">
        <f t="shared" si="9"/>
        <v>71</v>
      </c>
      <c r="U78" s="23" t="str">
        <f t="shared" si="10"/>
        <v>71.jpg</v>
      </c>
      <c r="V78" s="24" t="str">
        <f t="shared" si="11"/>
        <v>71.jpg</v>
      </c>
      <c r="X78" s="33" t="b">
        <f>IF(Bdd_cave!$R$3="Toutes les regions",TRUE,Bdd_cave!$R$3=B78)</f>
        <v>0</v>
      </c>
      <c r="Y78" s="33" t="b">
        <f>IF(Bdd_cave!$S$3="Toutes les années",TRUE,Bdd_cave!$S$3=E78)</f>
        <v>1</v>
      </c>
      <c r="Z78" s="27" t="b">
        <f>IF(Bdd_cave!$T$3="Toutes les couleurs",TRUE,Bdd_cave!$T$3=F78)</f>
        <v>0</v>
      </c>
      <c r="AA78" s="33" t="b">
        <f>IF(Bdd_cave!$U$3="Tous les casiers ",TRUE,Bdd_cave!$U$3=H78)</f>
        <v>0</v>
      </c>
      <c r="AB78" s="27" t="b">
        <f t="shared" si="12"/>
        <v>0</v>
      </c>
      <c r="AD78" s="27" t="str">
        <f>IF(AB78,ROWS($AB$7:AB78),"")</f>
        <v/>
      </c>
      <c r="AE78" s="27" t="str">
        <f>IFERROR(SMALL($AD$7:$AD$297,ROWS(AD$7:$AD78)),"")</f>
        <v/>
      </c>
    </row>
    <row r="79" spans="1:31" x14ac:dyDescent="0.25">
      <c r="A79" s="27" t="str">
        <f t="shared" si="13"/>
        <v>VACQUEYRAS  2012</v>
      </c>
      <c r="B79" s="5" t="s">
        <v>17</v>
      </c>
      <c r="C79" s="30" t="s">
        <v>176</v>
      </c>
      <c r="D79" s="30"/>
      <c r="E79" s="30">
        <v>2012</v>
      </c>
      <c r="F79" s="5" t="s">
        <v>309</v>
      </c>
      <c r="G79" s="5">
        <v>2</v>
      </c>
      <c r="H79" s="5" t="s">
        <v>406</v>
      </c>
      <c r="I79" s="6"/>
      <c r="J79" s="7"/>
      <c r="K79" s="7"/>
      <c r="L79" s="5" t="s">
        <v>407</v>
      </c>
      <c r="M79" s="5"/>
      <c r="N79" s="5">
        <v>84190</v>
      </c>
      <c r="O79" s="5" t="s">
        <v>408</v>
      </c>
      <c r="P79" s="5"/>
      <c r="Q79" s="5"/>
      <c r="R79" s="5"/>
      <c r="S79" s="5"/>
      <c r="T79" s="23">
        <f t="shared" si="9"/>
        <v>72</v>
      </c>
      <c r="U79" s="23" t="str">
        <f t="shared" si="10"/>
        <v>72.jpg</v>
      </c>
      <c r="V79" s="24" t="str">
        <f t="shared" si="11"/>
        <v>72.jpg</v>
      </c>
      <c r="X79" s="33" t="b">
        <f>IF(Bdd_cave!$R$3="Toutes les regions",TRUE,Bdd_cave!$R$3=B79)</f>
        <v>0</v>
      </c>
      <c r="Y79" s="33" t="b">
        <f>IF(Bdd_cave!$S$3="Toutes les années",TRUE,Bdd_cave!$S$3=E79)</f>
        <v>1</v>
      </c>
      <c r="Z79" s="27" t="b">
        <f>IF(Bdd_cave!$T$3="Toutes les couleurs",TRUE,Bdd_cave!$T$3=F79)</f>
        <v>0</v>
      </c>
      <c r="AA79" s="33" t="b">
        <f>IF(Bdd_cave!$U$3="Tous les casiers ",TRUE,Bdd_cave!$U$3=H79)</f>
        <v>0</v>
      </c>
      <c r="AB79" s="27" t="b">
        <f t="shared" si="12"/>
        <v>0</v>
      </c>
      <c r="AD79" s="27" t="str">
        <f>IF(AB79,ROWS($AB$7:AB79),"")</f>
        <v/>
      </c>
      <c r="AE79" s="27" t="str">
        <f>IFERROR(SMALL($AD$7:$AD$297,ROWS(AD$7:$AD79)),"")</f>
        <v/>
      </c>
    </row>
    <row r="80" spans="1:31" x14ac:dyDescent="0.25">
      <c r="A80" s="27" t="str">
        <f t="shared" si="13"/>
        <v>CHABLIS  2012</v>
      </c>
      <c r="B80" s="5" t="s">
        <v>15</v>
      </c>
      <c r="C80" s="30" t="s">
        <v>196</v>
      </c>
      <c r="D80" s="30"/>
      <c r="E80" s="30">
        <v>2012</v>
      </c>
      <c r="F80" s="5" t="s">
        <v>309</v>
      </c>
      <c r="G80" s="5">
        <v>3</v>
      </c>
      <c r="H80" s="5" t="s">
        <v>420</v>
      </c>
      <c r="I80" s="6"/>
      <c r="J80" s="7"/>
      <c r="K80" s="7"/>
      <c r="L80" s="5" t="s">
        <v>421</v>
      </c>
      <c r="M80" s="5"/>
      <c r="N80" s="5">
        <v>21</v>
      </c>
      <c r="O80" s="5" t="s">
        <v>422</v>
      </c>
      <c r="P80" s="5"/>
      <c r="Q80" s="5"/>
      <c r="R80" s="5"/>
      <c r="S80" s="5"/>
      <c r="T80" s="23">
        <f t="shared" si="9"/>
        <v>73</v>
      </c>
      <c r="U80" s="23" t="str">
        <f t="shared" si="10"/>
        <v>73.jpg</v>
      </c>
      <c r="V80" s="24" t="str">
        <f t="shared" si="11"/>
        <v>73.jpg</v>
      </c>
      <c r="X80" s="33" t="b">
        <f>IF(Bdd_cave!$R$3="Toutes les regions",TRUE,Bdd_cave!$R$3=B80)</f>
        <v>0</v>
      </c>
      <c r="Y80" s="33" t="b">
        <f>IF(Bdd_cave!$S$3="Toutes les années",TRUE,Bdd_cave!$S$3=E80)</f>
        <v>1</v>
      </c>
      <c r="Z80" s="27" t="b">
        <f>IF(Bdd_cave!$T$3="Toutes les couleurs",TRUE,Bdd_cave!$T$3=F80)</f>
        <v>0</v>
      </c>
      <c r="AA80" s="33" t="b">
        <f>IF(Bdd_cave!$U$3="Tous les casiers ",TRUE,Bdd_cave!$U$3=H80)</f>
        <v>0</v>
      </c>
      <c r="AB80" s="27" t="b">
        <f t="shared" si="12"/>
        <v>0</v>
      </c>
      <c r="AD80" s="27" t="str">
        <f>IF(AB80,ROWS($AB$7:AB80),"")</f>
        <v/>
      </c>
      <c r="AE80" s="27" t="str">
        <f>IFERROR(SMALL($AD$7:$AD$297,ROWS(AD$7:$AD80)),"")</f>
        <v/>
      </c>
    </row>
    <row r="81" spans="1:31" x14ac:dyDescent="0.25">
      <c r="A81" s="27" t="str">
        <f t="shared" si="13"/>
        <v>COTE DU RHONE  2012</v>
      </c>
      <c r="B81" s="5" t="s">
        <v>17</v>
      </c>
      <c r="C81" s="30" t="s">
        <v>17</v>
      </c>
      <c r="D81" s="30"/>
      <c r="E81" s="30">
        <v>2012</v>
      </c>
      <c r="F81" s="5" t="s">
        <v>308</v>
      </c>
      <c r="G81" s="5">
        <v>1</v>
      </c>
      <c r="H81" s="5" t="s">
        <v>428</v>
      </c>
      <c r="I81" s="6"/>
      <c r="J81" s="7"/>
      <c r="K81" s="7"/>
      <c r="L81" s="5" t="s">
        <v>429</v>
      </c>
      <c r="M81" s="5" t="s">
        <v>430</v>
      </c>
      <c r="N81" s="5"/>
      <c r="O81" s="5"/>
      <c r="P81" s="5"/>
      <c r="Q81" s="5"/>
      <c r="R81" s="5"/>
      <c r="S81" s="5"/>
      <c r="T81" s="31">
        <f t="shared" si="9"/>
        <v>74</v>
      </c>
      <c r="U81" s="31" t="str">
        <f t="shared" si="10"/>
        <v>74.jpg</v>
      </c>
      <c r="V81" s="32" t="str">
        <f t="shared" si="11"/>
        <v>74.jpg</v>
      </c>
      <c r="X81" s="33" t="b">
        <f>IF(Bdd_cave!$R$3="Toutes les regions",TRUE,Bdd_cave!$R$3=B81)</f>
        <v>0</v>
      </c>
      <c r="Y81" s="33" t="b">
        <f>IF(Bdd_cave!$S$3="Toutes les années",TRUE,Bdd_cave!$S$3=E81)</f>
        <v>1</v>
      </c>
      <c r="Z81" s="27" t="b">
        <f>IF(Bdd_cave!$T$3="Toutes les couleurs",TRUE,Bdd_cave!$T$3=F81)</f>
        <v>0</v>
      </c>
      <c r="AA81" s="33" t="b">
        <f>IF(Bdd_cave!$U$3="Tous les casiers ",TRUE,Bdd_cave!$U$3=H81)</f>
        <v>0</v>
      </c>
      <c r="AB81" s="27" t="b">
        <f t="shared" si="12"/>
        <v>0</v>
      </c>
      <c r="AD81" s="27" t="str">
        <f>IF(AB81,ROWS($AB$7:AB81),"")</f>
        <v/>
      </c>
      <c r="AE81" s="27" t="str">
        <f>IFERROR(SMALL($AD$7:$AD$297,ROWS(AD$7:$AD81)),"")</f>
        <v/>
      </c>
    </row>
    <row r="82" spans="1:31" x14ac:dyDescent="0.25">
      <c r="A82" s="27" t="str">
        <f t="shared" si="13"/>
        <v>FIXIN 1 er Cru 2012</v>
      </c>
      <c r="B82" s="5" t="s">
        <v>15</v>
      </c>
      <c r="C82" s="30" t="s">
        <v>259</v>
      </c>
      <c r="D82" s="30" t="s">
        <v>312</v>
      </c>
      <c r="E82" s="30">
        <v>2012</v>
      </c>
      <c r="F82" s="5" t="s">
        <v>308</v>
      </c>
      <c r="G82" s="5">
        <v>1</v>
      </c>
      <c r="H82" s="5" t="s">
        <v>428</v>
      </c>
      <c r="I82" s="6"/>
      <c r="J82" s="7"/>
      <c r="K82" s="7" t="s">
        <v>435</v>
      </c>
      <c r="L82" s="5" t="s">
        <v>436</v>
      </c>
      <c r="M82" s="5"/>
      <c r="N82" s="5">
        <v>21</v>
      </c>
      <c r="O82" s="5" t="s">
        <v>259</v>
      </c>
      <c r="P82" s="5"/>
      <c r="Q82" s="5"/>
      <c r="R82" s="5"/>
      <c r="S82" s="5"/>
      <c r="T82" s="31">
        <f t="shared" si="9"/>
        <v>75</v>
      </c>
      <c r="U82" s="31" t="str">
        <f t="shared" si="10"/>
        <v>75.jpg</v>
      </c>
      <c r="V82" s="32" t="str">
        <f t="shared" si="11"/>
        <v>75.jpg</v>
      </c>
      <c r="X82" s="33" t="b">
        <f>IF(Bdd_cave!$R$3="Toutes les regions",TRUE,Bdd_cave!$R$3=B82)</f>
        <v>0</v>
      </c>
      <c r="Y82" s="33" t="b">
        <f>IF(Bdd_cave!$S$3="Toutes les années",TRUE,Bdd_cave!$S$3=E82)</f>
        <v>1</v>
      </c>
      <c r="Z82" s="27" t="b">
        <f>IF(Bdd_cave!$T$3="Toutes les couleurs",TRUE,Bdd_cave!$T$3=F82)</f>
        <v>0</v>
      </c>
      <c r="AA82" s="33" t="b">
        <f>IF(Bdd_cave!$U$3="Tous les casiers ",TRUE,Bdd_cave!$U$3=H82)</f>
        <v>0</v>
      </c>
      <c r="AB82" s="27" t="b">
        <f t="shared" si="12"/>
        <v>0</v>
      </c>
      <c r="AD82" s="27" t="str">
        <f>IF(AB82,ROWS($AB$7:AB82),"")</f>
        <v/>
      </c>
      <c r="AE82" s="27" t="str">
        <f>IFERROR(SMALL($AD$7:$AD$297,ROWS(AD$7:$AD82)),"")</f>
        <v/>
      </c>
    </row>
    <row r="83" spans="1:31" x14ac:dyDescent="0.25">
      <c r="A83" s="27" t="str">
        <f t="shared" si="13"/>
        <v>CHINON  2012</v>
      </c>
      <c r="B83" s="5" t="s">
        <v>19</v>
      </c>
      <c r="C83" s="30" t="s">
        <v>107</v>
      </c>
      <c r="D83" s="30"/>
      <c r="E83" s="30">
        <v>2012</v>
      </c>
      <c r="F83" s="5" t="s">
        <v>308</v>
      </c>
      <c r="G83" s="5">
        <v>1</v>
      </c>
      <c r="H83" s="5" t="s">
        <v>428</v>
      </c>
      <c r="I83" s="6"/>
      <c r="J83" s="7"/>
      <c r="K83" s="7" t="s">
        <v>437</v>
      </c>
      <c r="L83" s="5" t="s">
        <v>438</v>
      </c>
      <c r="M83" s="5" t="s">
        <v>439</v>
      </c>
      <c r="N83" s="5">
        <v>37500</v>
      </c>
      <c r="O83" s="5" t="s">
        <v>440</v>
      </c>
      <c r="P83" s="5"/>
      <c r="Q83" s="5"/>
      <c r="R83" s="5"/>
      <c r="S83" s="5"/>
      <c r="T83" s="31">
        <f t="shared" si="9"/>
        <v>76</v>
      </c>
      <c r="U83" s="31" t="str">
        <f t="shared" si="10"/>
        <v>76.jpg</v>
      </c>
      <c r="V83" s="32" t="str">
        <f t="shared" si="11"/>
        <v>76.jpg</v>
      </c>
      <c r="X83" s="33" t="b">
        <f>IF(Bdd_cave!$R$3="Toutes les regions",TRUE,Bdd_cave!$R$3=B83)</f>
        <v>0</v>
      </c>
      <c r="Y83" s="33" t="b">
        <f>IF(Bdd_cave!$S$3="Toutes les années",TRUE,Bdd_cave!$S$3=E83)</f>
        <v>1</v>
      </c>
      <c r="Z83" s="27" t="b">
        <f>IF(Bdd_cave!$T$3="Toutes les couleurs",TRUE,Bdd_cave!$T$3=F83)</f>
        <v>0</v>
      </c>
      <c r="AA83" s="33" t="b">
        <f>IF(Bdd_cave!$U$3="Tous les casiers ",TRUE,Bdd_cave!$U$3=H83)</f>
        <v>0</v>
      </c>
      <c r="AB83" s="27" t="b">
        <f t="shared" si="12"/>
        <v>0</v>
      </c>
      <c r="AD83" s="27" t="str">
        <f>IF(AB83,ROWS($AB$7:AB83),"")</f>
        <v/>
      </c>
      <c r="AE83" s="27" t="str">
        <f>IFERROR(SMALL($AD$7:$AD$297,ROWS(AD$7:$AD83)),"")</f>
        <v/>
      </c>
    </row>
    <row r="84" spans="1:31" x14ac:dyDescent="0.25">
      <c r="A84" s="27" t="str">
        <f t="shared" si="13"/>
        <v>BEAUNE 1 er Cru 2012</v>
      </c>
      <c r="B84" s="5" t="s">
        <v>15</v>
      </c>
      <c r="C84" s="30" t="s">
        <v>55</v>
      </c>
      <c r="D84" s="30" t="s">
        <v>312</v>
      </c>
      <c r="E84" s="30">
        <v>2012</v>
      </c>
      <c r="F84" s="5" t="s">
        <v>308</v>
      </c>
      <c r="G84" s="5">
        <v>1</v>
      </c>
      <c r="H84" s="5" t="s">
        <v>428</v>
      </c>
      <c r="I84" s="6"/>
      <c r="J84" s="7"/>
      <c r="K84" s="7"/>
      <c r="L84" s="5" t="s">
        <v>455</v>
      </c>
      <c r="M84" s="5"/>
      <c r="N84" s="5"/>
      <c r="O84" s="5"/>
      <c r="P84" s="5"/>
      <c r="Q84" s="5"/>
      <c r="R84" s="5" t="s">
        <v>456</v>
      </c>
      <c r="S84" s="5"/>
      <c r="T84" s="31">
        <f t="shared" si="9"/>
        <v>77</v>
      </c>
      <c r="U84" s="31" t="str">
        <f t="shared" si="10"/>
        <v>77.jpg</v>
      </c>
      <c r="V84" s="32" t="str">
        <f t="shared" si="11"/>
        <v>77.jpg</v>
      </c>
      <c r="X84" s="33" t="b">
        <f>IF(Bdd_cave!$R$3="Toutes les regions",TRUE,Bdd_cave!$R$3=B84)</f>
        <v>0</v>
      </c>
      <c r="Y84" s="33" t="b">
        <f>IF(Bdd_cave!$S$3="Toutes les années",TRUE,Bdd_cave!$S$3=E84)</f>
        <v>1</v>
      </c>
      <c r="Z84" s="27" t="b">
        <f>IF(Bdd_cave!$T$3="Toutes les couleurs",TRUE,Bdd_cave!$T$3=F84)</f>
        <v>0</v>
      </c>
      <c r="AA84" s="33" t="b">
        <f>IF(Bdd_cave!$U$3="Tous les casiers ",TRUE,Bdd_cave!$U$3=H84)</f>
        <v>0</v>
      </c>
      <c r="AB84" s="27" t="b">
        <f t="shared" si="12"/>
        <v>0</v>
      </c>
      <c r="AD84" s="27" t="str">
        <f>IF(AB84,ROWS($AB$7:AB84),"")</f>
        <v/>
      </c>
      <c r="AE84" s="27" t="str">
        <f>IFERROR(SMALL($AD$7:$AD$297,ROWS(AD$7:$AD84)),"")</f>
        <v/>
      </c>
    </row>
    <row r="85" spans="1:31" x14ac:dyDescent="0.25">
      <c r="A85" s="27" t="str">
        <f t="shared" si="13"/>
        <v>SAUVIGNON  2012</v>
      </c>
      <c r="B85" s="5" t="s">
        <v>21</v>
      </c>
      <c r="C85" s="30" t="s">
        <v>463</v>
      </c>
      <c r="D85" s="30"/>
      <c r="E85" s="30">
        <v>2012</v>
      </c>
      <c r="F85" s="5" t="s">
        <v>309</v>
      </c>
      <c r="G85" s="5">
        <v>1</v>
      </c>
      <c r="H85" s="5" t="s">
        <v>428</v>
      </c>
      <c r="I85" s="6"/>
      <c r="J85" s="7"/>
      <c r="K85" s="7" t="s">
        <v>464</v>
      </c>
      <c r="L85" s="5" t="s">
        <v>465</v>
      </c>
      <c r="M85" s="5"/>
      <c r="N85" s="5"/>
      <c r="O85" s="5"/>
      <c r="P85" s="5"/>
      <c r="Q85" s="5"/>
      <c r="R85" s="5" t="s">
        <v>466</v>
      </c>
      <c r="S85" s="5"/>
      <c r="T85" s="31">
        <f t="shared" si="9"/>
        <v>78</v>
      </c>
      <c r="U85" s="31" t="str">
        <f t="shared" si="10"/>
        <v>78.jpg</v>
      </c>
      <c r="V85" s="32" t="str">
        <f t="shared" si="11"/>
        <v>78.jpg</v>
      </c>
      <c r="X85" s="33" t="b">
        <f>IF(Bdd_cave!$R$3="Toutes les regions",TRUE,Bdd_cave!$R$3=B85)</f>
        <v>0</v>
      </c>
      <c r="Y85" s="33" t="b">
        <f>IF(Bdd_cave!$S$3="Toutes les années",TRUE,Bdd_cave!$S$3=E85)</f>
        <v>1</v>
      </c>
      <c r="Z85" s="27" t="b">
        <f>IF(Bdd_cave!$T$3="Toutes les couleurs",TRUE,Bdd_cave!$T$3=F85)</f>
        <v>0</v>
      </c>
      <c r="AA85" s="33" t="b">
        <f>IF(Bdd_cave!$U$3="Tous les casiers ",TRUE,Bdd_cave!$U$3=H85)</f>
        <v>0</v>
      </c>
      <c r="AB85" s="27" t="b">
        <f t="shared" si="12"/>
        <v>0</v>
      </c>
      <c r="AD85" s="27" t="str">
        <f>IF(AB85,ROWS($AB$7:AB85),"")</f>
        <v/>
      </c>
      <c r="AE85" s="27" t="str">
        <f>IFERROR(SMALL($AD$7:$AD$297,ROWS(AD$7:$AD85)),"")</f>
        <v/>
      </c>
    </row>
    <row r="86" spans="1:31" x14ac:dyDescent="0.25">
      <c r="A86" s="27" t="str">
        <f t="shared" si="13"/>
        <v>COTE DU RHONE  2012</v>
      </c>
      <c r="B86" s="5" t="s">
        <v>17</v>
      </c>
      <c r="C86" s="30" t="s">
        <v>17</v>
      </c>
      <c r="D86" s="30"/>
      <c r="E86" s="30">
        <v>2012</v>
      </c>
      <c r="F86" s="5" t="s">
        <v>310</v>
      </c>
      <c r="G86" s="5">
        <v>3</v>
      </c>
      <c r="H86" s="5" t="s">
        <v>528</v>
      </c>
      <c r="I86" s="6"/>
      <c r="J86" s="7"/>
      <c r="K86" s="7"/>
      <c r="L86" s="5" t="s">
        <v>431</v>
      </c>
      <c r="M86" s="5"/>
      <c r="N86" s="5">
        <v>7700</v>
      </c>
      <c r="O86" s="5" t="s">
        <v>432</v>
      </c>
      <c r="P86" s="5"/>
      <c r="Q86" s="5"/>
      <c r="R86" s="5"/>
      <c r="S86" s="5"/>
      <c r="T86" s="23">
        <f t="shared" si="9"/>
        <v>79</v>
      </c>
      <c r="U86" s="23" t="str">
        <f t="shared" si="10"/>
        <v>79.jpg</v>
      </c>
      <c r="V86" s="24" t="str">
        <f t="shared" si="11"/>
        <v>79.jpg</v>
      </c>
      <c r="X86" s="33" t="b">
        <f>IF(Bdd_cave!$R$3="Toutes les regions",TRUE,Bdd_cave!$R$3=B86)</f>
        <v>0</v>
      </c>
      <c r="Y86" s="33" t="b">
        <f>IF(Bdd_cave!$S$3="Toutes les années",TRUE,Bdd_cave!$S$3=E86)</f>
        <v>1</v>
      </c>
      <c r="Z86" s="27" t="b">
        <f>IF(Bdd_cave!$T$3="Toutes les couleurs",TRUE,Bdd_cave!$T$3=F86)</f>
        <v>0</v>
      </c>
      <c r="AA86" s="33" t="b">
        <f>IF(Bdd_cave!$U$3="Tous les casiers ",TRUE,Bdd_cave!$U$3=H86)</f>
        <v>0</v>
      </c>
      <c r="AB86" s="27" t="b">
        <f t="shared" si="12"/>
        <v>0</v>
      </c>
      <c r="AD86" s="27" t="str">
        <f>IF(AB86,ROWS($AB$7:AB86),"")</f>
        <v/>
      </c>
      <c r="AE86" s="27" t="str">
        <f>IFERROR(SMALL($AD$7:$AD$297,ROWS(AD$7:$AD86)),"")</f>
        <v/>
      </c>
    </row>
    <row r="87" spans="1:31" x14ac:dyDescent="0.25">
      <c r="A87" s="27" t="str">
        <f t="shared" si="13"/>
        <v>SAINT-NICOLAS-DE-BOURGUEIL  2013</v>
      </c>
      <c r="B87" s="5" t="s">
        <v>19</v>
      </c>
      <c r="C87" s="30" t="s">
        <v>231</v>
      </c>
      <c r="D87" s="30"/>
      <c r="E87" s="30">
        <v>2013</v>
      </c>
      <c r="F87" s="5" t="s">
        <v>308</v>
      </c>
      <c r="G87" s="5">
        <v>1</v>
      </c>
      <c r="H87" s="5" t="s">
        <v>428</v>
      </c>
      <c r="I87" s="6"/>
      <c r="J87" s="7"/>
      <c r="K87" s="7"/>
      <c r="L87" s="5" t="s">
        <v>441</v>
      </c>
      <c r="M87" s="5"/>
      <c r="N87" s="5">
        <v>37140</v>
      </c>
      <c r="O87" s="5" t="s">
        <v>442</v>
      </c>
      <c r="P87" s="5"/>
      <c r="Q87" s="5"/>
      <c r="R87" s="5"/>
      <c r="S87" s="5"/>
      <c r="T87" s="31">
        <f t="shared" si="9"/>
        <v>80</v>
      </c>
      <c r="U87" s="31" t="str">
        <f t="shared" si="10"/>
        <v>80.jpg</v>
      </c>
      <c r="V87" s="32" t="str">
        <f t="shared" si="11"/>
        <v>80.jpg</v>
      </c>
      <c r="X87" s="33" t="b">
        <f>IF(Bdd_cave!$R$3="Toutes les regions",TRUE,Bdd_cave!$R$3=B87)</f>
        <v>0</v>
      </c>
      <c r="Y87" s="33" t="b">
        <f>IF(Bdd_cave!$S$3="Toutes les années",TRUE,Bdd_cave!$S$3=E87)</f>
        <v>1</v>
      </c>
      <c r="Z87" s="27" t="b">
        <f>IF(Bdd_cave!$T$3="Toutes les couleurs",TRUE,Bdd_cave!$T$3=F87)</f>
        <v>0</v>
      </c>
      <c r="AA87" s="33" t="b">
        <f>IF(Bdd_cave!$U$3="Tous les casiers ",TRUE,Bdd_cave!$U$3=H87)</f>
        <v>0</v>
      </c>
      <c r="AB87" s="27" t="b">
        <f t="shared" si="12"/>
        <v>0</v>
      </c>
      <c r="AD87" s="27" t="str">
        <f>IF(AB87,ROWS($AB$7:AB87),"")</f>
        <v/>
      </c>
      <c r="AE87" s="27" t="str">
        <f>IFERROR(SMALL($AD$7:$AD$297,ROWS(AD$7:$AD87)),"")</f>
        <v/>
      </c>
    </row>
    <row r="88" spans="1:31" x14ac:dyDescent="0.25">
      <c r="A88" s="27" t="str">
        <f t="shared" si="13"/>
        <v>SAINT-ROMAIN  2013</v>
      </c>
      <c r="B88" s="5" t="s">
        <v>15</v>
      </c>
      <c r="C88" s="30" t="s">
        <v>300</v>
      </c>
      <c r="D88" s="30"/>
      <c r="E88" s="30">
        <v>2013</v>
      </c>
      <c r="F88" s="5" t="s">
        <v>308</v>
      </c>
      <c r="G88" s="5">
        <v>1</v>
      </c>
      <c r="H88" s="5" t="s">
        <v>428</v>
      </c>
      <c r="I88" s="6"/>
      <c r="J88" s="7"/>
      <c r="K88" s="7"/>
      <c r="L88" s="5" t="s">
        <v>448</v>
      </c>
      <c r="M88" s="5"/>
      <c r="N88" s="5"/>
      <c r="O88" s="5"/>
      <c r="P88" s="5"/>
      <c r="Q88" s="5"/>
      <c r="R88" s="5"/>
      <c r="S88" s="5"/>
      <c r="T88" s="31">
        <f t="shared" si="9"/>
        <v>81</v>
      </c>
      <c r="U88" s="31" t="str">
        <f t="shared" si="10"/>
        <v>81.jpg</v>
      </c>
      <c r="V88" s="32" t="str">
        <f t="shared" si="11"/>
        <v>81.jpg</v>
      </c>
      <c r="X88" s="33" t="b">
        <f>IF(Bdd_cave!$R$3="Toutes les regions",TRUE,Bdd_cave!$R$3=B88)</f>
        <v>0</v>
      </c>
      <c r="Y88" s="33" t="b">
        <f>IF(Bdd_cave!$S$3="Toutes les années",TRUE,Bdd_cave!$S$3=E88)</f>
        <v>1</v>
      </c>
      <c r="Z88" s="27" t="b">
        <f>IF(Bdd_cave!$T$3="Toutes les couleurs",TRUE,Bdd_cave!$T$3=F88)</f>
        <v>0</v>
      </c>
      <c r="AA88" s="33" t="b">
        <f>IF(Bdd_cave!$U$3="Tous les casiers ",TRUE,Bdd_cave!$U$3=H88)</f>
        <v>0</v>
      </c>
      <c r="AB88" s="27" t="b">
        <f t="shared" si="12"/>
        <v>0</v>
      </c>
      <c r="AD88" s="27" t="str">
        <f>IF(AB88,ROWS($AB$7:AB88),"")</f>
        <v/>
      </c>
      <c r="AE88" s="27" t="str">
        <f>IFERROR(SMALL($AD$7:$AD$297,ROWS(AD$7:$AD88)),"")</f>
        <v/>
      </c>
    </row>
    <row r="89" spans="1:31" x14ac:dyDescent="0.25">
      <c r="A89" s="27" t="str">
        <f t="shared" si="13"/>
        <v>CABERNET SAUVIGNON  2013</v>
      </c>
      <c r="B89" s="5" t="s">
        <v>20</v>
      </c>
      <c r="C89" s="30" t="s">
        <v>460</v>
      </c>
      <c r="D89" s="30"/>
      <c r="E89" s="30">
        <v>2013</v>
      </c>
      <c r="F89" s="5" t="s">
        <v>308</v>
      </c>
      <c r="G89" s="5">
        <v>1</v>
      </c>
      <c r="H89" s="5" t="s">
        <v>428</v>
      </c>
      <c r="I89" s="6"/>
      <c r="J89" s="7"/>
      <c r="K89" s="7"/>
      <c r="L89" s="5" t="s">
        <v>461</v>
      </c>
      <c r="M89" s="5"/>
      <c r="N89" s="5"/>
      <c r="O89" s="5"/>
      <c r="P89" s="5"/>
      <c r="Q89" s="5"/>
      <c r="R89" s="5" t="s">
        <v>462</v>
      </c>
      <c r="S89" s="5"/>
      <c r="T89" s="31">
        <f t="shared" si="9"/>
        <v>82</v>
      </c>
      <c r="U89" s="31" t="str">
        <f t="shared" si="10"/>
        <v>82.jpg</v>
      </c>
      <c r="V89" s="32" t="str">
        <f t="shared" si="11"/>
        <v>82.jpg</v>
      </c>
      <c r="X89" s="33" t="b">
        <f>IF(Bdd_cave!$R$3="Toutes les regions",TRUE,Bdd_cave!$R$3=B89)</f>
        <v>0</v>
      </c>
      <c r="Y89" s="33" t="b">
        <f>IF(Bdd_cave!$S$3="Toutes les années",TRUE,Bdd_cave!$S$3=E89)</f>
        <v>1</v>
      </c>
      <c r="Z89" s="27" t="b">
        <f>IF(Bdd_cave!$T$3="Toutes les couleurs",TRUE,Bdd_cave!$T$3=F89)</f>
        <v>0</v>
      </c>
      <c r="AA89" s="33" t="b">
        <f>IF(Bdd_cave!$U$3="Tous les casiers ",TRUE,Bdd_cave!$U$3=H89)</f>
        <v>0</v>
      </c>
      <c r="AB89" s="27" t="b">
        <f t="shared" si="12"/>
        <v>0</v>
      </c>
      <c r="AD89" s="27" t="str">
        <f>IF(AB89,ROWS($AB$7:AB89),"")</f>
        <v/>
      </c>
      <c r="AE89" s="27" t="str">
        <f>IFERROR(SMALL($AD$7:$AD$297,ROWS(AD$7:$AD89)),"")</f>
        <v/>
      </c>
    </row>
    <row r="90" spans="1:31" x14ac:dyDescent="0.25">
      <c r="A90" s="27" t="str">
        <f t="shared" si="13"/>
        <v>ALIGOTE  2013</v>
      </c>
      <c r="B90" s="5" t="s">
        <v>15</v>
      </c>
      <c r="C90" s="30" t="s">
        <v>91</v>
      </c>
      <c r="D90" s="30"/>
      <c r="E90" s="30">
        <v>2013</v>
      </c>
      <c r="F90" s="5" t="s">
        <v>309</v>
      </c>
      <c r="G90" s="5">
        <v>4</v>
      </c>
      <c r="H90" s="5" t="s">
        <v>473</v>
      </c>
      <c r="I90" s="6"/>
      <c r="J90" s="7"/>
      <c r="K90" s="7" t="s">
        <v>486</v>
      </c>
      <c r="L90" s="5" t="s">
        <v>487</v>
      </c>
      <c r="M90" s="5"/>
      <c r="N90" s="5"/>
      <c r="O90" s="5" t="s">
        <v>488</v>
      </c>
      <c r="P90" s="5"/>
      <c r="Q90" s="5"/>
      <c r="R90" s="5"/>
      <c r="S90" s="5"/>
      <c r="T90" s="23">
        <f t="shared" si="9"/>
        <v>83</v>
      </c>
      <c r="U90" s="23" t="str">
        <f t="shared" si="10"/>
        <v>83.jpg</v>
      </c>
      <c r="V90" s="24" t="str">
        <f t="shared" si="11"/>
        <v>83.jpg</v>
      </c>
      <c r="X90" s="33" t="b">
        <f>IF(Bdd_cave!$R$3="Toutes les regions",TRUE,Bdd_cave!$R$3=B90)</f>
        <v>0</v>
      </c>
      <c r="Y90" s="33" t="b">
        <f>IF(Bdd_cave!$S$3="Toutes les années",TRUE,Bdd_cave!$S$3=E90)</f>
        <v>1</v>
      </c>
      <c r="Z90" s="27" t="b">
        <f>IF(Bdd_cave!$T$3="Toutes les couleurs",TRUE,Bdd_cave!$T$3=F90)</f>
        <v>0</v>
      </c>
      <c r="AA90" s="33" t="b">
        <f>IF(Bdd_cave!$U$3="Tous les casiers ",TRUE,Bdd_cave!$U$3=H90)</f>
        <v>0</v>
      </c>
      <c r="AB90" s="27" t="b">
        <f t="shared" si="12"/>
        <v>0</v>
      </c>
      <c r="AD90" s="27" t="str">
        <f>IF(AB90,ROWS($AB$7:AB90),"")</f>
        <v/>
      </c>
      <c r="AE90" s="27" t="str">
        <f>IFERROR(SMALL($AD$7:$AD$297,ROWS(AD$7:$AD90)),"")</f>
        <v/>
      </c>
    </row>
    <row r="91" spans="1:31" x14ac:dyDescent="0.25">
      <c r="A91" s="27" t="str">
        <f t="shared" si="13"/>
        <v>BEAUMES DE VENISE  2013</v>
      </c>
      <c r="B91" s="5" t="s">
        <v>17</v>
      </c>
      <c r="C91" s="30" t="s">
        <v>31</v>
      </c>
      <c r="D91" s="30"/>
      <c r="E91" s="30">
        <v>2013</v>
      </c>
      <c r="F91" s="5" t="s">
        <v>309</v>
      </c>
      <c r="G91" s="5">
        <v>1</v>
      </c>
      <c r="H91" s="5" t="s">
        <v>529</v>
      </c>
      <c r="I91" s="6"/>
      <c r="J91" s="7"/>
      <c r="K91" s="7"/>
      <c r="L91" s="5"/>
      <c r="M91" s="5"/>
      <c r="N91" s="5"/>
      <c r="O91" s="5"/>
      <c r="P91" s="5"/>
      <c r="Q91" s="5"/>
      <c r="R91" s="5"/>
      <c r="S91" s="5"/>
      <c r="T91" s="23">
        <f t="shared" si="9"/>
        <v>84</v>
      </c>
      <c r="U91" s="23" t="str">
        <f t="shared" si="10"/>
        <v>84.jpg</v>
      </c>
      <c r="V91" s="24" t="str">
        <f t="shared" si="11"/>
        <v>84.jpg</v>
      </c>
      <c r="X91" s="33" t="b">
        <f>IF(Bdd_cave!$R$3="Toutes les regions",TRUE,Bdd_cave!$R$3=B91)</f>
        <v>0</v>
      </c>
      <c r="Y91" s="33" t="b">
        <f>IF(Bdd_cave!$S$3="Toutes les années",TRUE,Bdd_cave!$S$3=E91)</f>
        <v>1</v>
      </c>
      <c r="Z91" s="27" t="b">
        <f>IF(Bdd_cave!$T$3="Toutes les couleurs",TRUE,Bdd_cave!$T$3=F91)</f>
        <v>0</v>
      </c>
      <c r="AA91" s="33" t="b">
        <f>IF(Bdd_cave!$U$3="Tous les casiers ",TRUE,Bdd_cave!$U$3=H91)</f>
        <v>0</v>
      </c>
      <c r="AB91" s="27" t="b">
        <f t="shared" si="12"/>
        <v>0</v>
      </c>
      <c r="AD91" s="27" t="str">
        <f>IF(AB91,ROWS($AB$7:AB91),"")</f>
        <v/>
      </c>
      <c r="AE91" s="27" t="str">
        <f>IFERROR(SMALL($AD$7:$AD$297,ROWS(AD$7:$AD91)),"")</f>
        <v/>
      </c>
    </row>
    <row r="92" spans="1:31" x14ac:dyDescent="0.25">
      <c r="A92" s="27" t="str">
        <f t="shared" si="13"/>
        <v>BORDEAUX  2013</v>
      </c>
      <c r="B92" s="5" t="s">
        <v>16</v>
      </c>
      <c r="C92" s="30" t="s">
        <v>16</v>
      </c>
      <c r="D92" s="30"/>
      <c r="E92" s="30">
        <v>2013</v>
      </c>
      <c r="F92" s="5" t="s">
        <v>308</v>
      </c>
      <c r="G92" s="5">
        <v>1</v>
      </c>
      <c r="H92" s="5" t="s">
        <v>544</v>
      </c>
      <c r="I92" s="6"/>
      <c r="J92" s="7"/>
      <c r="K92" s="7"/>
      <c r="L92" s="5" t="s">
        <v>547</v>
      </c>
      <c r="M92" s="5"/>
      <c r="N92" s="5"/>
      <c r="O92" s="5"/>
      <c r="P92" s="5"/>
      <c r="Q92" s="5"/>
      <c r="R92" s="5"/>
      <c r="S92" s="5"/>
      <c r="T92" s="23">
        <f t="shared" si="9"/>
        <v>85</v>
      </c>
      <c r="U92" s="23" t="str">
        <f t="shared" si="10"/>
        <v>85.jpg</v>
      </c>
      <c r="V92" s="24" t="str">
        <f t="shared" si="11"/>
        <v>85.jpg</v>
      </c>
      <c r="X92" s="33" t="b">
        <f>IF(Bdd_cave!$R$3="Toutes les regions",TRUE,Bdd_cave!$R$3=B92)</f>
        <v>0</v>
      </c>
      <c r="Y92" s="33" t="b">
        <f>IF(Bdd_cave!$S$3="Toutes les années",TRUE,Bdd_cave!$S$3=E92)</f>
        <v>1</v>
      </c>
      <c r="Z92" s="27" t="b">
        <f>IF(Bdd_cave!$T$3="Toutes les couleurs",TRUE,Bdd_cave!$T$3=F92)</f>
        <v>0</v>
      </c>
      <c r="AA92" s="33" t="b">
        <f>IF(Bdd_cave!$U$3="Tous les casiers ",TRUE,Bdd_cave!$U$3=H92)</f>
        <v>0</v>
      </c>
      <c r="AB92" s="27" t="b">
        <f t="shared" si="12"/>
        <v>0</v>
      </c>
      <c r="AD92" s="27" t="str">
        <f>IF(AB92,ROWS($AB$7:AB92),"")</f>
        <v/>
      </c>
      <c r="AE92" s="27" t="str">
        <f>IFERROR(SMALL($AD$7:$AD$297,ROWS(AD$7:$AD92)),"")</f>
        <v/>
      </c>
    </row>
    <row r="93" spans="1:31" x14ac:dyDescent="0.25">
      <c r="A93" s="27" t="str">
        <f t="shared" si="13"/>
        <v>HAUTES-COTES DE BEAUNE  2013</v>
      </c>
      <c r="B93" s="5" t="s">
        <v>15</v>
      </c>
      <c r="C93" s="30" t="s">
        <v>162</v>
      </c>
      <c r="D93" s="30"/>
      <c r="E93" s="30">
        <v>2013</v>
      </c>
      <c r="F93" s="5" t="s">
        <v>309</v>
      </c>
      <c r="G93" s="5">
        <v>1</v>
      </c>
      <c r="H93" s="5" t="s">
        <v>544</v>
      </c>
      <c r="I93" s="6"/>
      <c r="J93" s="7"/>
      <c r="K93" s="7"/>
      <c r="L93" s="5" t="s">
        <v>365</v>
      </c>
      <c r="M93" s="5"/>
      <c r="N93" s="5">
        <v>21</v>
      </c>
      <c r="O93" s="5" t="s">
        <v>366</v>
      </c>
      <c r="P93" s="5"/>
      <c r="Q93" s="5"/>
      <c r="R93" s="5"/>
      <c r="S93" s="5"/>
      <c r="T93" s="23">
        <f t="shared" si="9"/>
        <v>86</v>
      </c>
      <c r="U93" s="23" t="str">
        <f t="shared" si="10"/>
        <v>86.jpg</v>
      </c>
      <c r="V93" s="24" t="str">
        <f t="shared" si="11"/>
        <v>86.jpg</v>
      </c>
      <c r="X93" s="33" t="b">
        <f>IF(Bdd_cave!$R$3="Toutes les regions",TRUE,Bdd_cave!$R$3=B93)</f>
        <v>0</v>
      </c>
      <c r="Y93" s="33" t="b">
        <f>IF(Bdd_cave!$S$3="Toutes les années",TRUE,Bdd_cave!$S$3=E93)</f>
        <v>1</v>
      </c>
      <c r="Z93" s="27" t="b">
        <f>IF(Bdd_cave!$T$3="Toutes les couleurs",TRUE,Bdd_cave!$T$3=F93)</f>
        <v>0</v>
      </c>
      <c r="AA93" s="33" t="b">
        <f>IF(Bdd_cave!$U$3="Tous les casiers ",TRUE,Bdd_cave!$U$3=H93)</f>
        <v>0</v>
      </c>
      <c r="AB93" s="27" t="b">
        <f t="shared" si="12"/>
        <v>0</v>
      </c>
      <c r="AD93" s="27" t="str">
        <f>IF(AB93,ROWS($AB$7:AB93),"")</f>
        <v/>
      </c>
      <c r="AE93" s="27" t="str">
        <f>IFERROR(SMALL($AD$7:$AD$297,ROWS(AD$7:$AD93)),"")</f>
        <v/>
      </c>
    </row>
    <row r="94" spans="1:31" x14ac:dyDescent="0.25">
      <c r="A94" s="27" t="str">
        <f t="shared" si="13"/>
        <v>AUXEY-DURESSES 1 er Cru 2014</v>
      </c>
      <c r="B94" s="5" t="s">
        <v>15</v>
      </c>
      <c r="C94" s="30" t="s">
        <v>38</v>
      </c>
      <c r="D94" s="30" t="s">
        <v>312</v>
      </c>
      <c r="E94" s="30">
        <v>2014</v>
      </c>
      <c r="F94" s="5" t="s">
        <v>308</v>
      </c>
      <c r="G94" s="5">
        <v>5</v>
      </c>
      <c r="H94" s="5" t="s">
        <v>344</v>
      </c>
      <c r="I94" s="6"/>
      <c r="J94" s="7"/>
      <c r="K94" s="7" t="s">
        <v>345</v>
      </c>
      <c r="L94" s="5" t="s">
        <v>346</v>
      </c>
      <c r="M94" s="5"/>
      <c r="N94" s="5"/>
      <c r="O94" s="5" t="s">
        <v>347</v>
      </c>
      <c r="P94" s="5"/>
      <c r="Q94" s="5"/>
      <c r="R94" s="5"/>
      <c r="S94" s="5"/>
      <c r="T94" s="31">
        <f t="shared" si="9"/>
        <v>87</v>
      </c>
      <c r="U94" s="31" t="str">
        <f t="shared" si="10"/>
        <v>87.jpg</v>
      </c>
      <c r="V94" s="32" t="str">
        <f t="shared" si="11"/>
        <v>87.jpg</v>
      </c>
      <c r="X94" s="33" t="b">
        <f>IF(Bdd_cave!$R$3="Toutes les regions",TRUE,Bdd_cave!$R$3=B94)</f>
        <v>0</v>
      </c>
      <c r="Y94" s="33" t="b">
        <f>IF(Bdd_cave!$S$3="Toutes les années",TRUE,Bdd_cave!$S$3=E94)</f>
        <v>1</v>
      </c>
      <c r="Z94" s="27" t="b">
        <f>IF(Bdd_cave!$T$3="Toutes les couleurs",TRUE,Bdd_cave!$T$3=F94)</f>
        <v>0</v>
      </c>
      <c r="AA94" s="33" t="b">
        <f>IF(Bdd_cave!$U$3="Tous les casiers ",TRUE,Bdd_cave!$U$3=H94)</f>
        <v>0</v>
      </c>
      <c r="AB94" s="27" t="b">
        <f t="shared" si="12"/>
        <v>0</v>
      </c>
      <c r="AD94" s="27" t="str">
        <f>IF(AB94,ROWS($AB$7:AB94),"")</f>
        <v/>
      </c>
      <c r="AE94" s="27" t="str">
        <f>IFERROR(SMALL($AD$7:$AD$297,ROWS(AD$7:$AD94)),"")</f>
        <v/>
      </c>
    </row>
    <row r="95" spans="1:31" x14ac:dyDescent="0.25">
      <c r="A95" s="27" t="str">
        <f t="shared" si="13"/>
        <v>IRANCY  2014</v>
      </c>
      <c r="B95" s="5" t="s">
        <v>15</v>
      </c>
      <c r="C95" s="30" t="s">
        <v>266</v>
      </c>
      <c r="D95" s="30"/>
      <c r="E95" s="30">
        <v>2014</v>
      </c>
      <c r="F95" s="5" t="s">
        <v>308</v>
      </c>
      <c r="G95" s="5">
        <v>5</v>
      </c>
      <c r="H95" s="5" t="s">
        <v>348</v>
      </c>
      <c r="I95" s="6"/>
      <c r="J95" s="7"/>
      <c r="K95" s="7"/>
      <c r="L95" s="5" t="s">
        <v>349</v>
      </c>
      <c r="M95" s="5" t="s">
        <v>350</v>
      </c>
      <c r="N95" s="5">
        <v>89290</v>
      </c>
      <c r="O95" s="5" t="s">
        <v>351</v>
      </c>
      <c r="P95" s="5" t="s">
        <v>352</v>
      </c>
      <c r="Q95" s="5"/>
      <c r="R95" s="5"/>
      <c r="S95" s="5"/>
      <c r="T95" s="31">
        <f t="shared" si="9"/>
        <v>88</v>
      </c>
      <c r="U95" s="31" t="str">
        <f t="shared" si="10"/>
        <v>88.jpg</v>
      </c>
      <c r="V95" s="32" t="str">
        <f t="shared" si="11"/>
        <v>88.jpg</v>
      </c>
      <c r="X95" s="33" t="b">
        <f>IF(Bdd_cave!$R$3="Toutes les regions",TRUE,Bdd_cave!$R$3=B95)</f>
        <v>0</v>
      </c>
      <c r="Y95" s="33" t="b">
        <f>IF(Bdd_cave!$S$3="Toutes les années",TRUE,Bdd_cave!$S$3=E95)</f>
        <v>1</v>
      </c>
      <c r="Z95" s="27" t="b">
        <f>IF(Bdd_cave!$T$3="Toutes les couleurs",TRUE,Bdd_cave!$T$3=F95)</f>
        <v>0</v>
      </c>
      <c r="AA95" s="33" t="b">
        <f>IF(Bdd_cave!$U$3="Tous les casiers ",TRUE,Bdd_cave!$U$3=H95)</f>
        <v>0</v>
      </c>
      <c r="AB95" s="27" t="b">
        <f t="shared" si="12"/>
        <v>0</v>
      </c>
      <c r="AD95" s="27" t="str">
        <f>IF(AB95,ROWS($AB$7:AB95),"")</f>
        <v/>
      </c>
      <c r="AE95" s="27" t="str">
        <f>IFERROR(SMALL($AD$7:$AD$297,ROWS(AD$7:$AD95)),"")</f>
        <v/>
      </c>
    </row>
    <row r="96" spans="1:31" x14ac:dyDescent="0.25">
      <c r="A96" s="27" t="str">
        <f t="shared" si="13"/>
        <v>SAVIGNY-LES-BEAUNE  2014</v>
      </c>
      <c r="B96" s="5" t="s">
        <v>15</v>
      </c>
      <c r="C96" s="30" t="s">
        <v>303</v>
      </c>
      <c r="D96" s="30"/>
      <c r="E96" s="30">
        <v>2014</v>
      </c>
      <c r="F96" s="5" t="s">
        <v>308</v>
      </c>
      <c r="G96" s="5">
        <v>1</v>
      </c>
      <c r="H96" s="5" t="s">
        <v>377</v>
      </c>
      <c r="I96" s="6"/>
      <c r="J96" s="7"/>
      <c r="K96" s="7" t="s">
        <v>375</v>
      </c>
      <c r="L96" s="5" t="s">
        <v>376</v>
      </c>
      <c r="M96" s="5"/>
      <c r="N96" s="5">
        <v>21</v>
      </c>
      <c r="O96" s="5" t="s">
        <v>303</v>
      </c>
      <c r="P96" s="5"/>
      <c r="Q96" s="5"/>
      <c r="R96" s="5"/>
      <c r="S96" s="5"/>
      <c r="T96" s="31">
        <f t="shared" si="9"/>
        <v>89</v>
      </c>
      <c r="U96" s="31" t="str">
        <f t="shared" si="10"/>
        <v>89.jpg</v>
      </c>
      <c r="V96" s="32" t="str">
        <f t="shared" si="11"/>
        <v>89.jpg</v>
      </c>
      <c r="X96" s="33" t="b">
        <f>IF(Bdd_cave!$R$3="Toutes les regions",TRUE,Bdd_cave!$R$3=B96)</f>
        <v>0</v>
      </c>
      <c r="Y96" s="33" t="b">
        <f>IF(Bdd_cave!$S$3="Toutes les années",TRUE,Bdd_cave!$S$3=E96)</f>
        <v>1</v>
      </c>
      <c r="Z96" s="27" t="b">
        <f>IF(Bdd_cave!$T$3="Toutes les couleurs",TRUE,Bdd_cave!$T$3=F96)</f>
        <v>0</v>
      </c>
      <c r="AA96" s="33" t="b">
        <f>IF(Bdd_cave!$U$3="Tous les casiers ",TRUE,Bdd_cave!$U$3=H96)</f>
        <v>0</v>
      </c>
      <c r="AB96" s="27" t="b">
        <f t="shared" si="12"/>
        <v>0</v>
      </c>
      <c r="AD96" s="27" t="str">
        <f>IF(AB96,ROWS($AB$7:AB96),"")</f>
        <v/>
      </c>
      <c r="AE96" s="27" t="str">
        <f>IFERROR(SMALL($AD$7:$AD$297,ROWS(AD$7:$AD96)),"")</f>
        <v/>
      </c>
    </row>
    <row r="97" spans="1:31" x14ac:dyDescent="0.25">
      <c r="A97" s="27" t="str">
        <f t="shared" si="13"/>
        <v>CHARDONNAY  2014</v>
      </c>
      <c r="B97" s="5" t="s">
        <v>17</v>
      </c>
      <c r="C97" s="30" t="s">
        <v>409</v>
      </c>
      <c r="D97" s="30"/>
      <c r="E97" s="30">
        <v>2014</v>
      </c>
      <c r="F97" s="5" t="s">
        <v>309</v>
      </c>
      <c r="G97" s="5">
        <v>3</v>
      </c>
      <c r="H97" s="5"/>
      <c r="I97" s="6"/>
      <c r="J97" s="7"/>
      <c r="K97" s="7" t="s">
        <v>410</v>
      </c>
      <c r="L97" s="5" t="s">
        <v>411</v>
      </c>
      <c r="M97" s="5"/>
      <c r="N97" s="5">
        <v>7120</v>
      </c>
      <c r="O97" s="5" t="s">
        <v>412</v>
      </c>
      <c r="P97" s="5"/>
      <c r="Q97" s="5"/>
      <c r="R97" s="5"/>
      <c r="S97" s="5"/>
      <c r="T97" s="23">
        <f t="shared" si="9"/>
        <v>90</v>
      </c>
      <c r="U97" s="23" t="str">
        <f t="shared" si="10"/>
        <v>90.jpg</v>
      </c>
      <c r="V97" s="24" t="str">
        <f t="shared" si="11"/>
        <v>90.jpg</v>
      </c>
      <c r="X97" s="33" t="b">
        <f>IF(Bdd_cave!$R$3="Toutes les regions",TRUE,Bdd_cave!$R$3=B97)</f>
        <v>0</v>
      </c>
      <c r="Y97" s="33" t="b">
        <f>IF(Bdd_cave!$S$3="Toutes les années",TRUE,Bdd_cave!$S$3=E97)</f>
        <v>1</v>
      </c>
      <c r="Z97" s="27" t="b">
        <f>IF(Bdd_cave!$T$3="Toutes les couleurs",TRUE,Bdd_cave!$T$3=F97)</f>
        <v>0</v>
      </c>
      <c r="AA97" s="33" t="b">
        <f>IF(Bdd_cave!$U$3="Tous les casiers ",TRUE,Bdd_cave!$U$3=H97)</f>
        <v>0</v>
      </c>
      <c r="AB97" s="27" t="b">
        <f t="shared" si="12"/>
        <v>0</v>
      </c>
      <c r="AD97" s="27" t="str">
        <f>IF(AB97,ROWS($AB$7:AB97),"")</f>
        <v/>
      </c>
      <c r="AE97" s="27" t="str">
        <f>IFERROR(SMALL($AD$7:$AD$297,ROWS(AD$7:$AD97)),"")</f>
        <v/>
      </c>
    </row>
    <row r="98" spans="1:31" x14ac:dyDescent="0.25">
      <c r="A98" s="27" t="str">
        <f t="shared" si="13"/>
        <v>ALIGOTE  2014</v>
      </c>
      <c r="B98" s="5" t="s">
        <v>15</v>
      </c>
      <c r="C98" s="30" t="s">
        <v>91</v>
      </c>
      <c r="D98" s="30"/>
      <c r="E98" s="30">
        <v>2014</v>
      </c>
      <c r="F98" s="5" t="s">
        <v>309</v>
      </c>
      <c r="G98" s="5">
        <v>2</v>
      </c>
      <c r="H98" s="5" t="s">
        <v>414</v>
      </c>
      <c r="I98" s="6"/>
      <c r="J98" s="7"/>
      <c r="K98" s="7"/>
      <c r="L98" s="5" t="s">
        <v>371</v>
      </c>
      <c r="M98" s="5"/>
      <c r="N98" s="5">
        <v>21</v>
      </c>
      <c r="O98" s="5" t="s">
        <v>383</v>
      </c>
      <c r="P98" s="5"/>
      <c r="Q98" s="5"/>
      <c r="R98" s="5"/>
      <c r="S98" s="5"/>
      <c r="T98" s="23">
        <f t="shared" si="9"/>
        <v>91</v>
      </c>
      <c r="U98" s="23" t="str">
        <f t="shared" si="10"/>
        <v>91.jpg</v>
      </c>
      <c r="V98" s="24" t="str">
        <f t="shared" si="11"/>
        <v>91.jpg</v>
      </c>
      <c r="X98" s="33" t="b">
        <f>IF(Bdd_cave!$R$3="Toutes les regions",TRUE,Bdd_cave!$R$3=B98)</f>
        <v>0</v>
      </c>
      <c r="Y98" s="33" t="b">
        <f>IF(Bdd_cave!$S$3="Toutes les années",TRUE,Bdd_cave!$S$3=E98)</f>
        <v>1</v>
      </c>
      <c r="Z98" s="27" t="b">
        <f>IF(Bdd_cave!$T$3="Toutes les couleurs",TRUE,Bdd_cave!$T$3=F98)</f>
        <v>0</v>
      </c>
      <c r="AA98" s="33" t="b">
        <f>IF(Bdd_cave!$U$3="Tous les casiers ",TRUE,Bdd_cave!$U$3=H98)</f>
        <v>0</v>
      </c>
      <c r="AB98" s="27" t="b">
        <f t="shared" si="12"/>
        <v>0</v>
      </c>
      <c r="AD98" s="27" t="str">
        <f>IF(AB98,ROWS($AB$7:AB98),"")</f>
        <v/>
      </c>
      <c r="AE98" s="27" t="str">
        <f>IFERROR(SMALL($AD$7:$AD$297,ROWS(AD$7:$AD98)),"")</f>
        <v/>
      </c>
    </row>
    <row r="99" spans="1:31" x14ac:dyDescent="0.25">
      <c r="A99" s="27" t="str">
        <f t="shared" si="13"/>
        <v>COTE DU RHONE  2014</v>
      </c>
      <c r="B99" s="5" t="s">
        <v>17</v>
      </c>
      <c r="C99" s="30" t="s">
        <v>17</v>
      </c>
      <c r="D99" s="30"/>
      <c r="E99" s="30">
        <v>2014</v>
      </c>
      <c r="F99" s="5" t="s">
        <v>309</v>
      </c>
      <c r="G99" s="5">
        <v>1</v>
      </c>
      <c r="H99" s="5" t="s">
        <v>428</v>
      </c>
      <c r="I99" s="6"/>
      <c r="J99" s="7"/>
      <c r="K99" s="7"/>
      <c r="L99" s="5" t="s">
        <v>431</v>
      </c>
      <c r="M99" s="5"/>
      <c r="N99" s="5">
        <v>7700</v>
      </c>
      <c r="O99" s="5" t="s">
        <v>432</v>
      </c>
      <c r="P99" s="5" t="s">
        <v>433</v>
      </c>
      <c r="Q99" s="5" t="s">
        <v>434</v>
      </c>
      <c r="R99" s="5"/>
      <c r="S99" s="5"/>
      <c r="T99" s="31">
        <f t="shared" si="9"/>
        <v>92</v>
      </c>
      <c r="U99" s="31" t="str">
        <f t="shared" si="10"/>
        <v>92.jpg</v>
      </c>
      <c r="V99" s="32" t="str">
        <f t="shared" si="11"/>
        <v>92.jpg</v>
      </c>
      <c r="X99" s="33" t="b">
        <f>IF(Bdd_cave!$R$3="Toutes les regions",TRUE,Bdd_cave!$R$3=B99)</f>
        <v>0</v>
      </c>
      <c r="Y99" s="33" t="b">
        <f>IF(Bdd_cave!$S$3="Toutes les années",TRUE,Bdd_cave!$S$3=E99)</f>
        <v>1</v>
      </c>
      <c r="Z99" s="27" t="b">
        <f>IF(Bdd_cave!$T$3="Toutes les couleurs",TRUE,Bdd_cave!$T$3=F99)</f>
        <v>0</v>
      </c>
      <c r="AA99" s="33" t="b">
        <f>IF(Bdd_cave!$U$3="Tous les casiers ",TRUE,Bdd_cave!$U$3=H99)</f>
        <v>0</v>
      </c>
      <c r="AB99" s="27" t="b">
        <f t="shared" si="12"/>
        <v>0</v>
      </c>
      <c r="AD99" s="27" t="str">
        <f>IF(AB99,ROWS($AB$7:AB99),"")</f>
        <v/>
      </c>
      <c r="AE99" s="27" t="str">
        <f>IFERROR(SMALL($AD$7:$AD$297,ROWS(AD$7:$AD99)),"")</f>
        <v/>
      </c>
    </row>
    <row r="100" spans="1:31" x14ac:dyDescent="0.25">
      <c r="A100" s="27" t="str">
        <f t="shared" si="13"/>
        <v>SAVIGNY-LES-BEAUNE 1 er Cru 2014</v>
      </c>
      <c r="B100" s="5" t="s">
        <v>15</v>
      </c>
      <c r="C100" s="30" t="s">
        <v>303</v>
      </c>
      <c r="D100" s="30" t="s">
        <v>312</v>
      </c>
      <c r="E100" s="30">
        <v>2014</v>
      </c>
      <c r="F100" s="5" t="s">
        <v>309</v>
      </c>
      <c r="G100" s="5">
        <v>1</v>
      </c>
      <c r="H100" s="5" t="s">
        <v>428</v>
      </c>
      <c r="I100" s="6"/>
      <c r="J100" s="7"/>
      <c r="K100" s="7" t="s">
        <v>443</v>
      </c>
      <c r="L100" s="5" t="s">
        <v>444</v>
      </c>
      <c r="M100" s="5"/>
      <c r="N100" s="5">
        <v>21</v>
      </c>
      <c r="O100" s="5"/>
      <c r="P100" s="5"/>
      <c r="Q100" s="5"/>
      <c r="R100" s="5"/>
      <c r="S100" s="5"/>
      <c r="T100" s="31">
        <f t="shared" si="9"/>
        <v>93</v>
      </c>
      <c r="U100" s="31" t="str">
        <f t="shared" si="10"/>
        <v>93.jpg</v>
      </c>
      <c r="V100" s="32" t="str">
        <f t="shared" si="11"/>
        <v>93.jpg</v>
      </c>
      <c r="X100" s="33" t="b">
        <f>IF(Bdd_cave!$R$3="Toutes les regions",TRUE,Bdd_cave!$R$3=B100)</f>
        <v>0</v>
      </c>
      <c r="Y100" s="33" t="b">
        <f>IF(Bdd_cave!$S$3="Toutes les années",TRUE,Bdd_cave!$S$3=E100)</f>
        <v>1</v>
      </c>
      <c r="Z100" s="27" t="b">
        <f>IF(Bdd_cave!$T$3="Toutes les couleurs",TRUE,Bdd_cave!$T$3=F100)</f>
        <v>0</v>
      </c>
      <c r="AA100" s="33" t="b">
        <f>IF(Bdd_cave!$U$3="Tous les casiers ",TRUE,Bdd_cave!$U$3=H100)</f>
        <v>0</v>
      </c>
      <c r="AB100" s="27" t="b">
        <f t="shared" si="12"/>
        <v>0</v>
      </c>
      <c r="AD100" s="27" t="str">
        <f>IF(AB100,ROWS($AB$7:AB100),"")</f>
        <v/>
      </c>
      <c r="AE100" s="27" t="str">
        <f>IFERROR(SMALL($AD$7:$AD$297,ROWS(AD$7:$AD100)),"")</f>
        <v/>
      </c>
    </row>
    <row r="101" spans="1:31" x14ac:dyDescent="0.25">
      <c r="A101" s="27" t="str">
        <f t="shared" si="13"/>
        <v>MARSANNAY  2014</v>
      </c>
      <c r="B101" s="5" t="s">
        <v>15</v>
      </c>
      <c r="C101" s="30" t="s">
        <v>276</v>
      </c>
      <c r="D101" s="30"/>
      <c r="E101" s="30">
        <v>2014</v>
      </c>
      <c r="F101" s="5" t="s">
        <v>308</v>
      </c>
      <c r="G101" s="5">
        <v>1</v>
      </c>
      <c r="H101" s="5" t="s">
        <v>428</v>
      </c>
      <c r="I101" s="6"/>
      <c r="J101" s="7"/>
      <c r="K101" s="7" t="s">
        <v>445</v>
      </c>
      <c r="L101" s="5" t="s">
        <v>446</v>
      </c>
      <c r="M101" s="5"/>
      <c r="N101" s="5">
        <v>21160</v>
      </c>
      <c r="O101" s="5" t="s">
        <v>447</v>
      </c>
      <c r="P101" s="5"/>
      <c r="Q101" s="5"/>
      <c r="R101" s="5"/>
      <c r="S101" s="5"/>
      <c r="T101" s="31">
        <f t="shared" si="9"/>
        <v>94</v>
      </c>
      <c r="U101" s="31" t="str">
        <f t="shared" si="10"/>
        <v>94.jpg</v>
      </c>
      <c r="V101" s="32" t="str">
        <f t="shared" si="11"/>
        <v>94.jpg</v>
      </c>
      <c r="X101" s="33" t="b">
        <f>IF(Bdd_cave!$R$3="Toutes les regions",TRUE,Bdd_cave!$R$3=B101)</f>
        <v>0</v>
      </c>
      <c r="Y101" s="33" t="b">
        <f>IF(Bdd_cave!$S$3="Toutes les années",TRUE,Bdd_cave!$S$3=E101)</f>
        <v>1</v>
      </c>
      <c r="Z101" s="27" t="b">
        <f>IF(Bdd_cave!$T$3="Toutes les couleurs",TRUE,Bdd_cave!$T$3=F101)</f>
        <v>0</v>
      </c>
      <c r="AA101" s="33" t="b">
        <f>IF(Bdd_cave!$U$3="Tous les casiers ",TRUE,Bdd_cave!$U$3=H101)</f>
        <v>0</v>
      </c>
      <c r="AB101" s="27" t="b">
        <f t="shared" si="12"/>
        <v>0</v>
      </c>
      <c r="AD101" s="27" t="str">
        <f>IF(AB101,ROWS($AB$7:AB101),"")</f>
        <v/>
      </c>
      <c r="AE101" s="27" t="str">
        <f>IFERROR(SMALL($AD$7:$AD$297,ROWS(AD$7:$AD101)),"")</f>
        <v/>
      </c>
    </row>
    <row r="102" spans="1:31" x14ac:dyDescent="0.25">
      <c r="A102" s="27" t="str">
        <f t="shared" si="13"/>
        <v>ALIGOTE  2014</v>
      </c>
      <c r="B102" s="5" t="s">
        <v>15</v>
      </c>
      <c r="C102" s="30" t="s">
        <v>91</v>
      </c>
      <c r="D102" s="30"/>
      <c r="E102" s="30">
        <v>2014</v>
      </c>
      <c r="F102" s="5" t="s">
        <v>309</v>
      </c>
      <c r="G102" s="5">
        <v>1</v>
      </c>
      <c r="H102" s="5" t="s">
        <v>428</v>
      </c>
      <c r="I102" s="6"/>
      <c r="J102" s="7"/>
      <c r="K102" s="7"/>
      <c r="L102" s="5" t="s">
        <v>449</v>
      </c>
      <c r="M102" s="5"/>
      <c r="N102" s="5">
        <v>89580</v>
      </c>
      <c r="O102" s="5" t="s">
        <v>450</v>
      </c>
      <c r="P102" s="5"/>
      <c r="Q102" s="5"/>
      <c r="R102" s="5"/>
      <c r="S102" s="5"/>
      <c r="T102" s="31">
        <f t="shared" si="9"/>
        <v>95</v>
      </c>
      <c r="U102" s="31" t="str">
        <f t="shared" si="10"/>
        <v>95.jpg</v>
      </c>
      <c r="V102" s="32" t="str">
        <f t="shared" si="11"/>
        <v>95.jpg</v>
      </c>
      <c r="X102" s="33" t="b">
        <f>IF(Bdd_cave!$R$3="Toutes les regions",TRUE,Bdd_cave!$R$3=B102)</f>
        <v>0</v>
      </c>
      <c r="Y102" s="33" t="b">
        <f>IF(Bdd_cave!$S$3="Toutes les années",TRUE,Bdd_cave!$S$3=E102)</f>
        <v>1</v>
      </c>
      <c r="Z102" s="27" t="b">
        <f>IF(Bdd_cave!$T$3="Toutes les couleurs",TRUE,Bdd_cave!$T$3=F102)</f>
        <v>0</v>
      </c>
      <c r="AA102" s="33" t="b">
        <f>IF(Bdd_cave!$U$3="Tous les casiers ",TRUE,Bdd_cave!$U$3=H102)</f>
        <v>0</v>
      </c>
      <c r="AB102" s="27" t="b">
        <f t="shared" si="12"/>
        <v>0</v>
      </c>
      <c r="AD102" s="27" t="str">
        <f>IF(AB102,ROWS($AB$7:AB102),"")</f>
        <v/>
      </c>
      <c r="AE102" s="27" t="str">
        <f>IFERROR(SMALL($AD$7:$AD$297,ROWS(AD$7:$AD102)),"")</f>
        <v/>
      </c>
    </row>
    <row r="103" spans="1:31" x14ac:dyDescent="0.25">
      <c r="A103" s="27" t="str">
        <f t="shared" si="13"/>
        <v>SAINT-ROMAIN  2014</v>
      </c>
      <c r="B103" s="5" t="s">
        <v>15</v>
      </c>
      <c r="C103" s="30" t="s">
        <v>300</v>
      </c>
      <c r="D103" s="30"/>
      <c r="E103" s="30">
        <v>2014</v>
      </c>
      <c r="F103" s="5" t="s">
        <v>309</v>
      </c>
      <c r="G103" s="5">
        <v>1</v>
      </c>
      <c r="H103" s="5" t="s">
        <v>428</v>
      </c>
      <c r="I103" s="6"/>
      <c r="J103" s="7"/>
      <c r="K103" s="7" t="s">
        <v>452</v>
      </c>
      <c r="L103" s="5" t="s">
        <v>448</v>
      </c>
      <c r="M103" s="5"/>
      <c r="N103" s="5"/>
      <c r="O103" s="5"/>
      <c r="P103" s="5"/>
      <c r="Q103" s="5"/>
      <c r="R103" s="5"/>
      <c r="S103" s="5"/>
      <c r="T103" s="31">
        <f t="shared" ref="T103:T134" si="14">ROW(T103)-7</f>
        <v>96</v>
      </c>
      <c r="U103" s="31" t="str">
        <f t="shared" si="10"/>
        <v>96.jpg</v>
      </c>
      <c r="V103" s="32" t="str">
        <f t="shared" si="11"/>
        <v>96.jpg</v>
      </c>
      <c r="X103" s="33" t="b">
        <f>IF(Bdd_cave!$R$3="Toutes les regions",TRUE,Bdd_cave!$R$3=B103)</f>
        <v>0</v>
      </c>
      <c r="Y103" s="33" t="b">
        <f>IF(Bdd_cave!$S$3="Toutes les années",TRUE,Bdd_cave!$S$3=E103)</f>
        <v>1</v>
      </c>
      <c r="Z103" s="27" t="b">
        <f>IF(Bdd_cave!$T$3="Toutes les couleurs",TRUE,Bdd_cave!$T$3=F103)</f>
        <v>0</v>
      </c>
      <c r="AA103" s="33" t="b">
        <f>IF(Bdd_cave!$U$3="Tous les casiers ",TRUE,Bdd_cave!$U$3=H103)</f>
        <v>0</v>
      </c>
      <c r="AB103" s="27" t="b">
        <f t="shared" ref="AB103:AB134" si="15">AND(X103:Z103)</f>
        <v>0</v>
      </c>
      <c r="AD103" s="27" t="str">
        <f>IF(AB103,ROWS($AB$7:AB103),"")</f>
        <v/>
      </c>
      <c r="AE103" s="27" t="str">
        <f>IFERROR(SMALL($AD$7:$AD$297,ROWS(AD$7:$AD103)),"")</f>
        <v/>
      </c>
    </row>
    <row r="104" spans="1:31" x14ac:dyDescent="0.25">
      <c r="A104" s="27" t="str">
        <f t="shared" ref="A104:A135" si="16">CONCATENATE(C104," ",D104," ",E104)</f>
        <v>COTE DU RHONE  2014</v>
      </c>
      <c r="B104" s="5" t="s">
        <v>17</v>
      </c>
      <c r="C104" s="30" t="s">
        <v>17</v>
      </c>
      <c r="D104" s="30"/>
      <c r="E104" s="30">
        <v>2014</v>
      </c>
      <c r="F104" s="5" t="s">
        <v>308</v>
      </c>
      <c r="G104" s="5">
        <v>1</v>
      </c>
      <c r="H104" s="5" t="s">
        <v>428</v>
      </c>
      <c r="I104" s="6"/>
      <c r="J104" s="7"/>
      <c r="K104" s="7" t="s">
        <v>453</v>
      </c>
      <c r="L104" s="5" t="s">
        <v>454</v>
      </c>
      <c r="M104" s="5"/>
      <c r="N104" s="5"/>
      <c r="O104" s="5"/>
      <c r="P104" s="5"/>
      <c r="Q104" s="5"/>
      <c r="R104" s="5"/>
      <c r="S104" s="5"/>
      <c r="T104" s="31">
        <f t="shared" si="14"/>
        <v>97</v>
      </c>
      <c r="U104" s="31" t="str">
        <f t="shared" si="10"/>
        <v>97.jpg</v>
      </c>
      <c r="V104" s="32" t="str">
        <f t="shared" si="11"/>
        <v>97.jpg</v>
      </c>
      <c r="X104" s="33" t="b">
        <f>IF(Bdd_cave!$R$3="Toutes les regions",TRUE,Bdd_cave!$R$3=B104)</f>
        <v>0</v>
      </c>
      <c r="Y104" s="33" t="b">
        <f>IF(Bdd_cave!$S$3="Toutes les années",TRUE,Bdd_cave!$S$3=E104)</f>
        <v>1</v>
      </c>
      <c r="Z104" s="27" t="b">
        <f>IF(Bdd_cave!$T$3="Toutes les couleurs",TRUE,Bdd_cave!$T$3=F104)</f>
        <v>0</v>
      </c>
      <c r="AA104" s="33" t="b">
        <f>IF(Bdd_cave!$U$3="Tous les casiers ",TRUE,Bdd_cave!$U$3=H104)</f>
        <v>0</v>
      </c>
      <c r="AB104" s="27" t="b">
        <f t="shared" si="15"/>
        <v>0</v>
      </c>
      <c r="AD104" s="27" t="str">
        <f>IF(AB104,ROWS($AB$7:AB104),"")</f>
        <v/>
      </c>
      <c r="AE104" s="27" t="str">
        <f>IFERROR(SMALL($AD$7:$AD$297,ROWS(AD$7:$AD104)),"")</f>
        <v/>
      </c>
    </row>
    <row r="105" spans="1:31" x14ac:dyDescent="0.25">
      <c r="A105" s="27" t="str">
        <f t="shared" si="16"/>
        <v>COTES DU ROUSSILLON  2014</v>
      </c>
      <c r="B105" s="5" t="s">
        <v>18</v>
      </c>
      <c r="C105" s="30" t="s">
        <v>112</v>
      </c>
      <c r="D105" s="30"/>
      <c r="E105" s="30">
        <v>2014</v>
      </c>
      <c r="F105" s="5" t="s">
        <v>308</v>
      </c>
      <c r="G105" s="5">
        <v>1</v>
      </c>
      <c r="H105" s="5" t="s">
        <v>428</v>
      </c>
      <c r="I105" s="6"/>
      <c r="J105" s="7"/>
      <c r="K105" s="7" t="s">
        <v>467</v>
      </c>
      <c r="L105" s="5" t="s">
        <v>468</v>
      </c>
      <c r="M105" s="5"/>
      <c r="N105" s="5">
        <v>66200</v>
      </c>
      <c r="O105" s="5" t="s">
        <v>469</v>
      </c>
      <c r="P105" s="5"/>
      <c r="Q105" s="5"/>
      <c r="R105" s="5" t="s">
        <v>470</v>
      </c>
      <c r="S105" s="5"/>
      <c r="T105" s="23">
        <f t="shared" si="14"/>
        <v>98</v>
      </c>
      <c r="U105" s="23" t="str">
        <f t="shared" si="10"/>
        <v>98.jpg</v>
      </c>
      <c r="V105" s="24" t="str">
        <f t="shared" si="11"/>
        <v>98.jpg</v>
      </c>
      <c r="X105" s="33" t="b">
        <f>IF(Bdd_cave!$R$3="Toutes les regions",TRUE,Bdd_cave!$R$3=B105)</f>
        <v>0</v>
      </c>
      <c r="Y105" s="33" t="b">
        <f>IF(Bdd_cave!$S$3="Toutes les années",TRUE,Bdd_cave!$S$3=E105)</f>
        <v>1</v>
      </c>
      <c r="Z105" s="27" t="b">
        <f>IF(Bdd_cave!$T$3="Toutes les couleurs",TRUE,Bdd_cave!$T$3=F105)</f>
        <v>0</v>
      </c>
      <c r="AA105" s="33" t="b">
        <f>IF(Bdd_cave!$U$3="Tous les casiers ",TRUE,Bdd_cave!$U$3=H105)</f>
        <v>0</v>
      </c>
      <c r="AB105" s="27" t="b">
        <f t="shared" si="15"/>
        <v>0</v>
      </c>
      <c r="AD105" s="27" t="str">
        <f>IF(AB105,ROWS($AB$7:AB105),"")</f>
        <v/>
      </c>
      <c r="AE105" s="27" t="str">
        <f>IFERROR(SMALL($AD$7:$AD$297,ROWS(AD$7:$AD105)),"")</f>
        <v/>
      </c>
    </row>
    <row r="106" spans="1:31" x14ac:dyDescent="0.25">
      <c r="A106" s="27" t="str">
        <f t="shared" si="16"/>
        <v>IRANCY  2015</v>
      </c>
      <c r="B106" s="5" t="s">
        <v>15</v>
      </c>
      <c r="C106" s="30" t="s">
        <v>266</v>
      </c>
      <c r="D106" s="30"/>
      <c r="E106" s="30">
        <v>2015</v>
      </c>
      <c r="F106" s="5" t="s">
        <v>308</v>
      </c>
      <c r="G106" s="5">
        <v>5</v>
      </c>
      <c r="H106" s="5" t="s">
        <v>337</v>
      </c>
      <c r="I106" s="6"/>
      <c r="J106" s="7"/>
      <c r="K106" s="7"/>
      <c r="L106" s="5" t="s">
        <v>338</v>
      </c>
      <c r="M106" s="5"/>
      <c r="N106" s="5"/>
      <c r="O106" s="5" t="s">
        <v>339</v>
      </c>
      <c r="P106" s="5"/>
      <c r="Q106" s="5"/>
      <c r="R106" s="5"/>
      <c r="S106" s="5"/>
      <c r="T106" s="31">
        <f t="shared" si="14"/>
        <v>99</v>
      </c>
      <c r="U106" s="31" t="str">
        <f t="shared" si="10"/>
        <v>99.jpg</v>
      </c>
      <c r="V106" s="32" t="str">
        <f t="shared" si="11"/>
        <v>99.jpg</v>
      </c>
      <c r="X106" s="33" t="b">
        <f>IF(Bdd_cave!$R$3="Toutes les regions",TRUE,Bdd_cave!$R$3=B106)</f>
        <v>0</v>
      </c>
      <c r="Y106" s="33" t="b">
        <f>IF(Bdd_cave!$S$3="Toutes les années",TRUE,Bdd_cave!$S$3=E106)</f>
        <v>1</v>
      </c>
      <c r="Z106" s="27" t="b">
        <f>IF(Bdd_cave!$T$3="Toutes les couleurs",TRUE,Bdd_cave!$T$3=F106)</f>
        <v>0</v>
      </c>
      <c r="AA106" s="33" t="b">
        <f>IF(Bdd_cave!$U$3="Tous les casiers ",TRUE,Bdd_cave!$U$3=H106)</f>
        <v>0</v>
      </c>
      <c r="AB106" s="27" t="b">
        <f t="shared" si="15"/>
        <v>0</v>
      </c>
      <c r="AD106" s="27" t="str">
        <f>IF(AB106,ROWS($AB$7:AB106),"")</f>
        <v/>
      </c>
      <c r="AE106" s="27" t="str">
        <f>IFERROR(SMALL($AD$7:$AD$297,ROWS(AD$7:$AD106)),"")</f>
        <v/>
      </c>
    </row>
    <row r="107" spans="1:31" x14ac:dyDescent="0.25">
      <c r="A107" s="27" t="str">
        <f t="shared" si="16"/>
        <v>AUXEY-DURESSES  2015</v>
      </c>
      <c r="B107" s="5" t="s">
        <v>15</v>
      </c>
      <c r="C107" s="30" t="s">
        <v>38</v>
      </c>
      <c r="D107" s="30"/>
      <c r="E107" s="30">
        <v>2015</v>
      </c>
      <c r="F107" s="5" t="s">
        <v>308</v>
      </c>
      <c r="G107" s="5">
        <v>4</v>
      </c>
      <c r="H107" s="5" t="s">
        <v>341</v>
      </c>
      <c r="I107" s="6"/>
      <c r="J107" s="7"/>
      <c r="K107" s="7" t="s">
        <v>342</v>
      </c>
      <c r="L107" s="5" t="s">
        <v>343</v>
      </c>
      <c r="M107" s="5"/>
      <c r="N107" s="5"/>
      <c r="O107" s="5"/>
      <c r="P107" s="5"/>
      <c r="Q107" s="5"/>
      <c r="R107" s="5"/>
      <c r="S107" s="5"/>
      <c r="T107" s="31">
        <f t="shared" si="14"/>
        <v>100</v>
      </c>
      <c r="U107" s="31" t="str">
        <f t="shared" si="10"/>
        <v>100.jpg</v>
      </c>
      <c r="V107" s="32" t="str">
        <f t="shared" si="11"/>
        <v>100.jpg</v>
      </c>
      <c r="X107" s="33" t="b">
        <f>IF(Bdd_cave!$R$3="Toutes les regions",TRUE,Bdd_cave!$R$3=B107)</f>
        <v>0</v>
      </c>
      <c r="Y107" s="33" t="b">
        <f>IF(Bdd_cave!$S$3="Toutes les années",TRUE,Bdd_cave!$S$3=E107)</f>
        <v>1</v>
      </c>
      <c r="Z107" s="27" t="b">
        <f>IF(Bdd_cave!$T$3="Toutes les couleurs",TRUE,Bdd_cave!$T$3=F107)</f>
        <v>0</v>
      </c>
      <c r="AA107" s="33" t="b">
        <f>IF(Bdd_cave!$U$3="Tous les casiers ",TRUE,Bdd_cave!$U$3=H107)</f>
        <v>0</v>
      </c>
      <c r="AB107" s="27" t="b">
        <f t="shared" si="15"/>
        <v>0</v>
      </c>
      <c r="AD107" s="27" t="str">
        <f>IF(AB107,ROWS($AB$7:AB107),"")</f>
        <v/>
      </c>
      <c r="AE107" s="27" t="str">
        <f>IFERROR(SMALL($AD$7:$AD$297,ROWS(AD$7:$AD107)),"")</f>
        <v/>
      </c>
    </row>
    <row r="108" spans="1:31" x14ac:dyDescent="0.25">
      <c r="A108" s="27" t="str">
        <f t="shared" si="16"/>
        <v>CHOREY-LES-BEAUNE  2015</v>
      </c>
      <c r="B108" s="5" t="s">
        <v>15</v>
      </c>
      <c r="C108" s="30" t="s">
        <v>226</v>
      </c>
      <c r="D108" s="30"/>
      <c r="E108" s="30">
        <v>2015</v>
      </c>
      <c r="F108" s="5" t="s">
        <v>309</v>
      </c>
      <c r="G108" s="5">
        <v>2</v>
      </c>
      <c r="H108" s="5" t="s">
        <v>414</v>
      </c>
      <c r="I108" s="6"/>
      <c r="J108" s="7"/>
      <c r="K108" s="7"/>
      <c r="L108" s="5" t="s">
        <v>415</v>
      </c>
      <c r="M108" s="5"/>
      <c r="N108" s="5">
        <v>21700</v>
      </c>
      <c r="O108" s="5" t="s">
        <v>416</v>
      </c>
      <c r="P108" s="5"/>
      <c r="Q108" s="5"/>
      <c r="R108" s="5"/>
      <c r="S108" s="5"/>
      <c r="T108" s="23">
        <f t="shared" si="14"/>
        <v>101</v>
      </c>
      <c r="U108" s="23" t="str">
        <f t="shared" si="10"/>
        <v>101.jpg</v>
      </c>
      <c r="V108" s="24" t="str">
        <f t="shared" si="11"/>
        <v>101.jpg</v>
      </c>
      <c r="X108" s="33" t="b">
        <f>IF(Bdd_cave!$R$3="Toutes les regions",TRUE,Bdd_cave!$R$3=B108)</f>
        <v>0</v>
      </c>
      <c r="Y108" s="33" t="b">
        <f>IF(Bdd_cave!$S$3="Toutes les années",TRUE,Bdd_cave!$S$3=E108)</f>
        <v>1</v>
      </c>
      <c r="Z108" s="27" t="b">
        <f>IF(Bdd_cave!$T$3="Toutes les couleurs",TRUE,Bdd_cave!$T$3=F108)</f>
        <v>0</v>
      </c>
      <c r="AA108" s="33" t="b">
        <f>IF(Bdd_cave!$U$3="Tous les casiers ",TRUE,Bdd_cave!$U$3=H108)</f>
        <v>0</v>
      </c>
      <c r="AB108" s="27" t="b">
        <f t="shared" si="15"/>
        <v>0</v>
      </c>
      <c r="AD108" s="27" t="str">
        <f>IF(AB108,ROWS($AB$7:AB108),"")</f>
        <v/>
      </c>
      <c r="AE108" s="27" t="str">
        <f>IFERROR(SMALL($AD$7:$AD$297,ROWS(AD$7:$AD108)),"")</f>
        <v/>
      </c>
    </row>
    <row r="109" spans="1:31" x14ac:dyDescent="0.25">
      <c r="A109" s="27" t="str">
        <f t="shared" si="16"/>
        <v>CHABLIS 1 er Cru 2015</v>
      </c>
      <c r="B109" s="5" t="s">
        <v>15</v>
      </c>
      <c r="C109" s="30" t="s">
        <v>196</v>
      </c>
      <c r="D109" s="30" t="s">
        <v>312</v>
      </c>
      <c r="E109" s="30">
        <v>2015</v>
      </c>
      <c r="F109" s="5" t="s">
        <v>309</v>
      </c>
      <c r="G109" s="5">
        <v>5</v>
      </c>
      <c r="H109" s="5" t="s">
        <v>417</v>
      </c>
      <c r="I109" s="6"/>
      <c r="J109" s="7"/>
      <c r="K109" s="7"/>
      <c r="L109" s="5" t="s">
        <v>418</v>
      </c>
      <c r="M109" s="5"/>
      <c r="N109" s="5">
        <v>71</v>
      </c>
      <c r="O109" s="5" t="s">
        <v>419</v>
      </c>
      <c r="P109" s="5"/>
      <c r="Q109" s="5"/>
      <c r="R109" s="5"/>
      <c r="S109" s="5"/>
      <c r="T109" s="23">
        <f t="shared" si="14"/>
        <v>102</v>
      </c>
      <c r="U109" s="23" t="str">
        <f t="shared" si="10"/>
        <v>102.jpg</v>
      </c>
      <c r="V109" s="24" t="str">
        <f t="shared" si="11"/>
        <v>102.jpg</v>
      </c>
      <c r="X109" s="33" t="b">
        <f>IF(Bdd_cave!$R$3="Toutes les regions",TRUE,Bdd_cave!$R$3=B109)</f>
        <v>0</v>
      </c>
      <c r="Y109" s="33" t="b">
        <f>IF(Bdd_cave!$S$3="Toutes les années",TRUE,Bdd_cave!$S$3=E109)</f>
        <v>1</v>
      </c>
      <c r="Z109" s="27" t="b">
        <f>IF(Bdd_cave!$T$3="Toutes les couleurs",TRUE,Bdd_cave!$T$3=F109)</f>
        <v>0</v>
      </c>
      <c r="AA109" s="33" t="b">
        <f>IF(Bdd_cave!$U$3="Tous les casiers ",TRUE,Bdd_cave!$U$3=H109)</f>
        <v>0</v>
      </c>
      <c r="AB109" s="27" t="b">
        <f t="shared" si="15"/>
        <v>0</v>
      </c>
      <c r="AD109" s="27" t="str">
        <f>IF(AB109,ROWS($AB$7:AB109),"")</f>
        <v/>
      </c>
      <c r="AE109" s="27" t="str">
        <f>IFERROR(SMALL($AD$7:$AD$297,ROWS(AD$7:$AD109)),"")</f>
        <v/>
      </c>
    </row>
    <row r="110" spans="1:31" x14ac:dyDescent="0.25">
      <c r="A110" s="27" t="str">
        <f t="shared" si="16"/>
        <v>COTE DU RHONE  2015</v>
      </c>
      <c r="B110" s="5" t="s">
        <v>17</v>
      </c>
      <c r="C110" s="30" t="s">
        <v>17</v>
      </c>
      <c r="D110" s="30"/>
      <c r="E110" s="30">
        <v>2015</v>
      </c>
      <c r="F110" s="5" t="s">
        <v>309</v>
      </c>
      <c r="G110" s="5">
        <v>3</v>
      </c>
      <c r="H110" s="5" t="s">
        <v>562</v>
      </c>
      <c r="I110" s="6"/>
      <c r="J110" s="7"/>
      <c r="K110" s="7"/>
      <c r="L110" s="5" t="s">
        <v>431</v>
      </c>
      <c r="M110" s="5"/>
      <c r="N110" s="5">
        <v>7700</v>
      </c>
      <c r="O110" s="5" t="s">
        <v>432</v>
      </c>
      <c r="P110" s="5"/>
      <c r="Q110" s="5"/>
      <c r="R110" s="5"/>
      <c r="S110" s="5"/>
      <c r="T110" s="23">
        <f t="shared" si="14"/>
        <v>103</v>
      </c>
      <c r="U110" s="23" t="str">
        <f t="shared" si="10"/>
        <v>103.jpg</v>
      </c>
      <c r="V110" s="24" t="str">
        <f t="shared" si="11"/>
        <v>103.jpg</v>
      </c>
      <c r="X110" s="33" t="b">
        <f>IF(Bdd_cave!$R$3="Toutes les regions",TRUE,Bdd_cave!$R$3=B110)</f>
        <v>0</v>
      </c>
      <c r="Y110" s="33" t="b">
        <f>IF(Bdd_cave!$S$3="Toutes les années",TRUE,Bdd_cave!$S$3=E110)</f>
        <v>1</v>
      </c>
      <c r="Z110" s="27" t="b">
        <f>IF(Bdd_cave!$T$3="Toutes les couleurs",TRUE,Bdd_cave!$T$3=F110)</f>
        <v>0</v>
      </c>
      <c r="AA110" s="33" t="b">
        <f>IF(Bdd_cave!$U$3="Tous les casiers ",TRUE,Bdd_cave!$U$3=H110)</f>
        <v>0</v>
      </c>
      <c r="AB110" s="27" t="b">
        <f t="shared" si="15"/>
        <v>0</v>
      </c>
      <c r="AD110" s="27" t="str">
        <f>IF(AB110,ROWS($AB$7:AB110),"")</f>
        <v/>
      </c>
      <c r="AE110" s="27" t="str">
        <f>IFERROR(SMALL($AD$7:$AD$297,ROWS(AD$7:$AD110)),"")</f>
        <v/>
      </c>
    </row>
    <row r="111" spans="1:31" x14ac:dyDescent="0.25">
      <c r="A111" s="27" t="str">
        <f t="shared" si="16"/>
        <v>COTE DU RHONE  2015</v>
      </c>
      <c r="B111" s="5" t="s">
        <v>17</v>
      </c>
      <c r="C111" s="30" t="s">
        <v>17</v>
      </c>
      <c r="D111" s="30"/>
      <c r="E111" s="30">
        <v>2015</v>
      </c>
      <c r="F111" s="5" t="s">
        <v>308</v>
      </c>
      <c r="G111" s="5">
        <v>4</v>
      </c>
      <c r="H111" s="5" t="s">
        <v>484</v>
      </c>
      <c r="I111" s="6"/>
      <c r="J111" s="7"/>
      <c r="K111" s="7"/>
      <c r="L111" s="5" t="s">
        <v>431</v>
      </c>
      <c r="M111" s="5"/>
      <c r="N111" s="5">
        <v>7700</v>
      </c>
      <c r="O111" s="5" t="s">
        <v>432</v>
      </c>
      <c r="P111" s="5"/>
      <c r="Q111" s="5"/>
      <c r="R111" s="5"/>
      <c r="S111" s="5"/>
      <c r="T111" s="23">
        <f t="shared" si="14"/>
        <v>104</v>
      </c>
      <c r="U111" s="23" t="str">
        <f t="shared" si="10"/>
        <v>104.jpg</v>
      </c>
      <c r="V111" s="24" t="str">
        <f t="shared" si="11"/>
        <v>104.jpg</v>
      </c>
      <c r="X111" s="33" t="b">
        <f>IF(Bdd_cave!$R$3="Toutes les regions",TRUE,Bdd_cave!$R$3=B111)</f>
        <v>0</v>
      </c>
      <c r="Y111" s="33" t="b">
        <f>IF(Bdd_cave!$S$3="Toutes les années",TRUE,Bdd_cave!$S$3=E111)</f>
        <v>1</v>
      </c>
      <c r="Z111" s="27" t="b">
        <f>IF(Bdd_cave!$T$3="Toutes les couleurs",TRUE,Bdd_cave!$T$3=F111)</f>
        <v>0</v>
      </c>
      <c r="AA111" s="33" t="b">
        <f>IF(Bdd_cave!$U$3="Tous les casiers ",TRUE,Bdd_cave!$U$3=H111)</f>
        <v>0</v>
      </c>
      <c r="AB111" s="27" t="b">
        <f t="shared" si="15"/>
        <v>0</v>
      </c>
      <c r="AD111" s="27" t="str">
        <f>IF(AB111,ROWS($AB$7:AB111),"")</f>
        <v/>
      </c>
      <c r="AE111" s="27" t="str">
        <f>IFERROR(SMALL($AD$7:$AD$297,ROWS(AD$7:$AD111)),"")</f>
        <v/>
      </c>
    </row>
    <row r="112" spans="1:31" x14ac:dyDescent="0.25">
      <c r="A112" s="27" t="str">
        <f t="shared" si="16"/>
        <v>COTE ROTIE les elotins 2015</v>
      </c>
      <c r="B112" s="5" t="s">
        <v>17</v>
      </c>
      <c r="C112" s="30" t="s">
        <v>82</v>
      </c>
      <c r="D112" s="30" t="s">
        <v>493</v>
      </c>
      <c r="E112" s="30">
        <v>2015</v>
      </c>
      <c r="F112" s="5" t="s">
        <v>308</v>
      </c>
      <c r="G112" s="5">
        <v>1</v>
      </c>
      <c r="H112" s="5" t="s">
        <v>494</v>
      </c>
      <c r="I112" s="6"/>
      <c r="J112" s="7"/>
      <c r="K112" s="7"/>
      <c r="L112" s="5" t="s">
        <v>495</v>
      </c>
      <c r="M112" s="5" t="s">
        <v>496</v>
      </c>
      <c r="N112" s="5">
        <v>69420</v>
      </c>
      <c r="O112" s="5" t="s">
        <v>497</v>
      </c>
      <c r="P112" s="5"/>
      <c r="Q112" s="5"/>
      <c r="R112" s="5"/>
      <c r="S112" s="5"/>
      <c r="T112" s="23">
        <f t="shared" si="14"/>
        <v>105</v>
      </c>
      <c r="U112" s="23" t="str">
        <f t="shared" si="10"/>
        <v>105.jpg</v>
      </c>
      <c r="V112" s="24" t="str">
        <f t="shared" si="11"/>
        <v>105.jpg</v>
      </c>
      <c r="X112" s="33" t="b">
        <f>IF(Bdd_cave!$R$3="Toutes les regions",TRUE,Bdd_cave!$R$3=B112)</f>
        <v>0</v>
      </c>
      <c r="Y112" s="33" t="b">
        <f>IF(Bdd_cave!$S$3="Toutes les années",TRUE,Bdd_cave!$S$3=E112)</f>
        <v>1</v>
      </c>
      <c r="Z112" s="27" t="b">
        <f>IF(Bdd_cave!$T$3="Toutes les couleurs",TRUE,Bdd_cave!$T$3=F112)</f>
        <v>0</v>
      </c>
      <c r="AA112" s="33" t="b">
        <f>IF(Bdd_cave!$U$3="Tous les casiers ",TRUE,Bdd_cave!$U$3=H112)</f>
        <v>0</v>
      </c>
      <c r="AB112" s="27" t="b">
        <f t="shared" si="15"/>
        <v>0</v>
      </c>
      <c r="AD112" s="27" t="str">
        <f>IF(AB112,ROWS($AB$7:AB112),"")</f>
        <v/>
      </c>
      <c r="AE112" s="27" t="str">
        <f>IFERROR(SMALL($AD$7:$AD$297,ROWS(AD$7:$AD112)),"")</f>
        <v/>
      </c>
    </row>
    <row r="113" spans="1:31" x14ac:dyDescent="0.25">
      <c r="A113" s="27" t="str">
        <f t="shared" si="16"/>
        <v>MARANGES  2015</v>
      </c>
      <c r="B113" s="5" t="s">
        <v>15</v>
      </c>
      <c r="C113" s="30" t="s">
        <v>275</v>
      </c>
      <c r="D113" s="30"/>
      <c r="E113" s="30">
        <v>2015</v>
      </c>
      <c r="F113" s="5" t="s">
        <v>308</v>
      </c>
      <c r="G113" s="5">
        <v>1</v>
      </c>
      <c r="H113" s="5" t="s">
        <v>494</v>
      </c>
      <c r="I113" s="6"/>
      <c r="J113" s="7"/>
      <c r="K113" s="7"/>
      <c r="L113" s="5" t="s">
        <v>498</v>
      </c>
      <c r="M113" s="5"/>
      <c r="N113" s="5">
        <v>71</v>
      </c>
      <c r="O113" s="5"/>
      <c r="P113" s="5"/>
      <c r="Q113" s="5"/>
      <c r="R113" s="5"/>
      <c r="S113" s="5"/>
      <c r="T113" s="23">
        <f t="shared" si="14"/>
        <v>106</v>
      </c>
      <c r="U113" s="23" t="str">
        <f t="shared" si="10"/>
        <v>106.jpg</v>
      </c>
      <c r="V113" s="24" t="str">
        <f t="shared" si="11"/>
        <v>106.jpg</v>
      </c>
      <c r="X113" s="33" t="b">
        <f>IF(Bdd_cave!$R$3="Toutes les regions",TRUE,Bdd_cave!$R$3=B113)</f>
        <v>0</v>
      </c>
      <c r="Y113" s="33" t="b">
        <f>IF(Bdd_cave!$S$3="Toutes les années",TRUE,Bdd_cave!$S$3=E113)</f>
        <v>1</v>
      </c>
      <c r="Z113" s="27" t="b">
        <f>IF(Bdd_cave!$T$3="Toutes les couleurs",TRUE,Bdd_cave!$T$3=F113)</f>
        <v>0</v>
      </c>
      <c r="AA113" s="33" t="b">
        <f>IF(Bdd_cave!$U$3="Tous les casiers ",TRUE,Bdd_cave!$U$3=H113)</f>
        <v>0</v>
      </c>
      <c r="AB113" s="27" t="b">
        <f t="shared" si="15"/>
        <v>0</v>
      </c>
      <c r="AD113" s="27" t="str">
        <f>IF(AB113,ROWS($AB$7:AB113),"")</f>
        <v/>
      </c>
      <c r="AE113" s="27" t="str">
        <f>IFERROR(SMALL($AD$7:$AD$297,ROWS(AD$7:$AD113)),"")</f>
        <v/>
      </c>
    </row>
    <row r="114" spans="1:31" x14ac:dyDescent="0.25">
      <c r="A114" s="27" t="str">
        <f t="shared" si="16"/>
        <v>CHATEAU MALIJAY  2015</v>
      </c>
      <c r="B114" s="5" t="s">
        <v>17</v>
      </c>
      <c r="C114" s="30" t="s">
        <v>499</v>
      </c>
      <c r="D114" s="30"/>
      <c r="E114" s="30">
        <v>2015</v>
      </c>
      <c r="F114" s="5" t="s">
        <v>308</v>
      </c>
      <c r="G114" s="5">
        <v>1</v>
      </c>
      <c r="H114" s="5" t="s">
        <v>494</v>
      </c>
      <c r="I114" s="6"/>
      <c r="J114" s="7"/>
      <c r="K114" s="7"/>
      <c r="L114" s="5"/>
      <c r="M114" s="5"/>
      <c r="N114" s="5"/>
      <c r="O114" s="5"/>
      <c r="P114" s="5"/>
      <c r="Q114" s="5"/>
      <c r="R114" s="5"/>
      <c r="S114" s="5"/>
      <c r="T114" s="23">
        <f t="shared" si="14"/>
        <v>107</v>
      </c>
      <c r="U114" s="23" t="str">
        <f t="shared" si="10"/>
        <v>107.jpg</v>
      </c>
      <c r="V114" s="24" t="str">
        <f t="shared" si="11"/>
        <v>107.jpg</v>
      </c>
      <c r="X114" s="33" t="b">
        <f>IF(Bdd_cave!$R$3="Toutes les regions",TRUE,Bdd_cave!$R$3=B114)</f>
        <v>0</v>
      </c>
      <c r="Y114" s="33" t="b">
        <f>IF(Bdd_cave!$S$3="Toutes les années",TRUE,Bdd_cave!$S$3=E114)</f>
        <v>1</v>
      </c>
      <c r="Z114" s="27" t="b">
        <f>IF(Bdd_cave!$T$3="Toutes les couleurs",TRUE,Bdd_cave!$T$3=F114)</f>
        <v>0</v>
      </c>
      <c r="AA114" s="33" t="b">
        <f>IF(Bdd_cave!$U$3="Tous les casiers ",TRUE,Bdd_cave!$U$3=H114)</f>
        <v>0</v>
      </c>
      <c r="AB114" s="27" t="b">
        <f t="shared" si="15"/>
        <v>0</v>
      </c>
      <c r="AD114" s="27" t="str">
        <f>IF(AB114,ROWS($AB$7:AB114),"")</f>
        <v/>
      </c>
      <c r="AE114" s="27" t="str">
        <f>IFERROR(SMALL($AD$7:$AD$297,ROWS(AD$7:$AD114)),"")</f>
        <v/>
      </c>
    </row>
    <row r="115" spans="1:31" x14ac:dyDescent="0.25">
      <c r="A115" s="27" t="str">
        <f t="shared" si="16"/>
        <v>MACON PERRONNE  2015</v>
      </c>
      <c r="B115" s="5" t="s">
        <v>15</v>
      </c>
      <c r="C115" s="30" t="s">
        <v>500</v>
      </c>
      <c r="D115" s="30"/>
      <c r="E115" s="30">
        <v>2015</v>
      </c>
      <c r="F115" s="5" t="s">
        <v>309</v>
      </c>
      <c r="G115" s="5">
        <v>1</v>
      </c>
      <c r="H115" s="5" t="s">
        <v>494</v>
      </c>
      <c r="I115" s="6"/>
      <c r="J115" s="7"/>
      <c r="K115" s="7"/>
      <c r="L115" s="5" t="s">
        <v>501</v>
      </c>
      <c r="M115" s="5"/>
      <c r="N115" s="5">
        <v>71260</v>
      </c>
      <c r="O115" s="5" t="s">
        <v>502</v>
      </c>
      <c r="P115" s="5"/>
      <c r="Q115" s="5"/>
      <c r="R115" s="5"/>
      <c r="S115" s="5"/>
      <c r="T115" s="23">
        <f t="shared" si="14"/>
        <v>108</v>
      </c>
      <c r="U115" s="23" t="str">
        <f t="shared" si="10"/>
        <v>108.jpg</v>
      </c>
      <c r="V115" s="24" t="str">
        <f t="shared" si="11"/>
        <v>108.jpg</v>
      </c>
      <c r="X115" s="33" t="b">
        <f>IF(Bdd_cave!$R$3="Toutes les regions",TRUE,Bdd_cave!$R$3=B115)</f>
        <v>0</v>
      </c>
      <c r="Y115" s="33" t="b">
        <f>IF(Bdd_cave!$S$3="Toutes les années",TRUE,Bdd_cave!$S$3=E115)</f>
        <v>1</v>
      </c>
      <c r="Z115" s="27" t="b">
        <f>IF(Bdd_cave!$T$3="Toutes les couleurs",TRUE,Bdd_cave!$T$3=F115)</f>
        <v>0</v>
      </c>
      <c r="AA115" s="33" t="b">
        <f>IF(Bdd_cave!$U$3="Tous les casiers ",TRUE,Bdd_cave!$U$3=H115)</f>
        <v>0</v>
      </c>
      <c r="AB115" s="27" t="b">
        <f t="shared" si="15"/>
        <v>0</v>
      </c>
      <c r="AD115" s="27" t="str">
        <f>IF(AB115,ROWS($AB$7:AB115),"")</f>
        <v/>
      </c>
      <c r="AE115" s="27" t="str">
        <f>IFERROR(SMALL($AD$7:$AD$297,ROWS(AD$7:$AD115)),"")</f>
        <v/>
      </c>
    </row>
    <row r="116" spans="1:31" x14ac:dyDescent="0.25">
      <c r="A116" s="27" t="str">
        <f t="shared" si="16"/>
        <v>COTES DE BORDEAUX  2015</v>
      </c>
      <c r="B116" s="5" t="s">
        <v>16</v>
      </c>
      <c r="C116" s="30" t="s">
        <v>516</v>
      </c>
      <c r="D116" s="30"/>
      <c r="E116" s="30">
        <v>2015</v>
      </c>
      <c r="F116" s="5" t="s">
        <v>308</v>
      </c>
      <c r="G116" s="5">
        <v>1</v>
      </c>
      <c r="H116" s="5" t="s">
        <v>503</v>
      </c>
      <c r="I116" s="6"/>
      <c r="J116" s="7"/>
      <c r="K116" s="7"/>
      <c r="L116" s="5" t="s">
        <v>517</v>
      </c>
      <c r="M116" s="5"/>
      <c r="N116" s="5"/>
      <c r="O116" s="5"/>
      <c r="P116" s="5"/>
      <c r="Q116" s="5"/>
      <c r="R116" s="5"/>
      <c r="S116" s="5"/>
      <c r="T116" s="23">
        <f t="shared" si="14"/>
        <v>109</v>
      </c>
      <c r="U116" s="23" t="str">
        <f t="shared" si="10"/>
        <v>109.jpg</v>
      </c>
      <c r="V116" s="24" t="str">
        <f t="shared" si="11"/>
        <v>109.jpg</v>
      </c>
      <c r="X116" s="33" t="b">
        <f>IF(Bdd_cave!$R$3="Toutes les regions",TRUE,Bdd_cave!$R$3=B116)</f>
        <v>0</v>
      </c>
      <c r="Y116" s="33" t="b">
        <f>IF(Bdd_cave!$S$3="Toutes les années",TRUE,Bdd_cave!$S$3=E116)</f>
        <v>1</v>
      </c>
      <c r="Z116" s="27" t="b">
        <f>IF(Bdd_cave!$T$3="Toutes les couleurs",TRUE,Bdd_cave!$T$3=F116)</f>
        <v>0</v>
      </c>
      <c r="AA116" s="33" t="b">
        <f>IF(Bdd_cave!$U$3="Tous les casiers ",TRUE,Bdd_cave!$U$3=H116)</f>
        <v>0</v>
      </c>
      <c r="AB116" s="27" t="b">
        <f t="shared" si="15"/>
        <v>0</v>
      </c>
      <c r="AD116" s="27" t="str">
        <f>IF(AB116,ROWS($AB$7:AB116),"")</f>
        <v/>
      </c>
      <c r="AE116" s="27" t="str">
        <f>IFERROR(SMALL($AD$7:$AD$297,ROWS(AD$7:$AD116)),"")</f>
        <v/>
      </c>
    </row>
    <row r="117" spans="1:31" x14ac:dyDescent="0.25">
      <c r="A117" s="27" t="str">
        <f t="shared" si="16"/>
        <v>COTEAUX VAROIS EN PROVENCE  2015</v>
      </c>
      <c r="B117" s="5" t="s">
        <v>20</v>
      </c>
      <c r="C117" s="30" t="s">
        <v>69</v>
      </c>
      <c r="D117" s="30"/>
      <c r="E117" s="30">
        <v>2015</v>
      </c>
      <c r="F117" s="5" t="s">
        <v>310</v>
      </c>
      <c r="G117" s="5">
        <v>1</v>
      </c>
      <c r="H117" s="5" t="s">
        <v>527</v>
      </c>
      <c r="I117" s="6"/>
      <c r="J117" s="7"/>
      <c r="K117" s="7"/>
      <c r="L117" s="5"/>
      <c r="M117" s="5"/>
      <c r="N117" s="5"/>
      <c r="O117" s="5"/>
      <c r="P117" s="5"/>
      <c r="Q117" s="5"/>
      <c r="R117" s="5"/>
      <c r="S117" s="5"/>
      <c r="T117" s="23">
        <f t="shared" si="14"/>
        <v>110</v>
      </c>
      <c r="U117" s="23" t="str">
        <f t="shared" si="10"/>
        <v>110.jpg</v>
      </c>
      <c r="V117" s="24" t="str">
        <f t="shared" si="11"/>
        <v>110.jpg</v>
      </c>
      <c r="X117" s="33" t="b">
        <f>IF(Bdd_cave!$R$3="Toutes les regions",TRUE,Bdd_cave!$R$3=B117)</f>
        <v>0</v>
      </c>
      <c r="Y117" s="33" t="b">
        <f>IF(Bdd_cave!$S$3="Toutes les années",TRUE,Bdd_cave!$S$3=E117)</f>
        <v>1</v>
      </c>
      <c r="Z117" s="27" t="b">
        <f>IF(Bdd_cave!$T$3="Toutes les couleurs",TRUE,Bdd_cave!$T$3=F117)</f>
        <v>0</v>
      </c>
      <c r="AA117" s="33" t="b">
        <f>IF(Bdd_cave!$U$3="Tous les casiers ",TRUE,Bdd_cave!$U$3=H117)</f>
        <v>0</v>
      </c>
      <c r="AB117" s="27" t="b">
        <f t="shared" si="15"/>
        <v>0</v>
      </c>
      <c r="AD117" s="27" t="str">
        <f>IF(AB117,ROWS($AB$7:AB117),"")</f>
        <v/>
      </c>
      <c r="AE117" s="27" t="str">
        <f>IFERROR(SMALL($AD$7:$AD$297,ROWS(AD$7:$AD117)),"")</f>
        <v/>
      </c>
    </row>
    <row r="118" spans="1:31" x14ac:dyDescent="0.25">
      <c r="A118" s="27" t="str">
        <f t="shared" si="16"/>
        <v>COTE DU RHONE  2015</v>
      </c>
      <c r="B118" s="5" t="s">
        <v>17</v>
      </c>
      <c r="C118" s="30" t="s">
        <v>17</v>
      </c>
      <c r="D118" s="30"/>
      <c r="E118" s="30">
        <v>2015</v>
      </c>
      <c r="F118" s="5" t="s">
        <v>310</v>
      </c>
      <c r="G118" s="5">
        <v>3</v>
      </c>
      <c r="H118" s="5" t="s">
        <v>527</v>
      </c>
      <c r="I118" s="6"/>
      <c r="J118" s="7"/>
      <c r="K118" s="7"/>
      <c r="L118" s="5" t="s">
        <v>431</v>
      </c>
      <c r="M118" s="5"/>
      <c r="N118" s="5">
        <v>7700</v>
      </c>
      <c r="O118" s="5" t="s">
        <v>432</v>
      </c>
      <c r="P118" s="5"/>
      <c r="Q118" s="5"/>
      <c r="R118" s="5"/>
      <c r="S118" s="5"/>
      <c r="T118" s="23">
        <f t="shared" si="14"/>
        <v>111</v>
      </c>
      <c r="U118" s="23" t="str">
        <f t="shared" si="10"/>
        <v>111.jpg</v>
      </c>
      <c r="V118" s="24" t="str">
        <f t="shared" si="11"/>
        <v>111.jpg</v>
      </c>
      <c r="X118" s="33" t="b">
        <f>IF(Bdd_cave!$R$3="Toutes les regions",TRUE,Bdd_cave!$R$3=B118)</f>
        <v>0</v>
      </c>
      <c r="Y118" s="33" t="b">
        <f>IF(Bdd_cave!$S$3="Toutes les années",TRUE,Bdd_cave!$S$3=E118)</f>
        <v>1</v>
      </c>
      <c r="Z118" s="27" t="b">
        <f>IF(Bdd_cave!$T$3="Toutes les couleurs",TRUE,Bdd_cave!$T$3=F118)</f>
        <v>0</v>
      </c>
      <c r="AA118" s="33" t="b">
        <f>IF(Bdd_cave!$U$3="Tous les casiers ",TRUE,Bdd_cave!$U$3=H118)</f>
        <v>0</v>
      </c>
      <c r="AB118" s="27" t="b">
        <f t="shared" si="15"/>
        <v>0</v>
      </c>
      <c r="AD118" s="27" t="str">
        <f>IF(AB118,ROWS($AB$7:AB118),"")</f>
        <v/>
      </c>
      <c r="AE118" s="27" t="str">
        <f>IFERROR(SMALL($AD$7:$AD$297,ROWS(AD$7:$AD118)),"")</f>
        <v/>
      </c>
    </row>
    <row r="119" spans="1:31" x14ac:dyDescent="0.25">
      <c r="A119" s="27" t="str">
        <f t="shared" si="16"/>
        <v>MONTHELIE 1 er Cru 2015</v>
      </c>
      <c r="B119" s="5" t="s">
        <v>15</v>
      </c>
      <c r="C119" s="30" t="s">
        <v>282</v>
      </c>
      <c r="D119" s="30" t="s">
        <v>312</v>
      </c>
      <c r="E119" s="30">
        <v>2015</v>
      </c>
      <c r="F119" s="5" t="s">
        <v>308</v>
      </c>
      <c r="G119" s="5">
        <v>4</v>
      </c>
      <c r="H119" s="5" t="s">
        <v>536</v>
      </c>
      <c r="I119" s="6"/>
      <c r="J119" s="7"/>
      <c r="K119" s="7" t="s">
        <v>537</v>
      </c>
      <c r="L119" s="5" t="s">
        <v>538</v>
      </c>
      <c r="M119" s="5"/>
      <c r="N119" s="5"/>
      <c r="O119" s="5" t="s">
        <v>539</v>
      </c>
      <c r="P119" s="5"/>
      <c r="Q119" s="5"/>
      <c r="R119" s="5"/>
      <c r="S119" s="5"/>
      <c r="T119" s="23">
        <f t="shared" si="14"/>
        <v>112</v>
      </c>
      <c r="U119" s="23" t="str">
        <f t="shared" si="10"/>
        <v>112.jpg</v>
      </c>
      <c r="V119" s="24" t="str">
        <f t="shared" si="11"/>
        <v>112.jpg</v>
      </c>
      <c r="X119" s="33" t="b">
        <f>IF(Bdd_cave!$R$3="Toutes les regions",TRUE,Bdd_cave!$R$3=B119)</f>
        <v>0</v>
      </c>
      <c r="Y119" s="33" t="b">
        <f>IF(Bdd_cave!$S$3="Toutes les années",TRUE,Bdd_cave!$S$3=E119)</f>
        <v>1</v>
      </c>
      <c r="Z119" s="27" t="b">
        <f>IF(Bdd_cave!$T$3="Toutes les couleurs",TRUE,Bdd_cave!$T$3=F119)</f>
        <v>0</v>
      </c>
      <c r="AA119" s="33" t="b">
        <f>IF(Bdd_cave!$U$3="Tous les casiers ",TRUE,Bdd_cave!$U$3=H119)</f>
        <v>0</v>
      </c>
      <c r="AB119" s="27" t="b">
        <f t="shared" si="15"/>
        <v>0</v>
      </c>
      <c r="AD119" s="27" t="str">
        <f>IF(AB119,ROWS($AB$7:AB119),"")</f>
        <v/>
      </c>
      <c r="AE119" s="27" t="str">
        <f>IFERROR(SMALL($AD$7:$AD$297,ROWS(AD$7:$AD119)),"")</f>
        <v/>
      </c>
    </row>
    <row r="120" spans="1:31" x14ac:dyDescent="0.25">
      <c r="A120" s="27" t="str">
        <f t="shared" si="16"/>
        <v>PERNAND-VERGELESSES  2015</v>
      </c>
      <c r="B120" s="5" t="s">
        <v>15</v>
      </c>
      <c r="C120" s="30" t="s">
        <v>286</v>
      </c>
      <c r="D120" s="30"/>
      <c r="E120" s="30">
        <v>2015</v>
      </c>
      <c r="F120" s="5" t="s">
        <v>308</v>
      </c>
      <c r="G120" s="5">
        <v>6</v>
      </c>
      <c r="H120" s="5" t="s">
        <v>542</v>
      </c>
      <c r="I120" s="6"/>
      <c r="J120" s="7"/>
      <c r="K120" s="7"/>
      <c r="L120" s="5" t="s">
        <v>543</v>
      </c>
      <c r="M120" s="5"/>
      <c r="N120" s="5"/>
      <c r="O120" s="5" t="s">
        <v>363</v>
      </c>
      <c r="P120" s="5"/>
      <c r="Q120" s="5"/>
      <c r="R120" s="5"/>
      <c r="S120" s="5"/>
      <c r="T120" s="23">
        <f t="shared" si="14"/>
        <v>113</v>
      </c>
      <c r="U120" s="23" t="str">
        <f t="shared" si="10"/>
        <v>113.jpg</v>
      </c>
      <c r="V120" s="24" t="str">
        <f t="shared" si="11"/>
        <v>113.jpg</v>
      </c>
      <c r="X120" s="33" t="b">
        <f>IF(Bdd_cave!$R$3="Toutes les regions",TRUE,Bdd_cave!$R$3=B120)</f>
        <v>0</v>
      </c>
      <c r="Y120" s="33" t="b">
        <f>IF(Bdd_cave!$S$3="Toutes les années",TRUE,Bdd_cave!$S$3=E120)</f>
        <v>1</v>
      </c>
      <c r="Z120" s="27" t="b">
        <f>IF(Bdd_cave!$T$3="Toutes les couleurs",TRUE,Bdd_cave!$T$3=F120)</f>
        <v>0</v>
      </c>
      <c r="AA120" s="33" t="b">
        <f>IF(Bdd_cave!$U$3="Tous les casiers ",TRUE,Bdd_cave!$U$3=H120)</f>
        <v>0</v>
      </c>
      <c r="AB120" s="27" t="b">
        <f t="shared" si="15"/>
        <v>0</v>
      </c>
      <c r="AD120" s="27" t="str">
        <f>IF(AB120,ROWS($AB$7:AB120),"")</f>
        <v/>
      </c>
      <c r="AE120" s="27" t="str">
        <f>IFERROR(SMALL($AD$7:$AD$297,ROWS(AD$7:$AD120)),"")</f>
        <v/>
      </c>
    </row>
    <row r="121" spans="1:31" x14ac:dyDescent="0.25">
      <c r="A121" s="27" t="str">
        <f t="shared" si="16"/>
        <v>POUILLY-FUISSE  2016</v>
      </c>
      <c r="B121" s="5" t="s">
        <v>15</v>
      </c>
      <c r="C121" s="30" t="s">
        <v>289</v>
      </c>
      <c r="D121" s="30"/>
      <c r="E121" s="30">
        <v>2016</v>
      </c>
      <c r="F121" s="5" t="s">
        <v>309</v>
      </c>
      <c r="G121" s="5">
        <v>3</v>
      </c>
      <c r="H121" s="5" t="s">
        <v>356</v>
      </c>
      <c r="I121" s="6"/>
      <c r="J121" s="7"/>
      <c r="K121" s="7" t="s">
        <v>357</v>
      </c>
      <c r="L121" s="5" t="s">
        <v>358</v>
      </c>
      <c r="M121" s="5"/>
      <c r="N121" s="5">
        <v>71960</v>
      </c>
      <c r="O121" s="5" t="s">
        <v>359</v>
      </c>
      <c r="P121" s="5"/>
      <c r="Q121" s="5"/>
      <c r="R121" s="5"/>
      <c r="S121" s="5"/>
      <c r="T121" s="31">
        <f t="shared" si="14"/>
        <v>114</v>
      </c>
      <c r="U121" s="31" t="str">
        <f t="shared" si="10"/>
        <v>114.jpg</v>
      </c>
      <c r="V121" s="32" t="str">
        <f t="shared" si="11"/>
        <v>114.jpg</v>
      </c>
      <c r="X121" s="33" t="b">
        <f>IF(Bdd_cave!$R$3="Toutes les regions",TRUE,Bdd_cave!$R$3=B121)</f>
        <v>0</v>
      </c>
      <c r="Y121" s="33" t="b">
        <f>IF(Bdd_cave!$S$3="Toutes les années",TRUE,Bdd_cave!$S$3=E121)</f>
        <v>1</v>
      </c>
      <c r="Z121" s="27" t="b">
        <f>IF(Bdd_cave!$T$3="Toutes les couleurs",TRUE,Bdd_cave!$T$3=F121)</f>
        <v>0</v>
      </c>
      <c r="AA121" s="33" t="b">
        <f>IF(Bdd_cave!$U$3="Tous les casiers ",TRUE,Bdd_cave!$U$3=H121)</f>
        <v>0</v>
      </c>
      <c r="AB121" s="27" t="b">
        <f t="shared" si="15"/>
        <v>0</v>
      </c>
      <c r="AD121" s="27" t="str">
        <f>IF(AB121,ROWS($AB$7:AB121),"")</f>
        <v/>
      </c>
      <c r="AE121" s="27" t="str">
        <f>IFERROR(SMALL($AD$7:$AD$297,ROWS(AD$7:$AD121)),"")</f>
        <v/>
      </c>
    </row>
    <row r="122" spans="1:31" x14ac:dyDescent="0.25">
      <c r="A122" s="27" t="str">
        <f t="shared" si="16"/>
        <v>MONTAGNY  2016</v>
      </c>
      <c r="B122" s="5" t="s">
        <v>15</v>
      </c>
      <c r="C122" s="30" t="s">
        <v>281</v>
      </c>
      <c r="D122" s="30"/>
      <c r="E122" s="30">
        <v>2016</v>
      </c>
      <c r="F122" s="5" t="s">
        <v>309</v>
      </c>
      <c r="G122" s="5">
        <v>3</v>
      </c>
      <c r="H122" s="5" t="s">
        <v>423</v>
      </c>
      <c r="I122" s="6"/>
      <c r="J122" s="7"/>
      <c r="K122" s="7"/>
      <c r="L122" s="5" t="s">
        <v>424</v>
      </c>
      <c r="M122" s="5"/>
      <c r="N122" s="5">
        <v>71390</v>
      </c>
      <c r="O122" s="5" t="s">
        <v>425</v>
      </c>
      <c r="P122" s="5"/>
      <c r="Q122" s="5"/>
      <c r="R122" s="5"/>
      <c r="S122" s="5"/>
      <c r="T122" s="23">
        <f t="shared" si="14"/>
        <v>115</v>
      </c>
      <c r="U122" s="23" t="str">
        <f t="shared" si="10"/>
        <v>115.jpg</v>
      </c>
      <c r="V122" s="24" t="str">
        <f t="shared" si="11"/>
        <v>115.jpg</v>
      </c>
      <c r="X122" s="33" t="b">
        <f>IF(Bdd_cave!$R$3="Toutes les regions",TRUE,Bdd_cave!$R$3=B122)</f>
        <v>0</v>
      </c>
      <c r="Y122" s="33" t="b">
        <f>IF(Bdd_cave!$S$3="Toutes les années",TRUE,Bdd_cave!$S$3=E122)</f>
        <v>1</v>
      </c>
      <c r="Z122" s="27" t="b">
        <f>IF(Bdd_cave!$T$3="Toutes les couleurs",TRUE,Bdd_cave!$T$3=F122)</f>
        <v>0</v>
      </c>
      <c r="AA122" s="33" t="b">
        <f>IF(Bdd_cave!$U$3="Tous les casiers ",TRUE,Bdd_cave!$U$3=H122)</f>
        <v>0</v>
      </c>
      <c r="AB122" s="27" t="b">
        <f t="shared" si="15"/>
        <v>0</v>
      </c>
      <c r="AD122" s="27" t="str">
        <f>IF(AB122,ROWS($AB$7:AB122),"")</f>
        <v/>
      </c>
      <c r="AE122" s="27" t="str">
        <f>IFERROR(SMALL($AD$7:$AD$297,ROWS(AD$7:$AD122)),"")</f>
        <v/>
      </c>
    </row>
    <row r="123" spans="1:31" x14ac:dyDescent="0.25">
      <c r="A123" s="27" t="str">
        <f t="shared" si="16"/>
        <v>COTES DU JURA  2016</v>
      </c>
      <c r="B123" s="5" t="s">
        <v>22</v>
      </c>
      <c r="C123" s="30" t="s">
        <v>62</v>
      </c>
      <c r="D123" s="30"/>
      <c r="E123" s="30">
        <v>2016</v>
      </c>
      <c r="F123" s="5" t="s">
        <v>308</v>
      </c>
      <c r="G123" s="5">
        <v>1</v>
      </c>
      <c r="H123" s="5" t="s">
        <v>428</v>
      </c>
      <c r="I123" s="6"/>
      <c r="J123" s="7"/>
      <c r="K123" s="7"/>
      <c r="L123" s="5" t="s">
        <v>471</v>
      </c>
      <c r="M123" s="5"/>
      <c r="N123" s="5">
        <v>39110</v>
      </c>
      <c r="O123" s="5" t="s">
        <v>472</v>
      </c>
      <c r="P123" s="5"/>
      <c r="Q123" s="5"/>
      <c r="R123" s="5"/>
      <c r="S123" s="5"/>
      <c r="T123" s="23">
        <f t="shared" si="14"/>
        <v>116</v>
      </c>
      <c r="U123" s="23" t="str">
        <f t="shared" si="10"/>
        <v>116.jpg</v>
      </c>
      <c r="V123" s="24" t="str">
        <f t="shared" si="11"/>
        <v>116.jpg</v>
      </c>
      <c r="X123" s="33" t="b">
        <f>IF(Bdd_cave!$R$3="Toutes les regions",TRUE,Bdd_cave!$R$3=B123)</f>
        <v>0</v>
      </c>
      <c r="Y123" s="33" t="b">
        <f>IF(Bdd_cave!$S$3="Toutes les années",TRUE,Bdd_cave!$S$3=E123)</f>
        <v>1</v>
      </c>
      <c r="Z123" s="27" t="b">
        <f>IF(Bdd_cave!$T$3="Toutes les couleurs",TRUE,Bdd_cave!$T$3=F123)</f>
        <v>0</v>
      </c>
      <c r="AA123" s="33" t="b">
        <f>IF(Bdd_cave!$U$3="Tous les casiers ",TRUE,Bdd_cave!$U$3=H123)</f>
        <v>0</v>
      </c>
      <c r="AB123" s="27" t="b">
        <f t="shared" si="15"/>
        <v>0</v>
      </c>
      <c r="AD123" s="27" t="str">
        <f>IF(AB123,ROWS($AB$7:AB123),"")</f>
        <v/>
      </c>
      <c r="AE123" s="27" t="str">
        <f>IFERROR(SMALL($AD$7:$AD$297,ROWS(AD$7:$AD123)),"")</f>
        <v/>
      </c>
    </row>
    <row r="124" spans="1:31" x14ac:dyDescent="0.25">
      <c r="A124" s="27" t="str">
        <f t="shared" si="16"/>
        <v>COTE DE GASCOGNE  2016</v>
      </c>
      <c r="B124" s="5" t="s">
        <v>21</v>
      </c>
      <c r="C124" s="30" t="s">
        <v>474</v>
      </c>
      <c r="D124" s="30"/>
      <c r="E124" s="30">
        <v>2016</v>
      </c>
      <c r="F124" s="5" t="s">
        <v>309</v>
      </c>
      <c r="G124" s="5">
        <v>2</v>
      </c>
      <c r="H124" s="5" t="s">
        <v>475</v>
      </c>
      <c r="I124" s="6"/>
      <c r="J124" s="7"/>
      <c r="K124" s="7" t="s">
        <v>476</v>
      </c>
      <c r="L124" s="5" t="s">
        <v>477</v>
      </c>
      <c r="M124" s="5"/>
      <c r="N124" s="5"/>
      <c r="O124" s="5"/>
      <c r="P124" s="5"/>
      <c r="Q124" s="5"/>
      <c r="R124" s="5"/>
      <c r="S124" s="5"/>
      <c r="T124" s="23">
        <f t="shared" si="14"/>
        <v>117</v>
      </c>
      <c r="U124" s="23" t="str">
        <f t="shared" si="10"/>
        <v>117.jpg</v>
      </c>
      <c r="V124" s="24" t="str">
        <f t="shared" si="11"/>
        <v>117.jpg</v>
      </c>
      <c r="X124" s="33" t="b">
        <f>IF(Bdd_cave!$R$3="Toutes les regions",TRUE,Bdd_cave!$R$3=B124)</f>
        <v>0</v>
      </c>
      <c r="Y124" s="33" t="b">
        <f>IF(Bdd_cave!$S$3="Toutes les années",TRUE,Bdd_cave!$S$3=E124)</f>
        <v>1</v>
      </c>
      <c r="Z124" s="27" t="b">
        <f>IF(Bdd_cave!$T$3="Toutes les couleurs",TRUE,Bdd_cave!$T$3=F124)</f>
        <v>0</v>
      </c>
      <c r="AA124" s="33" t="b">
        <f>IF(Bdd_cave!$U$3="Tous les casiers ",TRUE,Bdd_cave!$U$3=H124)</f>
        <v>0</v>
      </c>
      <c r="AB124" s="27" t="b">
        <f t="shared" si="15"/>
        <v>0</v>
      </c>
      <c r="AD124" s="27" t="str">
        <f>IF(AB124,ROWS($AB$7:AB124),"")</f>
        <v/>
      </c>
      <c r="AE124" s="27" t="str">
        <f>IFERROR(SMALL($AD$7:$AD$297,ROWS(AD$7:$AD124)),"")</f>
        <v/>
      </c>
    </row>
    <row r="125" spans="1:31" x14ac:dyDescent="0.25">
      <c r="A125" s="27" t="str">
        <f t="shared" si="16"/>
        <v>ITALIE  2016</v>
      </c>
      <c r="B125" s="5" t="s">
        <v>28</v>
      </c>
      <c r="C125" s="30" t="s">
        <v>333</v>
      </c>
      <c r="D125" s="30"/>
      <c r="E125" s="30">
        <v>2016</v>
      </c>
      <c r="F125" s="5" t="s">
        <v>308</v>
      </c>
      <c r="G125" s="5">
        <v>1</v>
      </c>
      <c r="H125" s="5" t="s">
        <v>503</v>
      </c>
      <c r="I125" s="6"/>
      <c r="J125" s="7"/>
      <c r="K125" s="7" t="s">
        <v>504</v>
      </c>
      <c r="L125" s="5"/>
      <c r="M125" s="5"/>
      <c r="N125" s="5"/>
      <c r="O125" s="5"/>
      <c r="P125" s="5"/>
      <c r="Q125" s="5"/>
      <c r="R125" s="5"/>
      <c r="S125" s="5"/>
      <c r="T125" s="23">
        <f t="shared" si="14"/>
        <v>118</v>
      </c>
      <c r="U125" s="23" t="str">
        <f t="shared" si="10"/>
        <v>118.jpg</v>
      </c>
      <c r="V125" s="24" t="str">
        <f t="shared" si="11"/>
        <v>118.jpg</v>
      </c>
      <c r="X125" s="33" t="b">
        <f>IF(Bdd_cave!$R$3="Toutes les regions",TRUE,Bdd_cave!$R$3=B125)</f>
        <v>0</v>
      </c>
      <c r="Y125" s="33" t="b">
        <f>IF(Bdd_cave!$S$3="Toutes les années",TRUE,Bdd_cave!$S$3=E125)</f>
        <v>1</v>
      </c>
      <c r="Z125" s="27" t="b">
        <f>IF(Bdd_cave!$T$3="Toutes les couleurs",TRUE,Bdd_cave!$T$3=F125)</f>
        <v>0</v>
      </c>
      <c r="AA125" s="33" t="b">
        <f>IF(Bdd_cave!$U$3="Tous les casiers ",TRUE,Bdd_cave!$U$3=H125)</f>
        <v>0</v>
      </c>
      <c r="AB125" s="27" t="b">
        <f t="shared" si="15"/>
        <v>0</v>
      </c>
      <c r="AD125" s="27" t="str">
        <f>IF(AB125,ROWS($AB$7:AB125),"")</f>
        <v/>
      </c>
      <c r="AE125" s="27" t="str">
        <f>IFERROR(SMALL($AD$7:$AD$297,ROWS(AD$7:$AD125)),"")</f>
        <v/>
      </c>
    </row>
    <row r="126" spans="1:31" x14ac:dyDescent="0.25">
      <c r="A126" s="27" t="str">
        <f t="shared" si="16"/>
        <v>ARBOIS (JURA)  2016</v>
      </c>
      <c r="B126" s="5" t="s">
        <v>22</v>
      </c>
      <c r="C126" s="30" t="s">
        <v>36</v>
      </c>
      <c r="D126" s="30"/>
      <c r="E126" s="30">
        <v>2016</v>
      </c>
      <c r="F126" s="5" t="s">
        <v>308</v>
      </c>
      <c r="G126" s="5">
        <v>1</v>
      </c>
      <c r="H126" s="5" t="s">
        <v>503</v>
      </c>
      <c r="I126" s="6"/>
      <c r="J126" s="7"/>
      <c r="K126" s="7"/>
      <c r="L126" s="5" t="s">
        <v>505</v>
      </c>
      <c r="M126" s="5"/>
      <c r="N126" s="5">
        <v>39110</v>
      </c>
      <c r="O126" s="5" t="s">
        <v>472</v>
      </c>
      <c r="P126" s="5"/>
      <c r="Q126" s="5"/>
      <c r="R126" s="5"/>
      <c r="S126" s="5"/>
      <c r="T126" s="23">
        <f t="shared" si="14"/>
        <v>119</v>
      </c>
      <c r="U126" s="23" t="str">
        <f t="shared" si="10"/>
        <v>119.jpg</v>
      </c>
      <c r="V126" s="24" t="str">
        <f t="shared" si="11"/>
        <v>119.jpg</v>
      </c>
      <c r="X126" s="33" t="b">
        <f>IF(Bdd_cave!$R$3="Toutes les regions",TRUE,Bdd_cave!$R$3=B126)</f>
        <v>0</v>
      </c>
      <c r="Y126" s="33" t="b">
        <f>IF(Bdd_cave!$S$3="Toutes les années",TRUE,Bdd_cave!$S$3=E126)</f>
        <v>1</v>
      </c>
      <c r="Z126" s="27" t="b">
        <f>IF(Bdd_cave!$T$3="Toutes les couleurs",TRUE,Bdd_cave!$T$3=F126)</f>
        <v>0</v>
      </c>
      <c r="AA126" s="33" t="b">
        <f>IF(Bdd_cave!$U$3="Tous les casiers ",TRUE,Bdd_cave!$U$3=H126)</f>
        <v>0</v>
      </c>
      <c r="AB126" s="27" t="b">
        <f t="shared" si="15"/>
        <v>0</v>
      </c>
      <c r="AD126" s="27" t="str">
        <f>IF(AB126,ROWS($AB$7:AB126),"")</f>
        <v/>
      </c>
      <c r="AE126" s="27" t="str">
        <f>IFERROR(SMALL($AD$7:$AD$297,ROWS(AD$7:$AD126)),"")</f>
        <v/>
      </c>
    </row>
    <row r="127" spans="1:31" x14ac:dyDescent="0.25">
      <c r="A127" s="27" t="str">
        <f t="shared" si="16"/>
        <v>MACON LA ROCHE VINEUSE  2016</v>
      </c>
      <c r="B127" s="5" t="s">
        <v>15</v>
      </c>
      <c r="C127" s="30" t="s">
        <v>506</v>
      </c>
      <c r="D127" s="30"/>
      <c r="E127" s="30">
        <v>2016</v>
      </c>
      <c r="F127" s="5" t="s">
        <v>308</v>
      </c>
      <c r="G127" s="5">
        <v>1</v>
      </c>
      <c r="H127" s="5" t="s">
        <v>503</v>
      </c>
      <c r="I127" s="6"/>
      <c r="J127" s="7"/>
      <c r="K127" s="7"/>
      <c r="L127" s="5" t="s">
        <v>507</v>
      </c>
      <c r="M127" s="5"/>
      <c r="N127" s="5">
        <v>71980</v>
      </c>
      <c r="O127" s="5" t="s">
        <v>508</v>
      </c>
      <c r="P127" s="5"/>
      <c r="Q127" s="5"/>
      <c r="R127" s="5"/>
      <c r="S127" s="5"/>
      <c r="T127" s="23">
        <f t="shared" si="14"/>
        <v>120</v>
      </c>
      <c r="U127" s="23" t="str">
        <f t="shared" si="10"/>
        <v>120.jpg</v>
      </c>
      <c r="V127" s="24" t="str">
        <f t="shared" si="11"/>
        <v>120.jpg</v>
      </c>
      <c r="X127" s="33" t="b">
        <f>IF(Bdd_cave!$R$3="Toutes les regions",TRUE,Bdd_cave!$R$3=B127)</f>
        <v>0</v>
      </c>
      <c r="Y127" s="33" t="b">
        <f>IF(Bdd_cave!$S$3="Toutes les années",TRUE,Bdd_cave!$S$3=E127)</f>
        <v>1</v>
      </c>
      <c r="Z127" s="27" t="b">
        <f>IF(Bdd_cave!$T$3="Toutes les couleurs",TRUE,Bdd_cave!$T$3=F127)</f>
        <v>0</v>
      </c>
      <c r="AA127" s="33" t="b">
        <f>IF(Bdd_cave!$U$3="Tous les casiers ",TRUE,Bdd_cave!$U$3=H127)</f>
        <v>0</v>
      </c>
      <c r="AB127" s="27" t="b">
        <f t="shared" si="15"/>
        <v>0</v>
      </c>
      <c r="AD127" s="27" t="str">
        <f>IF(AB127,ROWS($AB$7:AB127),"")</f>
        <v/>
      </c>
      <c r="AE127" s="27" t="str">
        <f>IFERROR(SMALL($AD$7:$AD$297,ROWS(AD$7:$AD127)),"")</f>
        <v/>
      </c>
    </row>
    <row r="128" spans="1:31" x14ac:dyDescent="0.25">
      <c r="A128" s="27" t="str">
        <f t="shared" si="16"/>
        <v>COTE DE GASCOGNE  2016</v>
      </c>
      <c r="B128" s="5" t="s">
        <v>21</v>
      </c>
      <c r="C128" s="30" t="s">
        <v>474</v>
      </c>
      <c r="D128" s="30"/>
      <c r="E128" s="30">
        <v>2016</v>
      </c>
      <c r="F128" s="5" t="s">
        <v>308</v>
      </c>
      <c r="G128" s="5">
        <v>1</v>
      </c>
      <c r="H128" s="5" t="s">
        <v>503</v>
      </c>
      <c r="I128" s="6"/>
      <c r="J128" s="7"/>
      <c r="K128" s="7" t="s">
        <v>509</v>
      </c>
      <c r="L128" s="5" t="s">
        <v>510</v>
      </c>
      <c r="M128" s="5"/>
      <c r="N128" s="5">
        <v>32410</v>
      </c>
      <c r="O128" s="5" t="s">
        <v>511</v>
      </c>
      <c r="P128" s="5"/>
      <c r="Q128" s="5"/>
      <c r="R128" s="5" t="s">
        <v>512</v>
      </c>
      <c r="S128" s="5"/>
      <c r="T128" s="23">
        <f t="shared" si="14"/>
        <v>121</v>
      </c>
      <c r="U128" s="23" t="str">
        <f t="shared" si="10"/>
        <v>121.jpg</v>
      </c>
      <c r="V128" s="24" t="str">
        <f t="shared" si="11"/>
        <v>121.jpg</v>
      </c>
      <c r="X128" s="33" t="b">
        <f>IF(Bdd_cave!$R$3="Toutes les regions",TRUE,Bdd_cave!$R$3=B128)</f>
        <v>0</v>
      </c>
      <c r="Y128" s="33" t="b">
        <f>IF(Bdd_cave!$S$3="Toutes les années",TRUE,Bdd_cave!$S$3=E128)</f>
        <v>1</v>
      </c>
      <c r="Z128" s="27" t="b">
        <f>IF(Bdd_cave!$T$3="Toutes les couleurs",TRUE,Bdd_cave!$T$3=F128)</f>
        <v>0</v>
      </c>
      <c r="AA128" s="33" t="b">
        <f>IF(Bdd_cave!$U$3="Tous les casiers ",TRUE,Bdd_cave!$U$3=H128)</f>
        <v>0</v>
      </c>
      <c r="AB128" s="27" t="b">
        <f t="shared" si="15"/>
        <v>0</v>
      </c>
      <c r="AD128" s="27" t="str">
        <f>IF(AB128,ROWS($AB$7:AB128),"")</f>
        <v/>
      </c>
      <c r="AE128" s="27" t="str">
        <f>IFERROR(SMALL($AD$7:$AD$297,ROWS(AD$7:$AD128)),"")</f>
        <v/>
      </c>
    </row>
    <row r="129" spans="1:31" x14ac:dyDescent="0.25">
      <c r="A129" s="27" t="str">
        <f t="shared" si="16"/>
        <v>ALIGOTE  2016</v>
      </c>
      <c r="B129" s="5" t="s">
        <v>15</v>
      </c>
      <c r="C129" s="30" t="s">
        <v>91</v>
      </c>
      <c r="D129" s="30"/>
      <c r="E129" s="30">
        <v>2016</v>
      </c>
      <c r="F129" s="5" t="s">
        <v>309</v>
      </c>
      <c r="G129" s="5">
        <v>1</v>
      </c>
      <c r="H129" s="5" t="s">
        <v>503</v>
      </c>
      <c r="I129" s="6"/>
      <c r="J129" s="7"/>
      <c r="K129" s="7"/>
      <c r="L129" s="5" t="s">
        <v>513</v>
      </c>
      <c r="M129" s="5"/>
      <c r="N129" s="5"/>
      <c r="O129" s="5"/>
      <c r="P129" s="5"/>
      <c r="Q129" s="5"/>
      <c r="R129" s="5"/>
      <c r="S129" s="5"/>
      <c r="T129" s="23">
        <f t="shared" si="14"/>
        <v>122</v>
      </c>
      <c r="U129" s="23" t="str">
        <f t="shared" si="10"/>
        <v>122.jpg</v>
      </c>
      <c r="V129" s="24" t="str">
        <f t="shared" si="11"/>
        <v>122.jpg</v>
      </c>
      <c r="X129" s="33" t="b">
        <f>IF(Bdd_cave!$R$3="Toutes les regions",TRUE,Bdd_cave!$R$3=B129)</f>
        <v>0</v>
      </c>
      <c r="Y129" s="33" t="b">
        <f>IF(Bdd_cave!$S$3="Toutes les années",TRUE,Bdd_cave!$S$3=E129)</f>
        <v>1</v>
      </c>
      <c r="Z129" s="27" t="b">
        <f>IF(Bdd_cave!$T$3="Toutes les couleurs",TRUE,Bdd_cave!$T$3=F129)</f>
        <v>0</v>
      </c>
      <c r="AA129" s="33" t="b">
        <f>IF(Bdd_cave!$U$3="Tous les casiers ",TRUE,Bdd_cave!$U$3=H129)</f>
        <v>0</v>
      </c>
      <c r="AB129" s="27" t="b">
        <f t="shared" si="15"/>
        <v>0</v>
      </c>
      <c r="AD129" s="27" t="str">
        <f>IF(AB129,ROWS($AB$7:AB129),"")</f>
        <v/>
      </c>
      <c r="AE129" s="27" t="str">
        <f>IFERROR(SMALL($AD$7:$AD$297,ROWS(AD$7:$AD129)),"")</f>
        <v/>
      </c>
    </row>
    <row r="130" spans="1:31" x14ac:dyDescent="0.25">
      <c r="A130" s="27" t="str">
        <f t="shared" si="16"/>
        <v>COSTIERES DE NIMES  2016</v>
      </c>
      <c r="B130" s="5" t="s">
        <v>18</v>
      </c>
      <c r="C130" s="30" t="s">
        <v>94</v>
      </c>
      <c r="D130" s="30"/>
      <c r="E130" s="30">
        <v>2016</v>
      </c>
      <c r="F130" s="5" t="s">
        <v>308</v>
      </c>
      <c r="G130" s="5">
        <v>1</v>
      </c>
      <c r="H130" s="5" t="s">
        <v>503</v>
      </c>
      <c r="I130" s="6"/>
      <c r="J130" s="7"/>
      <c r="K130" s="7"/>
      <c r="L130" s="5" t="s">
        <v>514</v>
      </c>
      <c r="M130" s="5"/>
      <c r="N130" s="5"/>
      <c r="O130" s="5"/>
      <c r="P130" s="5"/>
      <c r="Q130" s="5"/>
      <c r="R130" s="5"/>
      <c r="S130" s="5"/>
      <c r="T130" s="23">
        <f t="shared" si="14"/>
        <v>123</v>
      </c>
      <c r="U130" s="23" t="str">
        <f t="shared" si="10"/>
        <v>123.jpg</v>
      </c>
      <c r="V130" s="24" t="str">
        <f t="shared" si="11"/>
        <v>123.jpg</v>
      </c>
      <c r="X130" s="33" t="b">
        <f>IF(Bdd_cave!$R$3="Toutes les regions",TRUE,Bdd_cave!$R$3=B130)</f>
        <v>0</v>
      </c>
      <c r="Y130" s="33" t="b">
        <f>IF(Bdd_cave!$S$3="Toutes les années",TRUE,Bdd_cave!$S$3=E130)</f>
        <v>1</v>
      </c>
      <c r="Z130" s="27" t="b">
        <f>IF(Bdd_cave!$T$3="Toutes les couleurs",TRUE,Bdd_cave!$T$3=F130)</f>
        <v>0</v>
      </c>
      <c r="AA130" s="33" t="b">
        <f>IF(Bdd_cave!$U$3="Tous les casiers ",TRUE,Bdd_cave!$U$3=H130)</f>
        <v>0</v>
      </c>
      <c r="AB130" s="27" t="b">
        <f t="shared" si="15"/>
        <v>0</v>
      </c>
      <c r="AD130" s="27" t="str">
        <f>IF(AB130,ROWS($AB$7:AB130),"")</f>
        <v/>
      </c>
      <c r="AE130" s="27" t="str">
        <f>IFERROR(SMALL($AD$7:$AD$297,ROWS(AD$7:$AD130)),"")</f>
        <v/>
      </c>
    </row>
    <row r="131" spans="1:31" x14ac:dyDescent="0.25">
      <c r="A131" s="27" t="str">
        <f t="shared" si="16"/>
        <v>HAUTES-COTES DE BEAUNE  2016</v>
      </c>
      <c r="B131" s="5" t="s">
        <v>15</v>
      </c>
      <c r="C131" s="30" t="s">
        <v>162</v>
      </c>
      <c r="D131" s="30"/>
      <c r="E131" s="30">
        <v>2016</v>
      </c>
      <c r="F131" s="5" t="s">
        <v>309</v>
      </c>
      <c r="G131" s="5">
        <v>1</v>
      </c>
      <c r="H131" s="5" t="s">
        <v>503</v>
      </c>
      <c r="I131" s="6"/>
      <c r="J131" s="7"/>
      <c r="K131" s="7"/>
      <c r="L131" s="5" t="s">
        <v>515</v>
      </c>
      <c r="M131" s="5"/>
      <c r="N131" s="5"/>
      <c r="O131" s="5"/>
      <c r="P131" s="5"/>
      <c r="Q131" s="5"/>
      <c r="R131" s="5"/>
      <c r="S131" s="5"/>
      <c r="T131" s="23">
        <f t="shared" si="14"/>
        <v>124</v>
      </c>
      <c r="U131" s="23" t="str">
        <f t="shared" si="10"/>
        <v>124.jpg</v>
      </c>
      <c r="V131" s="24" t="str">
        <f t="shared" si="11"/>
        <v>124.jpg</v>
      </c>
      <c r="X131" s="33" t="b">
        <f>IF(Bdd_cave!$R$3="Toutes les regions",TRUE,Bdd_cave!$R$3=B131)</f>
        <v>0</v>
      </c>
      <c r="Y131" s="33" t="b">
        <f>IF(Bdd_cave!$S$3="Toutes les années",TRUE,Bdd_cave!$S$3=E131)</f>
        <v>1</v>
      </c>
      <c r="Z131" s="27" t="b">
        <f>IF(Bdd_cave!$T$3="Toutes les couleurs",TRUE,Bdd_cave!$T$3=F131)</f>
        <v>0</v>
      </c>
      <c r="AA131" s="33" t="b">
        <f>IF(Bdd_cave!$U$3="Tous les casiers ",TRUE,Bdd_cave!$U$3=H131)</f>
        <v>0</v>
      </c>
      <c r="AB131" s="27" t="b">
        <f t="shared" si="15"/>
        <v>0</v>
      </c>
      <c r="AD131" s="27" t="str">
        <f>IF(AB131,ROWS($AB$7:AB131),"")</f>
        <v/>
      </c>
      <c r="AE131" s="27" t="str">
        <f>IFERROR(SMALL($AD$7:$AD$297,ROWS(AD$7:$AD131)),"")</f>
        <v/>
      </c>
    </row>
    <row r="132" spans="1:31" x14ac:dyDescent="0.25">
      <c r="A132" s="27" t="str">
        <f t="shared" si="16"/>
        <v>SAINT-AMOUR  2016</v>
      </c>
      <c r="B132" s="5" t="s">
        <v>15</v>
      </c>
      <c r="C132" s="30" t="s">
        <v>531</v>
      </c>
      <c r="D132" s="30"/>
      <c r="E132" s="30">
        <v>2016</v>
      </c>
      <c r="F132" s="5" t="s">
        <v>308</v>
      </c>
      <c r="G132" s="5">
        <v>7</v>
      </c>
      <c r="H132" s="5" t="s">
        <v>532</v>
      </c>
      <c r="I132" s="6"/>
      <c r="J132" s="7"/>
      <c r="K132" s="7"/>
      <c r="L132" s="5"/>
      <c r="M132" s="5"/>
      <c r="N132" s="5"/>
      <c r="O132" s="5"/>
      <c r="P132" s="5"/>
      <c r="Q132" s="5"/>
      <c r="R132" s="5"/>
      <c r="S132" s="5"/>
      <c r="T132" s="23">
        <f t="shared" si="14"/>
        <v>125</v>
      </c>
      <c r="U132" s="23" t="str">
        <f t="shared" si="10"/>
        <v>125.jpg</v>
      </c>
      <c r="V132" s="24" t="str">
        <f t="shared" si="11"/>
        <v>125.jpg</v>
      </c>
      <c r="X132" s="33" t="b">
        <f>IF(Bdd_cave!$R$3="Toutes les regions",TRUE,Bdd_cave!$R$3=B132)</f>
        <v>0</v>
      </c>
      <c r="Y132" s="33" t="b">
        <f>IF(Bdd_cave!$S$3="Toutes les années",TRUE,Bdd_cave!$S$3=E132)</f>
        <v>1</v>
      </c>
      <c r="Z132" s="27" t="b">
        <f>IF(Bdd_cave!$T$3="Toutes les couleurs",TRUE,Bdd_cave!$T$3=F132)</f>
        <v>0</v>
      </c>
      <c r="AA132" s="33" t="b">
        <f>IF(Bdd_cave!$U$3="Tous les casiers ",TRUE,Bdd_cave!$U$3=H132)</f>
        <v>0</v>
      </c>
      <c r="AB132" s="27" t="b">
        <f t="shared" si="15"/>
        <v>0</v>
      </c>
      <c r="AD132" s="27" t="str">
        <f>IF(AB132,ROWS($AB$7:AB132),"")</f>
        <v/>
      </c>
      <c r="AE132" s="27" t="str">
        <f>IFERROR(SMALL($AD$7:$AD$297,ROWS(AD$7:$AD132)),"")</f>
        <v/>
      </c>
    </row>
    <row r="133" spans="1:31" x14ac:dyDescent="0.25">
      <c r="A133" s="27" t="str">
        <f t="shared" si="16"/>
        <v>GIVRY  2016</v>
      </c>
      <c r="B133" s="5" t="s">
        <v>15</v>
      </c>
      <c r="C133" s="30" t="s">
        <v>263</v>
      </c>
      <c r="D133" s="30"/>
      <c r="E133" s="30">
        <v>2016</v>
      </c>
      <c r="F133" s="5" t="s">
        <v>308</v>
      </c>
      <c r="G133" s="5">
        <v>1</v>
      </c>
      <c r="H133" s="5" t="s">
        <v>544</v>
      </c>
      <c r="I133" s="6"/>
      <c r="J133" s="7"/>
      <c r="K133" s="7"/>
      <c r="L133" s="5" t="s">
        <v>548</v>
      </c>
      <c r="M133" s="5"/>
      <c r="N133" s="5"/>
      <c r="O133" s="5"/>
      <c r="P133" s="5"/>
      <c r="Q133" s="5"/>
      <c r="R133" s="5"/>
      <c r="S133" s="5"/>
      <c r="T133" s="23">
        <f t="shared" si="14"/>
        <v>126</v>
      </c>
      <c r="U133" s="23" t="str">
        <f t="shared" si="10"/>
        <v>126.jpg</v>
      </c>
      <c r="V133" s="24" t="str">
        <f t="shared" si="11"/>
        <v>126.jpg</v>
      </c>
      <c r="X133" s="33" t="b">
        <f>IF(Bdd_cave!$R$3="Toutes les regions",TRUE,Bdd_cave!$R$3=B133)</f>
        <v>0</v>
      </c>
      <c r="Y133" s="33" t="b">
        <f>IF(Bdd_cave!$S$3="Toutes les années",TRUE,Bdd_cave!$S$3=E133)</f>
        <v>1</v>
      </c>
      <c r="Z133" s="27" t="b">
        <f>IF(Bdd_cave!$T$3="Toutes les couleurs",TRUE,Bdd_cave!$T$3=F133)</f>
        <v>0</v>
      </c>
      <c r="AA133" s="33" t="b">
        <f>IF(Bdd_cave!$U$3="Tous les casiers ",TRUE,Bdd_cave!$U$3=H133)</f>
        <v>0</v>
      </c>
      <c r="AB133" s="27" t="b">
        <f t="shared" si="15"/>
        <v>0</v>
      </c>
      <c r="AD133" s="27" t="str">
        <f>IF(AB133,ROWS($AB$7:AB133),"")</f>
        <v/>
      </c>
      <c r="AE133" s="27" t="str">
        <f>IFERROR(SMALL($AD$7:$AD$297,ROWS(AD$7:$AD133)),"")</f>
        <v/>
      </c>
    </row>
    <row r="134" spans="1:31" x14ac:dyDescent="0.25">
      <c r="A134" s="27" t="str">
        <f t="shared" si="16"/>
        <v>VIGNERON D'OR  2017</v>
      </c>
      <c r="B134" s="5" t="s">
        <v>478</v>
      </c>
      <c r="C134" s="30" t="s">
        <v>489</v>
      </c>
      <c r="D134" s="30"/>
      <c r="E134" s="30">
        <v>2017</v>
      </c>
      <c r="F134" s="5" t="s">
        <v>309</v>
      </c>
      <c r="G134" s="5">
        <v>5</v>
      </c>
      <c r="H134" s="5" t="s">
        <v>490</v>
      </c>
      <c r="I134" s="6"/>
      <c r="J134" s="7"/>
      <c r="K134" s="7"/>
      <c r="L134" s="5" t="s">
        <v>491</v>
      </c>
      <c r="M134" s="5"/>
      <c r="N134" s="5">
        <v>70</v>
      </c>
      <c r="O134" s="5" t="s">
        <v>492</v>
      </c>
      <c r="P134" s="5"/>
      <c r="Q134" s="5"/>
      <c r="R134" s="5"/>
      <c r="S134" s="5"/>
      <c r="T134" s="23">
        <f t="shared" si="14"/>
        <v>127</v>
      </c>
      <c r="U134" s="23" t="str">
        <f t="shared" si="10"/>
        <v>127.jpg</v>
      </c>
      <c r="V134" s="24" t="str">
        <f t="shared" si="11"/>
        <v>127.jpg</v>
      </c>
      <c r="X134" s="33" t="b">
        <f>IF(Bdd_cave!$R$3="Toutes les regions",TRUE,Bdd_cave!$R$3=B134)</f>
        <v>0</v>
      </c>
      <c r="Y134" s="33" t="b">
        <f>IF(Bdd_cave!$S$3="Toutes les années",TRUE,Bdd_cave!$S$3=E134)</f>
        <v>1</v>
      </c>
      <c r="Z134" s="27" t="b">
        <f>IF(Bdd_cave!$T$3="Toutes les couleurs",TRUE,Bdd_cave!$T$3=F134)</f>
        <v>0</v>
      </c>
      <c r="AA134" s="33" t="b">
        <f>IF(Bdd_cave!$U$3="Tous les casiers ",TRUE,Bdd_cave!$U$3=H134)</f>
        <v>0</v>
      </c>
      <c r="AB134" s="27" t="b">
        <f t="shared" si="15"/>
        <v>0</v>
      </c>
      <c r="AD134" s="27" t="str">
        <f>IF(AB134,ROWS($AB$7:AB134),"")</f>
        <v/>
      </c>
      <c r="AE134" s="27" t="str">
        <f>IFERROR(SMALL($AD$7:$AD$297,ROWS(AD$7:$AD134)),"")</f>
        <v/>
      </c>
    </row>
    <row r="135" spans="1:31" x14ac:dyDescent="0.25">
      <c r="A135" s="27" t="str">
        <f t="shared" si="16"/>
        <v>SAVIGNY-LES-BEAUNE 1 er Cru 2017</v>
      </c>
      <c r="B135" s="5" t="s">
        <v>15</v>
      </c>
      <c r="C135" s="30" t="s">
        <v>303</v>
      </c>
      <c r="D135" s="30" t="s">
        <v>312</v>
      </c>
      <c r="E135" s="30">
        <v>2017</v>
      </c>
      <c r="F135" s="5" t="s">
        <v>308</v>
      </c>
      <c r="G135" s="5">
        <v>6</v>
      </c>
      <c r="H135" s="5" t="s">
        <v>518</v>
      </c>
      <c r="I135" s="6"/>
      <c r="J135" s="7">
        <v>2022</v>
      </c>
      <c r="K135" s="7" t="s">
        <v>519</v>
      </c>
      <c r="L135" s="5" t="s">
        <v>520</v>
      </c>
      <c r="M135" s="5"/>
      <c r="N135" s="5">
        <v>21</v>
      </c>
      <c r="O135" s="5" t="s">
        <v>362</v>
      </c>
      <c r="P135" s="5"/>
      <c r="Q135" s="5"/>
      <c r="R135" s="5"/>
      <c r="S135" s="5"/>
      <c r="T135" s="23">
        <f t="shared" ref="T135:T158" si="17">ROW(T135)-7</f>
        <v>128</v>
      </c>
      <c r="U135" s="23" t="str">
        <f t="shared" ref="U135:U157" si="18">CONCATENATE(T135,".jpg")</f>
        <v>128.jpg</v>
      </c>
      <c r="V135" s="24" t="str">
        <f t="shared" ref="V135:V157" si="19">CONCATENATE($V$2,U135)</f>
        <v>128.jpg</v>
      </c>
      <c r="X135" s="33" t="b">
        <f>IF(Bdd_cave!$R$3="Toutes les regions",TRUE,Bdd_cave!$R$3=B135)</f>
        <v>0</v>
      </c>
      <c r="Y135" s="33" t="b">
        <f>IF(Bdd_cave!$S$3="Toutes les années",TRUE,Bdd_cave!$S$3=E135)</f>
        <v>1</v>
      </c>
      <c r="Z135" s="27" t="b">
        <f>IF(Bdd_cave!$T$3="Toutes les couleurs",TRUE,Bdd_cave!$T$3=F135)</f>
        <v>0</v>
      </c>
      <c r="AA135" s="33" t="b">
        <f>IF(Bdd_cave!$U$3="Tous les casiers ",TRUE,Bdd_cave!$U$3=H135)</f>
        <v>0</v>
      </c>
      <c r="AB135" s="27" t="b">
        <f t="shared" ref="AB135:AB158" si="20">AND(X135:Z135)</f>
        <v>0</v>
      </c>
      <c r="AD135" s="27" t="str">
        <f>IF(AB135,ROWS($AB$7:AB135),"")</f>
        <v/>
      </c>
      <c r="AE135" s="27" t="str">
        <f>IFERROR(SMALL($AD$7:$AD$297,ROWS(AD$7:$AD135)),"")</f>
        <v/>
      </c>
    </row>
    <row r="136" spans="1:31" x14ac:dyDescent="0.25">
      <c r="A136" s="27" t="str">
        <f t="shared" ref="A136:A158" si="21">CONCATENATE(C136," ",D136," ",E136)</f>
        <v>PERNAND-VERGELESSES  2017</v>
      </c>
      <c r="B136" s="5" t="s">
        <v>15</v>
      </c>
      <c r="C136" s="30" t="s">
        <v>286</v>
      </c>
      <c r="D136" s="30"/>
      <c r="E136" s="30">
        <v>2017</v>
      </c>
      <c r="F136" s="5" t="s">
        <v>308</v>
      </c>
      <c r="G136" s="5">
        <v>6</v>
      </c>
      <c r="H136" s="5" t="s">
        <v>518</v>
      </c>
      <c r="I136" s="6"/>
      <c r="J136" s="7">
        <v>2022</v>
      </c>
      <c r="K136" s="7"/>
      <c r="L136" s="5" t="s">
        <v>520</v>
      </c>
      <c r="M136" s="5"/>
      <c r="N136" s="5">
        <v>21</v>
      </c>
      <c r="O136" s="5" t="s">
        <v>362</v>
      </c>
      <c r="P136" s="5"/>
      <c r="Q136" s="5"/>
      <c r="R136" s="5"/>
      <c r="S136" s="5"/>
      <c r="T136" s="23">
        <f t="shared" si="17"/>
        <v>129</v>
      </c>
      <c r="U136" s="23" t="str">
        <f t="shared" si="18"/>
        <v>129.jpg</v>
      </c>
      <c r="V136" s="24" t="str">
        <f t="shared" si="19"/>
        <v>129.jpg</v>
      </c>
      <c r="X136" s="33" t="b">
        <f>IF(Bdd_cave!$R$3="Toutes les regions",TRUE,Bdd_cave!$R$3=B136)</f>
        <v>0</v>
      </c>
      <c r="Y136" s="33" t="b">
        <f>IF(Bdd_cave!$S$3="Toutes les années",TRUE,Bdd_cave!$S$3=E136)</f>
        <v>1</v>
      </c>
      <c r="Z136" s="27" t="b">
        <f>IF(Bdd_cave!$T$3="Toutes les couleurs",TRUE,Bdd_cave!$T$3=F136)</f>
        <v>0</v>
      </c>
      <c r="AA136" s="33" t="b">
        <f>IF(Bdd_cave!$U$3="Tous les casiers ",TRUE,Bdd_cave!$U$3=H136)</f>
        <v>0</v>
      </c>
      <c r="AB136" s="27" t="b">
        <f t="shared" si="20"/>
        <v>0</v>
      </c>
      <c r="AD136" s="27" t="str">
        <f>IF(AB136,ROWS($AB$7:AB136),"")</f>
        <v/>
      </c>
      <c r="AE136" s="27" t="str">
        <f>IFERROR(SMALL($AD$7:$AD$297,ROWS(AD$7:$AD136)),"")</f>
        <v/>
      </c>
    </row>
    <row r="137" spans="1:31" x14ac:dyDescent="0.25">
      <c r="A137" s="27" t="str">
        <f t="shared" si="21"/>
        <v>SAINT VERAN  2017</v>
      </c>
      <c r="B137" s="5" t="s">
        <v>15</v>
      </c>
      <c r="C137" s="30" t="s">
        <v>564</v>
      </c>
      <c r="D137" s="30"/>
      <c r="E137" s="30">
        <v>2017</v>
      </c>
      <c r="F137" s="5" t="s">
        <v>309</v>
      </c>
      <c r="G137" s="5">
        <v>11</v>
      </c>
      <c r="H137" s="5" t="s">
        <v>540</v>
      </c>
      <c r="I137" s="6"/>
      <c r="J137" s="7"/>
      <c r="K137" s="7"/>
      <c r="L137" s="5" t="s">
        <v>541</v>
      </c>
      <c r="M137" s="5"/>
      <c r="N137" s="5"/>
      <c r="O137" s="5"/>
      <c r="P137" s="5"/>
      <c r="Q137" s="5"/>
      <c r="R137" s="5"/>
      <c r="S137" s="5"/>
      <c r="T137" s="23">
        <f t="shared" si="17"/>
        <v>130</v>
      </c>
      <c r="U137" s="23" t="str">
        <f t="shared" si="18"/>
        <v>130.jpg</v>
      </c>
      <c r="V137" s="24" t="str">
        <f t="shared" si="19"/>
        <v>130.jpg</v>
      </c>
      <c r="X137" s="33" t="b">
        <f>IF(Bdd_cave!$R$3="Toutes les regions",TRUE,Bdd_cave!$R$3=B137)</f>
        <v>0</v>
      </c>
      <c r="Y137" s="33" t="b">
        <f>IF(Bdd_cave!$S$3="Toutes les années",TRUE,Bdd_cave!$S$3=E137)</f>
        <v>1</v>
      </c>
      <c r="Z137" s="27" t="b">
        <f>IF(Bdd_cave!$T$3="Toutes les couleurs",TRUE,Bdd_cave!$T$3=F137)</f>
        <v>0</v>
      </c>
      <c r="AA137" s="33" t="b">
        <f>IF(Bdd_cave!$U$3="Tous les casiers ",TRUE,Bdd_cave!$U$3=H137)</f>
        <v>0</v>
      </c>
      <c r="AB137" s="27" t="b">
        <f t="shared" si="20"/>
        <v>0</v>
      </c>
      <c r="AD137" s="27" t="str">
        <f>IF(AB137,ROWS($AB$7:AB137),"")</f>
        <v/>
      </c>
      <c r="AE137" s="27" t="str">
        <f>IFERROR(SMALL($AD$7:$AD$297,ROWS(AD$7:$AD137)),"")</f>
        <v/>
      </c>
    </row>
    <row r="138" spans="1:31" x14ac:dyDescent="0.25">
      <c r="A138" s="27" t="str">
        <f t="shared" si="21"/>
        <v>ALIGOTE BOUZERON  2017</v>
      </c>
      <c r="B138" s="5" t="s">
        <v>15</v>
      </c>
      <c r="C138" s="30" t="s">
        <v>97</v>
      </c>
      <c r="D138" s="30"/>
      <c r="E138" s="30">
        <v>2017</v>
      </c>
      <c r="F138" s="5" t="s">
        <v>309</v>
      </c>
      <c r="G138" s="5">
        <v>1</v>
      </c>
      <c r="H138" s="5" t="s">
        <v>544</v>
      </c>
      <c r="I138" s="6"/>
      <c r="J138" s="7"/>
      <c r="K138" s="7"/>
      <c r="L138" s="5" t="s">
        <v>550</v>
      </c>
      <c r="M138" s="5"/>
      <c r="N138" s="5">
        <v>71</v>
      </c>
      <c r="O138" s="5" t="s">
        <v>551</v>
      </c>
      <c r="P138" s="5"/>
      <c r="Q138" s="5"/>
      <c r="R138" s="5"/>
      <c r="S138" s="5"/>
      <c r="T138" s="23">
        <f t="shared" si="17"/>
        <v>131</v>
      </c>
      <c r="U138" s="23" t="str">
        <f t="shared" si="18"/>
        <v>131.jpg</v>
      </c>
      <c r="V138" s="24" t="str">
        <f t="shared" si="19"/>
        <v>131.jpg</v>
      </c>
      <c r="X138" s="33" t="b">
        <f>IF(Bdd_cave!$R$3="Toutes les regions",TRUE,Bdd_cave!$R$3=B138)</f>
        <v>0</v>
      </c>
      <c r="Y138" s="33" t="b">
        <f>IF(Bdd_cave!$S$3="Toutes les années",TRUE,Bdd_cave!$S$3=E138)</f>
        <v>1</v>
      </c>
      <c r="Z138" s="27" t="b">
        <f>IF(Bdd_cave!$T$3="Toutes les couleurs",TRUE,Bdd_cave!$T$3=F138)</f>
        <v>0</v>
      </c>
      <c r="AA138" s="33" t="b">
        <f>IF(Bdd_cave!$U$3="Tous les casiers ",TRUE,Bdd_cave!$U$3=H138)</f>
        <v>0</v>
      </c>
      <c r="AB138" s="27" t="b">
        <f t="shared" si="20"/>
        <v>0</v>
      </c>
      <c r="AD138" s="27" t="str">
        <f>IF(AB138,ROWS($AB$7:AB138),"")</f>
        <v/>
      </c>
      <c r="AE138" s="27" t="str">
        <f>IFERROR(SMALL($AD$7:$AD$297,ROWS(AD$7:$AD138)),"")</f>
        <v/>
      </c>
    </row>
    <row r="139" spans="1:31" x14ac:dyDescent="0.25">
      <c r="A139" s="27" t="str">
        <f t="shared" si="21"/>
        <v>POUILLY-FUISSE  2017</v>
      </c>
      <c r="B139" s="5" t="s">
        <v>15</v>
      </c>
      <c r="C139" s="30" t="s">
        <v>289</v>
      </c>
      <c r="D139" s="30"/>
      <c r="E139" s="30">
        <v>2017</v>
      </c>
      <c r="F139" s="5" t="s">
        <v>309</v>
      </c>
      <c r="G139" s="5">
        <v>6</v>
      </c>
      <c r="H139" s="5" t="s">
        <v>555</v>
      </c>
      <c r="I139" s="6"/>
      <c r="J139" s="7"/>
      <c r="K139" s="7"/>
      <c r="L139" s="5"/>
      <c r="M139" s="5"/>
      <c r="N139" s="5"/>
      <c r="O139" s="5"/>
      <c r="P139" s="5"/>
      <c r="Q139" s="5"/>
      <c r="R139" s="5"/>
      <c r="S139" s="5"/>
      <c r="T139" s="23">
        <f t="shared" si="17"/>
        <v>132</v>
      </c>
      <c r="U139" s="23" t="str">
        <f t="shared" si="18"/>
        <v>132.jpg</v>
      </c>
      <c r="V139" s="24" t="str">
        <f t="shared" si="19"/>
        <v>132.jpg</v>
      </c>
      <c r="X139" s="33" t="b">
        <f>IF(Bdd_cave!$R$3="Toutes les regions",TRUE,Bdd_cave!$R$3=B139)</f>
        <v>0</v>
      </c>
      <c r="Y139" s="33" t="b">
        <f>IF(Bdd_cave!$S$3="Toutes les années",TRUE,Bdd_cave!$S$3=E139)</f>
        <v>1</v>
      </c>
      <c r="Z139" s="27" t="b">
        <f>IF(Bdd_cave!$T$3="Toutes les couleurs",TRUE,Bdd_cave!$T$3=F139)</f>
        <v>0</v>
      </c>
      <c r="AA139" s="33" t="b">
        <f>IF(Bdd_cave!$U$3="Tous les casiers ",TRUE,Bdd_cave!$U$3=H139)</f>
        <v>0</v>
      </c>
      <c r="AB139" s="27" t="b">
        <f t="shared" si="20"/>
        <v>0</v>
      </c>
      <c r="AD139" s="27" t="str">
        <f>IF(AB139,ROWS($AB$7:AB139),"")</f>
        <v/>
      </c>
      <c r="AE139" s="27" t="str">
        <f>IFERROR(SMALL($AD$7:$AD$297,ROWS(AD$7:$AD139)),"")</f>
        <v/>
      </c>
    </row>
    <row r="140" spans="1:31" x14ac:dyDescent="0.25">
      <c r="A140" s="27" t="str">
        <f t="shared" si="21"/>
        <v>SANTENAY  2017</v>
      </c>
      <c r="B140" s="5" t="s">
        <v>15</v>
      </c>
      <c r="C140" s="30" t="s">
        <v>302</v>
      </c>
      <c r="D140" s="30"/>
      <c r="E140" s="30">
        <v>2017</v>
      </c>
      <c r="F140" s="5" t="s">
        <v>308</v>
      </c>
      <c r="G140" s="5">
        <v>6</v>
      </c>
      <c r="H140" s="5" t="s">
        <v>559</v>
      </c>
      <c r="I140" s="6"/>
      <c r="J140" s="7"/>
      <c r="K140" s="7" t="s">
        <v>453</v>
      </c>
      <c r="L140" s="5" t="s">
        <v>457</v>
      </c>
      <c r="M140" s="5"/>
      <c r="N140" s="5"/>
      <c r="O140" s="5"/>
      <c r="P140" s="5"/>
      <c r="Q140" s="5"/>
      <c r="R140" s="5"/>
      <c r="S140" s="5"/>
      <c r="T140" s="23">
        <f t="shared" si="17"/>
        <v>133</v>
      </c>
      <c r="U140" s="23" t="str">
        <f t="shared" si="18"/>
        <v>133.jpg</v>
      </c>
      <c r="V140" s="24" t="str">
        <f t="shared" si="19"/>
        <v>133.jpg</v>
      </c>
      <c r="X140" s="33" t="b">
        <f>IF(Bdd_cave!$R$3="Toutes les regions",TRUE,Bdd_cave!$R$3=B140)</f>
        <v>0</v>
      </c>
      <c r="Y140" s="33" t="b">
        <f>IF(Bdd_cave!$S$3="Toutes les années",TRUE,Bdd_cave!$S$3=E140)</f>
        <v>1</v>
      </c>
      <c r="Z140" s="27" t="b">
        <f>IF(Bdd_cave!$T$3="Toutes les couleurs",TRUE,Bdd_cave!$T$3=F140)</f>
        <v>0</v>
      </c>
      <c r="AA140" s="33" t="b">
        <f>IF(Bdd_cave!$U$3="Tous les casiers ",TRUE,Bdd_cave!$U$3=H140)</f>
        <v>0</v>
      </c>
      <c r="AB140" s="27" t="b">
        <f t="shared" si="20"/>
        <v>0</v>
      </c>
      <c r="AD140" s="27" t="str">
        <f>IF(AB140,ROWS($AB$7:AB140),"")</f>
        <v/>
      </c>
      <c r="AE140" s="27" t="str">
        <f>IFERROR(SMALL($AD$7:$AD$297,ROWS(AD$7:$AD140)),"")</f>
        <v/>
      </c>
    </row>
    <row r="141" spans="1:31" x14ac:dyDescent="0.25">
      <c r="A141" s="27" t="str">
        <f t="shared" si="21"/>
        <v>CHASSAGNE-MONTRACHET  2017</v>
      </c>
      <c r="B141" s="5" t="s">
        <v>15</v>
      </c>
      <c r="C141" s="30" t="s">
        <v>220</v>
      </c>
      <c r="D141" s="30"/>
      <c r="E141" s="30">
        <v>2017</v>
      </c>
      <c r="F141" s="5" t="s">
        <v>308</v>
      </c>
      <c r="G141" s="5">
        <v>6</v>
      </c>
      <c r="H141" s="5" t="s">
        <v>560</v>
      </c>
      <c r="I141" s="6"/>
      <c r="J141" s="7"/>
      <c r="K141" s="7" t="s">
        <v>453</v>
      </c>
      <c r="L141" s="5" t="s">
        <v>457</v>
      </c>
      <c r="M141" s="5"/>
      <c r="N141" s="5"/>
      <c r="O141" s="5"/>
      <c r="P141" s="5"/>
      <c r="Q141" s="5"/>
      <c r="R141" s="5"/>
      <c r="S141" s="5"/>
      <c r="T141" s="23">
        <f t="shared" si="17"/>
        <v>134</v>
      </c>
      <c r="U141" s="23" t="str">
        <f t="shared" si="18"/>
        <v>134.jpg</v>
      </c>
      <c r="V141" s="24" t="str">
        <f t="shared" si="19"/>
        <v>134.jpg</v>
      </c>
      <c r="X141" s="33" t="b">
        <f>IF(Bdd_cave!$R$3="Toutes les regions",TRUE,Bdd_cave!$R$3=B141)</f>
        <v>0</v>
      </c>
      <c r="Y141" s="33" t="b">
        <f>IF(Bdd_cave!$S$3="Toutes les années",TRUE,Bdd_cave!$S$3=E141)</f>
        <v>1</v>
      </c>
      <c r="Z141" s="27" t="b">
        <f>IF(Bdd_cave!$T$3="Toutes les couleurs",TRUE,Bdd_cave!$T$3=F141)</f>
        <v>0</v>
      </c>
      <c r="AA141" s="33" t="b">
        <f>IF(Bdd_cave!$U$3="Tous les casiers ",TRUE,Bdd_cave!$U$3=H141)</f>
        <v>0</v>
      </c>
      <c r="AB141" s="27" t="b">
        <f t="shared" si="20"/>
        <v>0</v>
      </c>
      <c r="AD141" s="27" t="str">
        <f>IF(AB141,ROWS($AB$7:AB141),"")</f>
        <v/>
      </c>
      <c r="AE141" s="27" t="str">
        <f>IFERROR(SMALL($AD$7:$AD$297,ROWS(AD$7:$AD141)),"")</f>
        <v/>
      </c>
    </row>
    <row r="142" spans="1:31" x14ac:dyDescent="0.25">
      <c r="A142" s="27" t="str">
        <f t="shared" si="21"/>
        <v>POUILLY-FUISSE  2017</v>
      </c>
      <c r="B142" s="5" t="s">
        <v>15</v>
      </c>
      <c r="C142" s="30" t="s">
        <v>289</v>
      </c>
      <c r="D142" s="30"/>
      <c r="E142" s="30">
        <v>2017</v>
      </c>
      <c r="F142" s="5" t="s">
        <v>309</v>
      </c>
      <c r="G142" s="5">
        <v>12</v>
      </c>
      <c r="H142" s="5" t="s">
        <v>561</v>
      </c>
      <c r="I142" s="6"/>
      <c r="J142" s="7"/>
      <c r="K142" s="7"/>
      <c r="L142" s="5"/>
      <c r="M142" s="5"/>
      <c r="N142" s="5"/>
      <c r="O142" s="5"/>
      <c r="P142" s="5"/>
      <c r="Q142" s="5"/>
      <c r="R142" s="5"/>
      <c r="S142" s="5"/>
      <c r="T142" s="23">
        <f t="shared" si="17"/>
        <v>135</v>
      </c>
      <c r="U142" s="23" t="str">
        <f t="shared" si="18"/>
        <v>135.jpg</v>
      </c>
      <c r="V142" s="24" t="str">
        <f t="shared" si="19"/>
        <v>135.jpg</v>
      </c>
      <c r="X142" s="33" t="b">
        <f>IF(Bdd_cave!$R$3="Toutes les regions",TRUE,Bdd_cave!$R$3=B142)</f>
        <v>0</v>
      </c>
      <c r="Y142" s="33" t="b">
        <f>IF(Bdd_cave!$S$3="Toutes les années",TRUE,Bdd_cave!$S$3=E142)</f>
        <v>1</v>
      </c>
      <c r="Z142" s="27" t="b">
        <f>IF(Bdd_cave!$T$3="Toutes les couleurs",TRUE,Bdd_cave!$T$3=F142)</f>
        <v>0</v>
      </c>
      <c r="AA142" s="33" t="b">
        <f>IF(Bdd_cave!$U$3="Tous les casiers ",TRUE,Bdd_cave!$U$3=H142)</f>
        <v>0</v>
      </c>
      <c r="AB142" s="27" t="b">
        <f t="shared" si="20"/>
        <v>0</v>
      </c>
      <c r="AD142" s="27" t="str">
        <f>IF(AB142,ROWS($AB$7:AB142),"")</f>
        <v/>
      </c>
      <c r="AE142" s="27" t="str">
        <f>IFERROR(SMALL($AD$7:$AD$297,ROWS(AD$7:$AD142)),"")</f>
        <v/>
      </c>
    </row>
    <row r="143" spans="1:31" x14ac:dyDescent="0.25">
      <c r="A143" s="27" t="str">
        <f t="shared" si="21"/>
        <v>BATARD-MONTRACHET Grand Cru 2018</v>
      </c>
      <c r="B143" s="5" t="s">
        <v>15</v>
      </c>
      <c r="C143" s="30" t="s">
        <v>47</v>
      </c>
      <c r="D143" s="30" t="s">
        <v>311</v>
      </c>
      <c r="E143" s="30">
        <v>2018</v>
      </c>
      <c r="F143" s="5" t="s">
        <v>309</v>
      </c>
      <c r="G143" s="5">
        <v>4</v>
      </c>
      <c r="H143" s="5" t="s">
        <v>405</v>
      </c>
      <c r="I143" s="6"/>
      <c r="J143" s="7"/>
      <c r="K143" s="7"/>
      <c r="L143" s="5"/>
      <c r="M143" s="5"/>
      <c r="N143" s="5"/>
      <c r="O143" s="5"/>
      <c r="P143" s="5"/>
      <c r="Q143" s="5"/>
      <c r="R143" s="5"/>
      <c r="S143" s="5"/>
      <c r="T143" s="23">
        <f t="shared" si="17"/>
        <v>136</v>
      </c>
      <c r="U143" s="23" t="str">
        <f t="shared" si="18"/>
        <v>136.jpg</v>
      </c>
      <c r="V143" s="24" t="str">
        <f t="shared" si="19"/>
        <v>136.jpg</v>
      </c>
      <c r="X143" s="33" t="b">
        <f>IF(Bdd_cave!$R$3="Toutes les regions",TRUE,Bdd_cave!$R$3=B143)</f>
        <v>0</v>
      </c>
      <c r="Y143" s="33" t="b">
        <f>IF(Bdd_cave!$S$3="Toutes les années",TRUE,Bdd_cave!$S$3=E143)</f>
        <v>1</v>
      </c>
      <c r="Z143" s="27" t="b">
        <f>IF(Bdd_cave!$T$3="Toutes les couleurs",TRUE,Bdd_cave!$T$3=F143)</f>
        <v>0</v>
      </c>
      <c r="AA143" s="33" t="b">
        <f>IF(Bdd_cave!$U$3="Tous les casiers ",TRUE,Bdd_cave!$U$3=H143)</f>
        <v>0</v>
      </c>
      <c r="AB143" s="27" t="b">
        <f t="shared" si="20"/>
        <v>0</v>
      </c>
      <c r="AD143" s="27" t="str">
        <f>IF(AB143,ROWS($AB$7:AB143),"")</f>
        <v/>
      </c>
      <c r="AE143" s="27" t="str">
        <f>IFERROR(SMALL($AD$7:$AD$297,ROWS(AD$7:$AD143)),"")</f>
        <v/>
      </c>
    </row>
    <row r="144" spans="1:31" x14ac:dyDescent="0.25">
      <c r="A144" s="27" t="str">
        <f t="shared" si="21"/>
        <v>CORTON-CHARLEMAGNE Grand Cru 2018</v>
      </c>
      <c r="B144" s="5" t="s">
        <v>15</v>
      </c>
      <c r="C144" s="30" t="s">
        <v>245</v>
      </c>
      <c r="D144" s="30" t="s">
        <v>311</v>
      </c>
      <c r="E144" s="30">
        <v>2018</v>
      </c>
      <c r="F144" s="5" t="s">
        <v>309</v>
      </c>
      <c r="G144" s="5">
        <v>6</v>
      </c>
      <c r="H144" s="5" t="s">
        <v>529</v>
      </c>
      <c r="I144" s="6"/>
      <c r="J144" s="7">
        <v>2023</v>
      </c>
      <c r="K144" s="7"/>
      <c r="L144" s="5"/>
      <c r="M144" s="5"/>
      <c r="N144" s="5"/>
      <c r="O144" s="5"/>
      <c r="P144" s="5"/>
      <c r="Q144" s="5"/>
      <c r="R144" s="5"/>
      <c r="S144" s="5"/>
      <c r="T144" s="23">
        <f t="shared" si="17"/>
        <v>137</v>
      </c>
      <c r="U144" s="23" t="str">
        <f t="shared" si="18"/>
        <v>137.jpg</v>
      </c>
      <c r="V144" s="24" t="str">
        <f t="shared" si="19"/>
        <v>137.jpg</v>
      </c>
      <c r="X144" s="33" t="b">
        <f>IF(Bdd_cave!$R$3="Toutes les regions",TRUE,Bdd_cave!$R$3=B144)</f>
        <v>0</v>
      </c>
      <c r="Y144" s="33" t="b">
        <f>IF(Bdd_cave!$S$3="Toutes les années",TRUE,Bdd_cave!$S$3=E144)</f>
        <v>1</v>
      </c>
      <c r="Z144" s="27" t="b">
        <f>IF(Bdd_cave!$T$3="Toutes les couleurs",TRUE,Bdd_cave!$T$3=F144)</f>
        <v>0</v>
      </c>
      <c r="AA144" s="33" t="b">
        <f>IF(Bdd_cave!$U$3="Tous les casiers ",TRUE,Bdd_cave!$U$3=H144)</f>
        <v>0</v>
      </c>
      <c r="AB144" s="27" t="b">
        <f t="shared" si="20"/>
        <v>0</v>
      </c>
      <c r="AD144" s="27" t="str">
        <f>IF(AB144,ROWS($AB$7:AB144),"")</f>
        <v/>
      </c>
      <c r="AE144" s="27" t="str">
        <f>IFERROR(SMALL($AD$7:$AD$297,ROWS(AD$7:$AD144)),"")</f>
        <v/>
      </c>
    </row>
    <row r="145" spans="1:31" x14ac:dyDescent="0.25">
      <c r="A145" s="27" t="str">
        <f t="shared" si="21"/>
        <v>COTE DU RHONE  2018</v>
      </c>
      <c r="B145" s="5" t="s">
        <v>17</v>
      </c>
      <c r="C145" s="30" t="s">
        <v>17</v>
      </c>
      <c r="D145" s="30"/>
      <c r="E145" s="30">
        <v>2018</v>
      </c>
      <c r="F145" s="5" t="s">
        <v>309</v>
      </c>
      <c r="G145" s="5">
        <v>1</v>
      </c>
      <c r="H145" s="5" t="s">
        <v>544</v>
      </c>
      <c r="I145" s="6"/>
      <c r="J145" s="7"/>
      <c r="K145" s="7"/>
      <c r="L145" s="5" t="s">
        <v>545</v>
      </c>
      <c r="M145" s="5"/>
      <c r="N145" s="5">
        <v>84</v>
      </c>
      <c r="O145" s="5" t="s">
        <v>546</v>
      </c>
      <c r="P145" s="5"/>
      <c r="Q145" s="5"/>
      <c r="R145" s="5"/>
      <c r="S145" s="5"/>
      <c r="T145" s="23">
        <f t="shared" si="17"/>
        <v>138</v>
      </c>
      <c r="U145" s="23" t="str">
        <f t="shared" si="18"/>
        <v>138.jpg</v>
      </c>
      <c r="V145" s="24" t="str">
        <f t="shared" si="19"/>
        <v>138.jpg</v>
      </c>
      <c r="X145" s="33" t="b">
        <f>IF(Bdd_cave!$R$3="Toutes les regions",TRUE,Bdd_cave!$R$3=B145)</f>
        <v>0</v>
      </c>
      <c r="Y145" s="33" t="b">
        <f>IF(Bdd_cave!$S$3="Toutes les années",TRUE,Bdd_cave!$S$3=E145)</f>
        <v>1</v>
      </c>
      <c r="Z145" s="27" t="b">
        <f>IF(Bdd_cave!$T$3="Toutes les couleurs",TRUE,Bdd_cave!$T$3=F145)</f>
        <v>0</v>
      </c>
      <c r="AA145" s="33" t="b">
        <f>IF(Bdd_cave!$U$3="Tous les casiers ",TRUE,Bdd_cave!$U$3=H145)</f>
        <v>0</v>
      </c>
      <c r="AB145" s="27" t="b">
        <f t="shared" si="20"/>
        <v>0</v>
      </c>
      <c r="AD145" s="27" t="str">
        <f>IF(AB145,ROWS($AB$7:AB145),"")</f>
        <v/>
      </c>
      <c r="AE145" s="27" t="str">
        <f>IFERROR(SMALL($AD$7:$AD$297,ROWS(AD$7:$AD145)),"")</f>
        <v/>
      </c>
    </row>
    <row r="146" spans="1:31" x14ac:dyDescent="0.25">
      <c r="A146" s="27" t="str">
        <f t="shared" si="21"/>
        <v>SANCERRE  2018</v>
      </c>
      <c r="B146" s="5" t="s">
        <v>19</v>
      </c>
      <c r="C146" s="30" t="s">
        <v>237</v>
      </c>
      <c r="D146" s="30"/>
      <c r="E146" s="30">
        <v>2018</v>
      </c>
      <c r="F146" s="5" t="s">
        <v>309</v>
      </c>
      <c r="G146" s="5">
        <v>1</v>
      </c>
      <c r="H146" s="5" t="s">
        <v>544</v>
      </c>
      <c r="I146" s="6"/>
      <c r="J146" s="7"/>
      <c r="K146" s="7"/>
      <c r="L146" s="5" t="s">
        <v>549</v>
      </c>
      <c r="M146" s="5"/>
      <c r="N146" s="5"/>
      <c r="O146" s="5"/>
      <c r="P146" s="5"/>
      <c r="Q146" s="5"/>
      <c r="R146" s="5"/>
      <c r="S146" s="5"/>
      <c r="T146" s="23">
        <f t="shared" si="17"/>
        <v>139</v>
      </c>
      <c r="U146" s="23" t="str">
        <f t="shared" si="18"/>
        <v>139.jpg</v>
      </c>
      <c r="V146" s="24" t="str">
        <f t="shared" si="19"/>
        <v>139.jpg</v>
      </c>
      <c r="X146" s="33" t="b">
        <f>IF(Bdd_cave!$R$3="Toutes les regions",TRUE,Bdd_cave!$R$3=B146)</f>
        <v>0</v>
      </c>
      <c r="Y146" s="33" t="b">
        <f>IF(Bdd_cave!$S$3="Toutes les années",TRUE,Bdd_cave!$S$3=E146)</f>
        <v>1</v>
      </c>
      <c r="Z146" s="27" t="b">
        <f>IF(Bdd_cave!$T$3="Toutes les couleurs",TRUE,Bdd_cave!$T$3=F146)</f>
        <v>0</v>
      </c>
      <c r="AA146" s="33" t="b">
        <f>IF(Bdd_cave!$U$3="Tous les casiers ",TRUE,Bdd_cave!$U$3=H146)</f>
        <v>0</v>
      </c>
      <c r="AB146" s="27" t="b">
        <f t="shared" si="20"/>
        <v>0</v>
      </c>
      <c r="AD146" s="27" t="str">
        <f>IF(AB146,ROWS($AB$7:AB146),"")</f>
        <v/>
      </c>
      <c r="AE146" s="27" t="str">
        <f>IFERROR(SMALL($AD$7:$AD$297,ROWS(AD$7:$AD146)),"")</f>
        <v/>
      </c>
    </row>
    <row r="147" spans="1:31" x14ac:dyDescent="0.25">
      <c r="A147" s="27" t="str">
        <f t="shared" si="21"/>
        <v>SANCERRE  2018</v>
      </c>
      <c r="B147" s="5" t="s">
        <v>19</v>
      </c>
      <c r="C147" s="30" t="s">
        <v>237</v>
      </c>
      <c r="D147" s="30"/>
      <c r="E147" s="30">
        <v>2018</v>
      </c>
      <c r="F147" s="5" t="s">
        <v>309</v>
      </c>
      <c r="G147" s="5">
        <v>6</v>
      </c>
      <c r="H147" s="5" t="s">
        <v>555</v>
      </c>
      <c r="I147" s="6"/>
      <c r="J147" s="7"/>
      <c r="K147" s="7" t="s">
        <v>556</v>
      </c>
      <c r="L147" s="5" t="s">
        <v>549</v>
      </c>
      <c r="M147" s="5"/>
      <c r="N147" s="5">
        <v>18300</v>
      </c>
      <c r="O147" s="5" t="s">
        <v>557</v>
      </c>
      <c r="P147" s="5"/>
      <c r="Q147" s="5"/>
      <c r="R147" s="5" t="s">
        <v>558</v>
      </c>
      <c r="S147" s="5"/>
      <c r="T147" s="23">
        <f t="shared" si="17"/>
        <v>140</v>
      </c>
      <c r="U147" s="23" t="str">
        <f t="shared" si="18"/>
        <v>140.jpg</v>
      </c>
      <c r="V147" s="24" t="str">
        <f t="shared" si="19"/>
        <v>140.jpg</v>
      </c>
      <c r="X147" s="33" t="b">
        <f>IF(Bdd_cave!$R$3="Toutes les regions",TRUE,Bdd_cave!$R$3=B147)</f>
        <v>0</v>
      </c>
      <c r="Y147" s="33" t="b">
        <f>IF(Bdd_cave!$S$3="Toutes les années",TRUE,Bdd_cave!$S$3=E147)</f>
        <v>1</v>
      </c>
      <c r="Z147" s="27" t="b">
        <f>IF(Bdd_cave!$T$3="Toutes les couleurs",TRUE,Bdd_cave!$T$3=F147)</f>
        <v>0</v>
      </c>
      <c r="AA147" s="33" t="b">
        <f>IF(Bdd_cave!$U$3="Tous les casiers ",TRUE,Bdd_cave!$U$3=H147)</f>
        <v>0</v>
      </c>
      <c r="AB147" s="27" t="b">
        <f t="shared" si="20"/>
        <v>0</v>
      </c>
      <c r="AD147" s="27" t="str">
        <f>IF(AB147,ROWS($AB$7:AB147),"")</f>
        <v/>
      </c>
      <c r="AE147" s="27" t="str">
        <f>IFERROR(SMALL($AD$7:$AD$297,ROWS(AD$7:$AD147)),"")</f>
        <v/>
      </c>
    </row>
    <row r="148" spans="1:31" x14ac:dyDescent="0.25">
      <c r="A148" s="27" t="str">
        <f t="shared" si="21"/>
        <v>POUILLY-FUISSE  2018</v>
      </c>
      <c r="B148" s="5" t="s">
        <v>15</v>
      </c>
      <c r="C148" s="30" t="s">
        <v>289</v>
      </c>
      <c r="D148" s="30"/>
      <c r="E148" s="30">
        <v>2018</v>
      </c>
      <c r="F148" s="5" t="s">
        <v>309</v>
      </c>
      <c r="G148" s="5">
        <v>12</v>
      </c>
      <c r="H148" s="5" t="s">
        <v>560</v>
      </c>
      <c r="I148" s="6"/>
      <c r="J148" s="7"/>
      <c r="K148" s="7"/>
      <c r="L148" s="5"/>
      <c r="M148" s="5"/>
      <c r="N148" s="5"/>
      <c r="O148" s="5"/>
      <c r="P148" s="5"/>
      <c r="Q148" s="5"/>
      <c r="R148" s="5"/>
      <c r="S148" s="5"/>
      <c r="T148" s="23">
        <f t="shared" si="17"/>
        <v>141</v>
      </c>
      <c r="U148" s="23" t="str">
        <f t="shared" si="18"/>
        <v>141.jpg</v>
      </c>
      <c r="V148" s="24" t="str">
        <f t="shared" si="19"/>
        <v>141.jpg</v>
      </c>
      <c r="X148" s="33" t="b">
        <f>IF(Bdd_cave!$R$3="Toutes les regions",TRUE,Bdd_cave!$R$3=B148)</f>
        <v>0</v>
      </c>
      <c r="Y148" s="33" t="b">
        <f>IF(Bdd_cave!$S$3="Toutes les années",TRUE,Bdd_cave!$S$3=E148)</f>
        <v>1</v>
      </c>
      <c r="Z148" s="27" t="b">
        <f>IF(Bdd_cave!$T$3="Toutes les couleurs",TRUE,Bdd_cave!$T$3=F148)</f>
        <v>0</v>
      </c>
      <c r="AA148" s="33" t="b">
        <f>IF(Bdd_cave!$U$3="Tous les casiers ",TRUE,Bdd_cave!$U$3=H148)</f>
        <v>0</v>
      </c>
      <c r="AB148" s="27" t="b">
        <f t="shared" si="20"/>
        <v>0</v>
      </c>
      <c r="AD148" s="27" t="str">
        <f>IF(AB148,ROWS($AB$7:AB148),"")</f>
        <v/>
      </c>
      <c r="AE148" s="27" t="str">
        <f>IFERROR(SMALL($AD$7:$AD$297,ROWS(AD$7:$AD148)),"")</f>
        <v/>
      </c>
    </row>
    <row r="149" spans="1:31" x14ac:dyDescent="0.25">
      <c r="A149" s="27" t="str">
        <f t="shared" si="21"/>
        <v xml:space="preserve">NUIT-SAINT-GEORGES  </v>
      </c>
      <c r="B149" s="5" t="s">
        <v>15</v>
      </c>
      <c r="C149" s="30" t="s">
        <v>285</v>
      </c>
      <c r="D149" s="30"/>
      <c r="E149" s="30"/>
      <c r="F149" s="5" t="s">
        <v>308</v>
      </c>
      <c r="G149" s="5">
        <v>1</v>
      </c>
      <c r="H149" s="5" t="s">
        <v>544</v>
      </c>
      <c r="I149" s="6"/>
      <c r="J149" s="7"/>
      <c r="K149" s="7" t="s">
        <v>552</v>
      </c>
      <c r="L149" s="5" t="s">
        <v>553</v>
      </c>
      <c r="M149" s="5"/>
      <c r="N149" s="5">
        <v>21</v>
      </c>
      <c r="O149" s="5" t="s">
        <v>554</v>
      </c>
      <c r="P149" s="5"/>
      <c r="Q149" s="5"/>
      <c r="R149" s="5"/>
      <c r="S149" s="5"/>
      <c r="T149" s="23">
        <f t="shared" si="17"/>
        <v>142</v>
      </c>
      <c r="U149" s="23" t="str">
        <f t="shared" si="18"/>
        <v>142.jpg</v>
      </c>
      <c r="V149" s="24" t="str">
        <f t="shared" si="19"/>
        <v>142.jpg</v>
      </c>
      <c r="X149" s="33" t="b">
        <f>IF(Bdd_cave!$R$3="Toutes les regions",TRUE,Bdd_cave!$R$3=B149)</f>
        <v>0</v>
      </c>
      <c r="Y149" s="33" t="b">
        <f>IF(Bdd_cave!$S$3="Toutes les années",TRUE,Bdd_cave!$S$3=E149)</f>
        <v>1</v>
      </c>
      <c r="Z149" s="27" t="b">
        <f>IF(Bdd_cave!$T$3="Toutes les couleurs",TRUE,Bdd_cave!$T$3=F149)</f>
        <v>0</v>
      </c>
      <c r="AA149" s="33" t="b">
        <f>IF(Bdd_cave!$U$3="Tous les casiers ",TRUE,Bdd_cave!$U$3=H149)</f>
        <v>0</v>
      </c>
      <c r="AB149" s="27" t="b">
        <f t="shared" si="20"/>
        <v>0</v>
      </c>
      <c r="AD149" s="27" t="str">
        <f>IF(AB149,ROWS($AB$7:AB149),"")</f>
        <v/>
      </c>
      <c r="AE149" s="27" t="str">
        <f>IFERROR(SMALL($AD$7:$AD$297,ROWS(AD$7:$AD149)),"")</f>
        <v/>
      </c>
    </row>
    <row r="150" spans="1:31" x14ac:dyDescent="0.25">
      <c r="A150" s="27" t="str">
        <f t="shared" si="21"/>
        <v>ARBOIS (JURA)  2017</v>
      </c>
      <c r="B150" s="5" t="s">
        <v>22</v>
      </c>
      <c r="C150" s="30" t="s">
        <v>36</v>
      </c>
      <c r="D150" s="30"/>
      <c r="E150" s="30">
        <v>2017</v>
      </c>
      <c r="F150" s="5" t="s">
        <v>308</v>
      </c>
      <c r="G150" s="5">
        <v>3</v>
      </c>
      <c r="H150" s="5" t="s">
        <v>374</v>
      </c>
      <c r="I150" s="6"/>
      <c r="J150" s="7"/>
      <c r="K150" s="7"/>
      <c r="L150" s="5" t="s">
        <v>505</v>
      </c>
      <c r="M150" s="5"/>
      <c r="N150" s="5">
        <v>39110</v>
      </c>
      <c r="O150" s="5" t="s">
        <v>472</v>
      </c>
      <c r="P150" s="5"/>
      <c r="Q150" s="5"/>
      <c r="R150" s="5"/>
      <c r="S150" s="5"/>
      <c r="T150" s="23">
        <f t="shared" si="17"/>
        <v>143</v>
      </c>
      <c r="U150" s="23" t="str">
        <f t="shared" si="18"/>
        <v>143.jpg</v>
      </c>
      <c r="V150" s="24" t="str">
        <f t="shared" si="19"/>
        <v>143.jpg</v>
      </c>
      <c r="X150" s="33" t="b">
        <f>IF(Bdd_cave!$R$3="Toutes les regions",TRUE,Bdd_cave!$R$3=B150)</f>
        <v>0</v>
      </c>
      <c r="Y150" s="33" t="b">
        <f>IF(Bdd_cave!$S$3="Toutes les années",TRUE,Bdd_cave!$S$3=E150)</f>
        <v>1</v>
      </c>
      <c r="Z150" s="27" t="b">
        <f>IF(Bdd_cave!$T$3="Toutes les couleurs",TRUE,Bdd_cave!$T$3=F150)</f>
        <v>0</v>
      </c>
      <c r="AA150" s="33" t="b">
        <f>IF(Bdd_cave!$U$3="Tous les casiers ",TRUE,Bdd_cave!$U$3=H150)</f>
        <v>0</v>
      </c>
      <c r="AB150" s="27" t="b">
        <f t="shared" si="20"/>
        <v>0</v>
      </c>
      <c r="AD150" s="27" t="str">
        <f>IF(AB150,ROWS($AB$7:AB150),"")</f>
        <v/>
      </c>
      <c r="AE150" s="27" t="str">
        <f>IFERROR(SMALL($AD$7:$AD$297,ROWS(AD$7:$AD150)),"")</f>
        <v/>
      </c>
    </row>
    <row r="151" spans="1:31" x14ac:dyDescent="0.25">
      <c r="A151" s="27" t="str">
        <f t="shared" si="21"/>
        <v>ARBOIS (JURA)  2018</v>
      </c>
      <c r="B151" s="5" t="s">
        <v>22</v>
      </c>
      <c r="C151" s="30" t="s">
        <v>36</v>
      </c>
      <c r="D151" s="30"/>
      <c r="E151" s="30">
        <v>2018</v>
      </c>
      <c r="F151" s="5" t="s">
        <v>309</v>
      </c>
      <c r="G151" s="5">
        <v>3</v>
      </c>
      <c r="H151" s="5" t="s">
        <v>374</v>
      </c>
      <c r="I151" s="6"/>
      <c r="J151" s="7"/>
      <c r="K151" s="7"/>
      <c r="L151" s="5" t="s">
        <v>505</v>
      </c>
      <c r="M151" s="5"/>
      <c r="N151" s="5">
        <v>39110</v>
      </c>
      <c r="O151" s="5" t="s">
        <v>472</v>
      </c>
      <c r="P151" s="5"/>
      <c r="Q151" s="5"/>
      <c r="R151" s="5"/>
      <c r="S151" s="5"/>
      <c r="T151" s="23">
        <f t="shared" si="17"/>
        <v>144</v>
      </c>
      <c r="U151" s="23" t="str">
        <f t="shared" si="18"/>
        <v>144.jpg</v>
      </c>
      <c r="V151" s="24" t="str">
        <f t="shared" si="19"/>
        <v>144.jpg</v>
      </c>
      <c r="X151" s="33" t="b">
        <f>IF(Bdd_cave!$R$3="Toutes les regions",TRUE,Bdd_cave!$R$3=B151)</f>
        <v>0</v>
      </c>
      <c r="Y151" s="33" t="b">
        <f>IF(Bdd_cave!$S$3="Toutes les années",TRUE,Bdd_cave!$S$3=E151)</f>
        <v>1</v>
      </c>
      <c r="Z151" s="27" t="b">
        <f>IF(Bdd_cave!$T$3="Toutes les couleurs",TRUE,Bdd_cave!$T$3=F151)</f>
        <v>0</v>
      </c>
      <c r="AA151" s="33" t="b">
        <f>IF(Bdd_cave!$U$3="Tous les casiers ",TRUE,Bdd_cave!$U$3=H151)</f>
        <v>0</v>
      </c>
      <c r="AB151" s="27" t="b">
        <f t="shared" si="20"/>
        <v>0</v>
      </c>
      <c r="AD151" s="27" t="str">
        <f>IF(AB151,ROWS($AB$7:AB151),"")</f>
        <v/>
      </c>
      <c r="AE151" s="27" t="str">
        <f>IFERROR(SMALL($AD$7:$AD$297,ROWS(AD$7:$AD151)),"")</f>
        <v/>
      </c>
    </row>
    <row r="152" spans="1:31" x14ac:dyDescent="0.25">
      <c r="A152" s="27" t="str">
        <f t="shared" si="21"/>
        <v>SAINT-VERAN  2017</v>
      </c>
      <c r="B152" s="5" t="s">
        <v>15</v>
      </c>
      <c r="C152" s="30" t="s">
        <v>301</v>
      </c>
      <c r="D152" s="30"/>
      <c r="E152" s="30">
        <v>2017</v>
      </c>
      <c r="F152" s="5" t="s">
        <v>309</v>
      </c>
      <c r="G152" s="5">
        <v>6</v>
      </c>
      <c r="H152" s="5" t="s">
        <v>485</v>
      </c>
      <c r="I152" s="6"/>
      <c r="J152" s="7"/>
      <c r="K152" s="7" t="s">
        <v>453</v>
      </c>
      <c r="L152" s="5" t="s">
        <v>563</v>
      </c>
      <c r="M152" s="5"/>
      <c r="N152" s="5"/>
      <c r="O152" s="5"/>
      <c r="P152" s="5"/>
      <c r="Q152" s="5"/>
      <c r="R152" s="5"/>
      <c r="S152" s="5"/>
      <c r="T152" s="23">
        <f t="shared" si="17"/>
        <v>145</v>
      </c>
      <c r="U152" s="23" t="str">
        <f t="shared" si="18"/>
        <v>145.jpg</v>
      </c>
      <c r="V152" s="24" t="str">
        <f t="shared" si="19"/>
        <v>145.jpg</v>
      </c>
      <c r="X152" s="33" t="b">
        <f>IF(Bdd_cave!$R$3="Toutes les regions",TRUE,Bdd_cave!$R$3=B152)</f>
        <v>0</v>
      </c>
      <c r="Y152" s="33" t="b">
        <f>IF(Bdd_cave!$S$3="Toutes les années",TRUE,Bdd_cave!$S$3=E152)</f>
        <v>1</v>
      </c>
      <c r="Z152" s="27" t="b">
        <f>IF(Bdd_cave!$T$3="Toutes les couleurs",TRUE,Bdd_cave!$T$3=F152)</f>
        <v>0</v>
      </c>
      <c r="AA152" s="33" t="b">
        <f>IF(Bdd_cave!$U$3="Tous les casiers ",TRUE,Bdd_cave!$U$3=H152)</f>
        <v>0</v>
      </c>
      <c r="AB152" s="27" t="b">
        <f t="shared" si="20"/>
        <v>0</v>
      </c>
      <c r="AD152" s="27" t="str">
        <f>IF(AB152,ROWS($AB$7:AB152),"")</f>
        <v/>
      </c>
      <c r="AE152" s="27" t="str">
        <f>IFERROR(SMALL($AD$7:$AD$297,ROWS(AD$7:$AD152)),"")</f>
        <v/>
      </c>
    </row>
    <row r="153" spans="1:31" x14ac:dyDescent="0.25">
      <c r="A153" s="27" t="str">
        <f t="shared" si="21"/>
        <v>RULLY 1 er Cru 2017</v>
      </c>
      <c r="B153" s="5" t="s">
        <v>15</v>
      </c>
      <c r="C153" s="30" t="s">
        <v>297</v>
      </c>
      <c r="D153" s="30" t="s">
        <v>312</v>
      </c>
      <c r="E153" s="30">
        <v>2017</v>
      </c>
      <c r="F153" s="5" t="s">
        <v>309</v>
      </c>
      <c r="G153" s="5">
        <v>4</v>
      </c>
      <c r="H153" s="5" t="s">
        <v>413</v>
      </c>
      <c r="I153" s="6"/>
      <c r="J153" s="7"/>
      <c r="K153" s="7"/>
      <c r="L153" s="5" t="s">
        <v>565</v>
      </c>
      <c r="M153" s="5"/>
      <c r="N153" s="5"/>
      <c r="O153" s="5"/>
      <c r="P153" s="5"/>
      <c r="Q153" s="5"/>
      <c r="R153" s="5"/>
      <c r="S153" s="5"/>
      <c r="T153" s="23">
        <f t="shared" si="17"/>
        <v>146</v>
      </c>
      <c r="U153" s="23" t="str">
        <f t="shared" si="18"/>
        <v>146.jpg</v>
      </c>
      <c r="V153" s="24" t="str">
        <f t="shared" si="19"/>
        <v>146.jpg</v>
      </c>
      <c r="X153" s="33" t="b">
        <f>IF(Bdd_cave!$R$3="Toutes les regions",TRUE,Bdd_cave!$R$3=B153)</f>
        <v>0</v>
      </c>
      <c r="Y153" s="33" t="b">
        <f>IF(Bdd_cave!$S$3="Toutes les années",TRUE,Bdd_cave!$S$3=E153)</f>
        <v>1</v>
      </c>
      <c r="Z153" s="27" t="b">
        <f>IF(Bdd_cave!$T$3="Toutes les couleurs",TRUE,Bdd_cave!$T$3=F153)</f>
        <v>0</v>
      </c>
      <c r="AA153" s="33" t="b">
        <f>IF(Bdd_cave!$U$3="Tous les casiers ",TRUE,Bdd_cave!$U$3=H153)</f>
        <v>0</v>
      </c>
      <c r="AB153" s="27" t="b">
        <f t="shared" si="20"/>
        <v>0</v>
      </c>
      <c r="AD153" s="27" t="str">
        <f>IF(AB153,ROWS($AB$7:AB153),"")</f>
        <v/>
      </c>
      <c r="AE153" s="27" t="str">
        <f>IFERROR(SMALL($AD$7:$AD$297,ROWS(AD$7:$AD153)),"")</f>
        <v/>
      </c>
    </row>
    <row r="154" spans="1:31" x14ac:dyDescent="0.25">
      <c r="A154" s="27" t="str">
        <f t="shared" si="21"/>
        <v>COTE DU RHONE  2018</v>
      </c>
      <c r="B154" s="5" t="s">
        <v>17</v>
      </c>
      <c r="C154" s="30" t="s">
        <v>17</v>
      </c>
      <c r="D154" s="30"/>
      <c r="E154" s="30">
        <v>2018</v>
      </c>
      <c r="F154" s="5" t="s">
        <v>309</v>
      </c>
      <c r="G154" s="5">
        <v>5</v>
      </c>
      <c r="H154" s="5">
        <v>14</v>
      </c>
      <c r="I154" s="6"/>
      <c r="J154" s="7"/>
      <c r="K154" s="7"/>
      <c r="L154" s="5" t="s">
        <v>431</v>
      </c>
      <c r="M154" s="5"/>
      <c r="N154" s="5">
        <v>7700</v>
      </c>
      <c r="O154" s="5" t="s">
        <v>432</v>
      </c>
      <c r="P154" s="5"/>
      <c r="Q154" s="5"/>
      <c r="R154" s="5"/>
      <c r="S154" s="5"/>
      <c r="T154" s="23">
        <f t="shared" si="17"/>
        <v>147</v>
      </c>
      <c r="U154" s="23" t="str">
        <f t="shared" si="18"/>
        <v>147.jpg</v>
      </c>
      <c r="V154" s="24" t="str">
        <f t="shared" si="19"/>
        <v>147.jpg</v>
      </c>
      <c r="X154" s="33" t="b">
        <f>IF(Bdd_cave!$R$3="Toutes les regions",TRUE,Bdd_cave!$R$3=B154)</f>
        <v>0</v>
      </c>
      <c r="Y154" s="33" t="b">
        <f>IF(Bdd_cave!$S$3="Toutes les années",TRUE,Bdd_cave!$S$3=E154)</f>
        <v>1</v>
      </c>
      <c r="Z154" s="27" t="b">
        <f>IF(Bdd_cave!$T$3="Toutes les couleurs",TRUE,Bdd_cave!$T$3=F154)</f>
        <v>0</v>
      </c>
      <c r="AA154" s="33" t="b">
        <f>IF(Bdd_cave!$U$3="Tous les casiers ",TRUE,Bdd_cave!$U$3=H154)</f>
        <v>0</v>
      </c>
      <c r="AB154" s="27" t="b">
        <f t="shared" si="20"/>
        <v>0</v>
      </c>
      <c r="AD154" s="27" t="str">
        <f>IF(AB154,ROWS($AB$7:AB154),"")</f>
        <v/>
      </c>
      <c r="AE154" s="27" t="str">
        <f>IFERROR(SMALL($AD$7:$AD$297,ROWS(AD$7:$AD154)),"")</f>
        <v/>
      </c>
    </row>
    <row r="155" spans="1:31" x14ac:dyDescent="0.25">
      <c r="A155" s="27" t="str">
        <f t="shared" si="21"/>
        <v>ITALIE  2018</v>
      </c>
      <c r="B155" s="5" t="s">
        <v>28</v>
      </c>
      <c r="C155" s="30" t="s">
        <v>333</v>
      </c>
      <c r="D155" s="30"/>
      <c r="E155" s="30">
        <v>2018</v>
      </c>
      <c r="F155" s="5" t="s">
        <v>309</v>
      </c>
      <c r="G155" s="5">
        <v>3</v>
      </c>
      <c r="H155" s="5" t="s">
        <v>560</v>
      </c>
      <c r="I155" s="6"/>
      <c r="J155" s="7"/>
      <c r="K155" s="7" t="s">
        <v>566</v>
      </c>
      <c r="L155" s="5" t="s">
        <v>567</v>
      </c>
      <c r="M155" s="5"/>
      <c r="N155" s="5"/>
      <c r="O155" s="5"/>
      <c r="P155" s="5"/>
      <c r="Q155" s="5"/>
      <c r="R155" s="5"/>
      <c r="S155" s="5"/>
      <c r="T155" s="23">
        <f t="shared" si="17"/>
        <v>148</v>
      </c>
      <c r="U155" s="23" t="str">
        <f t="shared" si="18"/>
        <v>148.jpg</v>
      </c>
      <c r="V155" s="24" t="str">
        <f t="shared" si="19"/>
        <v>148.jpg</v>
      </c>
      <c r="X155" s="33" t="b">
        <f>IF(Bdd_cave!$R$3="Toutes les regions",TRUE,Bdd_cave!$R$3=B155)</f>
        <v>0</v>
      </c>
      <c r="Y155" s="33" t="b">
        <f>IF(Bdd_cave!$S$3="Toutes les années",TRUE,Bdd_cave!$S$3=E155)</f>
        <v>1</v>
      </c>
      <c r="Z155" s="27" t="b">
        <f>IF(Bdd_cave!$T$3="Toutes les couleurs",TRUE,Bdd_cave!$T$3=F155)</f>
        <v>0</v>
      </c>
      <c r="AA155" s="33" t="b">
        <f>IF(Bdd_cave!$U$3="Tous les casiers ",TRUE,Bdd_cave!$U$3=H155)</f>
        <v>0</v>
      </c>
      <c r="AB155" s="27" t="b">
        <f t="shared" si="20"/>
        <v>0</v>
      </c>
      <c r="AD155" s="27" t="str">
        <f>IF(AB155,ROWS($AB$7:AB155),"")</f>
        <v/>
      </c>
      <c r="AE155" s="27" t="str">
        <f>IFERROR(SMALL($AD$7:$AD$297,ROWS(AD$7:$AD155)),"")</f>
        <v/>
      </c>
    </row>
    <row r="156" spans="1:31" x14ac:dyDescent="0.25">
      <c r="A156" s="27" t="str">
        <f t="shared" si="21"/>
        <v>ITALIE  2018</v>
      </c>
      <c r="B156" s="5" t="s">
        <v>28</v>
      </c>
      <c r="C156" s="30" t="s">
        <v>333</v>
      </c>
      <c r="D156" s="30"/>
      <c r="E156" s="30">
        <v>2018</v>
      </c>
      <c r="F156" s="5" t="s">
        <v>309</v>
      </c>
      <c r="G156" s="5">
        <v>3</v>
      </c>
      <c r="H156" s="5" t="s">
        <v>560</v>
      </c>
      <c r="I156" s="6"/>
      <c r="J156" s="7"/>
      <c r="K156" s="7" t="s">
        <v>568</v>
      </c>
      <c r="L156" s="5" t="s">
        <v>567</v>
      </c>
      <c r="M156" s="5"/>
      <c r="N156" s="5"/>
      <c r="O156" s="5"/>
      <c r="P156" s="5"/>
      <c r="Q156" s="5"/>
      <c r="R156" s="5"/>
      <c r="S156" s="5"/>
      <c r="T156" s="23">
        <f t="shared" si="17"/>
        <v>149</v>
      </c>
      <c r="U156" s="23" t="str">
        <f t="shared" si="18"/>
        <v>149.jpg</v>
      </c>
      <c r="V156" s="24" t="str">
        <f t="shared" si="19"/>
        <v>149.jpg</v>
      </c>
      <c r="X156" s="33" t="b">
        <f>IF(Bdd_cave!$R$3="Toutes les regions",TRUE,Bdd_cave!$R$3=B156)</f>
        <v>0</v>
      </c>
      <c r="Y156" s="33" t="b">
        <f>IF(Bdd_cave!$S$3="Toutes les années",TRUE,Bdd_cave!$S$3=E156)</f>
        <v>1</v>
      </c>
      <c r="Z156" s="27" t="b">
        <f>IF(Bdd_cave!$T$3="Toutes les couleurs",TRUE,Bdd_cave!$T$3=F156)</f>
        <v>0</v>
      </c>
      <c r="AA156" s="33" t="b">
        <f>IF(Bdd_cave!$U$3="Tous les casiers ",TRUE,Bdd_cave!$U$3=H156)</f>
        <v>0</v>
      </c>
      <c r="AB156" s="27" t="b">
        <f t="shared" si="20"/>
        <v>0</v>
      </c>
      <c r="AD156" s="27" t="str">
        <f>IF(AB156,ROWS($AB$7:AB156),"")</f>
        <v/>
      </c>
      <c r="AE156" s="27" t="str">
        <f>IFERROR(SMALL($AD$7:$AD$297,ROWS(AD$7:$AD156)),"")</f>
        <v/>
      </c>
    </row>
    <row r="157" spans="1:31" x14ac:dyDescent="0.25">
      <c r="A157" s="27" t="str">
        <f t="shared" si="21"/>
        <v>ITALIE  2018</v>
      </c>
      <c r="B157" s="5" t="s">
        <v>28</v>
      </c>
      <c r="C157" s="30" t="s">
        <v>333</v>
      </c>
      <c r="D157" s="30"/>
      <c r="E157" s="30">
        <v>2018</v>
      </c>
      <c r="F157" s="5" t="s">
        <v>308</v>
      </c>
      <c r="G157" s="5">
        <v>3</v>
      </c>
      <c r="H157" s="5" t="s">
        <v>560</v>
      </c>
      <c r="I157" s="6"/>
      <c r="J157" s="7"/>
      <c r="K157" s="7" t="s">
        <v>569</v>
      </c>
      <c r="L157" s="5" t="s">
        <v>567</v>
      </c>
      <c r="M157" s="5"/>
      <c r="N157" s="5"/>
      <c r="O157" s="5"/>
      <c r="P157" s="5"/>
      <c r="Q157" s="5"/>
      <c r="R157" s="5"/>
      <c r="S157" s="5"/>
      <c r="T157" s="23">
        <f t="shared" si="17"/>
        <v>150</v>
      </c>
      <c r="U157" s="23" t="str">
        <f t="shared" si="18"/>
        <v>150.jpg</v>
      </c>
      <c r="V157" s="24" t="str">
        <f t="shared" si="19"/>
        <v>150.jpg</v>
      </c>
      <c r="X157" s="33" t="b">
        <f>IF(Bdd_cave!$R$3="Toutes les regions",TRUE,Bdd_cave!$R$3=B157)</f>
        <v>0</v>
      </c>
      <c r="Y157" s="33" t="b">
        <f>IF(Bdd_cave!$S$3="Toutes les années",TRUE,Bdd_cave!$S$3=E157)</f>
        <v>1</v>
      </c>
      <c r="Z157" s="27" t="b">
        <f>IF(Bdd_cave!$T$3="Toutes les couleurs",TRUE,Bdd_cave!$T$3=F157)</f>
        <v>0</v>
      </c>
      <c r="AA157" s="33" t="b">
        <f>IF(Bdd_cave!$U$3="Tous les casiers ",TRUE,Bdd_cave!$U$3=H157)</f>
        <v>0</v>
      </c>
      <c r="AB157" s="27" t="b">
        <f t="shared" si="20"/>
        <v>0</v>
      </c>
      <c r="AD157" s="27" t="str">
        <f>IF(AB157,ROWS($AB$7:AB157),"")</f>
        <v/>
      </c>
      <c r="AE157" s="27" t="str">
        <f>IFERROR(SMALL($AD$7:$AD$297,ROWS(AD$7:$AD157)),"")</f>
        <v/>
      </c>
    </row>
    <row r="158" spans="1:31" x14ac:dyDescent="0.25">
      <c r="A158" s="27" t="str">
        <f t="shared" si="21"/>
        <v>CHATEAU MEILLANT  2015</v>
      </c>
      <c r="B158" s="5" t="s">
        <v>19</v>
      </c>
      <c r="C158" s="30" t="s">
        <v>575</v>
      </c>
      <c r="D158" s="30"/>
      <c r="E158" s="30">
        <v>2015</v>
      </c>
      <c r="F158" s="5" t="s">
        <v>308</v>
      </c>
      <c r="G158" s="5">
        <v>1</v>
      </c>
      <c r="H158" s="5" t="s">
        <v>494</v>
      </c>
      <c r="I158" s="6"/>
      <c r="J158" s="7"/>
      <c r="K158" s="7"/>
      <c r="L158" s="5" t="s">
        <v>571</v>
      </c>
      <c r="M158" s="5" t="s">
        <v>572</v>
      </c>
      <c r="N158" s="5">
        <v>18520</v>
      </c>
      <c r="O158" s="5" t="s">
        <v>573</v>
      </c>
      <c r="P158" s="19">
        <v>248692714</v>
      </c>
      <c r="Q158" s="5"/>
      <c r="R158" s="20" t="s">
        <v>574</v>
      </c>
      <c r="S158" s="5"/>
      <c r="T158" s="23">
        <f t="shared" si="17"/>
        <v>151</v>
      </c>
      <c r="U158" s="23" t="str">
        <f>CONCATENATE(T158,".jpg")</f>
        <v>151.jpg</v>
      </c>
      <c r="V158" s="24" t="str">
        <f>CONCATENATE($V$2,U158)</f>
        <v>151.jpg</v>
      </c>
      <c r="X158" s="33" t="b">
        <f>IF(Bdd_cave!$R$3="Toutes les regions",TRUE,Bdd_cave!$R$3=B158)</f>
        <v>0</v>
      </c>
      <c r="Y158" s="33" t="b">
        <f>IF(Bdd_cave!$S$3="Toutes les années",TRUE,Bdd_cave!$S$3=E158)</f>
        <v>1</v>
      </c>
      <c r="Z158" s="27" t="b">
        <f>IF(Bdd_cave!$T$3="Toutes les couleurs",TRUE,Bdd_cave!$T$3=F158)</f>
        <v>0</v>
      </c>
      <c r="AA158" s="33" t="b">
        <f>IF(Bdd_cave!$U$3="Tous les casiers ",TRUE,Bdd_cave!$U$3=H158)</f>
        <v>0</v>
      </c>
      <c r="AB158" s="27" t="b">
        <f t="shared" si="20"/>
        <v>0</v>
      </c>
      <c r="AD158" s="27" t="str">
        <f>IF(AB158,ROWS($AB$7:AB158),"")</f>
        <v/>
      </c>
      <c r="AE158" s="27" t="str">
        <f>IFERROR(SMALL($AD$7:$AD$297,ROWS(AD$7:$AD158)),"")</f>
        <v/>
      </c>
    </row>
  </sheetData>
  <conditionalFormatting sqref="F7:F158">
    <cfRule type="expression" dxfId="329" priority="4">
      <formula>F7="Rosé"</formula>
    </cfRule>
    <cfRule type="expression" dxfId="328" priority="5">
      <formula>F7="Rouge"</formula>
    </cfRule>
    <cfRule type="expression" dxfId="327" priority="6">
      <formula>F7="Blanc"</formula>
    </cfRule>
  </conditionalFormatting>
  <conditionalFormatting sqref="A7:A158">
    <cfRule type="expression" dxfId="326" priority="3">
      <formula>G7&lt;=2</formula>
    </cfRule>
  </conditionalFormatting>
  <conditionalFormatting sqref="F8:F158">
    <cfRule type="expression" dxfId="325" priority="2">
      <formula>F8="Rouge"</formula>
    </cfRule>
  </conditionalFormatting>
  <conditionalFormatting sqref="F8:F158">
    <cfRule type="expression" dxfId="324" priority="1">
      <formula>F8="Blanc"</formula>
    </cfRule>
  </conditionalFormatting>
  <hyperlinks>
    <hyperlink ref="R158" r:id="rId1" xr:uid="{C6B6B6DB-9606-477E-9AB5-ADBAAE62E0A7}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ADF14-A7B6-4807-BEEA-7192D3A62E32}">
  <sheetPr codeName="Feuil7"/>
  <dimension ref="A1:F150"/>
  <sheetViews>
    <sheetView tabSelected="1" topLeftCell="B1" workbookViewId="0">
      <selection activeCell="A41" sqref="A41:A45"/>
    </sheetView>
  </sheetViews>
  <sheetFormatPr baseColWidth="10" defaultRowHeight="26.25" customHeight="1" x14ac:dyDescent="0.25"/>
  <cols>
    <col min="1" max="1" width="49.85546875" customWidth="1"/>
    <col min="2" max="2" width="32.28515625" customWidth="1"/>
    <col min="3" max="3" width="39.28515625" customWidth="1"/>
    <col min="4" max="4" width="28.42578125" customWidth="1"/>
    <col min="5" max="5" width="21.7109375" customWidth="1"/>
    <col min="6" max="6" width="18" bestFit="1" customWidth="1"/>
    <col min="7" max="7" width="18.85546875" bestFit="1" customWidth="1"/>
  </cols>
  <sheetData>
    <row r="1" spans="1:6" ht="213.75" customHeight="1" x14ac:dyDescent="0.25"/>
    <row r="2" spans="1:6" ht="8.25" customHeight="1" x14ac:dyDescent="0.25"/>
    <row r="3" spans="1:6" ht="15.75" customHeight="1" x14ac:dyDescent="0.25"/>
    <row r="4" spans="1:6" ht="21" x14ac:dyDescent="0.25">
      <c r="A4" s="43" t="s">
        <v>14</v>
      </c>
      <c r="B4" s="43" t="s">
        <v>0</v>
      </c>
      <c r="C4" s="43" t="s">
        <v>1</v>
      </c>
      <c r="D4" s="43" t="s">
        <v>3</v>
      </c>
      <c r="E4" s="43" t="s">
        <v>4</v>
      </c>
      <c r="F4" s="43" t="s">
        <v>2</v>
      </c>
    </row>
    <row r="5" spans="1:6" ht="26.25" customHeight="1" x14ac:dyDescent="0.25">
      <c r="A5" t="s">
        <v>673</v>
      </c>
      <c r="B5" t="s">
        <v>811</v>
      </c>
      <c r="C5" t="s">
        <v>811</v>
      </c>
      <c r="D5" t="s">
        <v>811</v>
      </c>
      <c r="E5" t="s">
        <v>811</v>
      </c>
      <c r="F5" t="s">
        <v>811</v>
      </c>
    </row>
    <row r="6" spans="1:6" ht="26.25" customHeight="1" x14ac:dyDescent="0.25">
      <c r="A6" t="s">
        <v>674</v>
      </c>
      <c r="B6" t="s">
        <v>15</v>
      </c>
      <c r="C6" t="s">
        <v>91</v>
      </c>
      <c r="D6" t="s">
        <v>811</v>
      </c>
      <c r="E6" t="s">
        <v>309</v>
      </c>
      <c r="F6">
        <v>2007</v>
      </c>
    </row>
    <row r="7" spans="1:6" ht="15" x14ac:dyDescent="0.25">
      <c r="A7" t="s">
        <v>675</v>
      </c>
      <c r="B7" t="s">
        <v>15</v>
      </c>
      <c r="C7" t="s">
        <v>91</v>
      </c>
      <c r="D7" t="s">
        <v>811</v>
      </c>
      <c r="E7" t="s">
        <v>309</v>
      </c>
      <c r="F7">
        <v>2008</v>
      </c>
    </row>
    <row r="8" spans="1:6" ht="26.25" customHeight="1" x14ac:dyDescent="0.25">
      <c r="A8" t="s">
        <v>676</v>
      </c>
      <c r="B8" t="s">
        <v>15</v>
      </c>
      <c r="C8" t="s">
        <v>91</v>
      </c>
      <c r="D8" t="s">
        <v>811</v>
      </c>
      <c r="E8" t="s">
        <v>309</v>
      </c>
      <c r="F8">
        <v>2010</v>
      </c>
    </row>
    <row r="9" spans="1:6" ht="26.25" customHeight="1" x14ac:dyDescent="0.25">
      <c r="A9" t="s">
        <v>677</v>
      </c>
      <c r="B9" t="s">
        <v>15</v>
      </c>
      <c r="C9" t="s">
        <v>91</v>
      </c>
      <c r="D9" t="s">
        <v>811</v>
      </c>
      <c r="E9" t="s">
        <v>309</v>
      </c>
      <c r="F9">
        <v>2013</v>
      </c>
    </row>
    <row r="10" spans="1:6" ht="26.25" customHeight="1" x14ac:dyDescent="0.25">
      <c r="A10" t="s">
        <v>678</v>
      </c>
      <c r="B10" t="s">
        <v>15</v>
      </c>
      <c r="C10" t="s">
        <v>91</v>
      </c>
      <c r="D10" t="s">
        <v>811</v>
      </c>
      <c r="E10" t="s">
        <v>309</v>
      </c>
      <c r="F10">
        <v>2014</v>
      </c>
    </row>
    <row r="11" spans="1:6" ht="26.25" customHeight="1" x14ac:dyDescent="0.25">
      <c r="A11" t="s">
        <v>679</v>
      </c>
      <c r="B11" t="s">
        <v>15</v>
      </c>
      <c r="C11" t="s">
        <v>91</v>
      </c>
      <c r="D11" t="s">
        <v>811</v>
      </c>
      <c r="E11" t="s">
        <v>309</v>
      </c>
      <c r="F11">
        <v>2016</v>
      </c>
    </row>
    <row r="12" spans="1:6" ht="26.25" customHeight="1" x14ac:dyDescent="0.25">
      <c r="A12" t="s">
        <v>680</v>
      </c>
      <c r="B12" t="s">
        <v>15</v>
      </c>
      <c r="C12" t="s">
        <v>97</v>
      </c>
      <c r="D12" t="s">
        <v>811</v>
      </c>
      <c r="E12" t="s">
        <v>309</v>
      </c>
      <c r="F12">
        <v>2017</v>
      </c>
    </row>
    <row r="13" spans="1:6" ht="26.25" customHeight="1" x14ac:dyDescent="0.25">
      <c r="A13" t="s">
        <v>681</v>
      </c>
      <c r="B13" t="s">
        <v>15</v>
      </c>
      <c r="C13" t="s">
        <v>29</v>
      </c>
      <c r="D13" t="s">
        <v>312</v>
      </c>
      <c r="E13" t="s">
        <v>308</v>
      </c>
      <c r="F13">
        <v>1999</v>
      </c>
    </row>
    <row r="14" spans="1:6" ht="26.25" customHeight="1" x14ac:dyDescent="0.25">
      <c r="A14" t="s">
        <v>682</v>
      </c>
      <c r="B14" t="s">
        <v>22</v>
      </c>
      <c r="C14" t="s">
        <v>36</v>
      </c>
      <c r="D14" t="s">
        <v>811</v>
      </c>
      <c r="E14" t="s">
        <v>308</v>
      </c>
      <c r="F14">
        <v>2005</v>
      </c>
    </row>
    <row r="15" spans="1:6" ht="26.25" customHeight="1" x14ac:dyDescent="0.25">
      <c r="A15" t="s">
        <v>683</v>
      </c>
      <c r="B15" t="s">
        <v>22</v>
      </c>
      <c r="C15" t="s">
        <v>36</v>
      </c>
      <c r="D15" t="s">
        <v>811</v>
      </c>
      <c r="E15" t="s">
        <v>308</v>
      </c>
      <c r="F15">
        <v>2016</v>
      </c>
    </row>
    <row r="16" spans="1:6" ht="26.25" customHeight="1" x14ac:dyDescent="0.25">
      <c r="A16" t="s">
        <v>684</v>
      </c>
      <c r="B16" t="s">
        <v>22</v>
      </c>
      <c r="C16" t="s">
        <v>36</v>
      </c>
      <c r="D16" t="s">
        <v>811</v>
      </c>
      <c r="E16" t="s">
        <v>308</v>
      </c>
      <c r="F16">
        <v>2017</v>
      </c>
    </row>
    <row r="17" spans="1:6" ht="26.25" customHeight="1" x14ac:dyDescent="0.25">
      <c r="A17" t="s">
        <v>685</v>
      </c>
      <c r="B17" t="s">
        <v>22</v>
      </c>
      <c r="C17" t="s">
        <v>36</v>
      </c>
      <c r="D17" t="s">
        <v>811</v>
      </c>
      <c r="E17" t="s">
        <v>309</v>
      </c>
      <c r="F17">
        <v>2018</v>
      </c>
    </row>
    <row r="18" spans="1:6" ht="26.25" customHeight="1" x14ac:dyDescent="0.25">
      <c r="A18" t="s">
        <v>686</v>
      </c>
      <c r="B18" t="s">
        <v>15</v>
      </c>
      <c r="C18" t="s">
        <v>38</v>
      </c>
      <c r="D18" t="s">
        <v>811</v>
      </c>
      <c r="E18" t="s">
        <v>308</v>
      </c>
      <c r="F18">
        <v>2015</v>
      </c>
    </row>
    <row r="19" spans="1:6" ht="26.25" customHeight="1" x14ac:dyDescent="0.25">
      <c r="A19" t="s">
        <v>687</v>
      </c>
      <c r="B19" t="s">
        <v>15</v>
      </c>
      <c r="C19" t="s">
        <v>38</v>
      </c>
      <c r="D19" t="s">
        <v>312</v>
      </c>
      <c r="E19" t="s">
        <v>308</v>
      </c>
      <c r="F19">
        <v>2014</v>
      </c>
    </row>
    <row r="20" spans="1:6" ht="26.25" customHeight="1" x14ac:dyDescent="0.25">
      <c r="A20" t="s">
        <v>688</v>
      </c>
      <c r="B20" t="s">
        <v>15</v>
      </c>
      <c r="C20" t="s">
        <v>47</v>
      </c>
      <c r="D20" t="s">
        <v>311</v>
      </c>
      <c r="E20" t="s">
        <v>309</v>
      </c>
      <c r="F20">
        <v>2018</v>
      </c>
    </row>
    <row r="21" spans="1:6" ht="26.25" customHeight="1" x14ac:dyDescent="0.25">
      <c r="A21" t="s">
        <v>689</v>
      </c>
      <c r="B21" t="s">
        <v>17</v>
      </c>
      <c r="C21" t="s">
        <v>31</v>
      </c>
      <c r="D21" t="s">
        <v>811</v>
      </c>
      <c r="E21" t="s">
        <v>309</v>
      </c>
      <c r="F21">
        <v>2013</v>
      </c>
    </row>
    <row r="22" spans="1:6" ht="26.25" customHeight="1" x14ac:dyDescent="0.25">
      <c r="A22" t="s">
        <v>690</v>
      </c>
      <c r="B22" t="s">
        <v>15</v>
      </c>
      <c r="C22" t="s">
        <v>55</v>
      </c>
      <c r="D22" t="s">
        <v>312</v>
      </c>
      <c r="E22" t="s">
        <v>308</v>
      </c>
      <c r="F22">
        <v>1998</v>
      </c>
    </row>
    <row r="23" spans="1:6" ht="26.25" customHeight="1" x14ac:dyDescent="0.25">
      <c r="A23" t="s">
        <v>691</v>
      </c>
      <c r="B23" t="s">
        <v>15</v>
      </c>
      <c r="C23" t="s">
        <v>55</v>
      </c>
      <c r="D23" t="s">
        <v>312</v>
      </c>
      <c r="E23" t="s">
        <v>308</v>
      </c>
      <c r="F23">
        <v>1999</v>
      </c>
    </row>
    <row r="24" spans="1:6" ht="26.25" customHeight="1" x14ac:dyDescent="0.25">
      <c r="A24" t="s">
        <v>692</v>
      </c>
      <c r="B24" t="s">
        <v>15</v>
      </c>
      <c r="C24" t="s">
        <v>55</v>
      </c>
      <c r="D24" t="s">
        <v>312</v>
      </c>
      <c r="E24" t="s">
        <v>308</v>
      </c>
      <c r="F24">
        <v>2001</v>
      </c>
    </row>
    <row r="25" spans="1:6" ht="26.25" customHeight="1" x14ac:dyDescent="0.25">
      <c r="A25" t="s">
        <v>693</v>
      </c>
      <c r="B25" t="s">
        <v>15</v>
      </c>
      <c r="C25" t="s">
        <v>55</v>
      </c>
      <c r="D25" t="s">
        <v>312</v>
      </c>
      <c r="E25" t="s">
        <v>308</v>
      </c>
      <c r="F25">
        <v>2012</v>
      </c>
    </row>
    <row r="26" spans="1:6" ht="26.25" customHeight="1" x14ac:dyDescent="0.25">
      <c r="A26" t="s">
        <v>694</v>
      </c>
      <c r="B26" t="s">
        <v>21</v>
      </c>
      <c r="C26" t="s">
        <v>44</v>
      </c>
      <c r="D26" t="s">
        <v>811</v>
      </c>
      <c r="E26" t="s">
        <v>308</v>
      </c>
      <c r="F26">
        <v>2002</v>
      </c>
    </row>
    <row r="27" spans="1:6" ht="26.25" customHeight="1" x14ac:dyDescent="0.25">
      <c r="A27" t="s">
        <v>695</v>
      </c>
      <c r="B27" t="s">
        <v>16</v>
      </c>
      <c r="C27" t="s">
        <v>16</v>
      </c>
      <c r="D27" t="s">
        <v>811</v>
      </c>
      <c r="E27" t="s">
        <v>308</v>
      </c>
      <c r="F27">
        <v>2013</v>
      </c>
    </row>
    <row r="28" spans="1:6" ht="26.25" customHeight="1" x14ac:dyDescent="0.25">
      <c r="A28" t="s">
        <v>696</v>
      </c>
      <c r="B28" t="s">
        <v>16</v>
      </c>
      <c r="C28" t="s">
        <v>87</v>
      </c>
      <c r="D28" t="s">
        <v>811</v>
      </c>
      <c r="E28" t="s">
        <v>308</v>
      </c>
      <c r="F28">
        <v>2003</v>
      </c>
    </row>
    <row r="29" spans="1:6" ht="26.25" customHeight="1" x14ac:dyDescent="0.25">
      <c r="A29" t="s">
        <v>697</v>
      </c>
      <c r="B29" t="s">
        <v>15</v>
      </c>
      <c r="C29" t="s">
        <v>15</v>
      </c>
      <c r="D29" t="s">
        <v>811</v>
      </c>
      <c r="E29" t="s">
        <v>308</v>
      </c>
      <c r="F29">
        <v>1994</v>
      </c>
    </row>
    <row r="30" spans="1:6" ht="26.25" customHeight="1" x14ac:dyDescent="0.25">
      <c r="A30" t="s">
        <v>698</v>
      </c>
      <c r="B30" t="s">
        <v>15</v>
      </c>
      <c r="C30" t="s">
        <v>15</v>
      </c>
      <c r="D30" t="s">
        <v>811</v>
      </c>
      <c r="E30" t="s">
        <v>308</v>
      </c>
      <c r="F30">
        <v>2001</v>
      </c>
    </row>
    <row r="31" spans="1:6" ht="26.25" customHeight="1" x14ac:dyDescent="0.25">
      <c r="A31" t="s">
        <v>699</v>
      </c>
      <c r="B31" t="s">
        <v>15</v>
      </c>
      <c r="C31" t="s">
        <v>15</v>
      </c>
      <c r="D31" t="s">
        <v>811</v>
      </c>
      <c r="E31" t="s">
        <v>308</v>
      </c>
      <c r="F31">
        <v>2004</v>
      </c>
    </row>
    <row r="32" spans="1:6" ht="26.25" customHeight="1" x14ac:dyDescent="0.25">
      <c r="A32" t="s">
        <v>700</v>
      </c>
      <c r="B32" t="s">
        <v>15</v>
      </c>
      <c r="C32" t="s">
        <v>15</v>
      </c>
      <c r="D32" t="s">
        <v>811</v>
      </c>
      <c r="E32" t="s">
        <v>308</v>
      </c>
      <c r="F32">
        <v>2012</v>
      </c>
    </row>
    <row r="33" spans="1:6" ht="26.25" customHeight="1" x14ac:dyDescent="0.25">
      <c r="A33" t="s">
        <v>701</v>
      </c>
      <c r="B33" t="s">
        <v>20</v>
      </c>
      <c r="C33" t="s">
        <v>460</v>
      </c>
      <c r="D33" t="s">
        <v>811</v>
      </c>
      <c r="E33" t="s">
        <v>308</v>
      </c>
      <c r="F33">
        <v>2013</v>
      </c>
    </row>
    <row r="34" spans="1:6" ht="26.25" customHeight="1" x14ac:dyDescent="0.25">
      <c r="A34" t="s">
        <v>702</v>
      </c>
      <c r="B34" t="s">
        <v>15</v>
      </c>
      <c r="C34" t="s">
        <v>196</v>
      </c>
      <c r="D34" t="s">
        <v>811</v>
      </c>
      <c r="E34" t="s">
        <v>309</v>
      </c>
      <c r="F34">
        <v>2012</v>
      </c>
    </row>
    <row r="35" spans="1:6" ht="26.25" customHeight="1" x14ac:dyDescent="0.25">
      <c r="A35" t="s">
        <v>703</v>
      </c>
      <c r="B35" t="s">
        <v>15</v>
      </c>
      <c r="C35" t="s">
        <v>196</v>
      </c>
      <c r="D35" t="s">
        <v>312</v>
      </c>
      <c r="E35" t="s">
        <v>309</v>
      </c>
      <c r="F35">
        <v>1995</v>
      </c>
    </row>
    <row r="36" spans="1:6" ht="26.25" customHeight="1" x14ac:dyDescent="0.25">
      <c r="A36" t="s">
        <v>704</v>
      </c>
      <c r="B36" t="s">
        <v>15</v>
      </c>
      <c r="C36" t="s">
        <v>196</v>
      </c>
      <c r="D36" t="s">
        <v>312</v>
      </c>
      <c r="E36" t="s">
        <v>309</v>
      </c>
      <c r="F36">
        <v>2015</v>
      </c>
    </row>
    <row r="37" spans="1:6" ht="26.25" customHeight="1" x14ac:dyDescent="0.25">
      <c r="A37" t="s">
        <v>705</v>
      </c>
      <c r="B37" t="s">
        <v>15</v>
      </c>
      <c r="C37" t="s">
        <v>427</v>
      </c>
      <c r="D37" t="s">
        <v>312</v>
      </c>
      <c r="E37" t="s">
        <v>309</v>
      </c>
      <c r="F37">
        <v>2011</v>
      </c>
    </row>
    <row r="38" spans="1:6" ht="26.25" customHeight="1" x14ac:dyDescent="0.25">
      <c r="A38" t="s">
        <v>706</v>
      </c>
      <c r="B38" t="s">
        <v>17</v>
      </c>
      <c r="C38" t="s">
        <v>409</v>
      </c>
      <c r="D38" t="s">
        <v>811</v>
      </c>
      <c r="E38" t="s">
        <v>309</v>
      </c>
      <c r="F38">
        <v>2014</v>
      </c>
    </row>
    <row r="39" spans="1:6" ht="26.25" customHeight="1" x14ac:dyDescent="0.25">
      <c r="A39" t="s">
        <v>707</v>
      </c>
      <c r="B39" t="s">
        <v>15</v>
      </c>
      <c r="C39" t="s">
        <v>220</v>
      </c>
      <c r="D39" t="s">
        <v>811</v>
      </c>
      <c r="E39" t="s">
        <v>308</v>
      </c>
      <c r="F39">
        <v>2011</v>
      </c>
    </row>
    <row r="40" spans="1:6" ht="26.25" customHeight="1" x14ac:dyDescent="0.25">
      <c r="A40" t="s">
        <v>708</v>
      </c>
      <c r="B40" t="s">
        <v>15</v>
      </c>
      <c r="C40" t="s">
        <v>220</v>
      </c>
      <c r="D40" t="s">
        <v>811</v>
      </c>
      <c r="E40" t="s">
        <v>308</v>
      </c>
      <c r="F40">
        <v>2017</v>
      </c>
    </row>
    <row r="41" spans="1:6" ht="26.25" customHeight="1" x14ac:dyDescent="0.25">
      <c r="A41" t="s">
        <v>709</v>
      </c>
      <c r="B41" t="s">
        <v>17</v>
      </c>
      <c r="C41" t="s">
        <v>499</v>
      </c>
      <c r="D41" t="s">
        <v>811</v>
      </c>
      <c r="E41" t="s">
        <v>308</v>
      </c>
      <c r="F41">
        <v>2015</v>
      </c>
    </row>
    <row r="42" spans="1:6" ht="26.25" customHeight="1" x14ac:dyDescent="0.25">
      <c r="A42" t="s">
        <v>710</v>
      </c>
      <c r="B42" t="s">
        <v>19</v>
      </c>
      <c r="C42" t="s">
        <v>575</v>
      </c>
      <c r="D42" t="s">
        <v>811</v>
      </c>
      <c r="E42" t="s">
        <v>308</v>
      </c>
      <c r="F42">
        <v>2015</v>
      </c>
    </row>
    <row r="43" spans="1:6" ht="26.25" customHeight="1" x14ac:dyDescent="0.25">
      <c r="A43" t="s">
        <v>711</v>
      </c>
      <c r="B43" t="s">
        <v>19</v>
      </c>
      <c r="C43" t="s">
        <v>107</v>
      </c>
      <c r="D43" t="s">
        <v>811</v>
      </c>
      <c r="E43" t="s">
        <v>308</v>
      </c>
      <c r="F43">
        <v>2012</v>
      </c>
    </row>
    <row r="44" spans="1:6" ht="26.25" customHeight="1" x14ac:dyDescent="0.25">
      <c r="A44" t="s">
        <v>712</v>
      </c>
      <c r="B44" t="s">
        <v>15</v>
      </c>
      <c r="C44" t="s">
        <v>226</v>
      </c>
      <c r="D44" t="s">
        <v>811</v>
      </c>
      <c r="E44" t="s">
        <v>308</v>
      </c>
      <c r="F44">
        <v>1994</v>
      </c>
    </row>
    <row r="45" spans="1:6" ht="26.25" customHeight="1" x14ac:dyDescent="0.25">
      <c r="A45" t="s">
        <v>713</v>
      </c>
      <c r="B45" t="s">
        <v>15</v>
      </c>
      <c r="C45" t="s">
        <v>226</v>
      </c>
      <c r="D45" t="s">
        <v>811</v>
      </c>
      <c r="E45" t="s">
        <v>308</v>
      </c>
      <c r="F45">
        <v>2010</v>
      </c>
    </row>
    <row r="46" spans="1:6" ht="26.25" customHeight="1" x14ac:dyDescent="0.25">
      <c r="A46" t="s">
        <v>714</v>
      </c>
      <c r="B46" t="s">
        <v>15</v>
      </c>
      <c r="C46" t="s">
        <v>226</v>
      </c>
      <c r="D46" t="s">
        <v>811</v>
      </c>
      <c r="E46" t="s">
        <v>309</v>
      </c>
      <c r="F46">
        <v>2015</v>
      </c>
    </row>
    <row r="47" spans="1:6" ht="26.25" customHeight="1" x14ac:dyDescent="0.25">
      <c r="A47" t="s">
        <v>715</v>
      </c>
      <c r="B47" t="s">
        <v>15</v>
      </c>
      <c r="C47" t="s">
        <v>243</v>
      </c>
      <c r="D47" t="s">
        <v>311</v>
      </c>
      <c r="E47" t="s">
        <v>308</v>
      </c>
      <c r="F47">
        <v>2011</v>
      </c>
    </row>
    <row r="48" spans="1:6" ht="26.25" customHeight="1" x14ac:dyDescent="0.25">
      <c r="A48" t="s">
        <v>716</v>
      </c>
      <c r="B48" t="s">
        <v>15</v>
      </c>
      <c r="C48" t="s">
        <v>245</v>
      </c>
      <c r="D48" t="s">
        <v>311</v>
      </c>
      <c r="E48" t="s">
        <v>309</v>
      </c>
      <c r="F48">
        <v>2018</v>
      </c>
    </row>
    <row r="49" spans="1:6" ht="26.25" customHeight="1" x14ac:dyDescent="0.25">
      <c r="A49" t="s">
        <v>717</v>
      </c>
      <c r="B49" t="s">
        <v>18</v>
      </c>
      <c r="C49" t="s">
        <v>94</v>
      </c>
      <c r="D49" t="s">
        <v>811</v>
      </c>
      <c r="E49" t="s">
        <v>308</v>
      </c>
      <c r="F49">
        <v>2016</v>
      </c>
    </row>
    <row r="50" spans="1:6" ht="26.25" customHeight="1" x14ac:dyDescent="0.25">
      <c r="A50" t="s">
        <v>718</v>
      </c>
      <c r="B50" t="s">
        <v>21</v>
      </c>
      <c r="C50" t="s">
        <v>474</v>
      </c>
      <c r="D50" t="s">
        <v>811</v>
      </c>
      <c r="E50" t="s">
        <v>309</v>
      </c>
      <c r="F50">
        <v>2016</v>
      </c>
    </row>
    <row r="51" spans="1:6" ht="26.25" customHeight="1" x14ac:dyDescent="0.25">
      <c r="E51" t="s">
        <v>308</v>
      </c>
      <c r="F51">
        <v>2016</v>
      </c>
    </row>
    <row r="52" spans="1:6" ht="26.25" customHeight="1" x14ac:dyDescent="0.25">
      <c r="A52" t="s">
        <v>719</v>
      </c>
      <c r="B52" t="s">
        <v>15</v>
      </c>
      <c r="C52" t="s">
        <v>251</v>
      </c>
      <c r="D52" t="s">
        <v>811</v>
      </c>
      <c r="E52" t="s">
        <v>308</v>
      </c>
      <c r="F52">
        <v>2000</v>
      </c>
    </row>
    <row r="53" spans="1:6" ht="26.25" customHeight="1" x14ac:dyDescent="0.25">
      <c r="A53" t="s">
        <v>720</v>
      </c>
      <c r="B53" t="s">
        <v>15</v>
      </c>
      <c r="C53" t="s">
        <v>251</v>
      </c>
      <c r="D53" t="s">
        <v>811</v>
      </c>
      <c r="E53" t="s">
        <v>308</v>
      </c>
      <c r="F53">
        <v>2008</v>
      </c>
    </row>
    <row r="54" spans="1:6" ht="26.25" customHeight="1" x14ac:dyDescent="0.25">
      <c r="A54" t="s">
        <v>721</v>
      </c>
      <c r="B54" t="s">
        <v>17</v>
      </c>
      <c r="C54" t="s">
        <v>17</v>
      </c>
      <c r="D54" t="s">
        <v>811</v>
      </c>
      <c r="E54" t="s">
        <v>310</v>
      </c>
      <c r="F54">
        <v>2004</v>
      </c>
    </row>
    <row r="55" spans="1:6" ht="26.25" customHeight="1" x14ac:dyDescent="0.25">
      <c r="A55" t="s">
        <v>722</v>
      </c>
      <c r="B55" t="s">
        <v>17</v>
      </c>
      <c r="C55" t="s">
        <v>17</v>
      </c>
      <c r="D55" t="s">
        <v>811</v>
      </c>
      <c r="E55" t="s">
        <v>310</v>
      </c>
      <c r="F55">
        <v>2006</v>
      </c>
    </row>
    <row r="56" spans="1:6" ht="26.25" customHeight="1" x14ac:dyDescent="0.25">
      <c r="A56" t="s">
        <v>723</v>
      </c>
      <c r="B56" t="s">
        <v>17</v>
      </c>
      <c r="C56" t="s">
        <v>17</v>
      </c>
      <c r="D56" t="s">
        <v>811</v>
      </c>
      <c r="E56" t="s">
        <v>310</v>
      </c>
      <c r="F56">
        <v>2008</v>
      </c>
    </row>
    <row r="57" spans="1:6" ht="26.25" customHeight="1" x14ac:dyDescent="0.25">
      <c r="A57" t="s">
        <v>724</v>
      </c>
      <c r="B57" t="s">
        <v>17</v>
      </c>
      <c r="C57" t="s">
        <v>17</v>
      </c>
      <c r="D57" t="s">
        <v>811</v>
      </c>
      <c r="E57" t="s">
        <v>310</v>
      </c>
      <c r="F57">
        <v>2009</v>
      </c>
    </row>
    <row r="58" spans="1:6" ht="26.25" customHeight="1" x14ac:dyDescent="0.25">
      <c r="A58" t="s">
        <v>725</v>
      </c>
      <c r="B58" t="s">
        <v>17</v>
      </c>
      <c r="C58" t="s">
        <v>17</v>
      </c>
      <c r="D58" t="s">
        <v>811</v>
      </c>
      <c r="E58" t="s">
        <v>310</v>
      </c>
      <c r="F58">
        <v>2010</v>
      </c>
    </row>
    <row r="59" spans="1:6" ht="26.25" customHeight="1" x14ac:dyDescent="0.25">
      <c r="A59" t="s">
        <v>726</v>
      </c>
      <c r="B59" t="s">
        <v>17</v>
      </c>
      <c r="C59" t="s">
        <v>17</v>
      </c>
      <c r="D59" t="s">
        <v>811</v>
      </c>
      <c r="E59" t="s">
        <v>310</v>
      </c>
      <c r="F59">
        <v>2012</v>
      </c>
    </row>
    <row r="60" spans="1:6" ht="26.25" customHeight="1" x14ac:dyDescent="0.25">
      <c r="E60" t="s">
        <v>308</v>
      </c>
      <c r="F60">
        <v>2012</v>
      </c>
    </row>
    <row r="61" spans="1:6" ht="26.25" customHeight="1" x14ac:dyDescent="0.25">
      <c r="A61" t="s">
        <v>727</v>
      </c>
      <c r="B61" t="s">
        <v>17</v>
      </c>
      <c r="C61" t="s">
        <v>17</v>
      </c>
      <c r="D61" t="s">
        <v>811</v>
      </c>
      <c r="E61" t="s">
        <v>309</v>
      </c>
      <c r="F61">
        <v>2014</v>
      </c>
    </row>
    <row r="62" spans="1:6" ht="26.25" customHeight="1" x14ac:dyDescent="0.25">
      <c r="E62" t="s">
        <v>308</v>
      </c>
      <c r="F62">
        <v>2014</v>
      </c>
    </row>
    <row r="63" spans="1:6" ht="26.25" customHeight="1" x14ac:dyDescent="0.25">
      <c r="A63" t="s">
        <v>728</v>
      </c>
      <c r="B63" t="s">
        <v>17</v>
      </c>
      <c r="C63" t="s">
        <v>17</v>
      </c>
      <c r="D63" t="s">
        <v>811</v>
      </c>
      <c r="E63" t="s">
        <v>309</v>
      </c>
      <c r="F63">
        <v>2015</v>
      </c>
    </row>
    <row r="64" spans="1:6" ht="26.25" customHeight="1" x14ac:dyDescent="0.25">
      <c r="E64" t="s">
        <v>310</v>
      </c>
      <c r="F64">
        <v>2015</v>
      </c>
    </row>
    <row r="65" spans="1:6" ht="26.25" customHeight="1" x14ac:dyDescent="0.25">
      <c r="E65" t="s">
        <v>308</v>
      </c>
      <c r="F65">
        <v>2015</v>
      </c>
    </row>
    <row r="66" spans="1:6" ht="26.25" customHeight="1" x14ac:dyDescent="0.25">
      <c r="A66" t="s">
        <v>729</v>
      </c>
      <c r="B66" t="s">
        <v>17</v>
      </c>
      <c r="C66" t="s">
        <v>17</v>
      </c>
      <c r="D66" t="s">
        <v>811</v>
      </c>
      <c r="E66" t="s">
        <v>309</v>
      </c>
      <c r="F66">
        <v>2018</v>
      </c>
    </row>
    <row r="67" spans="1:6" ht="26.25" customHeight="1" x14ac:dyDescent="0.25">
      <c r="A67" t="s">
        <v>730</v>
      </c>
      <c r="B67" t="s">
        <v>17</v>
      </c>
      <c r="C67" t="s">
        <v>82</v>
      </c>
      <c r="D67" t="s">
        <v>493</v>
      </c>
      <c r="E67" t="s">
        <v>308</v>
      </c>
      <c r="F67">
        <v>2015</v>
      </c>
    </row>
    <row r="68" spans="1:6" ht="26.25" customHeight="1" x14ac:dyDescent="0.25">
      <c r="A68" t="s">
        <v>731</v>
      </c>
      <c r="B68" t="s">
        <v>478</v>
      </c>
      <c r="C68" t="s">
        <v>479</v>
      </c>
      <c r="D68" t="s">
        <v>811</v>
      </c>
      <c r="E68" t="s">
        <v>308</v>
      </c>
      <c r="F68">
        <v>2011</v>
      </c>
    </row>
    <row r="69" spans="1:6" ht="26.25" customHeight="1" x14ac:dyDescent="0.25">
      <c r="A69" t="s">
        <v>732</v>
      </c>
      <c r="B69" t="s">
        <v>20</v>
      </c>
      <c r="C69" t="s">
        <v>69</v>
      </c>
      <c r="D69" t="s">
        <v>811</v>
      </c>
      <c r="E69" t="s">
        <v>310</v>
      </c>
      <c r="F69">
        <v>2015</v>
      </c>
    </row>
    <row r="70" spans="1:6" ht="26.25" customHeight="1" x14ac:dyDescent="0.25">
      <c r="A70" t="s">
        <v>733</v>
      </c>
      <c r="B70" t="s">
        <v>16</v>
      </c>
      <c r="C70" t="s">
        <v>516</v>
      </c>
      <c r="D70" t="s">
        <v>811</v>
      </c>
      <c r="E70" t="s">
        <v>308</v>
      </c>
      <c r="F70">
        <v>2010</v>
      </c>
    </row>
    <row r="71" spans="1:6" ht="26.25" customHeight="1" x14ac:dyDescent="0.25">
      <c r="A71" t="s">
        <v>734</v>
      </c>
      <c r="B71" t="s">
        <v>16</v>
      </c>
      <c r="C71" t="s">
        <v>516</v>
      </c>
      <c r="D71" t="s">
        <v>811</v>
      </c>
      <c r="E71" t="s">
        <v>308</v>
      </c>
      <c r="F71">
        <v>2015</v>
      </c>
    </row>
    <row r="72" spans="1:6" ht="26.25" customHeight="1" x14ac:dyDescent="0.25">
      <c r="A72" t="s">
        <v>735</v>
      </c>
      <c r="B72" t="s">
        <v>22</v>
      </c>
      <c r="C72" t="s">
        <v>62</v>
      </c>
      <c r="D72" t="s">
        <v>811</v>
      </c>
      <c r="E72" t="s">
        <v>309</v>
      </c>
      <c r="F72">
        <v>1993</v>
      </c>
    </row>
    <row r="73" spans="1:6" ht="26.25" customHeight="1" x14ac:dyDescent="0.25">
      <c r="A73" t="s">
        <v>736</v>
      </c>
      <c r="B73" t="s">
        <v>22</v>
      </c>
      <c r="C73" t="s">
        <v>62</v>
      </c>
      <c r="D73" t="s">
        <v>811</v>
      </c>
      <c r="E73" t="s">
        <v>308</v>
      </c>
      <c r="F73">
        <v>1998</v>
      </c>
    </row>
    <row r="74" spans="1:6" ht="26.25" customHeight="1" x14ac:dyDescent="0.25">
      <c r="A74" t="s">
        <v>737</v>
      </c>
      <c r="B74" t="s">
        <v>22</v>
      </c>
      <c r="C74" t="s">
        <v>62</v>
      </c>
      <c r="D74" t="s">
        <v>811</v>
      </c>
      <c r="E74" t="s">
        <v>308</v>
      </c>
      <c r="F74">
        <v>2016</v>
      </c>
    </row>
    <row r="75" spans="1:6" ht="26.25" customHeight="1" x14ac:dyDescent="0.25">
      <c r="A75" t="s">
        <v>738</v>
      </c>
      <c r="B75" t="s">
        <v>18</v>
      </c>
      <c r="C75" t="s">
        <v>112</v>
      </c>
      <c r="D75" t="s">
        <v>811</v>
      </c>
      <c r="E75" t="s">
        <v>308</v>
      </c>
      <c r="F75">
        <v>2014</v>
      </c>
    </row>
    <row r="76" spans="1:6" ht="26.25" customHeight="1" x14ac:dyDescent="0.25">
      <c r="A76" t="s">
        <v>739</v>
      </c>
      <c r="B76" t="s">
        <v>16</v>
      </c>
      <c r="C76" t="s">
        <v>458</v>
      </c>
      <c r="D76" t="s">
        <v>811</v>
      </c>
      <c r="E76" t="s">
        <v>308</v>
      </c>
      <c r="F76">
        <v>2011</v>
      </c>
    </row>
    <row r="77" spans="1:6" ht="26.25" customHeight="1" x14ac:dyDescent="0.25">
      <c r="A77" t="s">
        <v>740</v>
      </c>
      <c r="B77" t="s">
        <v>28</v>
      </c>
      <c r="C77" t="s">
        <v>396</v>
      </c>
      <c r="D77" t="s">
        <v>811</v>
      </c>
      <c r="E77" t="s">
        <v>308</v>
      </c>
      <c r="F77">
        <v>2005</v>
      </c>
    </row>
    <row r="78" spans="1:6" ht="26.25" customHeight="1" x14ac:dyDescent="0.25">
      <c r="A78" t="s">
        <v>741</v>
      </c>
      <c r="B78" t="s">
        <v>28</v>
      </c>
      <c r="C78" t="s">
        <v>396</v>
      </c>
      <c r="D78" t="s">
        <v>811</v>
      </c>
      <c r="E78" t="s">
        <v>308</v>
      </c>
      <c r="F78">
        <v>2009</v>
      </c>
    </row>
    <row r="79" spans="1:6" ht="26.25" customHeight="1" x14ac:dyDescent="0.25">
      <c r="A79" t="s">
        <v>742</v>
      </c>
      <c r="B79" t="s">
        <v>15</v>
      </c>
      <c r="C79" t="s">
        <v>259</v>
      </c>
      <c r="D79" t="s">
        <v>811</v>
      </c>
      <c r="E79" t="s">
        <v>308</v>
      </c>
      <c r="F79">
        <v>2000</v>
      </c>
    </row>
    <row r="80" spans="1:6" ht="26.25" customHeight="1" x14ac:dyDescent="0.25">
      <c r="A80" t="s">
        <v>743</v>
      </c>
      <c r="B80" t="s">
        <v>15</v>
      </c>
      <c r="C80" t="s">
        <v>259</v>
      </c>
      <c r="D80" t="s">
        <v>811</v>
      </c>
      <c r="E80" t="s">
        <v>308</v>
      </c>
      <c r="F80">
        <v>2009</v>
      </c>
    </row>
    <row r="81" spans="1:6" ht="26.25" customHeight="1" x14ac:dyDescent="0.25">
      <c r="A81" t="s">
        <v>744</v>
      </c>
      <c r="B81" t="s">
        <v>15</v>
      </c>
      <c r="C81" t="s">
        <v>259</v>
      </c>
      <c r="D81" t="s">
        <v>312</v>
      </c>
      <c r="E81" t="s">
        <v>308</v>
      </c>
      <c r="F81">
        <v>2012</v>
      </c>
    </row>
    <row r="82" spans="1:6" ht="26.25" customHeight="1" x14ac:dyDescent="0.25">
      <c r="A82" t="s">
        <v>745</v>
      </c>
      <c r="B82" t="s">
        <v>15</v>
      </c>
      <c r="C82" t="s">
        <v>263</v>
      </c>
      <c r="D82" t="s">
        <v>811</v>
      </c>
      <c r="E82" t="s">
        <v>308</v>
      </c>
      <c r="F82">
        <v>2016</v>
      </c>
    </row>
    <row r="83" spans="1:6" ht="26.25" customHeight="1" x14ac:dyDescent="0.25">
      <c r="A83" t="s">
        <v>746</v>
      </c>
      <c r="B83" t="s">
        <v>15</v>
      </c>
      <c r="C83" t="s">
        <v>162</v>
      </c>
      <c r="D83" t="s">
        <v>811</v>
      </c>
      <c r="E83" t="s">
        <v>308</v>
      </c>
      <c r="F83">
        <v>1998</v>
      </c>
    </row>
    <row r="84" spans="1:6" ht="26.25" customHeight="1" x14ac:dyDescent="0.25">
      <c r="A84" t="s">
        <v>747</v>
      </c>
      <c r="B84" t="s">
        <v>15</v>
      </c>
      <c r="C84" t="s">
        <v>162</v>
      </c>
      <c r="D84" t="s">
        <v>811</v>
      </c>
      <c r="E84" t="s">
        <v>309</v>
      </c>
      <c r="F84">
        <v>2013</v>
      </c>
    </row>
    <row r="85" spans="1:6" ht="26.25" customHeight="1" x14ac:dyDescent="0.25">
      <c r="A85" t="s">
        <v>748</v>
      </c>
      <c r="B85" t="s">
        <v>15</v>
      </c>
      <c r="C85" t="s">
        <v>162</v>
      </c>
      <c r="D85" t="s">
        <v>811</v>
      </c>
      <c r="E85" t="s">
        <v>309</v>
      </c>
      <c r="F85">
        <v>2016</v>
      </c>
    </row>
    <row r="86" spans="1:6" ht="26.25" customHeight="1" x14ac:dyDescent="0.25">
      <c r="A86" t="s">
        <v>749</v>
      </c>
      <c r="B86" t="s">
        <v>15</v>
      </c>
      <c r="C86" t="s">
        <v>156</v>
      </c>
      <c r="D86" t="s">
        <v>811</v>
      </c>
      <c r="E86" t="s">
        <v>309</v>
      </c>
      <c r="F86">
        <v>1994</v>
      </c>
    </row>
    <row r="87" spans="1:6" ht="26.25" customHeight="1" x14ac:dyDescent="0.25">
      <c r="A87" t="s">
        <v>750</v>
      </c>
      <c r="B87" t="s">
        <v>15</v>
      </c>
      <c r="C87" t="s">
        <v>156</v>
      </c>
      <c r="D87" t="s">
        <v>811</v>
      </c>
      <c r="E87" t="s">
        <v>309</v>
      </c>
      <c r="F87">
        <v>2000</v>
      </c>
    </row>
    <row r="88" spans="1:6" ht="26.25" customHeight="1" x14ac:dyDescent="0.25">
      <c r="E88" t="s">
        <v>308</v>
      </c>
      <c r="F88">
        <v>2000</v>
      </c>
    </row>
    <row r="89" spans="1:6" ht="26.25" customHeight="1" x14ac:dyDescent="0.25">
      <c r="A89" t="s">
        <v>751</v>
      </c>
      <c r="B89" t="s">
        <v>15</v>
      </c>
      <c r="C89" t="s">
        <v>156</v>
      </c>
      <c r="D89" t="s">
        <v>811</v>
      </c>
      <c r="E89" t="s">
        <v>309</v>
      </c>
      <c r="F89">
        <v>2001</v>
      </c>
    </row>
    <row r="90" spans="1:6" ht="26.25" customHeight="1" x14ac:dyDescent="0.25">
      <c r="E90" t="s">
        <v>308</v>
      </c>
      <c r="F90">
        <v>2001</v>
      </c>
    </row>
    <row r="91" spans="1:6" ht="26.25" customHeight="1" x14ac:dyDescent="0.25">
      <c r="A91" t="s">
        <v>752</v>
      </c>
      <c r="B91" t="s">
        <v>15</v>
      </c>
      <c r="C91" t="s">
        <v>266</v>
      </c>
      <c r="D91" t="s">
        <v>811</v>
      </c>
      <c r="E91" t="s">
        <v>308</v>
      </c>
      <c r="F91">
        <v>2010</v>
      </c>
    </row>
    <row r="92" spans="1:6" ht="26.25" customHeight="1" x14ac:dyDescent="0.25">
      <c r="A92" t="s">
        <v>753</v>
      </c>
      <c r="B92" t="s">
        <v>15</v>
      </c>
      <c r="C92" t="s">
        <v>266</v>
      </c>
      <c r="D92" t="s">
        <v>811</v>
      </c>
      <c r="E92" t="s">
        <v>308</v>
      </c>
      <c r="F92">
        <v>2014</v>
      </c>
    </row>
    <row r="93" spans="1:6" ht="26.25" customHeight="1" x14ac:dyDescent="0.25">
      <c r="A93" t="s">
        <v>754</v>
      </c>
      <c r="B93" t="s">
        <v>15</v>
      </c>
      <c r="C93" t="s">
        <v>266</v>
      </c>
      <c r="D93" t="s">
        <v>811</v>
      </c>
      <c r="E93" t="s">
        <v>308</v>
      </c>
      <c r="F93">
        <v>2015</v>
      </c>
    </row>
    <row r="94" spans="1:6" ht="26.25" customHeight="1" x14ac:dyDescent="0.25">
      <c r="A94" t="s">
        <v>755</v>
      </c>
      <c r="B94" t="s">
        <v>28</v>
      </c>
      <c r="C94" t="s">
        <v>333</v>
      </c>
      <c r="D94" t="s">
        <v>811</v>
      </c>
      <c r="E94" t="s">
        <v>308</v>
      </c>
      <c r="F94">
        <v>2016</v>
      </c>
    </row>
    <row r="95" spans="1:6" ht="26.25" customHeight="1" x14ac:dyDescent="0.25">
      <c r="A95" t="s">
        <v>756</v>
      </c>
      <c r="B95" t="s">
        <v>28</v>
      </c>
      <c r="C95" t="s">
        <v>333</v>
      </c>
      <c r="D95" t="s">
        <v>811</v>
      </c>
      <c r="E95" t="s">
        <v>309</v>
      </c>
      <c r="F95">
        <v>2018</v>
      </c>
    </row>
    <row r="96" spans="1:6" ht="26.25" customHeight="1" x14ac:dyDescent="0.25">
      <c r="E96" t="s">
        <v>308</v>
      </c>
      <c r="F96">
        <v>2018</v>
      </c>
    </row>
    <row r="97" spans="1:6" ht="26.25" customHeight="1" x14ac:dyDescent="0.25">
      <c r="A97" t="s">
        <v>757</v>
      </c>
      <c r="B97" t="s">
        <v>16</v>
      </c>
      <c r="C97" t="s">
        <v>331</v>
      </c>
      <c r="D97" t="s">
        <v>811</v>
      </c>
      <c r="E97" t="s">
        <v>308</v>
      </c>
      <c r="F97">
        <v>2012</v>
      </c>
    </row>
    <row r="98" spans="1:6" ht="26.25" customHeight="1" x14ac:dyDescent="0.25">
      <c r="A98" t="s">
        <v>758</v>
      </c>
      <c r="B98" t="s">
        <v>16</v>
      </c>
      <c r="C98" t="s">
        <v>530</v>
      </c>
      <c r="D98" t="s">
        <v>811</v>
      </c>
      <c r="E98" t="s">
        <v>309</v>
      </c>
      <c r="F98">
        <v>1997</v>
      </c>
    </row>
    <row r="99" spans="1:6" ht="26.25" customHeight="1" x14ac:dyDescent="0.25">
      <c r="A99" t="s">
        <v>759</v>
      </c>
      <c r="B99" t="s">
        <v>22</v>
      </c>
      <c r="C99" t="s">
        <v>79</v>
      </c>
      <c r="D99" t="s">
        <v>811</v>
      </c>
      <c r="E99" t="s">
        <v>309</v>
      </c>
      <c r="F99">
        <v>2000</v>
      </c>
    </row>
    <row r="100" spans="1:6" ht="26.25" customHeight="1" x14ac:dyDescent="0.25">
      <c r="A100" t="s">
        <v>760</v>
      </c>
      <c r="B100" t="s">
        <v>15</v>
      </c>
      <c r="C100" t="s">
        <v>326</v>
      </c>
      <c r="D100" t="s">
        <v>811</v>
      </c>
      <c r="E100" t="s">
        <v>309</v>
      </c>
      <c r="F100">
        <v>2005</v>
      </c>
    </row>
    <row r="101" spans="1:6" ht="26.25" customHeight="1" x14ac:dyDescent="0.25">
      <c r="A101" t="s">
        <v>761</v>
      </c>
      <c r="B101" t="s">
        <v>15</v>
      </c>
      <c r="C101" t="s">
        <v>506</v>
      </c>
      <c r="D101" t="s">
        <v>811</v>
      </c>
      <c r="E101" t="s">
        <v>308</v>
      </c>
      <c r="F101">
        <v>2016</v>
      </c>
    </row>
    <row r="102" spans="1:6" ht="26.25" customHeight="1" x14ac:dyDescent="0.25">
      <c r="A102" t="s">
        <v>762</v>
      </c>
      <c r="B102" t="s">
        <v>15</v>
      </c>
      <c r="C102" t="s">
        <v>500</v>
      </c>
      <c r="D102" t="s">
        <v>811</v>
      </c>
      <c r="E102" t="s">
        <v>309</v>
      </c>
      <c r="F102">
        <v>2015</v>
      </c>
    </row>
    <row r="103" spans="1:6" ht="26.25" customHeight="1" x14ac:dyDescent="0.25">
      <c r="A103" t="s">
        <v>763</v>
      </c>
      <c r="B103" t="s">
        <v>15</v>
      </c>
      <c r="C103" t="s">
        <v>327</v>
      </c>
      <c r="D103" t="s">
        <v>811</v>
      </c>
      <c r="E103" t="s">
        <v>309</v>
      </c>
      <c r="F103">
        <v>2008</v>
      </c>
    </row>
    <row r="104" spans="1:6" ht="26.25" customHeight="1" x14ac:dyDescent="0.25">
      <c r="A104" t="s">
        <v>764</v>
      </c>
      <c r="B104" t="s">
        <v>15</v>
      </c>
      <c r="C104" t="s">
        <v>275</v>
      </c>
      <c r="D104" t="s">
        <v>811</v>
      </c>
      <c r="E104" t="s">
        <v>308</v>
      </c>
      <c r="F104">
        <v>2015</v>
      </c>
    </row>
    <row r="105" spans="1:6" ht="26.25" customHeight="1" x14ac:dyDescent="0.25">
      <c r="A105" t="s">
        <v>765</v>
      </c>
      <c r="B105" t="s">
        <v>15</v>
      </c>
      <c r="C105" t="s">
        <v>275</v>
      </c>
      <c r="D105" t="s">
        <v>312</v>
      </c>
      <c r="E105" t="s">
        <v>308</v>
      </c>
      <c r="F105">
        <v>1999</v>
      </c>
    </row>
    <row r="106" spans="1:6" ht="26.25" customHeight="1" x14ac:dyDescent="0.25">
      <c r="A106" t="s">
        <v>766</v>
      </c>
      <c r="B106" t="s">
        <v>15</v>
      </c>
      <c r="C106" t="s">
        <v>276</v>
      </c>
      <c r="D106" t="s">
        <v>811</v>
      </c>
      <c r="E106" t="s">
        <v>308</v>
      </c>
      <c r="F106">
        <v>1999</v>
      </c>
    </row>
    <row r="107" spans="1:6" ht="26.25" customHeight="1" x14ac:dyDescent="0.25">
      <c r="A107" t="s">
        <v>767</v>
      </c>
      <c r="B107" t="s">
        <v>15</v>
      </c>
      <c r="C107" t="s">
        <v>276</v>
      </c>
      <c r="D107" t="s">
        <v>811</v>
      </c>
      <c r="E107" t="s">
        <v>308</v>
      </c>
      <c r="F107">
        <v>2014</v>
      </c>
    </row>
    <row r="108" spans="1:6" ht="26.25" customHeight="1" x14ac:dyDescent="0.25">
      <c r="A108" t="s">
        <v>768</v>
      </c>
      <c r="B108" t="s">
        <v>15</v>
      </c>
      <c r="C108" t="s">
        <v>279</v>
      </c>
      <c r="D108" t="s">
        <v>811</v>
      </c>
      <c r="E108" t="s">
        <v>308</v>
      </c>
      <c r="F108">
        <v>2008</v>
      </c>
    </row>
    <row r="109" spans="1:6" ht="26.25" customHeight="1" x14ac:dyDescent="0.25">
      <c r="A109" t="s">
        <v>769</v>
      </c>
      <c r="B109" t="s">
        <v>16</v>
      </c>
      <c r="C109" t="s">
        <v>194</v>
      </c>
      <c r="D109" t="s">
        <v>811</v>
      </c>
      <c r="E109" t="s">
        <v>308</v>
      </c>
      <c r="F109">
        <v>1997</v>
      </c>
    </row>
    <row r="110" spans="1:6" ht="26.25" customHeight="1" x14ac:dyDescent="0.25">
      <c r="A110" t="s">
        <v>770</v>
      </c>
      <c r="B110" t="s">
        <v>15</v>
      </c>
      <c r="C110" t="s">
        <v>281</v>
      </c>
      <c r="D110" t="s">
        <v>811</v>
      </c>
      <c r="E110" t="s">
        <v>309</v>
      </c>
      <c r="F110">
        <v>2016</v>
      </c>
    </row>
    <row r="111" spans="1:6" ht="26.25" customHeight="1" x14ac:dyDescent="0.25">
      <c r="A111" t="s">
        <v>771</v>
      </c>
      <c r="B111" t="s">
        <v>15</v>
      </c>
      <c r="C111" t="s">
        <v>282</v>
      </c>
      <c r="D111" t="s">
        <v>312</v>
      </c>
      <c r="E111" t="s">
        <v>308</v>
      </c>
      <c r="F111">
        <v>2006</v>
      </c>
    </row>
    <row r="112" spans="1:6" ht="26.25" customHeight="1" x14ac:dyDescent="0.25">
      <c r="A112" t="s">
        <v>772</v>
      </c>
      <c r="B112" t="s">
        <v>15</v>
      </c>
      <c r="C112" t="s">
        <v>282</v>
      </c>
      <c r="D112" t="s">
        <v>312</v>
      </c>
      <c r="E112" t="s">
        <v>308</v>
      </c>
      <c r="F112">
        <v>2015</v>
      </c>
    </row>
    <row r="113" spans="1:6" ht="26.25" customHeight="1" x14ac:dyDescent="0.25">
      <c r="A113" t="s">
        <v>773</v>
      </c>
      <c r="B113" t="s">
        <v>15</v>
      </c>
      <c r="C113" t="s">
        <v>284</v>
      </c>
      <c r="D113" t="s">
        <v>811</v>
      </c>
      <c r="E113" t="s">
        <v>308</v>
      </c>
      <c r="F113">
        <v>1998</v>
      </c>
    </row>
    <row r="114" spans="1:6" ht="26.25" customHeight="1" x14ac:dyDescent="0.25">
      <c r="A114" t="s">
        <v>774</v>
      </c>
      <c r="B114" t="s">
        <v>23</v>
      </c>
      <c r="C114" t="s">
        <v>367</v>
      </c>
      <c r="D114" t="s">
        <v>811</v>
      </c>
      <c r="E114" t="s">
        <v>308</v>
      </c>
      <c r="F114">
        <v>2003</v>
      </c>
    </row>
    <row r="115" spans="1:6" ht="26.25" customHeight="1" x14ac:dyDescent="0.25">
      <c r="A115" t="s">
        <v>775</v>
      </c>
      <c r="B115" t="s">
        <v>15</v>
      </c>
      <c r="C115" t="s">
        <v>285</v>
      </c>
      <c r="D115" t="s">
        <v>811</v>
      </c>
      <c r="E115" t="s">
        <v>308</v>
      </c>
      <c r="F115" t="s">
        <v>811</v>
      </c>
    </row>
    <row r="116" spans="1:6" ht="26.25" customHeight="1" x14ac:dyDescent="0.25">
      <c r="A116" t="s">
        <v>776</v>
      </c>
      <c r="B116" t="s">
        <v>15</v>
      </c>
      <c r="C116" t="s">
        <v>285</v>
      </c>
      <c r="D116" t="s">
        <v>811</v>
      </c>
      <c r="E116" t="s">
        <v>308</v>
      </c>
      <c r="F116">
        <v>2000</v>
      </c>
    </row>
    <row r="117" spans="1:6" ht="26.25" customHeight="1" x14ac:dyDescent="0.25">
      <c r="A117" t="s">
        <v>777</v>
      </c>
      <c r="B117" t="s">
        <v>27</v>
      </c>
      <c r="C117" t="s">
        <v>54</v>
      </c>
      <c r="D117" t="s">
        <v>811</v>
      </c>
      <c r="E117" t="s">
        <v>310</v>
      </c>
      <c r="F117">
        <v>2004</v>
      </c>
    </row>
    <row r="118" spans="1:6" ht="26.25" customHeight="1" x14ac:dyDescent="0.25">
      <c r="A118" t="s">
        <v>778</v>
      </c>
      <c r="B118" t="s">
        <v>27</v>
      </c>
      <c r="C118" t="s">
        <v>54</v>
      </c>
      <c r="D118" t="s">
        <v>811</v>
      </c>
      <c r="E118" t="s">
        <v>310</v>
      </c>
      <c r="F118">
        <v>2008</v>
      </c>
    </row>
    <row r="119" spans="1:6" ht="26.25" customHeight="1" x14ac:dyDescent="0.25">
      <c r="A119" t="s">
        <v>779</v>
      </c>
      <c r="B119" t="s">
        <v>15</v>
      </c>
      <c r="C119" t="s">
        <v>286</v>
      </c>
      <c r="D119" t="s">
        <v>811</v>
      </c>
      <c r="E119" t="s">
        <v>308</v>
      </c>
      <c r="F119">
        <v>1994</v>
      </c>
    </row>
    <row r="120" spans="1:6" ht="26.25" customHeight="1" x14ac:dyDescent="0.25">
      <c r="A120" t="s">
        <v>780</v>
      </c>
      <c r="B120" t="s">
        <v>15</v>
      </c>
      <c r="C120" t="s">
        <v>286</v>
      </c>
      <c r="D120" t="s">
        <v>811</v>
      </c>
      <c r="E120" t="s">
        <v>308</v>
      </c>
      <c r="F120">
        <v>1997</v>
      </c>
    </row>
    <row r="121" spans="1:6" ht="26.25" customHeight="1" x14ac:dyDescent="0.25">
      <c r="A121" t="s">
        <v>781</v>
      </c>
      <c r="B121" t="s">
        <v>15</v>
      </c>
      <c r="C121" t="s">
        <v>286</v>
      </c>
      <c r="D121" t="s">
        <v>811</v>
      </c>
      <c r="E121" t="s">
        <v>308</v>
      </c>
      <c r="F121">
        <v>2015</v>
      </c>
    </row>
    <row r="122" spans="1:6" ht="26.25" customHeight="1" x14ac:dyDescent="0.25">
      <c r="A122" t="s">
        <v>782</v>
      </c>
      <c r="B122" t="s">
        <v>15</v>
      </c>
      <c r="C122" t="s">
        <v>286</v>
      </c>
      <c r="D122" t="s">
        <v>811</v>
      </c>
      <c r="E122" t="s">
        <v>308</v>
      </c>
      <c r="F122">
        <v>2017</v>
      </c>
    </row>
    <row r="123" spans="1:6" ht="26.25" customHeight="1" x14ac:dyDescent="0.25">
      <c r="A123" t="s">
        <v>783</v>
      </c>
      <c r="B123" t="s">
        <v>18</v>
      </c>
      <c r="C123" t="s">
        <v>325</v>
      </c>
      <c r="D123" t="s">
        <v>811</v>
      </c>
      <c r="E123" t="s">
        <v>308</v>
      </c>
      <c r="F123">
        <v>1994</v>
      </c>
    </row>
    <row r="124" spans="1:6" ht="26.25" customHeight="1" x14ac:dyDescent="0.25">
      <c r="A124" t="s">
        <v>784</v>
      </c>
      <c r="B124" t="s">
        <v>15</v>
      </c>
      <c r="C124" t="s">
        <v>288</v>
      </c>
      <c r="D124" t="s">
        <v>312</v>
      </c>
      <c r="E124" t="s">
        <v>308</v>
      </c>
      <c r="F124">
        <v>1996</v>
      </c>
    </row>
    <row r="125" spans="1:6" ht="26.25" customHeight="1" x14ac:dyDescent="0.25">
      <c r="A125" t="s">
        <v>785</v>
      </c>
      <c r="B125" t="s">
        <v>15</v>
      </c>
      <c r="C125" t="s">
        <v>289</v>
      </c>
      <c r="D125" t="s">
        <v>811</v>
      </c>
      <c r="E125" t="s">
        <v>309</v>
      </c>
      <c r="F125">
        <v>2016</v>
      </c>
    </row>
    <row r="126" spans="1:6" ht="26.25" customHeight="1" x14ac:dyDescent="0.25">
      <c r="A126" t="s">
        <v>786</v>
      </c>
      <c r="B126" t="s">
        <v>15</v>
      </c>
      <c r="C126" t="s">
        <v>289</v>
      </c>
      <c r="D126" t="s">
        <v>811</v>
      </c>
      <c r="E126" t="s">
        <v>309</v>
      </c>
      <c r="F126">
        <v>2017</v>
      </c>
    </row>
    <row r="127" spans="1:6" ht="26.25" customHeight="1" x14ac:dyDescent="0.25">
      <c r="A127" t="s">
        <v>787</v>
      </c>
      <c r="B127" t="s">
        <v>15</v>
      </c>
      <c r="C127" t="s">
        <v>289</v>
      </c>
      <c r="D127" t="s">
        <v>811</v>
      </c>
      <c r="E127" t="s">
        <v>309</v>
      </c>
      <c r="F127">
        <v>2018</v>
      </c>
    </row>
    <row r="128" spans="1:6" ht="26.25" customHeight="1" x14ac:dyDescent="0.25">
      <c r="A128" t="s">
        <v>788</v>
      </c>
      <c r="B128" t="s">
        <v>328</v>
      </c>
      <c r="C128" t="s">
        <v>329</v>
      </c>
      <c r="D128" t="s">
        <v>811</v>
      </c>
      <c r="E128" t="s">
        <v>309</v>
      </c>
      <c r="F128">
        <v>2009</v>
      </c>
    </row>
    <row r="129" spans="1:6" ht="26.25" customHeight="1" x14ac:dyDescent="0.25">
      <c r="A129" t="s">
        <v>789</v>
      </c>
      <c r="B129" t="s">
        <v>15</v>
      </c>
      <c r="C129" t="s">
        <v>297</v>
      </c>
      <c r="D129" t="s">
        <v>312</v>
      </c>
      <c r="E129" t="s">
        <v>309</v>
      </c>
      <c r="F129">
        <v>2017</v>
      </c>
    </row>
    <row r="130" spans="1:6" ht="26.25" customHeight="1" x14ac:dyDescent="0.25">
      <c r="A130" t="s">
        <v>790</v>
      </c>
      <c r="B130" t="s">
        <v>15</v>
      </c>
      <c r="C130" t="s">
        <v>564</v>
      </c>
      <c r="D130" t="s">
        <v>811</v>
      </c>
      <c r="E130" t="s">
        <v>309</v>
      </c>
      <c r="F130">
        <v>2017</v>
      </c>
    </row>
    <row r="131" spans="1:6" ht="26.25" customHeight="1" x14ac:dyDescent="0.25">
      <c r="A131" t="s">
        <v>791</v>
      </c>
      <c r="B131" t="s">
        <v>15</v>
      </c>
      <c r="C131" t="s">
        <v>531</v>
      </c>
      <c r="D131" t="s">
        <v>811</v>
      </c>
      <c r="E131" t="s">
        <v>308</v>
      </c>
      <c r="F131">
        <v>2016</v>
      </c>
    </row>
    <row r="132" spans="1:6" ht="26.25" customHeight="1" x14ac:dyDescent="0.25">
      <c r="A132" t="s">
        <v>792</v>
      </c>
      <c r="B132" t="s">
        <v>15</v>
      </c>
      <c r="C132" t="s">
        <v>298</v>
      </c>
      <c r="D132" t="s">
        <v>312</v>
      </c>
      <c r="E132" t="s">
        <v>309</v>
      </c>
      <c r="F132">
        <v>1987</v>
      </c>
    </row>
    <row r="133" spans="1:6" ht="26.25" customHeight="1" x14ac:dyDescent="0.25">
      <c r="A133" t="s">
        <v>793</v>
      </c>
      <c r="B133" t="s">
        <v>15</v>
      </c>
      <c r="C133" t="s">
        <v>158</v>
      </c>
      <c r="D133" t="s">
        <v>811</v>
      </c>
      <c r="E133" t="s">
        <v>308</v>
      </c>
      <c r="F133">
        <v>1999</v>
      </c>
    </row>
    <row r="134" spans="1:6" ht="26.25" customHeight="1" x14ac:dyDescent="0.25">
      <c r="A134" t="s">
        <v>794</v>
      </c>
      <c r="B134" t="s">
        <v>19</v>
      </c>
      <c r="C134" t="s">
        <v>231</v>
      </c>
      <c r="D134" t="s">
        <v>811</v>
      </c>
      <c r="E134" t="s">
        <v>308</v>
      </c>
      <c r="F134">
        <v>2013</v>
      </c>
    </row>
    <row r="135" spans="1:6" ht="26.25" customHeight="1" x14ac:dyDescent="0.25">
      <c r="A135" t="s">
        <v>795</v>
      </c>
      <c r="B135" t="s">
        <v>15</v>
      </c>
      <c r="C135" t="s">
        <v>300</v>
      </c>
      <c r="D135" t="s">
        <v>811</v>
      </c>
      <c r="E135" t="s">
        <v>308</v>
      </c>
      <c r="F135">
        <v>2013</v>
      </c>
    </row>
    <row r="136" spans="1:6" ht="26.25" customHeight="1" x14ac:dyDescent="0.25">
      <c r="A136" t="s">
        <v>796</v>
      </c>
      <c r="B136" t="s">
        <v>15</v>
      </c>
      <c r="C136" t="s">
        <v>300</v>
      </c>
      <c r="D136" t="s">
        <v>811</v>
      </c>
      <c r="E136" t="s">
        <v>309</v>
      </c>
      <c r="F136">
        <v>2014</v>
      </c>
    </row>
    <row r="137" spans="1:6" ht="26.25" customHeight="1" x14ac:dyDescent="0.25">
      <c r="A137" t="s">
        <v>797</v>
      </c>
      <c r="B137" t="s">
        <v>15</v>
      </c>
      <c r="C137" t="s">
        <v>301</v>
      </c>
      <c r="D137" t="s">
        <v>811</v>
      </c>
      <c r="E137" t="s">
        <v>309</v>
      </c>
      <c r="F137">
        <v>2009</v>
      </c>
    </row>
    <row r="138" spans="1:6" ht="26.25" customHeight="1" x14ac:dyDescent="0.25">
      <c r="A138" t="s">
        <v>798</v>
      </c>
      <c r="B138" t="s">
        <v>15</v>
      </c>
      <c r="C138" t="s">
        <v>301</v>
      </c>
      <c r="D138" t="s">
        <v>811</v>
      </c>
      <c r="E138" t="s">
        <v>309</v>
      </c>
      <c r="F138">
        <v>2017</v>
      </c>
    </row>
    <row r="139" spans="1:6" ht="26.25" customHeight="1" x14ac:dyDescent="0.25">
      <c r="A139" t="s">
        <v>799</v>
      </c>
      <c r="B139" t="s">
        <v>19</v>
      </c>
      <c r="C139" t="s">
        <v>237</v>
      </c>
      <c r="D139" t="s">
        <v>811</v>
      </c>
      <c r="E139" t="s">
        <v>309</v>
      </c>
      <c r="F139">
        <v>2018</v>
      </c>
    </row>
    <row r="140" spans="1:6" ht="26.25" customHeight="1" x14ac:dyDescent="0.25">
      <c r="A140" t="s">
        <v>800</v>
      </c>
      <c r="B140" t="s">
        <v>15</v>
      </c>
      <c r="C140" t="s">
        <v>302</v>
      </c>
      <c r="D140" t="s">
        <v>811</v>
      </c>
      <c r="E140" t="s">
        <v>308</v>
      </c>
      <c r="F140">
        <v>2017</v>
      </c>
    </row>
    <row r="141" spans="1:6" ht="26.25" customHeight="1" x14ac:dyDescent="0.25">
      <c r="A141" t="s">
        <v>801</v>
      </c>
      <c r="B141" t="s">
        <v>21</v>
      </c>
      <c r="C141" t="s">
        <v>463</v>
      </c>
      <c r="D141" t="s">
        <v>811</v>
      </c>
      <c r="E141" t="s">
        <v>309</v>
      </c>
      <c r="F141">
        <v>2012</v>
      </c>
    </row>
    <row r="142" spans="1:6" ht="26.25" customHeight="1" x14ac:dyDescent="0.25">
      <c r="A142" t="s">
        <v>802</v>
      </c>
      <c r="B142" t="s">
        <v>15</v>
      </c>
      <c r="C142" t="s">
        <v>303</v>
      </c>
      <c r="D142" t="s">
        <v>811</v>
      </c>
      <c r="E142" t="s">
        <v>308</v>
      </c>
      <c r="F142">
        <v>2004</v>
      </c>
    </row>
    <row r="143" spans="1:6" ht="26.25" customHeight="1" x14ac:dyDescent="0.25">
      <c r="A143" t="s">
        <v>803</v>
      </c>
      <c r="B143" t="s">
        <v>15</v>
      </c>
      <c r="C143" t="s">
        <v>303</v>
      </c>
      <c r="D143" t="s">
        <v>811</v>
      </c>
      <c r="E143" t="s">
        <v>308</v>
      </c>
      <c r="F143">
        <v>2006</v>
      </c>
    </row>
    <row r="144" spans="1:6" ht="26.25" customHeight="1" x14ac:dyDescent="0.25">
      <c r="A144" t="s">
        <v>804</v>
      </c>
      <c r="B144" t="s">
        <v>15</v>
      </c>
      <c r="C144" t="s">
        <v>303</v>
      </c>
      <c r="D144" t="s">
        <v>811</v>
      </c>
      <c r="E144" t="s">
        <v>308</v>
      </c>
      <c r="F144">
        <v>2014</v>
      </c>
    </row>
    <row r="145" spans="1:6" ht="26.25" customHeight="1" x14ac:dyDescent="0.25">
      <c r="A145" t="s">
        <v>805</v>
      </c>
      <c r="B145" t="s">
        <v>15</v>
      </c>
      <c r="C145" t="s">
        <v>303</v>
      </c>
      <c r="D145" t="s">
        <v>312</v>
      </c>
      <c r="E145" t="s">
        <v>308</v>
      </c>
      <c r="F145">
        <v>2009</v>
      </c>
    </row>
    <row r="146" spans="1:6" ht="26.25" customHeight="1" x14ac:dyDescent="0.25">
      <c r="A146" t="s">
        <v>806</v>
      </c>
      <c r="B146" t="s">
        <v>15</v>
      </c>
      <c r="C146" t="s">
        <v>303</v>
      </c>
      <c r="D146" t="s">
        <v>312</v>
      </c>
      <c r="E146" t="s">
        <v>309</v>
      </c>
      <c r="F146">
        <v>2014</v>
      </c>
    </row>
    <row r="147" spans="1:6" ht="26.25" customHeight="1" x14ac:dyDescent="0.25">
      <c r="A147" t="s">
        <v>807</v>
      </c>
      <c r="B147" t="s">
        <v>15</v>
      </c>
      <c r="C147" t="s">
        <v>303</v>
      </c>
      <c r="D147" t="s">
        <v>312</v>
      </c>
      <c r="E147" t="s">
        <v>308</v>
      </c>
      <c r="F147">
        <v>2017</v>
      </c>
    </row>
    <row r="148" spans="1:6" ht="26.25" customHeight="1" x14ac:dyDescent="0.25">
      <c r="A148" t="s">
        <v>808</v>
      </c>
      <c r="B148" t="s">
        <v>17</v>
      </c>
      <c r="C148" t="s">
        <v>176</v>
      </c>
      <c r="D148" t="s">
        <v>811</v>
      </c>
      <c r="E148" t="s">
        <v>309</v>
      </c>
      <c r="F148">
        <v>2012</v>
      </c>
    </row>
    <row r="149" spans="1:6" ht="26.25" customHeight="1" x14ac:dyDescent="0.25">
      <c r="A149" t="s">
        <v>809</v>
      </c>
      <c r="B149" t="s">
        <v>478</v>
      </c>
      <c r="C149" t="s">
        <v>489</v>
      </c>
      <c r="D149" t="s">
        <v>811</v>
      </c>
      <c r="E149" t="s">
        <v>309</v>
      </c>
      <c r="F149">
        <v>2017</v>
      </c>
    </row>
    <row r="150" spans="1:6" ht="26.25" customHeight="1" x14ac:dyDescent="0.25">
      <c r="A150" t="s">
        <v>810</v>
      </c>
      <c r="B150" t="s">
        <v>15</v>
      </c>
      <c r="C150" t="s">
        <v>305</v>
      </c>
      <c r="D150" t="s">
        <v>811</v>
      </c>
      <c r="E150" t="s">
        <v>308</v>
      </c>
      <c r="F150">
        <v>1993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P18"/>
  <sheetViews>
    <sheetView workbookViewId="0">
      <selection activeCell="F5" sqref="F5"/>
    </sheetView>
  </sheetViews>
  <sheetFormatPr baseColWidth="10" defaultRowHeight="15" x14ac:dyDescent="0.25"/>
  <cols>
    <col min="1" max="4" width="11.42578125" style="11"/>
    <col min="5" max="5" width="11.42578125" style="11" customWidth="1"/>
    <col min="6" max="6" width="6.42578125" style="12" bestFit="1" customWidth="1"/>
    <col min="7" max="7" width="11.42578125" style="11"/>
    <col min="8" max="8" width="23.7109375" style="11" bestFit="1" customWidth="1"/>
    <col min="9" max="9" width="15.28515625" style="11" bestFit="1" customWidth="1"/>
    <col min="10" max="10" width="3" style="11" customWidth="1"/>
    <col min="11" max="11" width="12.5703125" style="11" bestFit="1" customWidth="1"/>
    <col min="12" max="16384" width="11.42578125" style="11"/>
  </cols>
  <sheetData>
    <row r="1" spans="1:12" ht="30.75" customHeight="1" x14ac:dyDescent="0.25">
      <c r="A1" s="11" t="s">
        <v>330</v>
      </c>
    </row>
    <row r="3" spans="1:12" ht="23.25" x14ac:dyDescent="0.35">
      <c r="A3" s="44" t="s">
        <v>426</v>
      </c>
      <c r="B3" s="44"/>
      <c r="C3" s="13">
        <f>SUM(cave!G8:G947)</f>
        <v>357</v>
      </c>
      <c r="E3" s="11" t="s">
        <v>308</v>
      </c>
      <c r="F3" s="16">
        <f>SUMIFS((cave!G$8:G$495),(cave!F$8:F$495),"rOUGE")</f>
        <v>188</v>
      </c>
      <c r="H3" s="11" t="s">
        <v>15</v>
      </c>
      <c r="I3" s="16">
        <f>SUMIFS((cave!G$8:G$495),(cave!B$8:B$495),H3)</f>
        <v>253</v>
      </c>
      <c r="J3" s="14"/>
      <c r="K3" s="17" t="s">
        <v>19</v>
      </c>
      <c r="L3" s="16" t="e">
        <f>SUMIFS((#REF!),(#REF!),K3)</f>
        <v>#REF!</v>
      </c>
    </row>
    <row r="4" spans="1:12" ht="23.25" x14ac:dyDescent="0.35">
      <c r="E4" s="11" t="s">
        <v>309</v>
      </c>
      <c r="F4" s="16">
        <f>SUMIFS((cave!G$8:G$495),(cave!F$8:F$495),"Blanc")</f>
        <v>154</v>
      </c>
      <c r="H4" s="11" t="s">
        <v>16</v>
      </c>
      <c r="I4" s="16" t="e">
        <f>SUMIFS((#REF!),(#REF!),H4)</f>
        <v>#REF!</v>
      </c>
      <c r="K4" s="17" t="s">
        <v>20</v>
      </c>
      <c r="L4" s="16" t="e">
        <f>SUMIFS((#REF!),(#REF!),K4)</f>
        <v>#REF!</v>
      </c>
    </row>
    <row r="5" spans="1:12" ht="23.25" x14ac:dyDescent="0.35">
      <c r="E5" s="11" t="s">
        <v>310</v>
      </c>
      <c r="F5" s="16">
        <f>SUMIFS((cave!G$8:G$495),(cave!F$8:F$495),"Rosé")</f>
        <v>15</v>
      </c>
      <c r="H5" s="11" t="s">
        <v>22</v>
      </c>
      <c r="I5" s="16" t="e">
        <f>SUMIFS((#REF!),(#REF!),H5)</f>
        <v>#REF!</v>
      </c>
      <c r="K5" s="17" t="s">
        <v>23</v>
      </c>
      <c r="L5" s="16" t="e">
        <f>SUMIFS((#REF!),(#REF!),K5)</f>
        <v>#REF!</v>
      </c>
    </row>
    <row r="6" spans="1:12" ht="23.25" x14ac:dyDescent="0.35">
      <c r="H6" s="11" t="s">
        <v>21</v>
      </c>
      <c r="I6" s="16" t="e">
        <f>SUMIFS((#REF!),(#REF!),H6)</f>
        <v>#REF!</v>
      </c>
      <c r="K6" s="17" t="s">
        <v>24</v>
      </c>
      <c r="L6" s="16" t="e">
        <f>SUMIFS((#REF!),(#REF!),K6)</f>
        <v>#REF!</v>
      </c>
    </row>
    <row r="7" spans="1:12" ht="23.25" x14ac:dyDescent="0.35">
      <c r="H7" s="11" t="s">
        <v>28</v>
      </c>
      <c r="I7" s="16" t="e">
        <f>SUMIFS((#REF!),(#REF!),H7)</f>
        <v>#REF!</v>
      </c>
      <c r="K7" s="17" t="s">
        <v>25</v>
      </c>
      <c r="L7" s="16" t="e">
        <f>SUMIFS((#REF!),(#REF!),K7)</f>
        <v>#REF!</v>
      </c>
    </row>
    <row r="8" spans="1:12" ht="23.25" customHeight="1" x14ac:dyDescent="0.35">
      <c r="E8" s="15"/>
      <c r="H8" s="12" t="s">
        <v>18</v>
      </c>
      <c r="I8" s="16" t="e">
        <f>SUMIFS((#REF!),(#REF!),H8)</f>
        <v>#REF!</v>
      </c>
      <c r="K8" s="17" t="s">
        <v>26</v>
      </c>
      <c r="L8" s="16" t="e">
        <f>SUMIFS((#REF!),(#REF!),K8)</f>
        <v>#REF!</v>
      </c>
    </row>
    <row r="9" spans="1:12" ht="23.25" x14ac:dyDescent="0.35">
      <c r="H9" s="11" t="s">
        <v>17</v>
      </c>
      <c r="I9" s="16" t="e">
        <f>SUMIFS((#REF!),(#REF!),H9)</f>
        <v>#REF!</v>
      </c>
      <c r="K9" s="18" t="s">
        <v>27</v>
      </c>
      <c r="L9" s="16" t="e">
        <f>SUMIFS((#REF!),(#REF!),K9)</f>
        <v>#REF!</v>
      </c>
    </row>
    <row r="10" spans="1:12" ht="23.25" x14ac:dyDescent="0.35">
      <c r="H10" s="11" t="s">
        <v>328</v>
      </c>
      <c r="I10" s="16" t="e">
        <f>SUMIFS((#REF!),(#REF!),H10)</f>
        <v>#REF!</v>
      </c>
      <c r="K10" s="17" t="s">
        <v>478</v>
      </c>
      <c r="L10" s="16" t="e">
        <f>SUMIFS((#REF!),(#REF!),K10)</f>
        <v>#REF!</v>
      </c>
    </row>
    <row r="11" spans="1:12" ht="23.25" x14ac:dyDescent="0.35">
      <c r="H11" s="11" t="s">
        <v>23</v>
      </c>
      <c r="I11" s="16" t="e">
        <f>SUMIFS((#REF!),(#REF!),H11)</f>
        <v>#REF!</v>
      </c>
    </row>
    <row r="18" spans="1:16" ht="26.25" x14ac:dyDescent="0.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  <c r="N18" s="2"/>
      <c r="O18" s="2"/>
      <c r="P18" s="2"/>
    </row>
  </sheetData>
  <mergeCells count="1">
    <mergeCell ref="A3:B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BDD_Vin</vt:lpstr>
      <vt:lpstr>Accueil</vt:lpstr>
      <vt:lpstr>Bdd_cave</vt:lpstr>
      <vt:lpstr>cave</vt:lpstr>
      <vt:lpstr>Feuil1</vt:lpstr>
      <vt:lpstr>STAT</vt:lpstr>
      <vt:lpstr>ALSACE</vt:lpstr>
      <vt:lpstr>AUTRES</vt:lpstr>
      <vt:lpstr>BEAUJOLAIS</vt:lpstr>
      <vt:lpstr>BORDEAUX</vt:lpstr>
      <vt:lpstr>BOURGOGNE</vt:lpstr>
      <vt:lpstr>Classé</vt:lpstr>
      <vt:lpstr>CORSE</vt:lpstr>
      <vt:lpstr>COTE_DU_RHONE</vt:lpstr>
      <vt:lpstr>Couleur</vt:lpstr>
      <vt:lpstr>ETRANGER</vt:lpstr>
      <vt:lpstr>JURA</vt:lpstr>
      <vt:lpstr>LANGUEDOC</vt:lpstr>
      <vt:lpstr>LANGUEDOC_ROUSSILLON</vt:lpstr>
      <vt:lpstr>ListeRegion</vt:lpstr>
      <vt:lpstr>LOIRE</vt:lpstr>
      <vt:lpstr>millesime</vt:lpstr>
      <vt:lpstr>PROVENCE</vt:lpstr>
      <vt:lpstr>quantite</vt:lpstr>
      <vt:lpstr>region</vt:lpstr>
      <vt:lpstr>SUD_OUEST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2020-02-19T09:28:14Z</cp:lastPrinted>
  <dcterms:created xsi:type="dcterms:W3CDTF">2020-02-19T07:02:17Z</dcterms:created>
  <dcterms:modified xsi:type="dcterms:W3CDTF">2020-03-26T10:40:45Z</dcterms:modified>
</cp:coreProperties>
</file>